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xl/tables/table267.xml" ContentType="application/vnd.openxmlformats-officedocument.spreadsheetml.table+xml"/>
  <Override PartName="/xl/tables/table268.xml" ContentType="application/vnd.openxmlformats-officedocument.spreadsheetml.table+xml"/>
  <Override PartName="/xl/tables/table269.xml" ContentType="application/vnd.openxmlformats-officedocument.spreadsheetml.table+xml"/>
  <Override PartName="/xl/tables/table270.xml" ContentType="application/vnd.openxmlformats-officedocument.spreadsheetml.table+xml"/>
  <Override PartName="/xl/tables/table271.xml" ContentType="application/vnd.openxmlformats-officedocument.spreadsheetml.table+xml"/>
  <Override PartName="/xl/tables/table272.xml" ContentType="application/vnd.openxmlformats-officedocument.spreadsheetml.table+xml"/>
  <Override PartName="/xl/tables/table273.xml" ContentType="application/vnd.openxmlformats-officedocument.spreadsheetml.table+xml"/>
  <Override PartName="/xl/tables/table274.xml" ContentType="application/vnd.openxmlformats-officedocument.spreadsheetml.table+xml"/>
  <Override PartName="/xl/tables/table275.xml" ContentType="application/vnd.openxmlformats-officedocument.spreadsheetml.table+xml"/>
  <Override PartName="/xl/tables/table276.xml" ContentType="application/vnd.openxmlformats-officedocument.spreadsheetml.table+xml"/>
  <Override PartName="/xl/tables/table277.xml" ContentType="application/vnd.openxmlformats-officedocument.spreadsheetml.table+xml"/>
  <Override PartName="/xl/tables/table278.xml" ContentType="application/vnd.openxmlformats-officedocument.spreadsheetml.table+xml"/>
  <Override PartName="/xl/tables/table279.xml" ContentType="application/vnd.openxmlformats-officedocument.spreadsheetml.table+xml"/>
  <Override PartName="/xl/tables/table280.xml" ContentType="application/vnd.openxmlformats-officedocument.spreadsheetml.table+xml"/>
  <Override PartName="/xl/tables/table281.xml" ContentType="application/vnd.openxmlformats-officedocument.spreadsheetml.table+xml"/>
  <Override PartName="/xl/tables/table282.xml" ContentType="application/vnd.openxmlformats-officedocument.spreadsheetml.table+xml"/>
  <Override PartName="/xl/tables/table283.xml" ContentType="application/vnd.openxmlformats-officedocument.spreadsheetml.table+xml"/>
  <Override PartName="/xl/tables/table284.xml" ContentType="application/vnd.openxmlformats-officedocument.spreadsheetml.table+xml"/>
  <Override PartName="/xl/tables/table285.xml" ContentType="application/vnd.openxmlformats-officedocument.spreadsheetml.table+xml"/>
  <Override PartName="/xl/tables/table286.xml" ContentType="application/vnd.openxmlformats-officedocument.spreadsheetml.table+xml"/>
  <Override PartName="/xl/tables/table287.xml" ContentType="application/vnd.openxmlformats-officedocument.spreadsheetml.table+xml"/>
  <Override PartName="/xl/tables/table288.xml" ContentType="application/vnd.openxmlformats-officedocument.spreadsheetml.table+xml"/>
  <Override PartName="/xl/tables/table289.xml" ContentType="application/vnd.openxmlformats-officedocument.spreadsheetml.table+xml"/>
  <Override PartName="/xl/tables/table290.xml" ContentType="application/vnd.openxmlformats-officedocument.spreadsheetml.table+xml"/>
  <Override PartName="/xl/tables/table291.xml" ContentType="application/vnd.openxmlformats-officedocument.spreadsheetml.table+xml"/>
  <Override PartName="/xl/tables/table292.xml" ContentType="application/vnd.openxmlformats-officedocument.spreadsheetml.table+xml"/>
  <Override PartName="/xl/tables/table293.xml" ContentType="application/vnd.openxmlformats-officedocument.spreadsheetml.table+xml"/>
  <Override PartName="/xl/tables/table294.xml" ContentType="application/vnd.openxmlformats-officedocument.spreadsheetml.table+xml"/>
  <Override PartName="/xl/tables/table295.xml" ContentType="application/vnd.openxmlformats-officedocument.spreadsheetml.table+xml"/>
  <Override PartName="/xl/tables/table296.xml" ContentType="application/vnd.openxmlformats-officedocument.spreadsheetml.table+xml"/>
  <Override PartName="/xl/tables/table297.xml" ContentType="application/vnd.openxmlformats-officedocument.spreadsheetml.table+xml"/>
  <Override PartName="/xl/tables/table298.xml" ContentType="application/vnd.openxmlformats-officedocument.spreadsheetml.table+xml"/>
  <Override PartName="/xl/tables/table299.xml" ContentType="application/vnd.openxmlformats-officedocument.spreadsheetml.table+xml"/>
  <Override PartName="/xl/tables/table300.xml" ContentType="application/vnd.openxmlformats-officedocument.spreadsheetml.table+xml"/>
  <Override PartName="/xl/tables/table301.xml" ContentType="application/vnd.openxmlformats-officedocument.spreadsheetml.table+xml"/>
  <Override PartName="/xl/tables/table302.xml" ContentType="application/vnd.openxmlformats-officedocument.spreadsheetml.table+xml"/>
  <Override PartName="/xl/tables/table303.xml" ContentType="application/vnd.openxmlformats-officedocument.spreadsheetml.table+xml"/>
  <Override PartName="/xl/tables/table304.xml" ContentType="application/vnd.openxmlformats-officedocument.spreadsheetml.table+xml"/>
  <Override PartName="/xl/tables/table305.xml" ContentType="application/vnd.openxmlformats-officedocument.spreadsheetml.table+xml"/>
  <Override PartName="/xl/tables/table306.xml" ContentType="application/vnd.openxmlformats-officedocument.spreadsheetml.table+xml"/>
  <Override PartName="/xl/tables/table307.xml" ContentType="application/vnd.openxmlformats-officedocument.spreadsheetml.table+xml"/>
  <Override PartName="/xl/tables/table308.xml" ContentType="application/vnd.openxmlformats-officedocument.spreadsheetml.table+xml"/>
  <Override PartName="/xl/tables/table309.xml" ContentType="application/vnd.openxmlformats-officedocument.spreadsheetml.table+xml"/>
  <Override PartName="/xl/tables/table310.xml" ContentType="application/vnd.openxmlformats-officedocument.spreadsheetml.table+xml"/>
  <Override PartName="/xl/tables/table311.xml" ContentType="application/vnd.openxmlformats-officedocument.spreadsheetml.table+xml"/>
  <Override PartName="/xl/tables/table312.xml" ContentType="application/vnd.openxmlformats-officedocument.spreadsheetml.table+xml"/>
  <Override PartName="/xl/tables/table313.xml" ContentType="application/vnd.openxmlformats-officedocument.spreadsheetml.table+xml"/>
  <Override PartName="/xl/tables/table314.xml" ContentType="application/vnd.openxmlformats-officedocument.spreadsheetml.table+xml"/>
  <Override PartName="/xl/tables/table315.xml" ContentType="application/vnd.openxmlformats-officedocument.spreadsheetml.table+xml"/>
  <Override PartName="/xl/tables/table316.xml" ContentType="application/vnd.openxmlformats-officedocument.spreadsheetml.table+xml"/>
  <Override PartName="/xl/tables/table317.xml" ContentType="application/vnd.openxmlformats-officedocument.spreadsheetml.table+xml"/>
  <Override PartName="/xl/tables/table318.xml" ContentType="application/vnd.openxmlformats-officedocument.spreadsheetml.table+xml"/>
  <Override PartName="/xl/tables/table319.xml" ContentType="application/vnd.openxmlformats-officedocument.spreadsheetml.table+xml"/>
  <Override PartName="/xl/tables/table320.xml" ContentType="application/vnd.openxmlformats-officedocument.spreadsheetml.table+xml"/>
  <Override PartName="/xl/tables/table321.xml" ContentType="application/vnd.openxmlformats-officedocument.spreadsheetml.table+xml"/>
  <Override PartName="/xl/tables/table322.xml" ContentType="application/vnd.openxmlformats-officedocument.spreadsheetml.table+xml"/>
  <Override PartName="/xl/tables/table323.xml" ContentType="application/vnd.openxmlformats-officedocument.spreadsheetml.table+xml"/>
  <Override PartName="/xl/tables/table324.xml" ContentType="application/vnd.openxmlformats-officedocument.spreadsheetml.table+xml"/>
  <Override PartName="/xl/tables/table325.xml" ContentType="application/vnd.openxmlformats-officedocument.spreadsheetml.table+xml"/>
  <Override PartName="/xl/tables/table326.xml" ContentType="application/vnd.openxmlformats-officedocument.spreadsheetml.table+xml"/>
  <Override PartName="/xl/tables/table327.xml" ContentType="application/vnd.openxmlformats-officedocument.spreadsheetml.table+xml"/>
  <Override PartName="/xl/tables/table328.xml" ContentType="application/vnd.openxmlformats-officedocument.spreadsheetml.table+xml"/>
  <Override PartName="/xl/tables/table329.xml" ContentType="application/vnd.openxmlformats-officedocument.spreadsheetml.table+xml"/>
  <Override PartName="/xl/tables/table330.xml" ContentType="application/vnd.openxmlformats-officedocument.spreadsheetml.table+xml"/>
  <Override PartName="/xl/tables/table331.xml" ContentType="application/vnd.openxmlformats-officedocument.spreadsheetml.table+xml"/>
  <Override PartName="/xl/tables/table332.xml" ContentType="application/vnd.openxmlformats-officedocument.spreadsheetml.table+xml"/>
  <Override PartName="/xl/tables/table333.xml" ContentType="application/vnd.openxmlformats-officedocument.spreadsheetml.table+xml"/>
  <Override PartName="/xl/tables/table334.xml" ContentType="application/vnd.openxmlformats-officedocument.spreadsheetml.table+xml"/>
  <Override PartName="/xl/tables/table335.xml" ContentType="application/vnd.openxmlformats-officedocument.spreadsheetml.table+xml"/>
  <Override PartName="/xl/tables/table336.xml" ContentType="application/vnd.openxmlformats-officedocument.spreadsheetml.table+xml"/>
  <Override PartName="/xl/tables/table337.xml" ContentType="application/vnd.openxmlformats-officedocument.spreadsheetml.table+xml"/>
  <Override PartName="/xl/tables/table338.xml" ContentType="application/vnd.openxmlformats-officedocument.spreadsheetml.table+xml"/>
  <Override PartName="/xl/tables/table339.xml" ContentType="application/vnd.openxmlformats-officedocument.spreadsheetml.table+xml"/>
  <Override PartName="/xl/tables/table340.xml" ContentType="application/vnd.openxmlformats-officedocument.spreadsheetml.table+xml"/>
  <Override PartName="/xl/tables/table341.xml" ContentType="application/vnd.openxmlformats-officedocument.spreadsheetml.table+xml"/>
  <Override PartName="/xl/tables/table342.xml" ContentType="application/vnd.openxmlformats-officedocument.spreadsheetml.table+xml"/>
  <Override PartName="/xl/tables/table343.xml" ContentType="application/vnd.openxmlformats-officedocument.spreadsheetml.table+xml"/>
  <Override PartName="/xl/tables/table344.xml" ContentType="application/vnd.openxmlformats-officedocument.spreadsheetml.table+xml"/>
  <Override PartName="/xl/tables/table345.xml" ContentType="application/vnd.openxmlformats-officedocument.spreadsheetml.table+xml"/>
  <Override PartName="/xl/tables/table346.xml" ContentType="application/vnd.openxmlformats-officedocument.spreadsheetml.table+xml"/>
  <Override PartName="/xl/tables/table347.xml" ContentType="application/vnd.openxmlformats-officedocument.spreadsheetml.table+xml"/>
  <Override PartName="/xl/tables/table348.xml" ContentType="application/vnd.openxmlformats-officedocument.spreadsheetml.table+xml"/>
  <Override PartName="/xl/tables/table349.xml" ContentType="application/vnd.openxmlformats-officedocument.spreadsheetml.table+xml"/>
  <Override PartName="/xl/tables/table350.xml" ContentType="application/vnd.openxmlformats-officedocument.spreadsheetml.table+xml"/>
  <Override PartName="/xl/tables/table351.xml" ContentType="application/vnd.openxmlformats-officedocument.spreadsheetml.table+xml"/>
  <Override PartName="/xl/tables/table352.xml" ContentType="application/vnd.openxmlformats-officedocument.spreadsheetml.table+xml"/>
  <Override PartName="/xl/tables/table353.xml" ContentType="application/vnd.openxmlformats-officedocument.spreadsheetml.table+xml"/>
  <Override PartName="/xl/tables/table354.xml" ContentType="application/vnd.openxmlformats-officedocument.spreadsheetml.table+xml"/>
  <Override PartName="/xl/tables/table355.xml" ContentType="application/vnd.openxmlformats-officedocument.spreadsheetml.table+xml"/>
  <Override PartName="/xl/tables/table356.xml" ContentType="application/vnd.openxmlformats-officedocument.spreadsheetml.table+xml"/>
  <Override PartName="/xl/tables/table357.xml" ContentType="application/vnd.openxmlformats-officedocument.spreadsheetml.table+xml"/>
  <Override PartName="/xl/tables/table358.xml" ContentType="application/vnd.openxmlformats-officedocument.spreadsheetml.table+xml"/>
  <Override PartName="/xl/tables/table359.xml" ContentType="application/vnd.openxmlformats-officedocument.spreadsheetml.table+xml"/>
  <Override PartName="/xl/tables/table360.xml" ContentType="application/vnd.openxmlformats-officedocument.spreadsheetml.table+xml"/>
  <Override PartName="/xl/tables/table361.xml" ContentType="application/vnd.openxmlformats-officedocument.spreadsheetml.table+xml"/>
  <Override PartName="/xl/tables/table362.xml" ContentType="application/vnd.openxmlformats-officedocument.spreadsheetml.table+xml"/>
  <Override PartName="/xl/tables/table363.xml" ContentType="application/vnd.openxmlformats-officedocument.spreadsheetml.table+xml"/>
  <Override PartName="/xl/tables/table364.xml" ContentType="application/vnd.openxmlformats-officedocument.spreadsheetml.table+xml"/>
  <Override PartName="/xl/tables/table365.xml" ContentType="application/vnd.openxmlformats-officedocument.spreadsheetml.table+xml"/>
  <Override PartName="/xl/tables/table366.xml" ContentType="application/vnd.openxmlformats-officedocument.spreadsheetml.table+xml"/>
  <Override PartName="/xl/tables/table367.xml" ContentType="application/vnd.openxmlformats-officedocument.spreadsheetml.table+xml"/>
  <Override PartName="/xl/tables/table368.xml" ContentType="application/vnd.openxmlformats-officedocument.spreadsheetml.table+xml"/>
  <Override PartName="/xl/tables/table369.xml" ContentType="application/vnd.openxmlformats-officedocument.spreadsheetml.table+xml"/>
  <Override PartName="/xl/tables/table370.xml" ContentType="application/vnd.openxmlformats-officedocument.spreadsheetml.table+xml"/>
  <Override PartName="/xl/tables/table371.xml" ContentType="application/vnd.openxmlformats-officedocument.spreadsheetml.table+xml"/>
  <Override PartName="/xl/tables/table372.xml" ContentType="application/vnd.openxmlformats-officedocument.spreadsheetml.table+xml"/>
  <Override PartName="/xl/tables/table373.xml" ContentType="application/vnd.openxmlformats-officedocument.spreadsheetml.table+xml"/>
  <Override PartName="/xl/tables/table374.xml" ContentType="application/vnd.openxmlformats-officedocument.spreadsheetml.table+xml"/>
  <Override PartName="/xl/tables/table375.xml" ContentType="application/vnd.openxmlformats-officedocument.spreadsheetml.table+xml"/>
  <Override PartName="/xl/tables/table376.xml" ContentType="application/vnd.openxmlformats-officedocument.spreadsheetml.table+xml"/>
  <Override PartName="/xl/tables/table377.xml" ContentType="application/vnd.openxmlformats-officedocument.spreadsheetml.table+xml"/>
  <Override PartName="/xl/tables/table378.xml" ContentType="application/vnd.openxmlformats-officedocument.spreadsheetml.table+xml"/>
  <Override PartName="/xl/tables/table379.xml" ContentType="application/vnd.openxmlformats-officedocument.spreadsheetml.table+xml"/>
  <Override PartName="/xl/tables/table380.xml" ContentType="application/vnd.openxmlformats-officedocument.spreadsheetml.table+xml"/>
  <Override PartName="/xl/tables/table381.xml" ContentType="application/vnd.openxmlformats-officedocument.spreadsheetml.table+xml"/>
  <Override PartName="/xl/tables/table382.xml" ContentType="application/vnd.openxmlformats-officedocument.spreadsheetml.table+xml"/>
  <Override PartName="/xl/tables/table383.xml" ContentType="application/vnd.openxmlformats-officedocument.spreadsheetml.table+xml"/>
  <Override PartName="/xl/tables/table384.xml" ContentType="application/vnd.openxmlformats-officedocument.spreadsheetml.table+xml"/>
  <Override PartName="/xl/tables/table385.xml" ContentType="application/vnd.openxmlformats-officedocument.spreadsheetml.table+xml"/>
  <Override PartName="/xl/tables/table386.xml" ContentType="application/vnd.openxmlformats-officedocument.spreadsheetml.table+xml"/>
  <Override PartName="/xl/tables/table387.xml" ContentType="application/vnd.openxmlformats-officedocument.spreadsheetml.table+xml"/>
  <Override PartName="/xl/tables/table388.xml" ContentType="application/vnd.openxmlformats-officedocument.spreadsheetml.table+xml"/>
  <Override PartName="/xl/tables/table389.xml" ContentType="application/vnd.openxmlformats-officedocument.spreadsheetml.table+xml"/>
  <Override PartName="/xl/tables/table390.xml" ContentType="application/vnd.openxmlformats-officedocument.spreadsheetml.table+xml"/>
  <Override PartName="/xl/tables/table391.xml" ContentType="application/vnd.openxmlformats-officedocument.spreadsheetml.table+xml"/>
  <Override PartName="/xl/tables/table392.xml" ContentType="application/vnd.openxmlformats-officedocument.spreadsheetml.table+xml"/>
  <Override PartName="/xl/tables/table393.xml" ContentType="application/vnd.openxmlformats-officedocument.spreadsheetml.table+xml"/>
  <Override PartName="/xl/tables/table394.xml" ContentType="application/vnd.openxmlformats-officedocument.spreadsheetml.table+xml"/>
  <Override PartName="/xl/tables/table395.xml" ContentType="application/vnd.openxmlformats-officedocument.spreadsheetml.table+xml"/>
  <Override PartName="/xl/tables/table396.xml" ContentType="application/vnd.openxmlformats-officedocument.spreadsheetml.table+xml"/>
  <Override PartName="/xl/tables/table397.xml" ContentType="application/vnd.openxmlformats-officedocument.spreadsheetml.table+xml"/>
  <Override PartName="/xl/tables/table398.xml" ContentType="application/vnd.openxmlformats-officedocument.spreadsheetml.table+xml"/>
  <Override PartName="/xl/tables/table399.xml" ContentType="application/vnd.openxmlformats-officedocument.spreadsheetml.table+xml"/>
  <Override PartName="/xl/tables/table400.xml" ContentType="application/vnd.openxmlformats-officedocument.spreadsheetml.table+xml"/>
  <Override PartName="/xl/tables/table401.xml" ContentType="application/vnd.openxmlformats-officedocument.spreadsheetml.table+xml"/>
  <Override PartName="/xl/tables/table402.xml" ContentType="application/vnd.openxmlformats-officedocument.spreadsheetml.table+xml"/>
  <Override PartName="/xl/tables/table403.xml" ContentType="application/vnd.openxmlformats-officedocument.spreadsheetml.table+xml"/>
  <Override PartName="/xl/tables/table404.xml" ContentType="application/vnd.openxmlformats-officedocument.spreadsheetml.table+xml"/>
  <Override PartName="/xl/tables/table405.xml" ContentType="application/vnd.openxmlformats-officedocument.spreadsheetml.table+xml"/>
  <Override PartName="/xl/tables/table406.xml" ContentType="application/vnd.openxmlformats-officedocument.spreadsheetml.table+xml"/>
  <Override PartName="/xl/tables/table407.xml" ContentType="application/vnd.openxmlformats-officedocument.spreadsheetml.table+xml"/>
  <Override PartName="/xl/tables/table408.xml" ContentType="application/vnd.openxmlformats-officedocument.spreadsheetml.table+xml"/>
  <Override PartName="/xl/tables/table409.xml" ContentType="application/vnd.openxmlformats-officedocument.spreadsheetml.table+xml"/>
  <Override PartName="/xl/tables/table410.xml" ContentType="application/vnd.openxmlformats-officedocument.spreadsheetml.table+xml"/>
  <Override PartName="/xl/tables/table411.xml" ContentType="application/vnd.openxmlformats-officedocument.spreadsheetml.table+xml"/>
  <Override PartName="/xl/tables/table412.xml" ContentType="application/vnd.openxmlformats-officedocument.spreadsheetml.table+xml"/>
  <Override PartName="/xl/tables/table413.xml" ContentType="application/vnd.openxmlformats-officedocument.spreadsheetml.table+xml"/>
  <Override PartName="/xl/tables/table414.xml" ContentType="application/vnd.openxmlformats-officedocument.spreadsheetml.table+xml"/>
  <Override PartName="/xl/tables/table415.xml" ContentType="application/vnd.openxmlformats-officedocument.spreadsheetml.table+xml"/>
  <Override PartName="/xl/tables/table416.xml" ContentType="application/vnd.openxmlformats-officedocument.spreadsheetml.table+xml"/>
  <Override PartName="/xl/tables/table417.xml" ContentType="application/vnd.openxmlformats-officedocument.spreadsheetml.table+xml"/>
  <Override PartName="/xl/tables/table418.xml" ContentType="application/vnd.openxmlformats-officedocument.spreadsheetml.table+xml"/>
  <Override PartName="/xl/tables/table419.xml" ContentType="application/vnd.openxmlformats-officedocument.spreadsheetml.table+xml"/>
  <Override PartName="/xl/tables/table420.xml" ContentType="application/vnd.openxmlformats-officedocument.spreadsheetml.table+xml"/>
  <Override PartName="/xl/tables/table421.xml" ContentType="application/vnd.openxmlformats-officedocument.spreadsheetml.table+xml"/>
  <Override PartName="/xl/tables/table422.xml" ContentType="application/vnd.openxmlformats-officedocument.spreadsheetml.table+xml"/>
  <Override PartName="/xl/tables/table423.xml" ContentType="application/vnd.openxmlformats-officedocument.spreadsheetml.table+xml"/>
  <Override PartName="/xl/tables/table424.xml" ContentType="application/vnd.openxmlformats-officedocument.spreadsheetml.table+xml"/>
  <Override PartName="/xl/tables/table425.xml" ContentType="application/vnd.openxmlformats-officedocument.spreadsheetml.table+xml"/>
  <Override PartName="/xl/tables/table426.xml" ContentType="application/vnd.openxmlformats-officedocument.spreadsheetml.table+xml"/>
  <Override PartName="/xl/tables/table427.xml" ContentType="application/vnd.openxmlformats-officedocument.spreadsheetml.table+xml"/>
  <Override PartName="/xl/tables/table428.xml" ContentType="application/vnd.openxmlformats-officedocument.spreadsheetml.table+xml"/>
  <Override PartName="/xl/tables/table429.xml" ContentType="application/vnd.openxmlformats-officedocument.spreadsheetml.table+xml"/>
  <Override PartName="/xl/tables/table430.xml" ContentType="application/vnd.openxmlformats-officedocument.spreadsheetml.table+xml"/>
  <Override PartName="/xl/tables/table431.xml" ContentType="application/vnd.openxmlformats-officedocument.spreadsheetml.table+xml"/>
  <Override PartName="/xl/tables/table432.xml" ContentType="application/vnd.openxmlformats-officedocument.spreadsheetml.table+xml"/>
  <Override PartName="/xl/tables/table433.xml" ContentType="application/vnd.openxmlformats-officedocument.spreadsheetml.table+xml"/>
  <Override PartName="/xl/tables/table434.xml" ContentType="application/vnd.openxmlformats-officedocument.spreadsheetml.table+xml"/>
  <Override PartName="/xl/tables/table435.xml" ContentType="application/vnd.openxmlformats-officedocument.spreadsheetml.table+xml"/>
  <Override PartName="/xl/tables/table436.xml" ContentType="application/vnd.openxmlformats-officedocument.spreadsheetml.table+xml"/>
  <Override PartName="/xl/tables/table437.xml" ContentType="application/vnd.openxmlformats-officedocument.spreadsheetml.table+xml"/>
  <Override PartName="/xl/tables/table438.xml" ContentType="application/vnd.openxmlformats-officedocument.spreadsheetml.table+xml"/>
  <Override PartName="/xl/tables/table439.xml" ContentType="application/vnd.openxmlformats-officedocument.spreadsheetml.table+xml"/>
  <Override PartName="/xl/tables/table440.xml" ContentType="application/vnd.openxmlformats-officedocument.spreadsheetml.table+xml"/>
  <Override PartName="/xl/tables/table441.xml" ContentType="application/vnd.openxmlformats-officedocument.spreadsheetml.table+xml"/>
  <Override PartName="/xl/tables/table442.xml" ContentType="application/vnd.openxmlformats-officedocument.spreadsheetml.table+xml"/>
  <Override PartName="/xl/tables/table443.xml" ContentType="application/vnd.openxmlformats-officedocument.spreadsheetml.table+xml"/>
  <Override PartName="/xl/tables/table444.xml" ContentType="application/vnd.openxmlformats-officedocument.spreadsheetml.table+xml"/>
  <Override PartName="/xl/tables/table445.xml" ContentType="application/vnd.openxmlformats-officedocument.spreadsheetml.table+xml"/>
  <Override PartName="/xl/tables/table446.xml" ContentType="application/vnd.openxmlformats-officedocument.spreadsheetml.table+xml"/>
  <Override PartName="/xl/tables/table447.xml" ContentType="application/vnd.openxmlformats-officedocument.spreadsheetml.table+xml"/>
  <Override PartName="/xl/tables/table448.xml" ContentType="application/vnd.openxmlformats-officedocument.spreadsheetml.table+xml"/>
  <Override PartName="/xl/tables/table449.xml" ContentType="application/vnd.openxmlformats-officedocument.spreadsheetml.table+xml"/>
  <Override PartName="/xl/tables/table450.xml" ContentType="application/vnd.openxmlformats-officedocument.spreadsheetml.table+xml"/>
  <Override PartName="/xl/tables/table451.xml" ContentType="application/vnd.openxmlformats-officedocument.spreadsheetml.table+xml"/>
  <Override PartName="/xl/tables/table452.xml" ContentType="application/vnd.openxmlformats-officedocument.spreadsheetml.table+xml"/>
  <Override PartName="/xl/tables/table453.xml" ContentType="application/vnd.openxmlformats-officedocument.spreadsheetml.table+xml"/>
  <Override PartName="/xl/tables/table454.xml" ContentType="application/vnd.openxmlformats-officedocument.spreadsheetml.table+xml"/>
  <Override PartName="/xl/tables/table455.xml" ContentType="application/vnd.openxmlformats-officedocument.spreadsheetml.table+xml"/>
  <Override PartName="/xl/tables/table456.xml" ContentType="application/vnd.openxmlformats-officedocument.spreadsheetml.table+xml"/>
  <Override PartName="/xl/tables/table457.xml" ContentType="application/vnd.openxmlformats-officedocument.spreadsheetml.table+xml"/>
  <Override PartName="/xl/tables/table458.xml" ContentType="application/vnd.openxmlformats-officedocument.spreadsheetml.table+xml"/>
  <Override PartName="/xl/tables/table459.xml" ContentType="application/vnd.openxmlformats-officedocument.spreadsheetml.table+xml"/>
  <Override PartName="/xl/tables/table460.xml" ContentType="application/vnd.openxmlformats-officedocument.spreadsheetml.table+xml"/>
  <Override PartName="/xl/tables/table461.xml" ContentType="application/vnd.openxmlformats-officedocument.spreadsheetml.table+xml"/>
  <Override PartName="/xl/tables/table462.xml" ContentType="application/vnd.openxmlformats-officedocument.spreadsheetml.table+xml"/>
  <Override PartName="/xl/tables/table463.xml" ContentType="application/vnd.openxmlformats-officedocument.spreadsheetml.table+xml"/>
  <Override PartName="/xl/tables/table464.xml" ContentType="application/vnd.openxmlformats-officedocument.spreadsheetml.table+xml"/>
  <Override PartName="/xl/tables/table465.xml" ContentType="application/vnd.openxmlformats-officedocument.spreadsheetml.table+xml"/>
  <Override PartName="/xl/tables/table466.xml" ContentType="application/vnd.openxmlformats-officedocument.spreadsheetml.table+xml"/>
  <Override PartName="/xl/tables/table467.xml" ContentType="application/vnd.openxmlformats-officedocument.spreadsheetml.table+xml"/>
  <Override PartName="/xl/tables/table468.xml" ContentType="application/vnd.openxmlformats-officedocument.spreadsheetml.table+xml"/>
  <Override PartName="/xl/tables/table469.xml" ContentType="application/vnd.openxmlformats-officedocument.spreadsheetml.table+xml"/>
  <Override PartName="/xl/tables/table470.xml" ContentType="application/vnd.openxmlformats-officedocument.spreadsheetml.table+xml"/>
  <Override PartName="/xl/tables/table471.xml" ContentType="application/vnd.openxmlformats-officedocument.spreadsheetml.table+xml"/>
  <Override PartName="/xl/tables/table472.xml" ContentType="application/vnd.openxmlformats-officedocument.spreadsheetml.table+xml"/>
  <Override PartName="/xl/tables/table473.xml" ContentType="application/vnd.openxmlformats-officedocument.spreadsheetml.table+xml"/>
  <Override PartName="/xl/tables/table474.xml" ContentType="application/vnd.openxmlformats-officedocument.spreadsheetml.table+xml"/>
  <Override PartName="/xl/tables/table475.xml" ContentType="application/vnd.openxmlformats-officedocument.spreadsheetml.table+xml"/>
  <Override PartName="/xl/tables/table476.xml" ContentType="application/vnd.openxmlformats-officedocument.spreadsheetml.table+xml"/>
  <Override PartName="/xl/tables/table477.xml" ContentType="application/vnd.openxmlformats-officedocument.spreadsheetml.table+xml"/>
  <Override PartName="/xl/tables/table478.xml" ContentType="application/vnd.openxmlformats-officedocument.spreadsheetml.table+xml"/>
  <Override PartName="/xl/tables/table479.xml" ContentType="application/vnd.openxmlformats-officedocument.spreadsheetml.table+xml"/>
  <Override PartName="/xl/tables/table480.xml" ContentType="application/vnd.openxmlformats-officedocument.spreadsheetml.table+xml"/>
  <Override PartName="/xl/tables/table481.xml" ContentType="application/vnd.openxmlformats-officedocument.spreadsheetml.table+xml"/>
  <Override PartName="/xl/tables/table482.xml" ContentType="application/vnd.openxmlformats-officedocument.spreadsheetml.table+xml"/>
  <Override PartName="/xl/tables/table483.xml" ContentType="application/vnd.openxmlformats-officedocument.spreadsheetml.table+xml"/>
  <Override PartName="/xl/tables/table484.xml" ContentType="application/vnd.openxmlformats-officedocument.spreadsheetml.table+xml"/>
  <Override PartName="/xl/tables/table485.xml" ContentType="application/vnd.openxmlformats-officedocument.spreadsheetml.table+xml"/>
  <Override PartName="/xl/tables/table486.xml" ContentType="application/vnd.openxmlformats-officedocument.spreadsheetml.table+xml"/>
  <Override PartName="/xl/tables/table487.xml" ContentType="application/vnd.openxmlformats-officedocument.spreadsheetml.table+xml"/>
  <Override PartName="/xl/tables/table488.xml" ContentType="application/vnd.openxmlformats-officedocument.spreadsheetml.table+xml"/>
  <Override PartName="/xl/tables/table489.xml" ContentType="application/vnd.openxmlformats-officedocument.spreadsheetml.table+xml"/>
  <Override PartName="/xl/tables/table490.xml" ContentType="application/vnd.openxmlformats-officedocument.spreadsheetml.table+xml"/>
  <Override PartName="/xl/tables/table491.xml" ContentType="application/vnd.openxmlformats-officedocument.spreadsheetml.table+xml"/>
  <Override PartName="/xl/tables/table492.xml" ContentType="application/vnd.openxmlformats-officedocument.spreadsheetml.table+xml"/>
  <Override PartName="/xl/tables/table493.xml" ContentType="application/vnd.openxmlformats-officedocument.spreadsheetml.table+xml"/>
  <Override PartName="/xl/tables/table494.xml" ContentType="application/vnd.openxmlformats-officedocument.spreadsheetml.table+xml"/>
  <Override PartName="/xl/tables/table495.xml" ContentType="application/vnd.openxmlformats-officedocument.spreadsheetml.table+xml"/>
  <Override PartName="/xl/tables/table496.xml" ContentType="application/vnd.openxmlformats-officedocument.spreadsheetml.table+xml"/>
  <Override PartName="/xl/tables/table497.xml" ContentType="application/vnd.openxmlformats-officedocument.spreadsheetml.table+xml"/>
  <Override PartName="/xl/tables/table498.xml" ContentType="application/vnd.openxmlformats-officedocument.spreadsheetml.table+xml"/>
  <Override PartName="/xl/tables/table499.xml" ContentType="application/vnd.openxmlformats-officedocument.spreadsheetml.table+xml"/>
  <Override PartName="/xl/tables/table500.xml" ContentType="application/vnd.openxmlformats-officedocument.spreadsheetml.table+xml"/>
  <Override PartName="/xl/tables/table501.xml" ContentType="application/vnd.openxmlformats-officedocument.spreadsheetml.table+xml"/>
  <Override PartName="/xl/tables/table502.xml" ContentType="application/vnd.openxmlformats-officedocument.spreadsheetml.table+xml"/>
  <Override PartName="/xl/tables/table503.xml" ContentType="application/vnd.openxmlformats-officedocument.spreadsheetml.table+xml"/>
  <Override PartName="/xl/tables/table504.xml" ContentType="application/vnd.openxmlformats-officedocument.spreadsheetml.table+xml"/>
  <Override PartName="/xl/tables/table505.xml" ContentType="application/vnd.openxmlformats-officedocument.spreadsheetml.table+xml"/>
  <Override PartName="/xl/tables/table506.xml" ContentType="application/vnd.openxmlformats-officedocument.spreadsheetml.table+xml"/>
  <Override PartName="/xl/tables/table507.xml" ContentType="application/vnd.openxmlformats-officedocument.spreadsheetml.table+xml"/>
  <Override PartName="/xl/tables/table508.xml" ContentType="application/vnd.openxmlformats-officedocument.spreadsheetml.table+xml"/>
  <Override PartName="/xl/tables/table509.xml" ContentType="application/vnd.openxmlformats-officedocument.spreadsheetml.table+xml"/>
  <Override PartName="/xl/tables/table510.xml" ContentType="application/vnd.openxmlformats-officedocument.spreadsheetml.table+xml"/>
  <Override PartName="/xl/tables/table511.xml" ContentType="application/vnd.openxmlformats-officedocument.spreadsheetml.table+xml"/>
  <Override PartName="/xl/tables/table512.xml" ContentType="application/vnd.openxmlformats-officedocument.spreadsheetml.table+xml"/>
  <Override PartName="/xl/tables/table513.xml" ContentType="application/vnd.openxmlformats-officedocument.spreadsheetml.table+xml"/>
  <Override PartName="/xl/drawings/drawing1.xml" ContentType="application/vnd.openxmlformats-officedocument.drawing+xml"/>
  <Override PartName="/xl/tables/table514.xml" ContentType="application/vnd.openxmlformats-officedocument.spreadsheetml.table+xml"/>
  <Override PartName="/xl/tables/table515.xml" ContentType="application/vnd.openxmlformats-officedocument.spreadsheetml.table+xml"/>
  <Override PartName="/xl/tables/table516.xml" ContentType="application/vnd.openxmlformats-officedocument.spreadsheetml.table+xml"/>
  <Override PartName="/xl/tables/table517.xml" ContentType="application/vnd.openxmlformats-officedocument.spreadsheetml.table+xml"/>
  <Override PartName="/xl/tables/table518.xml" ContentType="application/vnd.openxmlformats-officedocument.spreadsheetml.table+xml"/>
  <Override PartName="/xl/tables/table519.xml" ContentType="application/vnd.openxmlformats-officedocument.spreadsheetml.table+xml"/>
  <Override PartName="/xl/tables/table520.xml" ContentType="application/vnd.openxmlformats-officedocument.spreadsheetml.table+xml"/>
  <Override PartName="/xl/tables/table521.xml" ContentType="application/vnd.openxmlformats-officedocument.spreadsheetml.table+xml"/>
  <Override PartName="/xl/tables/table522.xml" ContentType="application/vnd.openxmlformats-officedocument.spreadsheetml.table+xml"/>
  <Override PartName="/xl/tables/table523.xml" ContentType="application/vnd.openxmlformats-officedocument.spreadsheetml.table+xml"/>
  <Override PartName="/xl/drawings/drawing2.xml" ContentType="application/vnd.openxmlformats-officedocument.drawing+xml"/>
  <Override PartName="/xl/tables/table524.xml" ContentType="application/vnd.openxmlformats-officedocument.spreadsheetml.table+xml"/>
  <Override PartName="/xl/tables/table525.xml" ContentType="application/vnd.openxmlformats-officedocument.spreadsheetml.table+xml"/>
  <Override PartName="/xl/tables/table526.xml" ContentType="application/vnd.openxmlformats-officedocument.spreadsheetml.table+xml"/>
  <Override PartName="/xl/tables/table527.xml" ContentType="application/vnd.openxmlformats-officedocument.spreadsheetml.table+xml"/>
  <Override PartName="/xl/tables/table528.xml" ContentType="application/vnd.openxmlformats-officedocument.spreadsheetml.table+xml"/>
  <Override PartName="/xl/tables/table529.xml" ContentType="application/vnd.openxmlformats-officedocument.spreadsheetml.table+xml"/>
  <Override PartName="/xl/tables/table530.xml" ContentType="application/vnd.openxmlformats-officedocument.spreadsheetml.table+xml"/>
  <Override PartName="/xl/tables/table531.xml" ContentType="application/vnd.openxmlformats-officedocument.spreadsheetml.table+xml"/>
  <Override PartName="/xl/tables/table532.xml" ContentType="application/vnd.openxmlformats-officedocument.spreadsheetml.table+xml"/>
  <Override PartName="/xl/tables/table533.xml" ContentType="application/vnd.openxmlformats-officedocument.spreadsheetml.table+xml"/>
  <Override PartName="/xl/drawings/drawing3.xml" ContentType="application/vnd.openxmlformats-officedocument.drawing+xml"/>
  <Override PartName="/xl/tables/table534.xml" ContentType="application/vnd.openxmlformats-officedocument.spreadsheetml.table+xml"/>
  <Override PartName="/xl/tables/table535.xml" ContentType="application/vnd.openxmlformats-officedocument.spreadsheetml.table+xml"/>
  <Override PartName="/xl/tables/table536.xml" ContentType="application/vnd.openxmlformats-officedocument.spreadsheetml.table+xml"/>
  <Override PartName="/xl/tables/table537.xml" ContentType="application/vnd.openxmlformats-officedocument.spreadsheetml.table+xml"/>
  <Override PartName="/xl/tables/table538.xml" ContentType="application/vnd.openxmlformats-officedocument.spreadsheetml.table+xml"/>
  <Override PartName="/xl/tables/table539.xml" ContentType="application/vnd.openxmlformats-officedocument.spreadsheetml.table+xml"/>
  <Override PartName="/xl/tables/table540.xml" ContentType="application/vnd.openxmlformats-officedocument.spreadsheetml.table+xml"/>
  <Override PartName="/xl/tables/table541.xml" ContentType="application/vnd.openxmlformats-officedocument.spreadsheetml.table+xml"/>
  <Override PartName="/xl/tables/table542.xml" ContentType="application/vnd.openxmlformats-officedocument.spreadsheetml.table+xml"/>
  <Override PartName="/xl/tables/table543.xml" ContentType="application/vnd.openxmlformats-officedocument.spreadsheetml.table+xml"/>
  <Override PartName="/xl/drawings/drawing4.xml" ContentType="application/vnd.openxmlformats-officedocument.drawing+xml"/>
  <Override PartName="/xl/tables/table544.xml" ContentType="application/vnd.openxmlformats-officedocument.spreadsheetml.table+xml"/>
  <Override PartName="/xl/tables/table545.xml" ContentType="application/vnd.openxmlformats-officedocument.spreadsheetml.table+xml"/>
  <Override PartName="/xl/tables/table546.xml" ContentType="application/vnd.openxmlformats-officedocument.spreadsheetml.table+xml"/>
  <Override PartName="/xl/tables/table547.xml" ContentType="application/vnd.openxmlformats-officedocument.spreadsheetml.table+xml"/>
  <Override PartName="/xl/tables/table548.xml" ContentType="application/vnd.openxmlformats-officedocument.spreadsheetml.table+xml"/>
  <Override PartName="/xl/tables/table549.xml" ContentType="application/vnd.openxmlformats-officedocument.spreadsheetml.table+xml"/>
  <Override PartName="/xl/tables/table550.xml" ContentType="application/vnd.openxmlformats-officedocument.spreadsheetml.table+xml"/>
  <Override PartName="/xl/tables/table551.xml" ContentType="application/vnd.openxmlformats-officedocument.spreadsheetml.table+xml"/>
  <Override PartName="/xl/tables/table552.xml" ContentType="application/vnd.openxmlformats-officedocument.spreadsheetml.table+xml"/>
  <Override PartName="/xl/tables/table553.xml" ContentType="application/vnd.openxmlformats-officedocument.spreadsheetml.table+xml"/>
  <Override PartName="/xl/tables/table554.xml" ContentType="application/vnd.openxmlformats-officedocument.spreadsheetml.table+xml"/>
  <Override PartName="/xl/tables/table555.xml" ContentType="application/vnd.openxmlformats-officedocument.spreadsheetml.table+xml"/>
  <Override PartName="/xl/tables/table556.xml" ContentType="application/vnd.openxmlformats-officedocument.spreadsheetml.table+xml"/>
  <Override PartName="/xl/tables/table557.xml" ContentType="application/vnd.openxmlformats-officedocument.spreadsheetml.table+xml"/>
  <Override PartName="/xl/tables/table558.xml" ContentType="application/vnd.openxmlformats-officedocument.spreadsheetml.table+xml"/>
  <Override PartName="/xl/tables/table559.xml" ContentType="application/vnd.openxmlformats-officedocument.spreadsheetml.table+xml"/>
  <Override PartName="/xl/tables/table560.xml" ContentType="application/vnd.openxmlformats-officedocument.spreadsheetml.table+xml"/>
  <Override PartName="/xl/tables/table561.xml" ContentType="application/vnd.openxmlformats-officedocument.spreadsheetml.table+xml"/>
  <Override PartName="/xl/tables/table562.xml" ContentType="application/vnd.openxmlformats-officedocument.spreadsheetml.table+xml"/>
  <Override PartName="/xl/tables/table563.xml" ContentType="application/vnd.openxmlformats-officedocument.spreadsheetml.table+xml"/>
  <Override PartName="/xl/tables/table564.xml" ContentType="application/vnd.openxmlformats-officedocument.spreadsheetml.table+xml"/>
  <Override PartName="/xl/tables/table565.xml" ContentType="application/vnd.openxmlformats-officedocument.spreadsheetml.table+xml"/>
  <Override PartName="/xl/tables/table566.xml" ContentType="application/vnd.openxmlformats-officedocument.spreadsheetml.table+xml"/>
  <Override PartName="/xl/tables/table567.xml" ContentType="application/vnd.openxmlformats-officedocument.spreadsheetml.table+xml"/>
  <Override PartName="/xl/tables/table568.xml" ContentType="application/vnd.openxmlformats-officedocument.spreadsheetml.table+xml"/>
  <Override PartName="/xl/tables/table569.xml" ContentType="application/vnd.openxmlformats-officedocument.spreadsheetml.table+xml"/>
  <Override PartName="/xl/tables/table570.xml" ContentType="application/vnd.openxmlformats-officedocument.spreadsheetml.table+xml"/>
  <Override PartName="/xl/tables/table571.xml" ContentType="application/vnd.openxmlformats-officedocument.spreadsheetml.table+xml"/>
  <Override PartName="/xl/tables/table572.xml" ContentType="application/vnd.openxmlformats-officedocument.spreadsheetml.table+xml"/>
  <Override PartName="/xl/tables/table57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1_{EEEF05C3-6AF2-4A9F-BA92-E4D3F0FA5874}" xr6:coauthVersionLast="47" xr6:coauthVersionMax="47" xr10:uidLastSave="{00000000-0000-0000-0000-000000000000}"/>
  <bookViews>
    <workbookView xWindow="30612" yWindow="-108" windowWidth="30936" windowHeight="17016" activeTab="1" xr2:uid="{00000000-000D-0000-FFFF-FFFF00000000}"/>
  </bookViews>
  <sheets>
    <sheet name="Lists" sheetId="1" r:id="rId1"/>
    <sheet name="House R m UC 2 Aelon 2242026" sheetId="2" r:id="rId2"/>
    <sheet name="House R m UC Aden 1 2242026" sheetId="3" r:id="rId3"/>
    <sheet name="House R v HR aelon 2 2182026" sheetId="4" r:id="rId4"/>
    <sheet name="House R v HR moro 1 2182026" sheetId="5" r:id="rId5"/>
    <sheet name="BR m Unhinged Pakilo 2 2172026" sheetId="6" r:id="rId6"/>
    <sheet name="BR m Unhinged Kowa 1 2172026" sheetId="7" r:id="rId7"/>
    <sheet name="BR v Highly Regarded 2 Cherno 2" sheetId="8" r:id="rId8"/>
    <sheet name="BR v Highly Regarded 1 Talus 21" sheetId="9" r:id="rId9"/>
    <sheet name="BR m Undercooked Aden 2 2112026" sheetId="10" r:id="rId10"/>
    <sheet name="BR m Undercooked Talus 1 211202" sheetId="11" r:id="rId11"/>
    <sheet name="BR v HR Diagon 2 242026" sheetId="12" r:id="rId12"/>
    <sheet name="BR v HR Morokai 242026" sheetId="13" r:id="rId13"/>
    <sheet name="BR v HR Adentus 1 212026" sheetId="14" r:id="rId14"/>
    <sheet name="BR m Unhinged Adentus 1272026" sheetId="15" r:id="rId15"/>
    <sheet name="BR v HR 2 Moro 1262026" sheetId="16" r:id="rId16"/>
    <sheet name="BR v HR 1 Talus 1262026" sheetId="17" r:id="rId17"/>
    <sheet name="BR v HR Ahz 1252026" sheetId="18" r:id="rId18"/>
    <sheet name="FTP v Unhinged Ahz 1142026" sheetId="19" r:id="rId19"/>
    <sheet name="FTP m Undercooked 162026 Aden" sheetId="20" r:id="rId20"/>
    <sheet name="FTP m Undercooked 162026 Cherno" sheetId="21" r:id="rId21"/>
    <sheet name="FTP vs Gravity 11122025" sheetId="22" r:id="rId22"/>
    <sheet name="FTP vs Unhinged Ahz 11112025" sheetId="23" r:id="rId23"/>
    <sheet name="FTP vs Cursed Moro 11102025" sheetId="24" r:id="rId24"/>
    <sheet name="FTP vs Gravity | Ahz | 110525" sheetId="25" r:id="rId25"/>
    <sheet name="FTP vs Gravity | Talus | 110525" sheetId="26" r:id="rId26"/>
    <sheet name="FTP vs Wolves | Kowa | 102925" sheetId="27" r:id="rId27"/>
    <sheet name="FTP vs Wolves | Ahzreil | 10292" sheetId="28" r:id="rId28"/>
    <sheet name="FTP vs Infamy| Ahzreil | 102225" sheetId="29" r:id="rId29"/>
    <sheet name="FTP vs Infamy| Aelon | 102225" sheetId="30" r:id="rId30"/>
    <sheet name="FTP vs Wolves | Adentus | 10212" sheetId="31" r:id="rId31"/>
    <sheet name="FTP vs Wolves | Morokai | 10212" sheetId="32" r:id="rId32"/>
    <sheet name="FTP vs Dwagon | Paki | 101525" sheetId="33" r:id="rId33"/>
    <sheet name="FTP vs Dwagon | Adentus | 10152" sheetId="34" r:id="rId34"/>
    <sheet name="FTP vs Infwamy | Adentus | 1001" sheetId="35" r:id="rId35"/>
    <sheet name="FTP vs Infwamy | Azh | 100125" sheetId="36" r:id="rId36"/>
    <sheet name="FTP vs Blank | Morokai | 093025" sheetId="37" r:id="rId37"/>
    <sheet name="FTP vs Blank | Talus | 093025" sheetId="38" r:id="rId38"/>
    <sheet name="FTP vs Blank | Kowa | 092125" sheetId="39" r:id="rId39"/>
    <sheet name="FTP vs Blank | Azh | 092125" sheetId="40" r:id="rId40"/>
    <sheet name="FTP vs Wolves | Talus | 091525" sheetId="41" r:id="rId41"/>
    <sheet name="FTP vs Wolves | Kowa | 091525" sheetId="42" r:id="rId42"/>
    <sheet name="FTP vs Sp00ky | Talus | 091025" sheetId="43" r:id="rId43"/>
    <sheet name="FTP vs Sp00ky | Cherno | 091025"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3" i="44" l="1"/>
  <c r="C103" i="44"/>
  <c r="B103" i="44" s="1"/>
  <c r="I102" i="44"/>
  <c r="C102" i="44"/>
  <c r="B102" i="44" s="1"/>
  <c r="I101" i="44"/>
  <c r="C101" i="44"/>
  <c r="B101" i="44" s="1"/>
  <c r="I100" i="44"/>
  <c r="C100" i="44"/>
  <c r="B100" i="44" s="1"/>
  <c r="I99" i="44"/>
  <c r="C99" i="44"/>
  <c r="B99" i="44" s="1"/>
  <c r="I98" i="44"/>
  <c r="C98" i="44"/>
  <c r="B98" i="44" s="1"/>
  <c r="Z26" i="44"/>
  <c r="Y26" i="44"/>
  <c r="W26" i="44"/>
  <c r="V26" i="44"/>
  <c r="Z25" i="44"/>
  <c r="Y25" i="44"/>
  <c r="W25" i="44"/>
  <c r="V25" i="44"/>
  <c r="Z24" i="44"/>
  <c r="Y24" i="44"/>
  <c r="W24" i="44"/>
  <c r="V24" i="44"/>
  <c r="Z23" i="44"/>
  <c r="Y23" i="44"/>
  <c r="W23" i="44"/>
  <c r="V23" i="44"/>
  <c r="Z22" i="44"/>
  <c r="Y22" i="44"/>
  <c r="W22" i="44"/>
  <c r="V22" i="44"/>
  <c r="Z21" i="44"/>
  <c r="Y21" i="44"/>
  <c r="W21" i="44"/>
  <c r="V21" i="44"/>
  <c r="Z20" i="44"/>
  <c r="Y20" i="44"/>
  <c r="W20" i="44"/>
  <c r="V20" i="44"/>
  <c r="Z19" i="44"/>
  <c r="Y19" i="44"/>
  <c r="W19" i="44"/>
  <c r="V19" i="44"/>
  <c r="Z18" i="44"/>
  <c r="Y18" i="44"/>
  <c r="W18" i="44"/>
  <c r="V18" i="44"/>
  <c r="Z17" i="44"/>
  <c r="Y17" i="44"/>
  <c r="W17" i="44"/>
  <c r="V17" i="44"/>
  <c r="Z13" i="44"/>
  <c r="Y13" i="44"/>
  <c r="W13" i="44"/>
  <c r="V13" i="44"/>
  <c r="T13" i="44"/>
  <c r="S13" i="44"/>
  <c r="Z12" i="44"/>
  <c r="Y12" i="44"/>
  <c r="W12" i="44"/>
  <c r="V12" i="44"/>
  <c r="T12" i="44"/>
  <c r="S12" i="44"/>
  <c r="Z11" i="44"/>
  <c r="Y11" i="44"/>
  <c r="W11" i="44"/>
  <c r="V11" i="44"/>
  <c r="T11" i="44"/>
  <c r="S11" i="44"/>
  <c r="Z10" i="44"/>
  <c r="Y10" i="44"/>
  <c r="W10" i="44"/>
  <c r="V10" i="44"/>
  <c r="T10" i="44"/>
  <c r="S10" i="44"/>
  <c r="Z9" i="44"/>
  <c r="Y9" i="44"/>
  <c r="W9" i="44"/>
  <c r="V9" i="44"/>
  <c r="T9" i="44"/>
  <c r="S9" i="44"/>
  <c r="Z8" i="44"/>
  <c r="Y8" i="44"/>
  <c r="W8" i="44"/>
  <c r="V8" i="44"/>
  <c r="T8" i="44"/>
  <c r="S8" i="44"/>
  <c r="Z7" i="44"/>
  <c r="Y7" i="44"/>
  <c r="W7" i="44"/>
  <c r="V7" i="44"/>
  <c r="Z6" i="44"/>
  <c r="Y6" i="44"/>
  <c r="W6" i="44"/>
  <c r="V6" i="44"/>
  <c r="Z5" i="44"/>
  <c r="Y5" i="44"/>
  <c r="W5" i="44"/>
  <c r="V5" i="44"/>
  <c r="Z4" i="44"/>
  <c r="Y4" i="44"/>
  <c r="W4" i="44"/>
  <c r="V4" i="44"/>
  <c r="I103" i="43"/>
  <c r="C103" i="43"/>
  <c r="B103" i="43"/>
  <c r="I102" i="43"/>
  <c r="C102" i="43"/>
  <c r="B102" i="43" s="1"/>
  <c r="I101" i="43"/>
  <c r="C101" i="43"/>
  <c r="B101" i="43" s="1"/>
  <c r="I100" i="43"/>
  <c r="C100" i="43"/>
  <c r="B100" i="43"/>
  <c r="I99" i="43"/>
  <c r="C99" i="43"/>
  <c r="B99" i="43"/>
  <c r="I98" i="43"/>
  <c r="C98" i="43"/>
  <c r="B98" i="43" s="1"/>
  <c r="I97" i="43"/>
  <c r="C97" i="43"/>
  <c r="B97" i="43" s="1"/>
  <c r="I96" i="43"/>
  <c r="C96" i="43"/>
  <c r="B96" i="43"/>
  <c r="I95" i="43"/>
  <c r="C95" i="43"/>
  <c r="B95" i="43"/>
  <c r="I94" i="43"/>
  <c r="C94" i="43"/>
  <c r="B94" i="43" s="1"/>
  <c r="I93" i="43"/>
  <c r="C93" i="43"/>
  <c r="B93" i="43" s="1"/>
  <c r="I92" i="43"/>
  <c r="C92" i="43"/>
  <c r="B92" i="43"/>
  <c r="I91" i="43"/>
  <c r="C91" i="43"/>
  <c r="B91" i="43"/>
  <c r="I90" i="43"/>
  <c r="C90" i="43"/>
  <c r="B90" i="43" s="1"/>
  <c r="I89" i="43"/>
  <c r="C89" i="43"/>
  <c r="B89" i="43" s="1"/>
  <c r="I88" i="43"/>
  <c r="C88" i="43"/>
  <c r="B88" i="43"/>
  <c r="I87" i="43"/>
  <c r="C87" i="43"/>
  <c r="B87" i="43" s="1"/>
  <c r="I86" i="43"/>
  <c r="C86" i="43"/>
  <c r="B86" i="43" s="1"/>
  <c r="I85" i="43"/>
  <c r="C85" i="43"/>
  <c r="B85" i="43" s="1"/>
  <c r="I84" i="43"/>
  <c r="C84" i="43"/>
  <c r="B84" i="43"/>
  <c r="I83" i="43"/>
  <c r="C83" i="43"/>
  <c r="B83" i="43" s="1"/>
  <c r="I82" i="43"/>
  <c r="C82" i="43"/>
  <c r="B82" i="43" s="1"/>
  <c r="I81" i="43"/>
  <c r="C81" i="43"/>
  <c r="B81" i="43" s="1"/>
  <c r="I80" i="43"/>
  <c r="C80" i="43"/>
  <c r="B80" i="43"/>
  <c r="I79" i="43"/>
  <c r="C79" i="43"/>
  <c r="B79" i="43" s="1"/>
  <c r="I78" i="43"/>
  <c r="C78" i="43"/>
  <c r="B78" i="43" s="1"/>
  <c r="Z26" i="43"/>
  <c r="Y26" i="43"/>
  <c r="W26" i="43"/>
  <c r="V26" i="43"/>
  <c r="Z25" i="43"/>
  <c r="Y25" i="43"/>
  <c r="W25" i="43"/>
  <c r="V25" i="43"/>
  <c r="Z24" i="43"/>
  <c r="Y24" i="43"/>
  <c r="W24" i="43"/>
  <c r="V24" i="43"/>
  <c r="Z23" i="43"/>
  <c r="Y23" i="43"/>
  <c r="W23" i="43"/>
  <c r="V23" i="43"/>
  <c r="Z22" i="43"/>
  <c r="Y22" i="43"/>
  <c r="W22" i="43"/>
  <c r="V22" i="43"/>
  <c r="Z21" i="43"/>
  <c r="Y21" i="43"/>
  <c r="W21" i="43"/>
  <c r="V21" i="43"/>
  <c r="Z20" i="43"/>
  <c r="Y20" i="43"/>
  <c r="W20" i="43"/>
  <c r="V20" i="43"/>
  <c r="Z19" i="43"/>
  <c r="Y19" i="43"/>
  <c r="W19" i="43"/>
  <c r="V19" i="43"/>
  <c r="Z18" i="43"/>
  <c r="Y18" i="43"/>
  <c r="W18" i="43"/>
  <c r="V18" i="43"/>
  <c r="Z17" i="43"/>
  <c r="Y17" i="43"/>
  <c r="W17" i="43"/>
  <c r="V17" i="43"/>
  <c r="Z13" i="43"/>
  <c r="Y13" i="43"/>
  <c r="W13" i="43"/>
  <c r="V13" i="43"/>
  <c r="T13" i="43"/>
  <c r="S13" i="43"/>
  <c r="Z12" i="43"/>
  <c r="Y12" i="43"/>
  <c r="W12" i="43"/>
  <c r="V12" i="43"/>
  <c r="T12" i="43"/>
  <c r="S12" i="43"/>
  <c r="Z11" i="43"/>
  <c r="Y11" i="43"/>
  <c r="W11" i="43"/>
  <c r="V11" i="43"/>
  <c r="T11" i="43"/>
  <c r="S11" i="43"/>
  <c r="Z10" i="43"/>
  <c r="Y10" i="43"/>
  <c r="W10" i="43"/>
  <c r="V10" i="43"/>
  <c r="T10" i="43"/>
  <c r="S10" i="43"/>
  <c r="Z9" i="43"/>
  <c r="Y9" i="43"/>
  <c r="W9" i="43"/>
  <c r="V9" i="43"/>
  <c r="T9" i="43"/>
  <c r="S9" i="43"/>
  <c r="Z8" i="43"/>
  <c r="Y8" i="43"/>
  <c r="W8" i="43"/>
  <c r="V8" i="43"/>
  <c r="T8" i="43"/>
  <c r="S8" i="43"/>
  <c r="Z7" i="43"/>
  <c r="Y7" i="43"/>
  <c r="W7" i="43"/>
  <c r="V7" i="43"/>
  <c r="Z6" i="43"/>
  <c r="Y6" i="43"/>
  <c r="W6" i="43"/>
  <c r="V6" i="43"/>
  <c r="Z5" i="43"/>
  <c r="Y5" i="43"/>
  <c r="W5" i="43"/>
  <c r="V5" i="43"/>
  <c r="Z4" i="43"/>
  <c r="Y4" i="43"/>
  <c r="W4" i="43"/>
  <c r="V4" i="43"/>
  <c r="I104" i="42"/>
  <c r="C104" i="42"/>
  <c r="B104" i="42"/>
  <c r="I103" i="42"/>
  <c r="C103" i="42"/>
  <c r="B103" i="42"/>
  <c r="I102" i="42"/>
  <c r="C102" i="42"/>
  <c r="B102" i="42"/>
  <c r="I101" i="42"/>
  <c r="C101" i="42"/>
  <c r="B101" i="42"/>
  <c r="I100" i="42"/>
  <c r="C100" i="42"/>
  <c r="B100" i="42"/>
  <c r="I99" i="42"/>
  <c r="C99" i="42"/>
  <c r="B99" i="42"/>
  <c r="T45" i="42" s="1"/>
  <c r="I98" i="42"/>
  <c r="B98" i="42"/>
  <c r="T44" i="42" s="1"/>
  <c r="S41" i="42"/>
  <c r="S29" i="42"/>
  <c r="Z26" i="42"/>
  <c r="Y26" i="42"/>
  <c r="W26" i="42"/>
  <c r="V26" i="42"/>
  <c r="Z25" i="42"/>
  <c r="Y25" i="42"/>
  <c r="W25" i="42"/>
  <c r="V25" i="42"/>
  <c r="Z24" i="42"/>
  <c r="Y24" i="42"/>
  <c r="W24" i="42"/>
  <c r="V24" i="42"/>
  <c r="Z23" i="42"/>
  <c r="Y23" i="42"/>
  <c r="W23" i="42"/>
  <c r="V23" i="42"/>
  <c r="Z22" i="42"/>
  <c r="Y22" i="42"/>
  <c r="W22" i="42"/>
  <c r="V22" i="42"/>
  <c r="Z21" i="42"/>
  <c r="Y21" i="42"/>
  <c r="W21" i="42"/>
  <c r="V21" i="42"/>
  <c r="Z20" i="42"/>
  <c r="Y20" i="42"/>
  <c r="W20" i="42"/>
  <c r="V20" i="42"/>
  <c r="Z19" i="42"/>
  <c r="Y19" i="42"/>
  <c r="W19" i="42"/>
  <c r="V19" i="42"/>
  <c r="Z18" i="42"/>
  <c r="Y18" i="42"/>
  <c r="W18" i="42"/>
  <c r="V18" i="42"/>
  <c r="Z17" i="42"/>
  <c r="Y17" i="42"/>
  <c r="W17" i="42"/>
  <c r="V17" i="42"/>
  <c r="Z13" i="42"/>
  <c r="Y13" i="42"/>
  <c r="W13" i="42"/>
  <c r="V13" i="42"/>
  <c r="T13" i="42"/>
  <c r="S13" i="42"/>
  <c r="Z12" i="42"/>
  <c r="Y12" i="42"/>
  <c r="W12" i="42"/>
  <c r="V12" i="42"/>
  <c r="T12" i="42"/>
  <c r="S12" i="42"/>
  <c r="Z11" i="42"/>
  <c r="Y11" i="42"/>
  <c r="W11" i="42"/>
  <c r="V11" i="42"/>
  <c r="T11" i="42"/>
  <c r="S11" i="42"/>
  <c r="Z10" i="42"/>
  <c r="Y10" i="42"/>
  <c r="W10" i="42"/>
  <c r="V10" i="42"/>
  <c r="T10" i="42"/>
  <c r="S10" i="42"/>
  <c r="Z9" i="42"/>
  <c r="Y9" i="42"/>
  <c r="W9" i="42"/>
  <c r="V9" i="42"/>
  <c r="T9" i="42"/>
  <c r="S9" i="42"/>
  <c r="Z8" i="42"/>
  <c r="Y8" i="42"/>
  <c r="W8" i="42"/>
  <c r="V8" i="42"/>
  <c r="T8" i="42"/>
  <c r="S8" i="42"/>
  <c r="Z7" i="42"/>
  <c r="Y7" i="42"/>
  <c r="W7" i="42"/>
  <c r="V7" i="42"/>
  <c r="Z6" i="42"/>
  <c r="Y6" i="42"/>
  <c r="W6" i="42"/>
  <c r="V6" i="42"/>
  <c r="Z5" i="42"/>
  <c r="Y5" i="42"/>
  <c r="W5" i="42"/>
  <c r="V5" i="42"/>
  <c r="Z4" i="42"/>
  <c r="Y4" i="42"/>
  <c r="W4" i="42"/>
  <c r="V4" i="42"/>
  <c r="I103" i="41"/>
  <c r="C103" i="41"/>
  <c r="B103" i="41" s="1"/>
  <c r="I102" i="41"/>
  <c r="C102" i="41"/>
  <c r="B102" i="41"/>
  <c r="I101" i="41"/>
  <c r="C101" i="41"/>
  <c r="B101" i="41" s="1"/>
  <c r="I100" i="41"/>
  <c r="C100" i="41"/>
  <c r="B100" i="41" s="1"/>
  <c r="I99" i="41"/>
  <c r="C99" i="41"/>
  <c r="B99" i="41" s="1"/>
  <c r="I98" i="41"/>
  <c r="C98" i="41"/>
  <c r="B98" i="41" s="1"/>
  <c r="Z26" i="41"/>
  <c r="Y26" i="41"/>
  <c r="W26" i="41"/>
  <c r="V26" i="41"/>
  <c r="Z25" i="41"/>
  <c r="Y25" i="41"/>
  <c r="W25" i="41"/>
  <c r="V25" i="41"/>
  <c r="Z24" i="41"/>
  <c r="Y24" i="41"/>
  <c r="W24" i="41"/>
  <c r="V24" i="41"/>
  <c r="Z23" i="41"/>
  <c r="Y23" i="41"/>
  <c r="W23" i="41"/>
  <c r="V23" i="41"/>
  <c r="Z22" i="41"/>
  <c r="Y22" i="41"/>
  <c r="W22" i="41"/>
  <c r="V22" i="41"/>
  <c r="Z21" i="41"/>
  <c r="Y21" i="41"/>
  <c r="W21" i="41"/>
  <c r="V21" i="41"/>
  <c r="Z20" i="41"/>
  <c r="Y20" i="41"/>
  <c r="W20" i="41"/>
  <c r="V20" i="41"/>
  <c r="Z19" i="41"/>
  <c r="Y19" i="41"/>
  <c r="W19" i="41"/>
  <c r="V19" i="41"/>
  <c r="Z18" i="41"/>
  <c r="Y18" i="41"/>
  <c r="W18" i="41"/>
  <c r="V18" i="41"/>
  <c r="Z17" i="41"/>
  <c r="Y17" i="41"/>
  <c r="W17" i="41"/>
  <c r="V17" i="41"/>
  <c r="Z13" i="41"/>
  <c r="Y13" i="41"/>
  <c r="W13" i="41"/>
  <c r="V13" i="41"/>
  <c r="T13" i="41"/>
  <c r="S13" i="41"/>
  <c r="Z12" i="41"/>
  <c r="Y12" i="41"/>
  <c r="W12" i="41"/>
  <c r="V12" i="41"/>
  <c r="T12" i="41"/>
  <c r="S12" i="41"/>
  <c r="Z11" i="41"/>
  <c r="Y11" i="41"/>
  <c r="W11" i="41"/>
  <c r="V11" i="41"/>
  <c r="T11" i="41"/>
  <c r="S11" i="41"/>
  <c r="Z10" i="41"/>
  <c r="Y10" i="41"/>
  <c r="W10" i="41"/>
  <c r="V10" i="41"/>
  <c r="T10" i="41"/>
  <c r="S10" i="41"/>
  <c r="Z9" i="41"/>
  <c r="Y9" i="41"/>
  <c r="W9" i="41"/>
  <c r="V9" i="41"/>
  <c r="T9" i="41"/>
  <c r="S9" i="41"/>
  <c r="Z8" i="41"/>
  <c r="Y8" i="41"/>
  <c r="W8" i="41"/>
  <c r="V8" i="41"/>
  <c r="T8" i="41"/>
  <c r="S8" i="41"/>
  <c r="Z7" i="41"/>
  <c r="Y7" i="41"/>
  <c r="W7" i="41"/>
  <c r="V7" i="41"/>
  <c r="Z6" i="41"/>
  <c r="Y6" i="41"/>
  <c r="W6" i="41"/>
  <c r="V6" i="41"/>
  <c r="Z5" i="41"/>
  <c r="Y5" i="41"/>
  <c r="W5" i="41"/>
  <c r="V5" i="41"/>
  <c r="Z4" i="41"/>
  <c r="Y4" i="41"/>
  <c r="W4" i="41"/>
  <c r="V4" i="41"/>
  <c r="I103" i="40"/>
  <c r="C103" i="40"/>
  <c r="B103" i="40"/>
  <c r="I102" i="40"/>
  <c r="C102" i="40"/>
  <c r="B102" i="40"/>
  <c r="I101" i="40"/>
  <c r="C101" i="40"/>
  <c r="B101" i="40"/>
  <c r="I100" i="40"/>
  <c r="C100" i="40"/>
  <c r="B100" i="40"/>
  <c r="S37" i="40" s="1"/>
  <c r="I99" i="40"/>
  <c r="C99" i="40"/>
  <c r="B99" i="40"/>
  <c r="I98" i="40"/>
  <c r="C98" i="40"/>
  <c r="B98" i="40"/>
  <c r="T41" i="40" s="1"/>
  <c r="S43" i="40"/>
  <c r="S34" i="40"/>
  <c r="Z26" i="40"/>
  <c r="Y26" i="40"/>
  <c r="W26" i="40"/>
  <c r="V26" i="40"/>
  <c r="Z25" i="40"/>
  <c r="Y25" i="40"/>
  <c r="W25" i="40"/>
  <c r="V25" i="40"/>
  <c r="Z24" i="40"/>
  <c r="Y24" i="40"/>
  <c r="W24" i="40"/>
  <c r="V24" i="40"/>
  <c r="Z23" i="40"/>
  <c r="Y23" i="40"/>
  <c r="W23" i="40"/>
  <c r="V23" i="40"/>
  <c r="Z22" i="40"/>
  <c r="Y22" i="40"/>
  <c r="W22" i="40"/>
  <c r="V22" i="40"/>
  <c r="Z21" i="40"/>
  <c r="Y21" i="40"/>
  <c r="W21" i="40"/>
  <c r="V21" i="40"/>
  <c r="Z20" i="40"/>
  <c r="Y20" i="40"/>
  <c r="W20" i="40"/>
  <c r="V20" i="40"/>
  <c r="Z19" i="40"/>
  <c r="Y19" i="40"/>
  <c r="W19" i="40"/>
  <c r="V19" i="40"/>
  <c r="Z18" i="40"/>
  <c r="Y18" i="40"/>
  <c r="W18" i="40"/>
  <c r="V18" i="40"/>
  <c r="Z17" i="40"/>
  <c r="Y17" i="40"/>
  <c r="W17" i="40"/>
  <c r="V17" i="40"/>
  <c r="Z13" i="40"/>
  <c r="Y13" i="40"/>
  <c r="W13" i="40"/>
  <c r="V13" i="40"/>
  <c r="T13" i="40"/>
  <c r="S13" i="40"/>
  <c r="Z12" i="40"/>
  <c r="Y12" i="40"/>
  <c r="W12" i="40"/>
  <c r="V12" i="40"/>
  <c r="T12" i="40"/>
  <c r="S12" i="40"/>
  <c r="Z11" i="40"/>
  <c r="Y11" i="40"/>
  <c r="W11" i="40"/>
  <c r="V11" i="40"/>
  <c r="T11" i="40"/>
  <c r="S11" i="40"/>
  <c r="Z10" i="40"/>
  <c r="Y10" i="40"/>
  <c r="W10" i="40"/>
  <c r="V10" i="40"/>
  <c r="T10" i="40"/>
  <c r="S10" i="40"/>
  <c r="Z9" i="40"/>
  <c r="Y9" i="40"/>
  <c r="W9" i="40"/>
  <c r="V9" i="40"/>
  <c r="T9" i="40"/>
  <c r="S9" i="40"/>
  <c r="Z8" i="40"/>
  <c r="Y8" i="40"/>
  <c r="W8" i="40"/>
  <c r="V8" i="40"/>
  <c r="T8" i="40"/>
  <c r="S8" i="40"/>
  <c r="Z7" i="40"/>
  <c r="Y7" i="40"/>
  <c r="W7" i="40"/>
  <c r="V7" i="40"/>
  <c r="Z6" i="40"/>
  <c r="Y6" i="40"/>
  <c r="W6" i="40"/>
  <c r="V6" i="40"/>
  <c r="Z5" i="40"/>
  <c r="Y5" i="40"/>
  <c r="W5" i="40"/>
  <c r="V5" i="40"/>
  <c r="Z4" i="40"/>
  <c r="Y4" i="40"/>
  <c r="W4" i="40"/>
  <c r="V4" i="40"/>
  <c r="P103" i="39"/>
  <c r="O103" i="39"/>
  <c r="N103" i="39"/>
  <c r="M103" i="39"/>
  <c r="I103" i="39"/>
  <c r="C103" i="39"/>
  <c r="B103" i="39"/>
  <c r="P102" i="39"/>
  <c r="O102" i="39"/>
  <c r="N102" i="39"/>
  <c r="M102" i="39"/>
  <c r="I102" i="39"/>
  <c r="C102" i="39"/>
  <c r="B102" i="39" s="1"/>
  <c r="P101" i="39"/>
  <c r="O101" i="39"/>
  <c r="N101" i="39"/>
  <c r="I101" i="39"/>
  <c r="M101" i="39" s="1"/>
  <c r="C101" i="39"/>
  <c r="B101" i="39" s="1"/>
  <c r="P100" i="39"/>
  <c r="O100" i="39"/>
  <c r="N100" i="39"/>
  <c r="M100" i="39"/>
  <c r="I100" i="39"/>
  <c r="C100" i="39"/>
  <c r="B100" i="39"/>
  <c r="P99" i="39"/>
  <c r="O99" i="39"/>
  <c r="N99" i="39"/>
  <c r="M99" i="39"/>
  <c r="I99" i="39"/>
  <c r="C99" i="39"/>
  <c r="B99" i="39" s="1"/>
  <c r="P98" i="39"/>
  <c r="O98" i="39"/>
  <c r="N98" i="39"/>
  <c r="M98" i="39"/>
  <c r="Z26" i="39"/>
  <c r="Y26" i="39"/>
  <c r="W26" i="39"/>
  <c r="V26" i="39"/>
  <c r="Z25" i="39"/>
  <c r="Y25" i="39"/>
  <c r="W25" i="39"/>
  <c r="V25" i="39"/>
  <c r="Z24" i="39"/>
  <c r="Y24" i="39"/>
  <c r="W24" i="39"/>
  <c r="V24" i="39"/>
  <c r="Z23" i="39"/>
  <c r="Y23" i="39"/>
  <c r="W23" i="39"/>
  <c r="V23" i="39"/>
  <c r="Z22" i="39"/>
  <c r="Y22" i="39"/>
  <c r="W22" i="39"/>
  <c r="V22" i="39"/>
  <c r="Z21" i="39"/>
  <c r="Y21" i="39"/>
  <c r="W21" i="39"/>
  <c r="V21" i="39"/>
  <c r="Z20" i="39"/>
  <c r="Y20" i="39"/>
  <c r="W20" i="39"/>
  <c r="V20" i="39"/>
  <c r="Z19" i="39"/>
  <c r="Y19" i="39"/>
  <c r="W19" i="39"/>
  <c r="V19" i="39"/>
  <c r="Z18" i="39"/>
  <c r="Y18" i="39"/>
  <c r="W18" i="39"/>
  <c r="V18" i="39"/>
  <c r="Z17" i="39"/>
  <c r="Y17" i="39"/>
  <c r="W17" i="39"/>
  <c r="V17" i="39"/>
  <c r="Z13" i="39"/>
  <c r="Y13" i="39"/>
  <c r="W13" i="39"/>
  <c r="V13" i="39"/>
  <c r="T13" i="39"/>
  <c r="S13" i="39"/>
  <c r="Z12" i="39"/>
  <c r="Y12" i="39"/>
  <c r="W12" i="39"/>
  <c r="V12" i="39"/>
  <c r="T12" i="39"/>
  <c r="S12" i="39"/>
  <c r="Z11" i="39"/>
  <c r="Y11" i="39"/>
  <c r="W11" i="39"/>
  <c r="V11" i="39"/>
  <c r="T11" i="39"/>
  <c r="S11" i="39"/>
  <c r="Z10" i="39"/>
  <c r="Y10" i="39"/>
  <c r="W10" i="39"/>
  <c r="V10" i="39"/>
  <c r="T10" i="39"/>
  <c r="S10" i="39"/>
  <c r="Z9" i="39"/>
  <c r="Y9" i="39"/>
  <c r="W9" i="39"/>
  <c r="V9" i="39"/>
  <c r="T9" i="39"/>
  <c r="S9" i="39"/>
  <c r="Z8" i="39"/>
  <c r="Y8" i="39"/>
  <c r="W8" i="39"/>
  <c r="V8" i="39"/>
  <c r="T8" i="39"/>
  <c r="S8" i="39"/>
  <c r="Z7" i="39"/>
  <c r="Y7" i="39"/>
  <c r="W7" i="39"/>
  <c r="V7" i="39"/>
  <c r="Z6" i="39"/>
  <c r="Y6" i="39"/>
  <c r="W6" i="39"/>
  <c r="V6" i="39"/>
  <c r="Z5" i="39"/>
  <c r="Y5" i="39"/>
  <c r="W5" i="39"/>
  <c r="V5" i="39"/>
  <c r="Z4" i="39"/>
  <c r="Y4" i="39"/>
  <c r="W4" i="39"/>
  <c r="V4" i="39"/>
  <c r="P103" i="38"/>
  <c r="O103" i="38"/>
  <c r="N103" i="38"/>
  <c r="I103" i="38"/>
  <c r="M103" i="38" s="1"/>
  <c r="C103" i="38"/>
  <c r="B103" i="38" s="1"/>
  <c r="P102" i="38"/>
  <c r="O102" i="38"/>
  <c r="N102" i="38"/>
  <c r="M102" i="38"/>
  <c r="I102" i="38"/>
  <c r="C102" i="38"/>
  <c r="B102" i="38"/>
  <c r="P101" i="38"/>
  <c r="O101" i="38"/>
  <c r="N101" i="38"/>
  <c r="M101" i="38"/>
  <c r="I101" i="38"/>
  <c r="C101" i="38"/>
  <c r="B101" i="38" s="1"/>
  <c r="P100" i="38"/>
  <c r="O100" i="38"/>
  <c r="N100" i="38"/>
  <c r="I100" i="38"/>
  <c r="M100" i="38" s="1"/>
  <c r="C100" i="38"/>
  <c r="B100" i="38" s="1"/>
  <c r="P99" i="38"/>
  <c r="O99" i="38"/>
  <c r="N99" i="38"/>
  <c r="M99" i="38"/>
  <c r="I99" i="38"/>
  <c r="C99" i="38"/>
  <c r="B99" i="38"/>
  <c r="P98" i="38"/>
  <c r="O98" i="38"/>
  <c r="N98" i="38"/>
  <c r="M98" i="38"/>
  <c r="I98" i="38"/>
  <c r="C98" i="38"/>
  <c r="B98" i="38" s="1"/>
  <c r="P97" i="38"/>
  <c r="O97" i="38"/>
  <c r="N97" i="38"/>
  <c r="I97" i="38"/>
  <c r="M97" i="38" s="1"/>
  <c r="C97" i="38"/>
  <c r="B97" i="38" s="1"/>
  <c r="Z26" i="38"/>
  <c r="Y26" i="38"/>
  <c r="W26" i="38"/>
  <c r="V26" i="38"/>
  <c r="Z25" i="38"/>
  <c r="Y25" i="38"/>
  <c r="W25" i="38"/>
  <c r="V25" i="38"/>
  <c r="Z24" i="38"/>
  <c r="Y24" i="38"/>
  <c r="W24" i="38"/>
  <c r="V24" i="38"/>
  <c r="Z23" i="38"/>
  <c r="Y23" i="38"/>
  <c r="W23" i="38"/>
  <c r="V23" i="38"/>
  <c r="Z22" i="38"/>
  <c r="Y22" i="38"/>
  <c r="W22" i="38"/>
  <c r="V22" i="38"/>
  <c r="Z21" i="38"/>
  <c r="Y21" i="38"/>
  <c r="W21" i="38"/>
  <c r="V21" i="38"/>
  <c r="Z20" i="38"/>
  <c r="Y20" i="38"/>
  <c r="W20" i="38"/>
  <c r="V20" i="38"/>
  <c r="Z19" i="38"/>
  <c r="Y19" i="38"/>
  <c r="W19" i="38"/>
  <c r="V19" i="38"/>
  <c r="Z18" i="38"/>
  <c r="Y18" i="38"/>
  <c r="W18" i="38"/>
  <c r="V18" i="38"/>
  <c r="Z17" i="38"/>
  <c r="Y17" i="38"/>
  <c r="W17" i="38"/>
  <c r="V17" i="38"/>
  <c r="Z13" i="38"/>
  <c r="Y13" i="38"/>
  <c r="W13" i="38"/>
  <c r="V13" i="38"/>
  <c r="T13" i="38"/>
  <c r="S13" i="38"/>
  <c r="Z12" i="38"/>
  <c r="Y12" i="38"/>
  <c r="W12" i="38"/>
  <c r="V12" i="38"/>
  <c r="T12" i="38"/>
  <c r="S12" i="38"/>
  <c r="Z11" i="38"/>
  <c r="Y11" i="38"/>
  <c r="W11" i="38"/>
  <c r="V11" i="38"/>
  <c r="T11" i="38"/>
  <c r="S11" i="38"/>
  <c r="Z10" i="38"/>
  <c r="Y10" i="38"/>
  <c r="W10" i="38"/>
  <c r="V10" i="38"/>
  <c r="T10" i="38"/>
  <c r="S10" i="38"/>
  <c r="Z9" i="38"/>
  <c r="Y9" i="38"/>
  <c r="W9" i="38"/>
  <c r="V9" i="38"/>
  <c r="T9" i="38"/>
  <c r="S9" i="38"/>
  <c r="Z8" i="38"/>
  <c r="Y8" i="38"/>
  <c r="W8" i="38"/>
  <c r="V8" i="38"/>
  <c r="T8" i="38"/>
  <c r="S8" i="38"/>
  <c r="Z7" i="38"/>
  <c r="Y7" i="38"/>
  <c r="W7" i="38"/>
  <c r="V7" i="38"/>
  <c r="Z6" i="38"/>
  <c r="Y6" i="38"/>
  <c r="W6" i="38"/>
  <c r="V6" i="38"/>
  <c r="Z5" i="38"/>
  <c r="Y5" i="38"/>
  <c r="W5" i="38"/>
  <c r="V5" i="38"/>
  <c r="Z4" i="38"/>
  <c r="Y4" i="38"/>
  <c r="W4" i="38"/>
  <c r="V4" i="38"/>
  <c r="P103" i="37"/>
  <c r="O103" i="37"/>
  <c r="N103" i="37"/>
  <c r="I103" i="37"/>
  <c r="M103" i="37" s="1"/>
  <c r="C103" i="37"/>
  <c r="B103" i="37" s="1"/>
  <c r="P102" i="37"/>
  <c r="O102" i="37"/>
  <c r="N102" i="37"/>
  <c r="M102" i="37"/>
  <c r="I102" i="37"/>
  <c r="C102" i="37"/>
  <c r="B102" i="37"/>
  <c r="P101" i="37"/>
  <c r="O101" i="37"/>
  <c r="N101" i="37"/>
  <c r="M101" i="37"/>
  <c r="I101" i="37"/>
  <c r="C101" i="37"/>
  <c r="B101" i="37" s="1"/>
  <c r="P100" i="37"/>
  <c r="O100" i="37"/>
  <c r="N100" i="37"/>
  <c r="I100" i="37"/>
  <c r="M100" i="37" s="1"/>
  <c r="C100" i="37"/>
  <c r="B100" i="37" s="1"/>
  <c r="P99" i="37"/>
  <c r="O99" i="37"/>
  <c r="N99" i="37"/>
  <c r="M99" i="37"/>
  <c r="I99" i="37"/>
  <c r="C99" i="37"/>
  <c r="B99" i="37"/>
  <c r="P98" i="37"/>
  <c r="O98" i="37"/>
  <c r="N98" i="37"/>
  <c r="M98" i="37"/>
  <c r="I98" i="37"/>
  <c r="C98" i="37"/>
  <c r="B98" i="37" s="1"/>
  <c r="Z26" i="37"/>
  <c r="Y26" i="37"/>
  <c r="W26" i="37"/>
  <c r="V26" i="37"/>
  <c r="Z25" i="37"/>
  <c r="Y25" i="37"/>
  <c r="W25" i="37"/>
  <c r="V25" i="37"/>
  <c r="Z24" i="37"/>
  <c r="Y24" i="37"/>
  <c r="W24" i="37"/>
  <c r="V24" i="37"/>
  <c r="Z23" i="37"/>
  <c r="Y23" i="37"/>
  <c r="W23" i="37"/>
  <c r="V23" i="37"/>
  <c r="Z22" i="37"/>
  <c r="Y22" i="37"/>
  <c r="W22" i="37"/>
  <c r="V22" i="37"/>
  <c r="Z21" i="37"/>
  <c r="Y21" i="37"/>
  <c r="W21" i="37"/>
  <c r="V21" i="37"/>
  <c r="Z20" i="37"/>
  <c r="Y20" i="37"/>
  <c r="W20" i="37"/>
  <c r="V20" i="37"/>
  <c r="Z19" i="37"/>
  <c r="Y19" i="37"/>
  <c r="W19" i="37"/>
  <c r="V19" i="37"/>
  <c r="Z18" i="37"/>
  <c r="Y18" i="37"/>
  <c r="W18" i="37"/>
  <c r="V18" i="37"/>
  <c r="Z17" i="37"/>
  <c r="Y17" i="37"/>
  <c r="W17" i="37"/>
  <c r="V17" i="37"/>
  <c r="Z13" i="37"/>
  <c r="Y13" i="37"/>
  <c r="W13" i="37"/>
  <c r="V13" i="37"/>
  <c r="T13" i="37"/>
  <c r="S13" i="37"/>
  <c r="Z12" i="37"/>
  <c r="Y12" i="37"/>
  <c r="W12" i="37"/>
  <c r="V12" i="37"/>
  <c r="T12" i="37"/>
  <c r="S12" i="37"/>
  <c r="Z11" i="37"/>
  <c r="Y11" i="37"/>
  <c r="W11" i="37"/>
  <c r="V11" i="37"/>
  <c r="T11" i="37"/>
  <c r="S11" i="37"/>
  <c r="Z10" i="37"/>
  <c r="Y10" i="37"/>
  <c r="W10" i="37"/>
  <c r="V10" i="37"/>
  <c r="T10" i="37"/>
  <c r="S10" i="37"/>
  <c r="Z9" i="37"/>
  <c r="Y9" i="37"/>
  <c r="W9" i="37"/>
  <c r="V9" i="37"/>
  <c r="T9" i="37"/>
  <c r="S9" i="37"/>
  <c r="Z8" i="37"/>
  <c r="Y8" i="37"/>
  <c r="W8" i="37"/>
  <c r="V8" i="37"/>
  <c r="T8" i="37"/>
  <c r="S8" i="37"/>
  <c r="Z7" i="37"/>
  <c r="Y7" i="37"/>
  <c r="W7" i="37"/>
  <c r="V7" i="37"/>
  <c r="Z6" i="37"/>
  <c r="Y6" i="37"/>
  <c r="W6" i="37"/>
  <c r="V6" i="37"/>
  <c r="Z5" i="37"/>
  <c r="Y5" i="37"/>
  <c r="W5" i="37"/>
  <c r="V5" i="37"/>
  <c r="Z4" i="37"/>
  <c r="Y4" i="37"/>
  <c r="W4" i="37"/>
  <c r="V4" i="37"/>
  <c r="P103" i="36"/>
  <c r="O103" i="36"/>
  <c r="N103" i="36"/>
  <c r="M103" i="36"/>
  <c r="I103" i="36"/>
  <c r="C103" i="36"/>
  <c r="B103" i="36" s="1"/>
  <c r="P102" i="36"/>
  <c r="O102" i="36"/>
  <c r="N102" i="36"/>
  <c r="I102" i="36"/>
  <c r="M102" i="36" s="1"/>
  <c r="C102" i="36"/>
  <c r="B102" i="36" s="1"/>
  <c r="P101" i="36"/>
  <c r="O101" i="36"/>
  <c r="N101" i="36"/>
  <c r="M101" i="36"/>
  <c r="I101" i="36"/>
  <c r="C101" i="36"/>
  <c r="B101" i="36"/>
  <c r="P100" i="36"/>
  <c r="O100" i="36"/>
  <c r="N100" i="36"/>
  <c r="M100" i="36"/>
  <c r="I100" i="36"/>
  <c r="C100" i="36"/>
  <c r="B100" i="36" s="1"/>
  <c r="P99" i="36"/>
  <c r="O99" i="36"/>
  <c r="N99" i="36"/>
  <c r="I99" i="36"/>
  <c r="M99" i="36" s="1"/>
  <c r="C99" i="36"/>
  <c r="B99" i="36" s="1"/>
  <c r="P98" i="36"/>
  <c r="O98" i="36"/>
  <c r="N98" i="36"/>
  <c r="M98" i="36"/>
  <c r="I98" i="36"/>
  <c r="C98" i="36"/>
  <c r="B98" i="36"/>
  <c r="Z26" i="36"/>
  <c r="Y26" i="36"/>
  <c r="W26" i="36"/>
  <c r="V26" i="36"/>
  <c r="Z25" i="36"/>
  <c r="Y25" i="36"/>
  <c r="W25" i="36"/>
  <c r="V25" i="36"/>
  <c r="Z24" i="36"/>
  <c r="Y24" i="36"/>
  <c r="W24" i="36"/>
  <c r="V24" i="36"/>
  <c r="Z23" i="36"/>
  <c r="Y23" i="36"/>
  <c r="W23" i="36"/>
  <c r="V23" i="36"/>
  <c r="Z22" i="36"/>
  <c r="Y22" i="36"/>
  <c r="W22" i="36"/>
  <c r="V22" i="36"/>
  <c r="Z21" i="36"/>
  <c r="Y21" i="36"/>
  <c r="W21" i="36"/>
  <c r="V21" i="36"/>
  <c r="Z20" i="36"/>
  <c r="Y20" i="36"/>
  <c r="W20" i="36"/>
  <c r="V20" i="36"/>
  <c r="Z19" i="36"/>
  <c r="Y19" i="36"/>
  <c r="W19" i="36"/>
  <c r="V19" i="36"/>
  <c r="Z18" i="36"/>
  <c r="Y18" i="36"/>
  <c r="W18" i="36"/>
  <c r="V18" i="36"/>
  <c r="Z17" i="36"/>
  <c r="Y17" i="36"/>
  <c r="W17" i="36"/>
  <c r="V17" i="36"/>
  <c r="Z13" i="36"/>
  <c r="Y13" i="36"/>
  <c r="W13" i="36"/>
  <c r="V13" i="36"/>
  <c r="T13" i="36"/>
  <c r="S13" i="36"/>
  <c r="Z12" i="36"/>
  <c r="Y12" i="36"/>
  <c r="W12" i="36"/>
  <c r="V12" i="36"/>
  <c r="T12" i="36"/>
  <c r="S12" i="36"/>
  <c r="Z11" i="36"/>
  <c r="Y11" i="36"/>
  <c r="W11" i="36"/>
  <c r="V11" i="36"/>
  <c r="T11" i="36"/>
  <c r="S11" i="36"/>
  <c r="Z10" i="36"/>
  <c r="Y10" i="36"/>
  <c r="W10" i="36"/>
  <c r="V10" i="36"/>
  <c r="T10" i="36"/>
  <c r="S10" i="36"/>
  <c r="Z9" i="36"/>
  <c r="Y9" i="36"/>
  <c r="W9" i="36"/>
  <c r="V9" i="36"/>
  <c r="T9" i="36"/>
  <c r="S9" i="36"/>
  <c r="Z8" i="36"/>
  <c r="Y8" i="36"/>
  <c r="W8" i="36"/>
  <c r="V8" i="36"/>
  <c r="T8" i="36"/>
  <c r="S8" i="36"/>
  <c r="Z7" i="36"/>
  <c r="Y7" i="36"/>
  <c r="W7" i="36"/>
  <c r="V7" i="36"/>
  <c r="Z6" i="36"/>
  <c r="Y6" i="36"/>
  <c r="W6" i="36"/>
  <c r="V6" i="36"/>
  <c r="Z5" i="36"/>
  <c r="Y5" i="36"/>
  <c r="W5" i="36"/>
  <c r="V5" i="36"/>
  <c r="Z4" i="36"/>
  <c r="Y4" i="36"/>
  <c r="W4" i="36"/>
  <c r="V4" i="36"/>
  <c r="P103" i="35"/>
  <c r="O103" i="35"/>
  <c r="N103" i="35"/>
  <c r="M103" i="35"/>
  <c r="I103" i="35"/>
  <c r="C103" i="35"/>
  <c r="B103" i="35"/>
  <c r="P102" i="35"/>
  <c r="O102" i="35"/>
  <c r="N102" i="35"/>
  <c r="M102" i="35"/>
  <c r="I102" i="35"/>
  <c r="C102" i="35"/>
  <c r="B102" i="35" s="1"/>
  <c r="P101" i="35"/>
  <c r="O101" i="35"/>
  <c r="N101" i="35"/>
  <c r="I101" i="35"/>
  <c r="M101" i="35" s="1"/>
  <c r="C101" i="35"/>
  <c r="B101" i="35" s="1"/>
  <c r="P100" i="35"/>
  <c r="O100" i="35"/>
  <c r="N100" i="35"/>
  <c r="M100" i="35"/>
  <c r="I100" i="35"/>
  <c r="C100" i="35"/>
  <c r="B100" i="35"/>
  <c r="P99" i="35"/>
  <c r="O99" i="35"/>
  <c r="N99" i="35"/>
  <c r="M99" i="35"/>
  <c r="I99" i="35"/>
  <c r="C99" i="35"/>
  <c r="B99" i="35" s="1"/>
  <c r="P98" i="35"/>
  <c r="O98" i="35"/>
  <c r="N98" i="35"/>
  <c r="I98" i="35"/>
  <c r="M98" i="35" s="1"/>
  <c r="C98" i="35"/>
  <c r="B98" i="35" s="1"/>
  <c r="Z26" i="35"/>
  <c r="Y26" i="35"/>
  <c r="W26" i="35"/>
  <c r="V26" i="35"/>
  <c r="Z25" i="35"/>
  <c r="Y25" i="35"/>
  <c r="W25" i="35"/>
  <c r="V25" i="35"/>
  <c r="Z24" i="35"/>
  <c r="Y24" i="35"/>
  <c r="W24" i="35"/>
  <c r="V24" i="35"/>
  <c r="Z23" i="35"/>
  <c r="Y23" i="35"/>
  <c r="W23" i="35"/>
  <c r="V23" i="35"/>
  <c r="Z22" i="35"/>
  <c r="Y22" i="35"/>
  <c r="W22" i="35"/>
  <c r="V22" i="35"/>
  <c r="Z21" i="35"/>
  <c r="Y21" i="35"/>
  <c r="W21" i="35"/>
  <c r="V21" i="35"/>
  <c r="Z20" i="35"/>
  <c r="Y20" i="35"/>
  <c r="W20" i="35"/>
  <c r="V20" i="35"/>
  <c r="Z19" i="35"/>
  <c r="Y19" i="35"/>
  <c r="W19" i="35"/>
  <c r="V19" i="35"/>
  <c r="Z18" i="35"/>
  <c r="Y18" i="35"/>
  <c r="W18" i="35"/>
  <c r="V18" i="35"/>
  <c r="Z17" i="35"/>
  <c r="Y17" i="35"/>
  <c r="W17" i="35"/>
  <c r="V17" i="35"/>
  <c r="Z13" i="35"/>
  <c r="Y13" i="35"/>
  <c r="W13" i="35"/>
  <c r="V13" i="35"/>
  <c r="T13" i="35"/>
  <c r="S13" i="35"/>
  <c r="Z12" i="35"/>
  <c r="Y12" i="35"/>
  <c r="W12" i="35"/>
  <c r="V12" i="35"/>
  <c r="T12" i="35"/>
  <c r="S12" i="35"/>
  <c r="Z11" i="35"/>
  <c r="Y11" i="35"/>
  <c r="W11" i="35"/>
  <c r="V11" i="35"/>
  <c r="T11" i="35"/>
  <c r="S11" i="35"/>
  <c r="Z10" i="35"/>
  <c r="Y10" i="35"/>
  <c r="W10" i="35"/>
  <c r="V10" i="35"/>
  <c r="T10" i="35"/>
  <c r="S10" i="35"/>
  <c r="Z9" i="35"/>
  <c r="Y9" i="35"/>
  <c r="W9" i="35"/>
  <c r="V9" i="35"/>
  <c r="T9" i="35"/>
  <c r="S9" i="35"/>
  <c r="Z8" i="35"/>
  <c r="Y8" i="35"/>
  <c r="W8" i="35"/>
  <c r="V8" i="35"/>
  <c r="T8" i="35"/>
  <c r="S8" i="35"/>
  <c r="Z7" i="35"/>
  <c r="Y7" i="35"/>
  <c r="W7" i="35"/>
  <c r="V7" i="35"/>
  <c r="Z6" i="35"/>
  <c r="Y6" i="35"/>
  <c r="W6" i="35"/>
  <c r="V6" i="35"/>
  <c r="Z5" i="35"/>
  <c r="Y5" i="35"/>
  <c r="W5" i="35"/>
  <c r="V5" i="35"/>
  <c r="Z4" i="35"/>
  <c r="Y4" i="35"/>
  <c r="W4" i="35"/>
  <c r="V4" i="35"/>
  <c r="P104" i="34"/>
  <c r="O104" i="34"/>
  <c r="N104" i="34"/>
  <c r="I104" i="34"/>
  <c r="M104" i="34" s="1"/>
  <c r="C104" i="34"/>
  <c r="B104" i="34" s="1"/>
  <c r="P103" i="34"/>
  <c r="O103" i="34"/>
  <c r="N103" i="34"/>
  <c r="M103" i="34"/>
  <c r="I103" i="34"/>
  <c r="C103" i="34"/>
  <c r="B103" i="34"/>
  <c r="P102" i="34"/>
  <c r="O102" i="34"/>
  <c r="N102" i="34"/>
  <c r="M102" i="34"/>
  <c r="I102" i="34"/>
  <c r="C102" i="34"/>
  <c r="S71" i="34" s="1"/>
  <c r="P101" i="34"/>
  <c r="O101" i="34"/>
  <c r="N101" i="34"/>
  <c r="I101" i="34"/>
  <c r="M101" i="34" s="1"/>
  <c r="C101" i="34"/>
  <c r="B101" i="34" s="1"/>
  <c r="P100" i="34"/>
  <c r="O100" i="34"/>
  <c r="N100" i="34"/>
  <c r="M100" i="34"/>
  <c r="I100" i="34"/>
  <c r="C100" i="34"/>
  <c r="B100" i="34"/>
  <c r="P99" i="34"/>
  <c r="O99" i="34"/>
  <c r="N99" i="34"/>
  <c r="M99" i="34"/>
  <c r="I99" i="34"/>
  <c r="C99" i="34"/>
  <c r="S58" i="34" s="1"/>
  <c r="P98" i="34"/>
  <c r="O98" i="34"/>
  <c r="N98" i="34"/>
  <c r="I98" i="34"/>
  <c r="M98" i="34" s="1"/>
  <c r="C98" i="34"/>
  <c r="B98" i="34" s="1"/>
  <c r="T59" i="34"/>
  <c r="T44" i="34"/>
  <c r="T38" i="34"/>
  <c r="Z26" i="34"/>
  <c r="Y26" i="34"/>
  <c r="W26" i="34"/>
  <c r="V26" i="34"/>
  <c r="Z25" i="34"/>
  <c r="Y25" i="34"/>
  <c r="W25" i="34"/>
  <c r="V25" i="34"/>
  <c r="T25" i="34"/>
  <c r="Z24" i="34"/>
  <c r="Y24" i="34"/>
  <c r="W24" i="34"/>
  <c r="V24" i="34"/>
  <c r="Z23" i="34"/>
  <c r="Y23" i="34"/>
  <c r="W23" i="34"/>
  <c r="V23" i="34"/>
  <c r="T23" i="34"/>
  <c r="Z22" i="34"/>
  <c r="Y22" i="34"/>
  <c r="W22" i="34"/>
  <c r="V22" i="34"/>
  <c r="Z21" i="34"/>
  <c r="Y21" i="34"/>
  <c r="W21" i="34"/>
  <c r="V21" i="34"/>
  <c r="Z20" i="34"/>
  <c r="Y20" i="34"/>
  <c r="W20" i="34"/>
  <c r="V20" i="34"/>
  <c r="Z19" i="34"/>
  <c r="Y19" i="34"/>
  <c r="W19" i="34"/>
  <c r="V19" i="34"/>
  <c r="Z18" i="34"/>
  <c r="Y18" i="34"/>
  <c r="W18" i="34"/>
  <c r="V18" i="34"/>
  <c r="Z17" i="34"/>
  <c r="Y17" i="34"/>
  <c r="W17" i="34"/>
  <c r="V17" i="34"/>
  <c r="Z13" i="34"/>
  <c r="Y13" i="34"/>
  <c r="W13" i="34"/>
  <c r="V13" i="34"/>
  <c r="T13" i="34"/>
  <c r="S13" i="34"/>
  <c r="Z12" i="34"/>
  <c r="Y12" i="34"/>
  <c r="W12" i="34"/>
  <c r="V12" i="34"/>
  <c r="T12" i="34"/>
  <c r="S12" i="34"/>
  <c r="Z11" i="34"/>
  <c r="Y11" i="34"/>
  <c r="W11" i="34"/>
  <c r="V11" i="34"/>
  <c r="T11" i="34"/>
  <c r="S11" i="34"/>
  <c r="Z10" i="34"/>
  <c r="Y10" i="34"/>
  <c r="W10" i="34"/>
  <c r="V10" i="34"/>
  <c r="T10" i="34"/>
  <c r="S10" i="34"/>
  <c r="Z9" i="34"/>
  <c r="Y9" i="34"/>
  <c r="W9" i="34"/>
  <c r="V9" i="34"/>
  <c r="T9" i="34"/>
  <c r="S9" i="34"/>
  <c r="Z8" i="34"/>
  <c r="Y8" i="34"/>
  <c r="W8" i="34"/>
  <c r="V8" i="34"/>
  <c r="T8" i="34"/>
  <c r="S8" i="34"/>
  <c r="Z7" i="34"/>
  <c r="Y7" i="34"/>
  <c r="W7" i="34"/>
  <c r="V7" i="34"/>
  <c r="Z6" i="34"/>
  <c r="Y6" i="34"/>
  <c r="W6" i="34"/>
  <c r="V6" i="34"/>
  <c r="Z5" i="34"/>
  <c r="Y5" i="34"/>
  <c r="W5" i="34"/>
  <c r="V5" i="34"/>
  <c r="Z4" i="34"/>
  <c r="Y4" i="34"/>
  <c r="W4" i="34"/>
  <c r="V4" i="34"/>
  <c r="T73" i="33"/>
  <c r="S73" i="33"/>
  <c r="T72" i="33"/>
  <c r="S72" i="33"/>
  <c r="T71" i="33"/>
  <c r="S71" i="33"/>
  <c r="T70" i="33"/>
  <c r="S70" i="33"/>
  <c r="T69" i="33"/>
  <c r="S69" i="33"/>
  <c r="T68" i="33"/>
  <c r="S68" i="33"/>
  <c r="T67" i="33"/>
  <c r="S67" i="33"/>
  <c r="T62" i="33"/>
  <c r="S62" i="33"/>
  <c r="T61" i="33"/>
  <c r="S61" i="33"/>
  <c r="T60" i="33"/>
  <c r="S60" i="33"/>
  <c r="T59" i="33"/>
  <c r="S59" i="33"/>
  <c r="T58" i="33"/>
  <c r="S58" i="33"/>
  <c r="T57" i="33"/>
  <c r="S57" i="33"/>
  <c r="T56" i="33"/>
  <c r="S56" i="33"/>
  <c r="T55" i="33"/>
  <c r="S55" i="33"/>
  <c r="T54" i="33"/>
  <c r="S54" i="33"/>
  <c r="T53" i="33"/>
  <c r="S53" i="33"/>
  <c r="T52" i="33"/>
  <c r="S52" i="33"/>
  <c r="T48" i="33"/>
  <c r="S48" i="33"/>
  <c r="T47" i="33"/>
  <c r="S47" i="33"/>
  <c r="T46" i="33"/>
  <c r="S46" i="33"/>
  <c r="T45" i="33"/>
  <c r="S45" i="33"/>
  <c r="T44" i="33"/>
  <c r="S44" i="33"/>
  <c r="T43" i="33"/>
  <c r="S43" i="33"/>
  <c r="T42" i="33"/>
  <c r="S42" i="33"/>
  <c r="T41" i="33"/>
  <c r="S41" i="33"/>
  <c r="T40" i="33"/>
  <c r="S40" i="33"/>
  <c r="T39" i="33"/>
  <c r="S39" i="33"/>
  <c r="T38" i="33"/>
  <c r="S38" i="33"/>
  <c r="T37" i="33"/>
  <c r="S37" i="33"/>
  <c r="T36" i="33"/>
  <c r="S36" i="33"/>
  <c r="T35" i="33"/>
  <c r="S35" i="33"/>
  <c r="T34" i="33"/>
  <c r="S34" i="33"/>
  <c r="T33" i="33"/>
  <c r="S33" i="33"/>
  <c r="T32" i="33"/>
  <c r="S32" i="33"/>
  <c r="Z26" i="33"/>
  <c r="Y26" i="33"/>
  <c r="W26" i="33"/>
  <c r="V26" i="33"/>
  <c r="Z25" i="33"/>
  <c r="Y25" i="33"/>
  <c r="W25" i="33"/>
  <c r="V25" i="33"/>
  <c r="T25" i="33"/>
  <c r="S25" i="33"/>
  <c r="Z24" i="33"/>
  <c r="Y24" i="33"/>
  <c r="W24" i="33"/>
  <c r="V24" i="33"/>
  <c r="T24" i="33"/>
  <c r="S24" i="33"/>
  <c r="Z23" i="33"/>
  <c r="Y23" i="33"/>
  <c r="W23" i="33"/>
  <c r="V23" i="33"/>
  <c r="T23" i="33"/>
  <c r="S23" i="33"/>
  <c r="Z22" i="33"/>
  <c r="Y22" i="33"/>
  <c r="W22" i="33"/>
  <c r="V22" i="33"/>
  <c r="T22" i="33"/>
  <c r="S22" i="33"/>
  <c r="Z21" i="33"/>
  <c r="Y21" i="33"/>
  <c r="W21" i="33"/>
  <c r="V21" i="33"/>
  <c r="T21" i="33"/>
  <c r="S21" i="33"/>
  <c r="Z20" i="33"/>
  <c r="Y20" i="33"/>
  <c r="W20" i="33"/>
  <c r="V20" i="33"/>
  <c r="T20" i="33"/>
  <c r="S20" i="33"/>
  <c r="Z19" i="33"/>
  <c r="Y19" i="33"/>
  <c r="W19" i="33"/>
  <c r="V19" i="33"/>
  <c r="T19" i="33"/>
  <c r="S19" i="33"/>
  <c r="Z18" i="33"/>
  <c r="Y18" i="33"/>
  <c r="W18" i="33"/>
  <c r="V18" i="33"/>
  <c r="T18" i="33"/>
  <c r="S18" i="33"/>
  <c r="Z17" i="33"/>
  <c r="Y17" i="33"/>
  <c r="W17" i="33"/>
  <c r="V17" i="33"/>
  <c r="T17" i="33"/>
  <c r="S17" i="33"/>
  <c r="Z13" i="33"/>
  <c r="Y13" i="33"/>
  <c r="W13" i="33"/>
  <c r="V13" i="33"/>
  <c r="T13" i="33"/>
  <c r="S13" i="33"/>
  <c r="Z12" i="33"/>
  <c r="Y12" i="33"/>
  <c r="W12" i="33"/>
  <c r="V12" i="33"/>
  <c r="T12" i="33"/>
  <c r="S12" i="33"/>
  <c r="Z11" i="33"/>
  <c r="Y11" i="33"/>
  <c r="W11" i="33"/>
  <c r="V11" i="33"/>
  <c r="T11" i="33"/>
  <c r="S11" i="33"/>
  <c r="Z10" i="33"/>
  <c r="Y10" i="33"/>
  <c r="W10" i="33"/>
  <c r="V10" i="33"/>
  <c r="T10" i="33"/>
  <c r="S10" i="33"/>
  <c r="Z9" i="33"/>
  <c r="Y9" i="33"/>
  <c r="W9" i="33"/>
  <c r="V9" i="33"/>
  <c r="T9" i="33"/>
  <c r="S9" i="33"/>
  <c r="Z8" i="33"/>
  <c r="Y8" i="33"/>
  <c r="W8" i="33"/>
  <c r="V8" i="33"/>
  <c r="T8" i="33"/>
  <c r="S8" i="33"/>
  <c r="Z7" i="33"/>
  <c r="Y7" i="33"/>
  <c r="W7" i="33"/>
  <c r="V7" i="33"/>
  <c r="T7" i="33"/>
  <c r="S7" i="33"/>
  <c r="Z6" i="33"/>
  <c r="Y6" i="33"/>
  <c r="W6" i="33"/>
  <c r="V6" i="33"/>
  <c r="T6" i="33"/>
  <c r="S6" i="33"/>
  <c r="Z5" i="33"/>
  <c r="Y5" i="33"/>
  <c r="W5" i="33"/>
  <c r="V5" i="33"/>
  <c r="T5" i="33"/>
  <c r="S5" i="33"/>
  <c r="Z4" i="33"/>
  <c r="Y4" i="33"/>
  <c r="W4" i="33"/>
  <c r="V4" i="33"/>
  <c r="T4" i="33"/>
  <c r="S4" i="33"/>
  <c r="P103" i="32"/>
  <c r="O103" i="32"/>
  <c r="N103" i="32"/>
  <c r="I103" i="32"/>
  <c r="M103" i="32" s="1"/>
  <c r="C103" i="32"/>
  <c r="B103" i="32" s="1"/>
  <c r="P102" i="32"/>
  <c r="O102" i="32"/>
  <c r="N102" i="32"/>
  <c r="I102" i="32"/>
  <c r="M102" i="32" s="1"/>
  <c r="C102" i="32"/>
  <c r="B102" i="32" s="1"/>
  <c r="P101" i="32"/>
  <c r="O101" i="32"/>
  <c r="N101" i="32"/>
  <c r="I101" i="32"/>
  <c r="M101" i="32" s="1"/>
  <c r="C101" i="32"/>
  <c r="B101" i="32" s="1"/>
  <c r="P100" i="32"/>
  <c r="O100" i="32"/>
  <c r="N100" i="32"/>
  <c r="M100" i="32"/>
  <c r="I100" i="32"/>
  <c r="C100" i="32"/>
  <c r="B100" i="32"/>
  <c r="P99" i="32"/>
  <c r="O99" i="32"/>
  <c r="N99" i="32"/>
  <c r="M99" i="32"/>
  <c r="I99" i="32"/>
  <c r="C99" i="32"/>
  <c r="B99" i="32"/>
  <c r="P98" i="32"/>
  <c r="O98" i="32"/>
  <c r="N98" i="32"/>
  <c r="I98" i="32"/>
  <c r="M98" i="32" s="1"/>
  <c r="C98" i="32"/>
  <c r="S56" i="32" s="1"/>
  <c r="T36" i="32"/>
  <c r="Z26" i="32"/>
  <c r="Y26" i="32"/>
  <c r="W26" i="32"/>
  <c r="V26" i="32"/>
  <c r="Z25" i="32"/>
  <c r="Y25" i="32"/>
  <c r="W25" i="32"/>
  <c r="V25" i="32"/>
  <c r="Z24" i="32"/>
  <c r="Y24" i="32"/>
  <c r="W24" i="32"/>
  <c r="V24" i="32"/>
  <c r="Z23" i="32"/>
  <c r="Y23" i="32"/>
  <c r="W23" i="32"/>
  <c r="V23" i="32"/>
  <c r="Z22" i="32"/>
  <c r="Y22" i="32"/>
  <c r="W22" i="32"/>
  <c r="V22" i="32"/>
  <c r="Z21" i="32"/>
  <c r="Y21" i="32"/>
  <c r="W21" i="32"/>
  <c r="V21" i="32"/>
  <c r="Z20" i="32"/>
  <c r="Y20" i="32"/>
  <c r="W20" i="32"/>
  <c r="V20" i="32"/>
  <c r="Z19" i="32"/>
  <c r="Y19" i="32"/>
  <c r="W19" i="32"/>
  <c r="V19" i="32"/>
  <c r="Z18" i="32"/>
  <c r="Y18" i="32"/>
  <c r="W18" i="32"/>
  <c r="V18" i="32"/>
  <c r="Z17" i="32"/>
  <c r="Y17" i="32"/>
  <c r="W17" i="32"/>
  <c r="V17" i="32"/>
  <c r="Z13" i="32"/>
  <c r="Y13" i="32"/>
  <c r="W13" i="32"/>
  <c r="V13" i="32"/>
  <c r="T13" i="32"/>
  <c r="S13" i="32"/>
  <c r="Z12" i="32"/>
  <c r="Y12" i="32"/>
  <c r="W12" i="32"/>
  <c r="V12" i="32"/>
  <c r="T12" i="32"/>
  <c r="S12" i="32"/>
  <c r="Z11" i="32"/>
  <c r="Y11" i="32"/>
  <c r="W11" i="32"/>
  <c r="V11" i="32"/>
  <c r="T11" i="32"/>
  <c r="S11" i="32"/>
  <c r="Z10" i="32"/>
  <c r="Y10" i="32"/>
  <c r="W10" i="32"/>
  <c r="V10" i="32"/>
  <c r="T10" i="32"/>
  <c r="S10" i="32"/>
  <c r="Z9" i="32"/>
  <c r="Y9" i="32"/>
  <c r="W9" i="32"/>
  <c r="V9" i="32"/>
  <c r="T9" i="32"/>
  <c r="S9" i="32"/>
  <c r="Z8" i="32"/>
  <c r="Y8" i="32"/>
  <c r="W8" i="32"/>
  <c r="V8" i="32"/>
  <c r="T8" i="32"/>
  <c r="S8" i="32"/>
  <c r="Z7" i="32"/>
  <c r="Y7" i="32"/>
  <c r="W7" i="32"/>
  <c r="V7" i="32"/>
  <c r="Z6" i="32"/>
  <c r="Y6" i="32"/>
  <c r="W6" i="32"/>
  <c r="V6" i="32"/>
  <c r="Z5" i="32"/>
  <c r="Y5" i="32"/>
  <c r="W5" i="32"/>
  <c r="V5" i="32"/>
  <c r="Z4" i="32"/>
  <c r="Y4" i="32"/>
  <c r="W4" i="32"/>
  <c r="V4" i="32"/>
  <c r="P103" i="31"/>
  <c r="O103" i="31"/>
  <c r="N103" i="31"/>
  <c r="M103" i="31"/>
  <c r="I103" i="31"/>
  <c r="C103" i="31"/>
  <c r="B103" i="31" s="1"/>
  <c r="P102" i="31"/>
  <c r="O102" i="31"/>
  <c r="N102" i="31"/>
  <c r="M102" i="31"/>
  <c r="I102" i="31"/>
  <c r="C102" i="31"/>
  <c r="B102" i="31" s="1"/>
  <c r="P101" i="31"/>
  <c r="O101" i="31"/>
  <c r="N101" i="31"/>
  <c r="M101" i="31"/>
  <c r="I101" i="31"/>
  <c r="C101" i="31"/>
  <c r="B101" i="31"/>
  <c r="P100" i="31"/>
  <c r="O100" i="31"/>
  <c r="N100" i="31"/>
  <c r="M100" i="31"/>
  <c r="I100" i="31"/>
  <c r="C100" i="31"/>
  <c r="B100" i="31"/>
  <c r="P99" i="31"/>
  <c r="O99" i="31"/>
  <c r="N99" i="31"/>
  <c r="I99" i="31"/>
  <c r="M99" i="31" s="1"/>
  <c r="C99" i="31"/>
  <c r="B99" i="31"/>
  <c r="P98" i="31"/>
  <c r="O98" i="31"/>
  <c r="N98" i="31"/>
  <c r="M98" i="31"/>
  <c r="I98" i="31"/>
  <c r="C98" i="31"/>
  <c r="T70" i="31" s="1"/>
  <c r="S59" i="31"/>
  <c r="T46" i="31"/>
  <c r="S43" i="31"/>
  <c r="T42" i="31"/>
  <c r="T37" i="31"/>
  <c r="T36" i="31"/>
  <c r="Z26" i="31"/>
  <c r="Y26" i="31"/>
  <c r="W26" i="31"/>
  <c r="V26" i="31"/>
  <c r="Z25" i="31"/>
  <c r="Y25" i="31"/>
  <c r="W25" i="31"/>
  <c r="V25" i="31"/>
  <c r="T25" i="31"/>
  <c r="Z24" i="31"/>
  <c r="Y24" i="31"/>
  <c r="W24" i="31"/>
  <c r="V24" i="31"/>
  <c r="Z23" i="31"/>
  <c r="Y23" i="31"/>
  <c r="W23" i="31"/>
  <c r="V23" i="31"/>
  <c r="S23" i="31"/>
  <c r="Z22" i="31"/>
  <c r="Y22" i="31"/>
  <c r="W22" i="31"/>
  <c r="V22" i="31"/>
  <c r="Z21" i="31"/>
  <c r="Y21" i="31"/>
  <c r="W21" i="31"/>
  <c r="V21" i="31"/>
  <c r="Z20" i="31"/>
  <c r="Y20" i="31"/>
  <c r="W20" i="31"/>
  <c r="V20" i="31"/>
  <c r="Z19" i="31"/>
  <c r="Y19" i="31"/>
  <c r="W19" i="31"/>
  <c r="V19" i="31"/>
  <c r="Z18" i="31"/>
  <c r="Y18" i="31"/>
  <c r="W18" i="31"/>
  <c r="V18" i="31"/>
  <c r="Z17" i="31"/>
  <c r="Y17" i="31"/>
  <c r="W17" i="31"/>
  <c r="V17" i="31"/>
  <c r="Z13" i="31"/>
  <c r="Y13" i="31"/>
  <c r="W13" i="31"/>
  <c r="V13" i="31"/>
  <c r="T13" i="31"/>
  <c r="S13" i="31"/>
  <c r="Z12" i="31"/>
  <c r="Y12" i="31"/>
  <c r="W12" i="31"/>
  <c r="V12" i="31"/>
  <c r="T12" i="31"/>
  <c r="S12" i="31"/>
  <c r="Z11" i="31"/>
  <c r="Y11" i="31"/>
  <c r="W11" i="31"/>
  <c r="V11" i="31"/>
  <c r="T11" i="31"/>
  <c r="S11" i="31"/>
  <c r="Z10" i="31"/>
  <c r="Y10" i="31"/>
  <c r="W10" i="31"/>
  <c r="V10" i="31"/>
  <c r="T10" i="31"/>
  <c r="S10" i="31"/>
  <c r="Z9" i="31"/>
  <c r="Y9" i="31"/>
  <c r="W9" i="31"/>
  <c r="V9" i="31"/>
  <c r="T9" i="31"/>
  <c r="S9" i="31"/>
  <c r="Z8" i="31"/>
  <c r="Y8" i="31"/>
  <c r="W8" i="31"/>
  <c r="V8" i="31"/>
  <c r="T8" i="31"/>
  <c r="S8" i="31"/>
  <c r="Z7" i="31"/>
  <c r="Y7" i="31"/>
  <c r="W7" i="31"/>
  <c r="V7" i="31"/>
  <c r="Z6" i="31"/>
  <c r="Y6" i="31"/>
  <c r="W6" i="31"/>
  <c r="V6" i="31"/>
  <c r="Z5" i="31"/>
  <c r="Y5" i="31"/>
  <c r="W5" i="31"/>
  <c r="V5" i="31"/>
  <c r="Z4" i="31"/>
  <c r="Y4" i="31"/>
  <c r="W4" i="31"/>
  <c r="V4" i="31"/>
  <c r="P103" i="30"/>
  <c r="O103" i="30"/>
  <c r="N103" i="30"/>
  <c r="M103" i="30"/>
  <c r="I103" i="30"/>
  <c r="C103" i="30"/>
  <c r="B103" i="30"/>
  <c r="P102" i="30"/>
  <c r="O102" i="30"/>
  <c r="N102" i="30"/>
  <c r="I102" i="30"/>
  <c r="M102" i="30" s="1"/>
  <c r="C102" i="30"/>
  <c r="B102" i="30" s="1"/>
  <c r="P101" i="30"/>
  <c r="O101" i="30"/>
  <c r="N101" i="30"/>
  <c r="I101" i="30"/>
  <c r="M101" i="30" s="1"/>
  <c r="C101" i="30"/>
  <c r="B101" i="30"/>
  <c r="P100" i="30"/>
  <c r="O100" i="30"/>
  <c r="N100" i="30"/>
  <c r="I100" i="30"/>
  <c r="M100" i="30" s="1"/>
  <c r="C100" i="30"/>
  <c r="B100" i="30" s="1"/>
  <c r="P99" i="30"/>
  <c r="O99" i="30"/>
  <c r="N99" i="30"/>
  <c r="I99" i="30"/>
  <c r="M99" i="30" s="1"/>
  <c r="C99" i="30"/>
  <c r="B99" i="30"/>
  <c r="P98" i="30"/>
  <c r="O98" i="30"/>
  <c r="N98" i="30"/>
  <c r="M98" i="30"/>
  <c r="I98" i="30"/>
  <c r="C98" i="30"/>
  <c r="B98" i="30" s="1"/>
  <c r="I96" i="30"/>
  <c r="C96" i="30"/>
  <c r="B96" i="30"/>
  <c r="N94" i="30"/>
  <c r="M94" i="30"/>
  <c r="I94" i="30"/>
  <c r="B94" i="30"/>
  <c r="I90" i="30"/>
  <c r="B90" i="30"/>
  <c r="N87" i="30"/>
  <c r="I87" i="30"/>
  <c r="C87" i="30"/>
  <c r="B87" i="30" s="1"/>
  <c r="N84" i="30"/>
  <c r="I84" i="30"/>
  <c r="C84" i="30"/>
  <c r="B84" i="30"/>
  <c r="I83" i="30"/>
  <c r="C83" i="30"/>
  <c r="B83" i="30" s="1"/>
  <c r="N81" i="30"/>
  <c r="I81" i="30"/>
  <c r="C81" i="30"/>
  <c r="B81" i="30" s="1"/>
  <c r="P78" i="30"/>
  <c r="N78" i="30"/>
  <c r="I78" i="30"/>
  <c r="C78" i="30"/>
  <c r="B78" i="30"/>
  <c r="I67" i="30"/>
  <c r="C67" i="30"/>
  <c r="B67" i="30" s="1"/>
  <c r="N64" i="30"/>
  <c r="I64" i="30"/>
  <c r="C64" i="30"/>
  <c r="B64" i="30"/>
  <c r="I61" i="30"/>
  <c r="C61" i="30"/>
  <c r="B61" i="30" s="1"/>
  <c r="M59" i="30"/>
  <c r="I59" i="30"/>
  <c r="B59" i="30"/>
  <c r="I58" i="30"/>
  <c r="B58" i="30"/>
  <c r="I56" i="30"/>
  <c r="M56" i="30" s="1"/>
  <c r="C56" i="30"/>
  <c r="B56" i="30" s="1"/>
  <c r="I54" i="30"/>
  <c r="C54" i="30"/>
  <c r="B54" i="30"/>
  <c r="M53" i="30"/>
  <c r="I53" i="30"/>
  <c r="C53" i="30"/>
  <c r="B53" i="30"/>
  <c r="I52" i="30"/>
  <c r="B52" i="30"/>
  <c r="P50" i="30"/>
  <c r="I50" i="30"/>
  <c r="B50" i="30"/>
  <c r="I47" i="30"/>
  <c r="C47" i="30"/>
  <c r="B47" i="30" s="1"/>
  <c r="I46" i="30"/>
  <c r="C46" i="30"/>
  <c r="B46" i="30" s="1"/>
  <c r="N44" i="30"/>
  <c r="I44" i="30"/>
  <c r="B44" i="30"/>
  <c r="I43" i="30"/>
  <c r="C43" i="30"/>
  <c r="B43" i="30"/>
  <c r="N42" i="30"/>
  <c r="I42" i="30"/>
  <c r="C42" i="30"/>
  <c r="B42" i="30" s="1"/>
  <c r="I41" i="30"/>
  <c r="M41" i="30" s="1"/>
  <c r="C41" i="30"/>
  <c r="B41" i="30" s="1"/>
  <c r="N40" i="30"/>
  <c r="M40" i="30"/>
  <c r="I40" i="30"/>
  <c r="C40" i="30"/>
  <c r="B40" i="30"/>
  <c r="N39" i="30"/>
  <c r="I39" i="30"/>
  <c r="M39" i="30" s="1"/>
  <c r="C39" i="30"/>
  <c r="B39" i="30" s="1"/>
  <c r="I38" i="30"/>
  <c r="B38" i="30"/>
  <c r="I37" i="30"/>
  <c r="B37" i="30"/>
  <c r="N36" i="30"/>
  <c r="I36" i="30"/>
  <c r="M36" i="30" s="1"/>
  <c r="C36" i="30"/>
  <c r="B36" i="30"/>
  <c r="I35" i="30"/>
  <c r="B35" i="30"/>
  <c r="I34" i="30"/>
  <c r="C34" i="30"/>
  <c r="B34" i="30" s="1"/>
  <c r="I33" i="30"/>
  <c r="C33" i="30"/>
  <c r="B33" i="30"/>
  <c r="N32" i="30"/>
  <c r="I32" i="30"/>
  <c r="M32" i="30" s="1"/>
  <c r="C32" i="30"/>
  <c r="B32" i="30"/>
  <c r="P31" i="30"/>
  <c r="N31" i="30"/>
  <c r="I31" i="30"/>
  <c r="C31" i="30"/>
  <c r="B31" i="30"/>
  <c r="I30" i="30"/>
  <c r="C30" i="30"/>
  <c r="B30" i="30" s="1"/>
  <c r="I29" i="30"/>
  <c r="C29" i="30"/>
  <c r="B29" i="30"/>
  <c r="O28" i="30"/>
  <c r="N28" i="30"/>
  <c r="I28" i="30"/>
  <c r="B28" i="30"/>
  <c r="N27" i="30"/>
  <c r="I27" i="30"/>
  <c r="C27" i="30"/>
  <c r="B27" i="30" s="1"/>
  <c r="Z26" i="30"/>
  <c r="Y26" i="30"/>
  <c r="W26" i="30"/>
  <c r="V26" i="30"/>
  <c r="N26" i="30"/>
  <c r="M26" i="30"/>
  <c r="I26" i="30"/>
  <c r="C26" i="30"/>
  <c r="B26" i="30"/>
  <c r="Z25" i="30"/>
  <c r="Y25" i="30"/>
  <c r="W25" i="30"/>
  <c r="V25" i="30"/>
  <c r="N25" i="30"/>
  <c r="I25" i="30"/>
  <c r="C25" i="30"/>
  <c r="B25" i="30" s="1"/>
  <c r="Z24" i="30"/>
  <c r="Y24" i="30"/>
  <c r="W24" i="30"/>
  <c r="V24" i="30"/>
  <c r="N24" i="30"/>
  <c r="I24" i="30"/>
  <c r="C24" i="30"/>
  <c r="B24" i="30"/>
  <c r="Z23" i="30"/>
  <c r="Y23" i="30"/>
  <c r="W23" i="30"/>
  <c r="V23" i="30"/>
  <c r="O23" i="30"/>
  <c r="N23" i="30"/>
  <c r="I23" i="30"/>
  <c r="C23" i="30"/>
  <c r="B23" i="30" s="1"/>
  <c r="Z22" i="30"/>
  <c r="Y22" i="30"/>
  <c r="W22" i="30"/>
  <c r="V22" i="30"/>
  <c r="I22" i="30"/>
  <c r="M22" i="30" s="1"/>
  <c r="C22" i="30"/>
  <c r="B22" i="30" s="1"/>
  <c r="Z21" i="30"/>
  <c r="Y21" i="30"/>
  <c r="W21" i="30"/>
  <c r="V21" i="30"/>
  <c r="N21" i="30"/>
  <c r="I21" i="30"/>
  <c r="M21" i="30" s="1"/>
  <c r="C21" i="30"/>
  <c r="B21" i="30" s="1"/>
  <c r="Z20" i="30"/>
  <c r="Y20" i="30"/>
  <c r="W20" i="30"/>
  <c r="V20" i="30"/>
  <c r="N20" i="30"/>
  <c r="I20" i="30"/>
  <c r="C20" i="30"/>
  <c r="B20" i="30"/>
  <c r="Z19" i="30"/>
  <c r="Y19" i="30"/>
  <c r="W19" i="30"/>
  <c r="V19" i="30"/>
  <c r="N19" i="30"/>
  <c r="I19" i="30"/>
  <c r="C19" i="30"/>
  <c r="B19" i="30"/>
  <c r="Z18" i="30"/>
  <c r="Y18" i="30"/>
  <c r="W18" i="30"/>
  <c r="V18" i="30"/>
  <c r="N18" i="30"/>
  <c r="I18" i="30"/>
  <c r="C18" i="30"/>
  <c r="B18" i="30" s="1"/>
  <c r="Z17" i="30"/>
  <c r="Y17" i="30"/>
  <c r="W17" i="30"/>
  <c r="V17" i="30"/>
  <c r="I17" i="30"/>
  <c r="M17" i="30" s="1"/>
  <c r="C17" i="30"/>
  <c r="B17" i="30" s="1"/>
  <c r="N16" i="30"/>
  <c r="I16" i="30"/>
  <c r="C16" i="30"/>
  <c r="B16" i="30" s="1"/>
  <c r="N15" i="30"/>
  <c r="I15" i="30"/>
  <c r="M15" i="30" s="1"/>
  <c r="C15" i="30"/>
  <c r="B15" i="30"/>
  <c r="N14" i="30"/>
  <c r="I14" i="30"/>
  <c r="C14" i="30"/>
  <c r="B14" i="30"/>
  <c r="Z13" i="30"/>
  <c r="Y13" i="30"/>
  <c r="W13" i="30"/>
  <c r="V13" i="30"/>
  <c r="T13" i="30"/>
  <c r="M24" i="30" s="1"/>
  <c r="S13" i="30"/>
  <c r="M78" i="30" s="1"/>
  <c r="N13" i="30"/>
  <c r="M13" i="30"/>
  <c r="I13" i="30"/>
  <c r="C13" i="30"/>
  <c r="B13" i="30"/>
  <c r="Z12" i="30"/>
  <c r="Y12" i="30"/>
  <c r="W12" i="30"/>
  <c r="V12" i="30"/>
  <c r="T12" i="30"/>
  <c r="S12" i="30"/>
  <c r="N12" i="30"/>
  <c r="I12" i="30"/>
  <c r="C12" i="30"/>
  <c r="B12" i="30"/>
  <c r="Z11" i="30"/>
  <c r="Y11" i="30"/>
  <c r="W11" i="30"/>
  <c r="V11" i="30"/>
  <c r="T11" i="30"/>
  <c r="S11" i="30"/>
  <c r="I11" i="30"/>
  <c r="M11" i="30" s="1"/>
  <c r="C11" i="30"/>
  <c r="B11" i="30"/>
  <c r="Z10" i="30"/>
  <c r="Y10" i="30"/>
  <c r="W10" i="30"/>
  <c r="V10" i="30"/>
  <c r="T10" i="30"/>
  <c r="S10" i="30"/>
  <c r="N10" i="30"/>
  <c r="M10" i="30"/>
  <c r="I10" i="30"/>
  <c r="C10" i="30"/>
  <c r="B10" i="30"/>
  <c r="Z9" i="30"/>
  <c r="Y9" i="30"/>
  <c r="W9" i="30"/>
  <c r="V9" i="30"/>
  <c r="T9" i="30"/>
  <c r="S9" i="30"/>
  <c r="N9" i="30"/>
  <c r="I9" i="30"/>
  <c r="C9" i="30"/>
  <c r="B9" i="30" s="1"/>
  <c r="Z8" i="30"/>
  <c r="Y8" i="30"/>
  <c r="W8" i="30"/>
  <c r="V8" i="30"/>
  <c r="T8" i="30"/>
  <c r="N46" i="30" s="1"/>
  <c r="S8" i="30"/>
  <c r="N53" i="30" s="1"/>
  <c r="N8" i="30"/>
  <c r="I8" i="30"/>
  <c r="M8" i="30" s="1"/>
  <c r="C8" i="30"/>
  <c r="B8" i="30" s="1"/>
  <c r="Z7" i="30"/>
  <c r="Y7" i="30"/>
  <c r="W7" i="30"/>
  <c r="V7" i="30"/>
  <c r="N7" i="30"/>
  <c r="I7" i="30"/>
  <c r="C7" i="30"/>
  <c r="B7" i="30" s="1"/>
  <c r="Z6" i="30"/>
  <c r="Y6" i="30"/>
  <c r="W6" i="30"/>
  <c r="V6" i="30"/>
  <c r="P6" i="30"/>
  <c r="N6" i="30"/>
  <c r="M6" i="30"/>
  <c r="I6" i="30"/>
  <c r="C6" i="30"/>
  <c r="B6" i="30"/>
  <c r="Z5" i="30"/>
  <c r="Y5" i="30"/>
  <c r="W5" i="30"/>
  <c r="V5" i="30"/>
  <c r="P5" i="30"/>
  <c r="N5" i="30"/>
  <c r="I5" i="30"/>
  <c r="C5" i="30"/>
  <c r="B5" i="30"/>
  <c r="Z4" i="30"/>
  <c r="Y4" i="30"/>
  <c r="W4" i="30"/>
  <c r="V4" i="30"/>
  <c r="N4" i="30"/>
  <c r="I4" i="30"/>
  <c r="C4" i="30"/>
  <c r="B4" i="30"/>
  <c r="N3" i="30"/>
  <c r="I3" i="30"/>
  <c r="C3" i="30"/>
  <c r="N2" i="30"/>
  <c r="I2" i="30"/>
  <c r="M2" i="30" s="1"/>
  <c r="C2" i="30"/>
  <c r="B2" i="30"/>
  <c r="P103" i="29"/>
  <c r="O103" i="29"/>
  <c r="N103" i="29"/>
  <c r="I103" i="29"/>
  <c r="M103" i="29" s="1"/>
  <c r="C103" i="29"/>
  <c r="B103" i="29" s="1"/>
  <c r="P102" i="29"/>
  <c r="O102" i="29"/>
  <c r="N102" i="29"/>
  <c r="I102" i="29"/>
  <c r="M102" i="29" s="1"/>
  <c r="C102" i="29"/>
  <c r="B102" i="29"/>
  <c r="P101" i="29"/>
  <c r="O101" i="29"/>
  <c r="N101" i="29"/>
  <c r="M101" i="29"/>
  <c r="I101" i="29"/>
  <c r="C101" i="29"/>
  <c r="B101" i="29"/>
  <c r="P100" i="29"/>
  <c r="O100" i="29"/>
  <c r="N100" i="29"/>
  <c r="I100" i="29"/>
  <c r="M100" i="29" s="1"/>
  <c r="C100" i="29"/>
  <c r="B100" i="29" s="1"/>
  <c r="P99" i="29"/>
  <c r="O99" i="29"/>
  <c r="N99" i="29"/>
  <c r="I99" i="29"/>
  <c r="M99" i="29" s="1"/>
  <c r="C99" i="29"/>
  <c r="T36" i="29" s="1"/>
  <c r="P98" i="29"/>
  <c r="O98" i="29"/>
  <c r="N98" i="29"/>
  <c r="M98" i="29"/>
  <c r="I98" i="29"/>
  <c r="C98" i="29"/>
  <c r="B98" i="29" s="1"/>
  <c r="S72" i="29"/>
  <c r="T71" i="29"/>
  <c r="S71" i="29"/>
  <c r="S58" i="29"/>
  <c r="T57" i="29"/>
  <c r="S57" i="29"/>
  <c r="T43" i="29"/>
  <c r="T42" i="29"/>
  <c r="S42" i="29"/>
  <c r="T39" i="29"/>
  <c r="S39" i="29"/>
  <c r="T37" i="29"/>
  <c r="S37" i="29"/>
  <c r="Z26" i="29"/>
  <c r="Y26" i="29"/>
  <c r="W26" i="29"/>
  <c r="V26" i="29"/>
  <c r="Z25" i="29"/>
  <c r="Y25" i="29"/>
  <c r="W25" i="29"/>
  <c r="V25" i="29"/>
  <c r="T25" i="29"/>
  <c r="S25" i="29"/>
  <c r="Z24" i="29"/>
  <c r="Y24" i="29"/>
  <c r="W24" i="29"/>
  <c r="V24" i="29"/>
  <c r="S24" i="29"/>
  <c r="Z23" i="29"/>
  <c r="Y23" i="29"/>
  <c r="W23" i="29"/>
  <c r="V23" i="29"/>
  <c r="Z22" i="29"/>
  <c r="Y22" i="29"/>
  <c r="W22" i="29"/>
  <c r="V22" i="29"/>
  <c r="S22" i="29"/>
  <c r="Z21" i="29"/>
  <c r="Y21" i="29"/>
  <c r="W21" i="29"/>
  <c r="V21" i="29"/>
  <c r="Z20" i="29"/>
  <c r="Y20" i="29"/>
  <c r="W20" i="29"/>
  <c r="V20" i="29"/>
  <c r="Z19" i="29"/>
  <c r="Y19" i="29"/>
  <c r="W19" i="29"/>
  <c r="V19" i="29"/>
  <c r="Z18" i="29"/>
  <c r="Y18" i="29"/>
  <c r="W18" i="29"/>
  <c r="V18" i="29"/>
  <c r="Z17" i="29"/>
  <c r="Y17" i="29"/>
  <c r="W17" i="29"/>
  <c r="V17" i="29"/>
  <c r="Z13" i="29"/>
  <c r="Y13" i="29"/>
  <c r="W13" i="29"/>
  <c r="V13" i="29"/>
  <c r="T13" i="29"/>
  <c r="S13" i="29"/>
  <c r="Z12" i="29"/>
  <c r="Y12" i="29"/>
  <c r="W12" i="29"/>
  <c r="V12" i="29"/>
  <c r="T12" i="29"/>
  <c r="S12" i="29"/>
  <c r="Z11" i="29"/>
  <c r="Y11" i="29"/>
  <c r="W11" i="29"/>
  <c r="V11" i="29"/>
  <c r="T11" i="29"/>
  <c r="S11" i="29"/>
  <c r="Z10" i="29"/>
  <c r="Y10" i="29"/>
  <c r="W10" i="29"/>
  <c r="V10" i="29"/>
  <c r="T10" i="29"/>
  <c r="S10" i="29"/>
  <c r="Z9" i="29"/>
  <c r="Y9" i="29"/>
  <c r="W9" i="29"/>
  <c r="V9" i="29"/>
  <c r="T9" i="29"/>
  <c r="S9" i="29"/>
  <c r="Z8" i="29"/>
  <c r="Y8" i="29"/>
  <c r="W8" i="29"/>
  <c r="V8" i="29"/>
  <c r="T8" i="29"/>
  <c r="S8" i="29"/>
  <c r="Z7" i="29"/>
  <c r="Y7" i="29"/>
  <c r="W7" i="29"/>
  <c r="V7" i="29"/>
  <c r="Z6" i="29"/>
  <c r="Y6" i="29"/>
  <c r="W6" i="29"/>
  <c r="V6" i="29"/>
  <c r="Z5" i="29"/>
  <c r="Y5" i="29"/>
  <c r="W5" i="29"/>
  <c r="V5" i="29"/>
  <c r="Z4" i="29"/>
  <c r="Y4" i="29"/>
  <c r="W4" i="29"/>
  <c r="V4" i="29"/>
  <c r="P103" i="28"/>
  <c r="O103" i="28"/>
  <c r="N103" i="28"/>
  <c r="M103" i="28"/>
  <c r="I103" i="28"/>
  <c r="C103" i="28"/>
  <c r="B103" i="28" s="1"/>
  <c r="P102" i="28"/>
  <c r="O102" i="28"/>
  <c r="N102" i="28"/>
  <c r="M102" i="28"/>
  <c r="I102" i="28"/>
  <c r="C102" i="28"/>
  <c r="B102" i="28" s="1"/>
  <c r="P101" i="28"/>
  <c r="O101" i="28"/>
  <c r="N101" i="28"/>
  <c r="M101" i="28"/>
  <c r="I101" i="28"/>
  <c r="C101" i="28"/>
  <c r="B101" i="28" s="1"/>
  <c r="P100" i="28"/>
  <c r="O100" i="28"/>
  <c r="N100" i="28"/>
  <c r="I100" i="28"/>
  <c r="M100" i="28" s="1"/>
  <c r="C100" i="28"/>
  <c r="S41" i="28" s="1"/>
  <c r="P99" i="28"/>
  <c r="O99" i="28"/>
  <c r="N99" i="28"/>
  <c r="M99" i="28"/>
  <c r="I99" i="28"/>
  <c r="C99" i="28"/>
  <c r="B99" i="28"/>
  <c r="P98" i="28"/>
  <c r="O98" i="28"/>
  <c r="N98" i="28"/>
  <c r="M98" i="28"/>
  <c r="I98" i="28"/>
  <c r="C98" i="28"/>
  <c r="B98" i="28"/>
  <c r="S72" i="28"/>
  <c r="T70" i="28"/>
  <c r="T60" i="28"/>
  <c r="S43" i="28"/>
  <c r="Z26" i="28"/>
  <c r="Y26" i="28"/>
  <c r="W26" i="28"/>
  <c r="V26" i="28"/>
  <c r="Z25" i="28"/>
  <c r="Y25" i="28"/>
  <c r="W25" i="28"/>
  <c r="V25" i="28"/>
  <c r="T25" i="28"/>
  <c r="S25" i="28"/>
  <c r="Z24" i="28"/>
  <c r="Y24" i="28"/>
  <c r="W24" i="28"/>
  <c r="V24" i="28"/>
  <c r="Z23" i="28"/>
  <c r="Y23" i="28"/>
  <c r="W23" i="28"/>
  <c r="V23" i="28"/>
  <c r="T23" i="28"/>
  <c r="S23" i="28"/>
  <c r="Z22" i="28"/>
  <c r="Y22" i="28"/>
  <c r="W22" i="28"/>
  <c r="V22" i="28"/>
  <c r="Z21" i="28"/>
  <c r="Y21" i="28"/>
  <c r="W21" i="28"/>
  <c r="V21" i="28"/>
  <c r="Z20" i="28"/>
  <c r="Y20" i="28"/>
  <c r="W20" i="28"/>
  <c r="V20" i="28"/>
  <c r="Z19" i="28"/>
  <c r="Y19" i="28"/>
  <c r="W19" i="28"/>
  <c r="V19" i="28"/>
  <c r="Z18" i="28"/>
  <c r="Y18" i="28"/>
  <c r="W18" i="28"/>
  <c r="V18" i="28"/>
  <c r="Z17" i="28"/>
  <c r="Y17" i="28"/>
  <c r="W17" i="28"/>
  <c r="V17" i="28"/>
  <c r="Z13" i="28"/>
  <c r="Y13" i="28"/>
  <c r="W13" i="28"/>
  <c r="V13" i="28"/>
  <c r="T13" i="28"/>
  <c r="S13" i="28"/>
  <c r="Z12" i="28"/>
  <c r="Y12" i="28"/>
  <c r="W12" i="28"/>
  <c r="V12" i="28"/>
  <c r="T12" i="28"/>
  <c r="S12" i="28"/>
  <c r="Z11" i="28"/>
  <c r="Y11" i="28"/>
  <c r="W11" i="28"/>
  <c r="V11" i="28"/>
  <c r="T11" i="28"/>
  <c r="S11" i="28"/>
  <c r="Z10" i="28"/>
  <c r="Y10" i="28"/>
  <c r="W10" i="28"/>
  <c r="V10" i="28"/>
  <c r="T10" i="28"/>
  <c r="S10" i="28"/>
  <c r="Z9" i="28"/>
  <c r="Y9" i="28"/>
  <c r="W9" i="28"/>
  <c r="V9" i="28"/>
  <c r="T9" i="28"/>
  <c r="S9" i="28"/>
  <c r="Z8" i="28"/>
  <c r="Y8" i="28"/>
  <c r="W8" i="28"/>
  <c r="V8" i="28"/>
  <c r="T8" i="28"/>
  <c r="S8" i="28"/>
  <c r="Z7" i="28"/>
  <c r="Y7" i="28"/>
  <c r="W7" i="28"/>
  <c r="V7" i="28"/>
  <c r="Z6" i="28"/>
  <c r="Y6" i="28"/>
  <c r="W6" i="28"/>
  <c r="V6" i="28"/>
  <c r="Z5" i="28"/>
  <c r="Y5" i="28"/>
  <c r="W5" i="28"/>
  <c r="V5" i="28"/>
  <c r="Z4" i="28"/>
  <c r="Y4" i="28"/>
  <c r="W4" i="28"/>
  <c r="V4" i="28"/>
  <c r="P103" i="27"/>
  <c r="O103" i="27"/>
  <c r="N103" i="27"/>
  <c r="I103" i="27"/>
  <c r="M103" i="27" s="1"/>
  <c r="C103" i="27"/>
  <c r="B103" i="27" s="1"/>
  <c r="P102" i="27"/>
  <c r="O102" i="27"/>
  <c r="N102" i="27"/>
  <c r="M102" i="27"/>
  <c r="I102" i="27"/>
  <c r="C102" i="27"/>
  <c r="B102" i="27" s="1"/>
  <c r="P101" i="27"/>
  <c r="O101" i="27"/>
  <c r="N101" i="27"/>
  <c r="M101" i="27"/>
  <c r="I101" i="27"/>
  <c r="C101" i="27"/>
  <c r="B101" i="27"/>
  <c r="P100" i="27"/>
  <c r="O100" i="27"/>
  <c r="N100" i="27"/>
  <c r="M100" i="27"/>
  <c r="I100" i="27"/>
  <c r="C100" i="27"/>
  <c r="B100" i="27"/>
  <c r="P99" i="27"/>
  <c r="O99" i="27"/>
  <c r="N99" i="27"/>
  <c r="I99" i="27"/>
  <c r="M99" i="27" s="1"/>
  <c r="C99" i="27"/>
  <c r="B99" i="27"/>
  <c r="P98" i="27"/>
  <c r="O98" i="27"/>
  <c r="N98" i="27"/>
  <c r="I98" i="27"/>
  <c r="M98" i="27" s="1"/>
  <c r="C98" i="27"/>
  <c r="B98" i="27"/>
  <c r="Z26" i="27"/>
  <c r="Y26" i="27"/>
  <c r="W26" i="27"/>
  <c r="V26" i="27"/>
  <c r="Z25" i="27"/>
  <c r="Y25" i="27"/>
  <c r="W25" i="27"/>
  <c r="V25" i="27"/>
  <c r="Z24" i="27"/>
  <c r="Y24" i="27"/>
  <c r="W24" i="27"/>
  <c r="V24" i="27"/>
  <c r="Z23" i="27"/>
  <c r="Y23" i="27"/>
  <c r="W23" i="27"/>
  <c r="V23" i="27"/>
  <c r="Z22" i="27"/>
  <c r="Y22" i="27"/>
  <c r="W22" i="27"/>
  <c r="V22" i="27"/>
  <c r="Z21" i="27"/>
  <c r="Y21" i="27"/>
  <c r="W21" i="27"/>
  <c r="V21" i="27"/>
  <c r="Z20" i="27"/>
  <c r="Y20" i="27"/>
  <c r="W20" i="27"/>
  <c r="V20" i="27"/>
  <c r="Z19" i="27"/>
  <c r="Y19" i="27"/>
  <c r="W19" i="27"/>
  <c r="V19" i="27"/>
  <c r="Z18" i="27"/>
  <c r="Y18" i="27"/>
  <c r="W18" i="27"/>
  <c r="V18" i="27"/>
  <c r="Z17" i="27"/>
  <c r="Y17" i="27"/>
  <c r="W17" i="27"/>
  <c r="V17" i="27"/>
  <c r="Z13" i="27"/>
  <c r="Y13" i="27"/>
  <c r="W13" i="27"/>
  <c r="V13" i="27"/>
  <c r="T13" i="27"/>
  <c r="S13" i="27"/>
  <c r="Z12" i="27"/>
  <c r="Y12" i="27"/>
  <c r="W12" i="27"/>
  <c r="V12" i="27"/>
  <c r="T12" i="27"/>
  <c r="S12" i="27"/>
  <c r="Z11" i="27"/>
  <c r="Y11" i="27"/>
  <c r="W11" i="27"/>
  <c r="V11" i="27"/>
  <c r="T11" i="27"/>
  <c r="S11" i="27"/>
  <c r="Z10" i="27"/>
  <c r="Y10" i="27"/>
  <c r="W10" i="27"/>
  <c r="V10" i="27"/>
  <c r="T10" i="27"/>
  <c r="S10" i="27"/>
  <c r="Z9" i="27"/>
  <c r="Y9" i="27"/>
  <c r="W9" i="27"/>
  <c r="V9" i="27"/>
  <c r="T9" i="27"/>
  <c r="S9" i="27"/>
  <c r="Z8" i="27"/>
  <c r="Y8" i="27"/>
  <c r="W8" i="27"/>
  <c r="V8" i="27"/>
  <c r="T8" i="27"/>
  <c r="S8" i="27"/>
  <c r="Z7" i="27"/>
  <c r="Y7" i="27"/>
  <c r="W7" i="27"/>
  <c r="V7" i="27"/>
  <c r="Z6" i="27"/>
  <c r="Y6" i="27"/>
  <c r="W6" i="27"/>
  <c r="V6" i="27"/>
  <c r="Z5" i="27"/>
  <c r="Y5" i="27"/>
  <c r="W5" i="27"/>
  <c r="V5" i="27"/>
  <c r="Z4" i="27"/>
  <c r="Y4" i="27"/>
  <c r="W4" i="27"/>
  <c r="V4" i="27"/>
  <c r="P103" i="26"/>
  <c r="O103" i="26"/>
  <c r="N103" i="26"/>
  <c r="M103" i="26"/>
  <c r="I103" i="26"/>
  <c r="C103" i="26"/>
  <c r="B103" i="26" s="1"/>
  <c r="P102" i="26"/>
  <c r="O102" i="26"/>
  <c r="N102" i="26"/>
  <c r="M102" i="26"/>
  <c r="I102" i="26"/>
  <c r="C102" i="26"/>
  <c r="B102" i="26"/>
  <c r="P101" i="26"/>
  <c r="O101" i="26"/>
  <c r="N101" i="26"/>
  <c r="M101" i="26"/>
  <c r="I101" i="26"/>
  <c r="C101" i="26"/>
  <c r="S56" i="26" s="1"/>
  <c r="P100" i="26"/>
  <c r="O100" i="26"/>
  <c r="N100" i="26"/>
  <c r="I100" i="26"/>
  <c r="M100" i="26" s="1"/>
  <c r="C100" i="26"/>
  <c r="P99" i="26"/>
  <c r="O99" i="26"/>
  <c r="N99" i="26"/>
  <c r="I99" i="26"/>
  <c r="M99" i="26" s="1"/>
  <c r="C99" i="26"/>
  <c r="B99" i="26"/>
  <c r="P98" i="26"/>
  <c r="O98" i="26"/>
  <c r="N98" i="26"/>
  <c r="M98" i="26"/>
  <c r="I98" i="26"/>
  <c r="C98" i="26"/>
  <c r="B98" i="26"/>
  <c r="Z26" i="26"/>
  <c r="Y26" i="26"/>
  <c r="W26" i="26"/>
  <c r="V26" i="26"/>
  <c r="Z25" i="26"/>
  <c r="Y25" i="26"/>
  <c r="W25" i="26"/>
  <c r="V25" i="26"/>
  <c r="Z24" i="26"/>
  <c r="Y24" i="26"/>
  <c r="W24" i="26"/>
  <c r="V24" i="26"/>
  <c r="Z23" i="26"/>
  <c r="Y23" i="26"/>
  <c r="W23" i="26"/>
  <c r="V23" i="26"/>
  <c r="Z22" i="26"/>
  <c r="Y22" i="26"/>
  <c r="W22" i="26"/>
  <c r="V22" i="26"/>
  <c r="Z21" i="26"/>
  <c r="Y21" i="26"/>
  <c r="W21" i="26"/>
  <c r="V21" i="26"/>
  <c r="Z20" i="26"/>
  <c r="Y20" i="26"/>
  <c r="W20" i="26"/>
  <c r="V20" i="26"/>
  <c r="Z19" i="26"/>
  <c r="Y19" i="26"/>
  <c r="W19" i="26"/>
  <c r="V19" i="26"/>
  <c r="Z18" i="26"/>
  <c r="Y18" i="26"/>
  <c r="W18" i="26"/>
  <c r="V18" i="26"/>
  <c r="Z17" i="26"/>
  <c r="Y17" i="26"/>
  <c r="W17" i="26"/>
  <c r="V17" i="26"/>
  <c r="Z13" i="26"/>
  <c r="Y13" i="26"/>
  <c r="W13" i="26"/>
  <c r="V13" i="26"/>
  <c r="T13" i="26"/>
  <c r="S13" i="26"/>
  <c r="Z12" i="26"/>
  <c r="Y12" i="26"/>
  <c r="W12" i="26"/>
  <c r="V12" i="26"/>
  <c r="T12" i="26"/>
  <c r="S12" i="26"/>
  <c r="Z11" i="26"/>
  <c r="Y11" i="26"/>
  <c r="W11" i="26"/>
  <c r="V11" i="26"/>
  <c r="T11" i="26"/>
  <c r="S11" i="26"/>
  <c r="Z10" i="26"/>
  <c r="Y10" i="26"/>
  <c r="W10" i="26"/>
  <c r="V10" i="26"/>
  <c r="T10" i="26"/>
  <c r="S10" i="26"/>
  <c r="Z9" i="26"/>
  <c r="Y9" i="26"/>
  <c r="W9" i="26"/>
  <c r="V9" i="26"/>
  <c r="T9" i="26"/>
  <c r="S9" i="26"/>
  <c r="Z8" i="26"/>
  <c r="Y8" i="26"/>
  <c r="W8" i="26"/>
  <c r="V8" i="26"/>
  <c r="T8" i="26"/>
  <c r="S8" i="26"/>
  <c r="Z7" i="26"/>
  <c r="Y7" i="26"/>
  <c r="W7" i="26"/>
  <c r="V7" i="26"/>
  <c r="Z6" i="26"/>
  <c r="Y6" i="26"/>
  <c r="W6" i="26"/>
  <c r="V6" i="26"/>
  <c r="Z5" i="26"/>
  <c r="Y5" i="26"/>
  <c r="W5" i="26"/>
  <c r="V5" i="26"/>
  <c r="Z4" i="26"/>
  <c r="Y4" i="26"/>
  <c r="W4" i="26"/>
  <c r="V4" i="26"/>
  <c r="P103" i="25"/>
  <c r="O103" i="25"/>
  <c r="N103" i="25"/>
  <c r="I103" i="25"/>
  <c r="M103" i="25" s="1"/>
  <c r="C103" i="25"/>
  <c r="B103" i="25"/>
  <c r="P102" i="25"/>
  <c r="O102" i="25"/>
  <c r="N102" i="25"/>
  <c r="I102" i="25"/>
  <c r="M102" i="25" s="1"/>
  <c r="C102" i="25"/>
  <c r="P101" i="25"/>
  <c r="O101" i="25"/>
  <c r="N101" i="25"/>
  <c r="M101" i="25"/>
  <c r="I101" i="25"/>
  <c r="C101" i="25"/>
  <c r="B101" i="25"/>
  <c r="P100" i="25"/>
  <c r="O100" i="25"/>
  <c r="N100" i="25"/>
  <c r="M100" i="25"/>
  <c r="I100" i="25"/>
  <c r="C100" i="25"/>
  <c r="B100" i="25"/>
  <c r="P99" i="25"/>
  <c r="O99" i="25"/>
  <c r="N99" i="25"/>
  <c r="I99" i="25"/>
  <c r="M99" i="25" s="1"/>
  <c r="C99" i="25"/>
  <c r="B99" i="25" s="1"/>
  <c r="P98" i="25"/>
  <c r="O98" i="25"/>
  <c r="N98" i="25"/>
  <c r="I98" i="25"/>
  <c r="M98" i="25" s="1"/>
  <c r="C98" i="25"/>
  <c r="B98" i="25"/>
  <c r="S71" i="25"/>
  <c r="S46" i="25"/>
  <c r="Z26" i="25"/>
  <c r="Y26" i="25"/>
  <c r="W26" i="25"/>
  <c r="V26" i="25"/>
  <c r="Z25" i="25"/>
  <c r="Y25" i="25"/>
  <c r="W25" i="25"/>
  <c r="V25" i="25"/>
  <c r="Z24" i="25"/>
  <c r="Y24" i="25"/>
  <c r="W24" i="25"/>
  <c r="V24" i="25"/>
  <c r="Z23" i="25"/>
  <c r="Y23" i="25"/>
  <c r="W23" i="25"/>
  <c r="V23" i="25"/>
  <c r="Z22" i="25"/>
  <c r="Y22" i="25"/>
  <c r="W22" i="25"/>
  <c r="V22" i="25"/>
  <c r="Z21" i="25"/>
  <c r="Y21" i="25"/>
  <c r="W21" i="25"/>
  <c r="V21" i="25"/>
  <c r="Z20" i="25"/>
  <c r="Y20" i="25"/>
  <c r="W20" i="25"/>
  <c r="V20" i="25"/>
  <c r="Z19" i="25"/>
  <c r="Y19" i="25"/>
  <c r="W19" i="25"/>
  <c r="V19" i="25"/>
  <c r="Z18" i="25"/>
  <c r="Y18" i="25"/>
  <c r="W18" i="25"/>
  <c r="V18" i="25"/>
  <c r="Z17" i="25"/>
  <c r="Y17" i="25"/>
  <c r="W17" i="25"/>
  <c r="V17" i="25"/>
  <c r="Z13" i="25"/>
  <c r="Y13" i="25"/>
  <c r="W13" i="25"/>
  <c r="V13" i="25"/>
  <c r="T13" i="25"/>
  <c r="S13" i="25"/>
  <c r="Z12" i="25"/>
  <c r="Y12" i="25"/>
  <c r="W12" i="25"/>
  <c r="V12" i="25"/>
  <c r="T12" i="25"/>
  <c r="S12" i="25"/>
  <c r="Z11" i="25"/>
  <c r="Y11" i="25"/>
  <c r="W11" i="25"/>
  <c r="V11" i="25"/>
  <c r="T11" i="25"/>
  <c r="S11" i="25"/>
  <c r="Z10" i="25"/>
  <c r="Y10" i="25"/>
  <c r="W10" i="25"/>
  <c r="V10" i="25"/>
  <c r="T10" i="25"/>
  <c r="S10" i="25"/>
  <c r="Z9" i="25"/>
  <c r="Y9" i="25"/>
  <c r="W9" i="25"/>
  <c r="V9" i="25"/>
  <c r="T9" i="25"/>
  <c r="S9" i="25"/>
  <c r="Z8" i="25"/>
  <c r="Y8" i="25"/>
  <c r="W8" i="25"/>
  <c r="V8" i="25"/>
  <c r="T8" i="25"/>
  <c r="S8" i="25"/>
  <c r="Z7" i="25"/>
  <c r="Y7" i="25"/>
  <c r="W7" i="25"/>
  <c r="V7" i="25"/>
  <c r="Z6" i="25"/>
  <c r="Y6" i="25"/>
  <c r="W6" i="25"/>
  <c r="V6" i="25"/>
  <c r="Z5" i="25"/>
  <c r="Y5" i="25"/>
  <c r="W5" i="25"/>
  <c r="V5" i="25"/>
  <c r="Z4" i="25"/>
  <c r="Y4" i="25"/>
  <c r="W4" i="25"/>
  <c r="V4" i="25"/>
  <c r="I97" i="24"/>
  <c r="C97" i="24"/>
  <c r="B97" i="24" s="1"/>
  <c r="I96" i="24"/>
  <c r="I95" i="24"/>
  <c r="C95" i="24"/>
  <c r="B95" i="24" s="1"/>
  <c r="P94" i="24"/>
  <c r="I94" i="24"/>
  <c r="C94" i="24"/>
  <c r="B94" i="24" s="1"/>
  <c r="I93" i="24"/>
  <c r="C93" i="24"/>
  <c r="B93" i="24"/>
  <c r="N92" i="24"/>
  <c r="I92" i="24"/>
  <c r="C92" i="24"/>
  <c r="B92" i="24"/>
  <c r="P91" i="24"/>
  <c r="O91" i="24"/>
  <c r="I91" i="24"/>
  <c r="C91" i="24"/>
  <c r="B91" i="24" s="1"/>
  <c r="I90" i="24"/>
  <c r="C90" i="24"/>
  <c r="B90" i="24" s="1"/>
  <c r="N89" i="24"/>
  <c r="I89" i="24"/>
  <c r="C89" i="24"/>
  <c r="B89" i="24"/>
  <c r="I88" i="24"/>
  <c r="C88" i="24"/>
  <c r="B88" i="24"/>
  <c r="I87" i="24"/>
  <c r="C87" i="24"/>
  <c r="B87" i="24" s="1"/>
  <c r="I86" i="24"/>
  <c r="C86" i="24"/>
  <c r="B86" i="24" s="1"/>
  <c r="I85" i="24"/>
  <c r="C85" i="24"/>
  <c r="B85" i="24" s="1"/>
  <c r="I84" i="24"/>
  <c r="C84" i="24"/>
  <c r="B84" i="24" s="1"/>
  <c r="I83" i="24"/>
  <c r="C83" i="24"/>
  <c r="B83" i="24" s="1"/>
  <c r="I82" i="24"/>
  <c r="C82" i="24"/>
  <c r="B82" i="24" s="1"/>
  <c r="O81" i="24"/>
  <c r="I81" i="24"/>
  <c r="C81" i="24"/>
  <c r="B81" i="24" s="1"/>
  <c r="I80" i="24"/>
  <c r="C80" i="24"/>
  <c r="B80" i="24"/>
  <c r="I79" i="24"/>
  <c r="C79" i="24"/>
  <c r="B79" i="24" s="1"/>
  <c r="I78" i="24"/>
  <c r="C78" i="24"/>
  <c r="B78" i="24"/>
  <c r="N77" i="24"/>
  <c r="I77" i="24"/>
  <c r="C77" i="24"/>
  <c r="B77" i="24" s="1"/>
  <c r="I76" i="24"/>
  <c r="M76" i="24" s="1"/>
  <c r="B76" i="24"/>
  <c r="I75" i="24"/>
  <c r="C75" i="24"/>
  <c r="B75" i="24" s="1"/>
  <c r="I74" i="24"/>
  <c r="C74" i="24"/>
  <c r="B74" i="24" s="1"/>
  <c r="I73" i="24"/>
  <c r="C73" i="24"/>
  <c r="B73" i="24" s="1"/>
  <c r="P72" i="24"/>
  <c r="I72" i="24"/>
  <c r="C72" i="24"/>
  <c r="B72" i="24" s="1"/>
  <c r="I71" i="24"/>
  <c r="C71" i="24"/>
  <c r="B71" i="24" s="1"/>
  <c r="O70" i="24"/>
  <c r="I70" i="24"/>
  <c r="C70" i="24"/>
  <c r="B70" i="24" s="1"/>
  <c r="N69" i="24"/>
  <c r="I69" i="24"/>
  <c r="C69" i="24"/>
  <c r="B69" i="24" s="1"/>
  <c r="I68" i="24"/>
  <c r="C68" i="24"/>
  <c r="B68" i="24"/>
  <c r="P67" i="24"/>
  <c r="I67" i="24"/>
  <c r="C67" i="24"/>
  <c r="B67" i="24" s="1"/>
  <c r="I66" i="24"/>
  <c r="C66" i="24"/>
  <c r="B66" i="24"/>
  <c r="P65" i="24"/>
  <c r="O65" i="24"/>
  <c r="I65" i="24"/>
  <c r="C65" i="24"/>
  <c r="B65" i="24"/>
  <c r="P64" i="24"/>
  <c r="I64" i="24"/>
  <c r="C64" i="24"/>
  <c r="B64" i="24"/>
  <c r="P63" i="24"/>
  <c r="I63" i="24"/>
  <c r="C63" i="24"/>
  <c r="B63" i="24" s="1"/>
  <c r="I62" i="24"/>
  <c r="C62" i="24"/>
  <c r="B62" i="24" s="1"/>
  <c r="P61" i="24"/>
  <c r="M61" i="24"/>
  <c r="I61" i="24"/>
  <c r="C61" i="24"/>
  <c r="B61" i="24"/>
  <c r="I60" i="24"/>
  <c r="C60" i="24"/>
  <c r="B60" i="24"/>
  <c r="I59" i="24"/>
  <c r="M59" i="24" s="1"/>
  <c r="C59" i="24"/>
  <c r="B59" i="24" s="1"/>
  <c r="P58" i="24"/>
  <c r="I58" i="24"/>
  <c r="C58" i="24"/>
  <c r="B58" i="24" s="1"/>
  <c r="O57" i="24"/>
  <c r="I57" i="24"/>
  <c r="C57" i="24"/>
  <c r="B57" i="24" s="1"/>
  <c r="I56" i="24"/>
  <c r="C56" i="24"/>
  <c r="B56" i="24"/>
  <c r="N55" i="24"/>
  <c r="I55" i="24"/>
  <c r="C55" i="24"/>
  <c r="B55" i="24" s="1"/>
  <c r="P54" i="24"/>
  <c r="I54" i="24"/>
  <c r="C54" i="24"/>
  <c r="B54" i="24" s="1"/>
  <c r="P53" i="24"/>
  <c r="I53" i="24"/>
  <c r="B53" i="24"/>
  <c r="P52" i="24"/>
  <c r="I52" i="24"/>
  <c r="C52" i="24"/>
  <c r="B52" i="24" s="1"/>
  <c r="M51" i="24"/>
  <c r="I51" i="24"/>
  <c r="C51" i="24"/>
  <c r="B51" i="24"/>
  <c r="I50" i="24"/>
  <c r="C50" i="24"/>
  <c r="B50" i="24" s="1"/>
  <c r="I49" i="24"/>
  <c r="C49" i="24"/>
  <c r="B49" i="24" s="1"/>
  <c r="O48" i="24"/>
  <c r="N48" i="24"/>
  <c r="I48" i="24"/>
  <c r="C48" i="24"/>
  <c r="B48" i="24"/>
  <c r="M47" i="24"/>
  <c r="I47" i="24"/>
  <c r="C47" i="24"/>
  <c r="B47" i="24" s="1"/>
  <c r="O46" i="24"/>
  <c r="N46" i="24"/>
  <c r="I46" i="24"/>
  <c r="C46" i="24"/>
  <c r="B46" i="24" s="1"/>
  <c r="P45" i="24"/>
  <c r="I45" i="24"/>
  <c r="B45" i="24"/>
  <c r="P44" i="24"/>
  <c r="I44" i="24"/>
  <c r="M44" i="24" s="1"/>
  <c r="C44" i="24"/>
  <c r="B44" i="24" s="1"/>
  <c r="N43" i="24"/>
  <c r="I43" i="24"/>
  <c r="C43" i="24"/>
  <c r="B43" i="24" s="1"/>
  <c r="P42" i="24"/>
  <c r="N42" i="24"/>
  <c r="I42" i="24"/>
  <c r="C42" i="24"/>
  <c r="B42" i="24"/>
  <c r="O41" i="24"/>
  <c r="I41" i="24"/>
  <c r="C41" i="24"/>
  <c r="B41" i="24" s="1"/>
  <c r="P40" i="24"/>
  <c r="I40" i="24"/>
  <c r="C40" i="24"/>
  <c r="B40" i="24" s="1"/>
  <c r="P39" i="24"/>
  <c r="I39" i="24"/>
  <c r="C39" i="24"/>
  <c r="B39" i="24" s="1"/>
  <c r="I38" i="24"/>
  <c r="C38" i="24"/>
  <c r="B38" i="24" s="1"/>
  <c r="P37" i="24"/>
  <c r="O37" i="24"/>
  <c r="I37" i="24"/>
  <c r="M37" i="24" s="1"/>
  <c r="C37" i="24"/>
  <c r="B37" i="24" s="1"/>
  <c r="N36" i="24"/>
  <c r="I36" i="24"/>
  <c r="M36" i="24" s="1"/>
  <c r="C36" i="24"/>
  <c r="B36" i="24" s="1"/>
  <c r="P35" i="24"/>
  <c r="I35" i="24"/>
  <c r="C35" i="24"/>
  <c r="B35" i="24"/>
  <c r="P34" i="24"/>
  <c r="N34" i="24"/>
  <c r="I34" i="24"/>
  <c r="C34" i="24"/>
  <c r="B34" i="24" s="1"/>
  <c r="P33" i="24"/>
  <c r="I33" i="24"/>
  <c r="C33" i="24"/>
  <c r="B33" i="24"/>
  <c r="O32" i="24"/>
  <c r="I32" i="24"/>
  <c r="C32" i="24"/>
  <c r="B32" i="24"/>
  <c r="N31" i="24"/>
  <c r="M31" i="24"/>
  <c r="I31" i="24"/>
  <c r="C31" i="24"/>
  <c r="B31" i="24" s="1"/>
  <c r="O30" i="24"/>
  <c r="N30" i="24"/>
  <c r="I30" i="24"/>
  <c r="B30" i="24"/>
  <c r="I29" i="24"/>
  <c r="C29" i="24"/>
  <c r="B29" i="24" s="1"/>
  <c r="N28" i="24"/>
  <c r="I28" i="24"/>
  <c r="B28" i="24"/>
  <c r="Z27" i="24"/>
  <c r="Y27" i="24"/>
  <c r="W27" i="24"/>
  <c r="V27" i="24"/>
  <c r="I27" i="24"/>
  <c r="M27" i="24" s="1"/>
  <c r="C27" i="24"/>
  <c r="B27" i="24"/>
  <c r="Z26" i="24"/>
  <c r="Y26" i="24"/>
  <c r="W26" i="24"/>
  <c r="V26" i="24"/>
  <c r="I26" i="24"/>
  <c r="M26" i="24" s="1"/>
  <c r="C26" i="24"/>
  <c r="B26" i="24" s="1"/>
  <c r="Z25" i="24"/>
  <c r="Y25" i="24"/>
  <c r="W25" i="24"/>
  <c r="V25" i="24"/>
  <c r="N25" i="24"/>
  <c r="I25" i="24"/>
  <c r="C25" i="24"/>
  <c r="B25" i="24"/>
  <c r="Z24" i="24"/>
  <c r="Y24" i="24"/>
  <c r="W24" i="24"/>
  <c r="V24" i="24"/>
  <c r="N24" i="24"/>
  <c r="I24" i="24"/>
  <c r="C24" i="24"/>
  <c r="B24" i="24"/>
  <c r="Z23" i="24"/>
  <c r="Y23" i="24"/>
  <c r="W23" i="24"/>
  <c r="V23" i="24"/>
  <c r="P23" i="24"/>
  <c r="N23" i="24"/>
  <c r="I23" i="24"/>
  <c r="M23" i="24" s="1"/>
  <c r="C23" i="24"/>
  <c r="B23" i="24"/>
  <c r="Z22" i="24"/>
  <c r="Y22" i="24"/>
  <c r="W22" i="24"/>
  <c r="V22" i="24"/>
  <c r="O22" i="24"/>
  <c r="M22" i="24"/>
  <c r="I22" i="24"/>
  <c r="C22" i="24"/>
  <c r="B22" i="24"/>
  <c r="Z21" i="24"/>
  <c r="Y21" i="24"/>
  <c r="W21" i="24"/>
  <c r="V21" i="24"/>
  <c r="N21" i="24"/>
  <c r="I21" i="24"/>
  <c r="B21" i="24"/>
  <c r="Z20" i="24"/>
  <c r="Y20" i="24"/>
  <c r="W20" i="24"/>
  <c r="V20" i="24"/>
  <c r="I20" i="24"/>
  <c r="M20" i="24" s="1"/>
  <c r="C20" i="24"/>
  <c r="B20" i="24"/>
  <c r="Z19" i="24"/>
  <c r="Y19" i="24"/>
  <c r="W19" i="24"/>
  <c r="V19" i="24"/>
  <c r="O19" i="24"/>
  <c r="I19" i="24"/>
  <c r="C19" i="24"/>
  <c r="B19" i="24" s="1"/>
  <c r="Z18" i="24"/>
  <c r="Y18" i="24"/>
  <c r="W18" i="24"/>
  <c r="V18" i="24"/>
  <c r="O18" i="24"/>
  <c r="I18" i="24"/>
  <c r="C18" i="24"/>
  <c r="B18" i="24"/>
  <c r="O17" i="24"/>
  <c r="I17" i="24"/>
  <c r="M17" i="24" s="1"/>
  <c r="C17" i="24"/>
  <c r="B17" i="24"/>
  <c r="N16" i="24"/>
  <c r="I16" i="24"/>
  <c r="C16" i="24"/>
  <c r="B16" i="24"/>
  <c r="N15" i="24"/>
  <c r="I15" i="24"/>
  <c r="C15" i="24"/>
  <c r="B15" i="24" s="1"/>
  <c r="O14" i="24"/>
  <c r="N14" i="24"/>
  <c r="I14" i="24"/>
  <c r="C14" i="24"/>
  <c r="B14" i="24" s="1"/>
  <c r="Z13" i="24"/>
  <c r="Y13" i="24"/>
  <c r="W13" i="24"/>
  <c r="V13" i="24"/>
  <c r="T13" i="24"/>
  <c r="S13" i="24"/>
  <c r="M28" i="24" s="1"/>
  <c r="O13" i="24"/>
  <c r="N13" i="24"/>
  <c r="I13" i="24"/>
  <c r="C13" i="24"/>
  <c r="B13" i="24"/>
  <c r="Z12" i="24"/>
  <c r="Y12" i="24"/>
  <c r="W12" i="24"/>
  <c r="V12" i="24"/>
  <c r="T12" i="24"/>
  <c r="M50" i="24" s="1"/>
  <c r="S12" i="24"/>
  <c r="M80" i="24" s="1"/>
  <c r="P12" i="24"/>
  <c r="O12" i="24"/>
  <c r="N12" i="24"/>
  <c r="I12" i="24"/>
  <c r="B12" i="24"/>
  <c r="Z11" i="24"/>
  <c r="Y11" i="24"/>
  <c r="W11" i="24"/>
  <c r="V11" i="24"/>
  <c r="T11" i="24"/>
  <c r="S11" i="24"/>
  <c r="O11" i="24"/>
  <c r="N11" i="24"/>
  <c r="I11" i="24"/>
  <c r="C11" i="24"/>
  <c r="B11" i="24" s="1"/>
  <c r="Z10" i="24"/>
  <c r="Y10" i="24"/>
  <c r="W10" i="24"/>
  <c r="V10" i="24"/>
  <c r="T10" i="24"/>
  <c r="S10" i="24"/>
  <c r="O10" i="24"/>
  <c r="I10" i="24"/>
  <c r="M10" i="24" s="1"/>
  <c r="C10" i="24"/>
  <c r="B10" i="24"/>
  <c r="Z9" i="24"/>
  <c r="Y9" i="24"/>
  <c r="W9" i="24"/>
  <c r="V9" i="24"/>
  <c r="T9" i="24"/>
  <c r="S9" i="24"/>
  <c r="P9" i="24"/>
  <c r="I9" i="24"/>
  <c r="C9" i="24"/>
  <c r="B9" i="24" s="1"/>
  <c r="Z8" i="24"/>
  <c r="Y8" i="24"/>
  <c r="W8" i="24"/>
  <c r="V8" i="24"/>
  <c r="T8" i="24"/>
  <c r="S8" i="24"/>
  <c r="N8" i="24"/>
  <c r="I8" i="24"/>
  <c r="C8" i="24"/>
  <c r="S72" i="24" s="1"/>
  <c r="Z7" i="24"/>
  <c r="Y7" i="24"/>
  <c r="W7" i="24"/>
  <c r="V7" i="24"/>
  <c r="N7" i="24"/>
  <c r="I7" i="24"/>
  <c r="M7" i="24" s="1"/>
  <c r="C7" i="24"/>
  <c r="B7" i="24"/>
  <c r="Z6" i="24"/>
  <c r="Y6" i="24"/>
  <c r="W6" i="24"/>
  <c r="V6" i="24"/>
  <c r="N6" i="24"/>
  <c r="M6" i="24"/>
  <c r="I6" i="24"/>
  <c r="B6" i="24"/>
  <c r="Z5" i="24"/>
  <c r="Y5" i="24"/>
  <c r="W5" i="24"/>
  <c r="V5" i="24"/>
  <c r="O5" i="24"/>
  <c r="I5" i="24"/>
  <c r="C5" i="24"/>
  <c r="B5" i="24" s="1"/>
  <c r="Z4" i="24"/>
  <c r="Y4" i="24"/>
  <c r="W4" i="24"/>
  <c r="V4" i="24"/>
  <c r="O4" i="24"/>
  <c r="I4" i="24"/>
  <c r="M4" i="24" s="1"/>
  <c r="C4" i="24"/>
  <c r="B4" i="24" s="1"/>
  <c r="P3" i="24"/>
  <c r="O3" i="24"/>
  <c r="I3" i="24"/>
  <c r="C3" i="24"/>
  <c r="B3" i="24"/>
  <c r="O2" i="24"/>
  <c r="I2" i="24"/>
  <c r="M2" i="24" s="1"/>
  <c r="C2" i="24"/>
  <c r="N103" i="23"/>
  <c r="I103" i="23"/>
  <c r="B103" i="23"/>
  <c r="P102" i="23"/>
  <c r="N102" i="23"/>
  <c r="I102" i="23"/>
  <c r="B102" i="23"/>
  <c r="N101" i="23"/>
  <c r="I101" i="23"/>
  <c r="B101" i="23"/>
  <c r="P100" i="23"/>
  <c r="N100" i="23"/>
  <c r="I100" i="23"/>
  <c r="B100" i="23"/>
  <c r="I99" i="23"/>
  <c r="B99" i="23"/>
  <c r="P98" i="23"/>
  <c r="N98" i="23"/>
  <c r="I98" i="23"/>
  <c r="M98" i="23" s="1"/>
  <c r="B98" i="23"/>
  <c r="N97" i="23"/>
  <c r="I97" i="23"/>
  <c r="B97" i="23"/>
  <c r="P96" i="23"/>
  <c r="N96" i="23"/>
  <c r="I96" i="23"/>
  <c r="B96" i="23"/>
  <c r="N95" i="23"/>
  <c r="I95" i="23"/>
  <c r="B95" i="23"/>
  <c r="N94" i="23"/>
  <c r="I94" i="23"/>
  <c r="B94" i="23"/>
  <c r="N93" i="23"/>
  <c r="I93" i="23"/>
  <c r="B93" i="23"/>
  <c r="P92" i="23"/>
  <c r="I92" i="23"/>
  <c r="B92" i="23"/>
  <c r="N91" i="23"/>
  <c r="I91" i="23"/>
  <c r="B91" i="23"/>
  <c r="P90" i="23"/>
  <c r="O90" i="23"/>
  <c r="N90" i="23"/>
  <c r="I90" i="23"/>
  <c r="C90" i="23"/>
  <c r="B90" i="23" s="1"/>
  <c r="N89" i="23"/>
  <c r="I89" i="23"/>
  <c r="B89" i="23"/>
  <c r="P88" i="23"/>
  <c r="O88" i="23"/>
  <c r="N88" i="23"/>
  <c r="I88" i="23"/>
  <c r="B88" i="23"/>
  <c r="N87" i="23"/>
  <c r="I87" i="23"/>
  <c r="B87" i="23"/>
  <c r="P86" i="23"/>
  <c r="O86" i="23"/>
  <c r="N86" i="23"/>
  <c r="I86" i="23"/>
  <c r="M86" i="23" s="1"/>
  <c r="C86" i="23"/>
  <c r="B86" i="23" s="1"/>
  <c r="N85" i="23"/>
  <c r="I85" i="23"/>
  <c r="B85" i="23"/>
  <c r="P84" i="23"/>
  <c r="O84" i="23"/>
  <c r="N84" i="23"/>
  <c r="I84" i="23"/>
  <c r="C84" i="23"/>
  <c r="B84" i="23"/>
  <c r="P83" i="23"/>
  <c r="O83" i="23"/>
  <c r="N83" i="23"/>
  <c r="I83" i="23"/>
  <c r="B83" i="23"/>
  <c r="P82" i="23"/>
  <c r="N82" i="23"/>
  <c r="I82" i="23"/>
  <c r="B82" i="23"/>
  <c r="N81" i="23"/>
  <c r="I81" i="23"/>
  <c r="B81" i="23"/>
  <c r="P80" i="23"/>
  <c r="O80" i="23"/>
  <c r="N80" i="23"/>
  <c r="M80" i="23"/>
  <c r="I80" i="23"/>
  <c r="B80" i="23"/>
  <c r="N79" i="23"/>
  <c r="I79" i="23"/>
  <c r="B79" i="23"/>
  <c r="P78" i="23"/>
  <c r="N78" i="23"/>
  <c r="I78" i="23"/>
  <c r="B78" i="23"/>
  <c r="N77" i="23"/>
  <c r="I77" i="23"/>
  <c r="B77" i="23"/>
  <c r="P76" i="23"/>
  <c r="N76" i="23"/>
  <c r="I76" i="23"/>
  <c r="B76" i="23"/>
  <c r="P75" i="23"/>
  <c r="I75" i="23"/>
  <c r="B75" i="23"/>
  <c r="P74" i="23"/>
  <c r="N74" i="23"/>
  <c r="I74" i="23"/>
  <c r="B74" i="23"/>
  <c r="P73" i="23"/>
  <c r="I73" i="23"/>
  <c r="B73" i="23"/>
  <c r="P72" i="23"/>
  <c r="I72" i="23"/>
  <c r="B72" i="23"/>
  <c r="P71" i="23"/>
  <c r="N71" i="23"/>
  <c r="I71" i="23"/>
  <c r="C71" i="23"/>
  <c r="B71" i="23" s="1"/>
  <c r="P70" i="23"/>
  <c r="N70" i="23"/>
  <c r="I70" i="23"/>
  <c r="B70" i="23"/>
  <c r="N69" i="23"/>
  <c r="I69" i="23"/>
  <c r="B69" i="23"/>
  <c r="P68" i="23"/>
  <c r="I68" i="23"/>
  <c r="B68" i="23"/>
  <c r="P67" i="23"/>
  <c r="N67" i="23"/>
  <c r="I67" i="23"/>
  <c r="B67" i="23"/>
  <c r="N66" i="23"/>
  <c r="I66" i="23"/>
  <c r="B66" i="23"/>
  <c r="P65" i="23"/>
  <c r="N65" i="23"/>
  <c r="I65" i="23"/>
  <c r="B65" i="23"/>
  <c r="P64" i="23"/>
  <c r="N64" i="23"/>
  <c r="M64" i="23"/>
  <c r="I64" i="23"/>
  <c r="B64" i="23"/>
  <c r="P63" i="23"/>
  <c r="O63" i="23"/>
  <c r="N63" i="23"/>
  <c r="M63" i="23"/>
  <c r="I63" i="23"/>
  <c r="C63" i="23"/>
  <c r="B63" i="23"/>
  <c r="P62" i="23"/>
  <c r="N62" i="23"/>
  <c r="M62" i="23"/>
  <c r="I62" i="23"/>
  <c r="B62" i="23"/>
  <c r="P61" i="23"/>
  <c r="O61" i="23"/>
  <c r="N61" i="23"/>
  <c r="I61" i="23"/>
  <c r="C61" i="23"/>
  <c r="B61" i="23"/>
  <c r="P60" i="23"/>
  <c r="O60" i="23"/>
  <c r="N60" i="23"/>
  <c r="M60" i="23"/>
  <c r="I60" i="23"/>
  <c r="C60" i="23"/>
  <c r="B60" i="23" s="1"/>
  <c r="N59" i="23"/>
  <c r="I59" i="23"/>
  <c r="B59" i="23"/>
  <c r="P58" i="23"/>
  <c r="I58" i="23"/>
  <c r="C58" i="23"/>
  <c r="B58" i="23" s="1"/>
  <c r="P57" i="23"/>
  <c r="N57" i="23"/>
  <c r="I57" i="23"/>
  <c r="B57" i="23"/>
  <c r="P56" i="23"/>
  <c r="I56" i="23"/>
  <c r="B56" i="23"/>
  <c r="P55" i="23"/>
  <c r="N55" i="23"/>
  <c r="M55" i="23"/>
  <c r="I55" i="23"/>
  <c r="C55" i="23"/>
  <c r="B55" i="23" s="1"/>
  <c r="P54" i="23"/>
  <c r="O54" i="23"/>
  <c r="N54" i="23"/>
  <c r="I54" i="23"/>
  <c r="C54" i="23"/>
  <c r="B54" i="23"/>
  <c r="N53" i="23"/>
  <c r="I53" i="23"/>
  <c r="B53" i="23"/>
  <c r="P52" i="23"/>
  <c r="O52" i="23"/>
  <c r="N52" i="23"/>
  <c r="I52" i="23"/>
  <c r="M52" i="23" s="1"/>
  <c r="C52" i="23"/>
  <c r="B52" i="23" s="1"/>
  <c r="P51" i="23"/>
  <c r="O51" i="23"/>
  <c r="M51" i="23"/>
  <c r="I51" i="23"/>
  <c r="C51" i="23"/>
  <c r="B51" i="23"/>
  <c r="P50" i="23"/>
  <c r="I50" i="23"/>
  <c r="B50" i="23"/>
  <c r="P49" i="23"/>
  <c r="N49" i="23"/>
  <c r="M49" i="23"/>
  <c r="I49" i="23"/>
  <c r="C49" i="23"/>
  <c r="B49" i="23"/>
  <c r="P48" i="23"/>
  <c r="I48" i="23"/>
  <c r="B48" i="23"/>
  <c r="N47" i="23"/>
  <c r="I47" i="23"/>
  <c r="B47" i="23"/>
  <c r="P46" i="23"/>
  <c r="I46" i="23"/>
  <c r="B46" i="23"/>
  <c r="P45" i="23"/>
  <c r="N45" i="23"/>
  <c r="I45" i="23"/>
  <c r="M45" i="23" s="1"/>
  <c r="B45" i="23"/>
  <c r="N44" i="23"/>
  <c r="I44" i="23"/>
  <c r="B44" i="23"/>
  <c r="P43" i="23"/>
  <c r="I43" i="23"/>
  <c r="B43" i="23"/>
  <c r="P42" i="23"/>
  <c r="N42" i="23"/>
  <c r="I42" i="23"/>
  <c r="B42" i="23"/>
  <c r="N41" i="23"/>
  <c r="I41" i="23"/>
  <c r="B41" i="23"/>
  <c r="P40" i="23"/>
  <c r="N40" i="23"/>
  <c r="I40" i="23"/>
  <c r="B40" i="23"/>
  <c r="P39" i="23"/>
  <c r="N39" i="23"/>
  <c r="I39" i="23"/>
  <c r="B39" i="23"/>
  <c r="N38" i="23"/>
  <c r="I38" i="23"/>
  <c r="B38" i="23"/>
  <c r="P37" i="23"/>
  <c r="O37" i="23"/>
  <c r="N37" i="23"/>
  <c r="M37" i="23"/>
  <c r="I37" i="23"/>
  <c r="C37" i="23"/>
  <c r="B37" i="23"/>
  <c r="P36" i="23"/>
  <c r="N36" i="23"/>
  <c r="I36" i="23"/>
  <c r="B36" i="23"/>
  <c r="N35" i="23"/>
  <c r="I35" i="23"/>
  <c r="B35" i="23"/>
  <c r="P34" i="23"/>
  <c r="O34" i="23"/>
  <c r="N34" i="23"/>
  <c r="I34" i="23"/>
  <c r="M34" i="23" s="1"/>
  <c r="C34" i="23"/>
  <c r="B34" i="23" s="1"/>
  <c r="P33" i="23"/>
  <c r="O33" i="23"/>
  <c r="N33" i="23"/>
  <c r="I33" i="23"/>
  <c r="C33" i="23"/>
  <c r="B33" i="23" s="1"/>
  <c r="P32" i="23"/>
  <c r="N32" i="23"/>
  <c r="M32" i="23"/>
  <c r="I32" i="23"/>
  <c r="C32" i="23"/>
  <c r="B32" i="23"/>
  <c r="O31" i="23"/>
  <c r="N31" i="23"/>
  <c r="I31" i="23"/>
  <c r="C31" i="23"/>
  <c r="B31" i="23"/>
  <c r="P30" i="23"/>
  <c r="O30" i="23"/>
  <c r="N30" i="23"/>
  <c r="I30" i="23"/>
  <c r="M30" i="23" s="1"/>
  <c r="C30" i="23"/>
  <c r="B30" i="23" s="1"/>
  <c r="P29" i="23"/>
  <c r="I29" i="23"/>
  <c r="M29" i="23" s="1"/>
  <c r="C29" i="23"/>
  <c r="B29" i="23"/>
  <c r="P28" i="23"/>
  <c r="N28" i="23"/>
  <c r="I28" i="23"/>
  <c r="M28" i="23" s="1"/>
  <c r="C28" i="23"/>
  <c r="B28" i="23"/>
  <c r="P27" i="23"/>
  <c r="N27" i="23"/>
  <c r="M27" i="23"/>
  <c r="I27" i="23"/>
  <c r="C27" i="23"/>
  <c r="B27" i="23" s="1"/>
  <c r="Z26" i="23"/>
  <c r="Y26" i="23"/>
  <c r="W26" i="23"/>
  <c r="V26" i="23"/>
  <c r="P26" i="23"/>
  <c r="O26" i="23"/>
  <c r="N26" i="23"/>
  <c r="I26" i="23"/>
  <c r="M26" i="23" s="1"/>
  <c r="C26" i="23"/>
  <c r="B26" i="23" s="1"/>
  <c r="Z25" i="23"/>
  <c r="Y25" i="23"/>
  <c r="W25" i="23"/>
  <c r="V25" i="23"/>
  <c r="P25" i="23"/>
  <c r="I25" i="23"/>
  <c r="C25" i="23"/>
  <c r="B25" i="23" s="1"/>
  <c r="Z24" i="23"/>
  <c r="Y24" i="23"/>
  <c r="W24" i="23"/>
  <c r="V24" i="23"/>
  <c r="P24" i="23"/>
  <c r="I24" i="23"/>
  <c r="C24" i="23"/>
  <c r="B24" i="23"/>
  <c r="Z23" i="23"/>
  <c r="Y23" i="23"/>
  <c r="W23" i="23"/>
  <c r="V23" i="23"/>
  <c r="P23" i="23"/>
  <c r="N23" i="23"/>
  <c r="M23" i="23"/>
  <c r="I23" i="23"/>
  <c r="C23" i="23"/>
  <c r="B23" i="23"/>
  <c r="Z22" i="23"/>
  <c r="Y22" i="23"/>
  <c r="W22" i="23"/>
  <c r="V22" i="23"/>
  <c r="O22" i="23"/>
  <c r="N22" i="23"/>
  <c r="I22" i="23"/>
  <c r="C22" i="23"/>
  <c r="B22" i="23" s="1"/>
  <c r="Z21" i="23"/>
  <c r="Y21" i="23"/>
  <c r="W21" i="23"/>
  <c r="V21" i="23"/>
  <c r="O21" i="23"/>
  <c r="M21" i="23"/>
  <c r="I21" i="23"/>
  <c r="C21" i="23"/>
  <c r="B21" i="23" s="1"/>
  <c r="Z20" i="23"/>
  <c r="Y20" i="23"/>
  <c r="W20" i="23"/>
  <c r="V20" i="23"/>
  <c r="N20" i="23"/>
  <c r="I20" i="23"/>
  <c r="C20" i="23"/>
  <c r="B20" i="23" s="1"/>
  <c r="Z19" i="23"/>
  <c r="Y19" i="23"/>
  <c r="W19" i="23"/>
  <c r="V19" i="23"/>
  <c r="N19" i="23"/>
  <c r="M19" i="23"/>
  <c r="I19" i="23"/>
  <c r="C19" i="23"/>
  <c r="B19" i="23"/>
  <c r="Z18" i="23"/>
  <c r="Y18" i="23"/>
  <c r="W18" i="23"/>
  <c r="V18" i="23"/>
  <c r="P18" i="23"/>
  <c r="N18" i="23"/>
  <c r="I18" i="23"/>
  <c r="C18" i="23"/>
  <c r="B18" i="23" s="1"/>
  <c r="Z17" i="23"/>
  <c r="Y17" i="23"/>
  <c r="W17" i="23"/>
  <c r="V17" i="23"/>
  <c r="P17" i="23"/>
  <c r="N17" i="23"/>
  <c r="I17" i="23"/>
  <c r="C17" i="23"/>
  <c r="B17" i="23"/>
  <c r="P16" i="23"/>
  <c r="O16" i="23"/>
  <c r="N16" i="23"/>
  <c r="I16" i="23"/>
  <c r="C16" i="23"/>
  <c r="B16" i="23" s="1"/>
  <c r="O15" i="23"/>
  <c r="N15" i="23"/>
  <c r="I15" i="23"/>
  <c r="M15" i="23" s="1"/>
  <c r="C15" i="23"/>
  <c r="B15" i="23" s="1"/>
  <c r="P14" i="23"/>
  <c r="O14" i="23"/>
  <c r="N14" i="23"/>
  <c r="I14" i="23"/>
  <c r="C14" i="23"/>
  <c r="B14" i="23"/>
  <c r="Z13" i="23"/>
  <c r="Y13" i="23"/>
  <c r="W13" i="23"/>
  <c r="V13" i="23"/>
  <c r="T13" i="23"/>
  <c r="S13" i="23"/>
  <c r="M71" i="23" s="1"/>
  <c r="P13" i="23"/>
  <c r="O13" i="23"/>
  <c r="N13" i="23"/>
  <c r="I13" i="23"/>
  <c r="M13" i="23" s="1"/>
  <c r="C13" i="23"/>
  <c r="B13" i="23" s="1"/>
  <c r="Z12" i="23"/>
  <c r="Y12" i="23"/>
  <c r="W12" i="23"/>
  <c r="V12" i="23"/>
  <c r="T12" i="23"/>
  <c r="M53" i="23" s="1"/>
  <c r="S12" i="23"/>
  <c r="P12" i="23"/>
  <c r="I12" i="23"/>
  <c r="M12" i="23" s="1"/>
  <c r="C12" i="23"/>
  <c r="B12" i="23"/>
  <c r="Z11" i="23"/>
  <c r="Y11" i="23"/>
  <c r="W11" i="23"/>
  <c r="V11" i="23"/>
  <c r="T11" i="23"/>
  <c r="S11" i="23"/>
  <c r="P11" i="23"/>
  <c r="N11" i="23"/>
  <c r="M11" i="23"/>
  <c r="I11" i="23"/>
  <c r="C11" i="23"/>
  <c r="B11" i="23" s="1"/>
  <c r="Z10" i="23"/>
  <c r="Y10" i="23"/>
  <c r="W10" i="23"/>
  <c r="V10" i="23"/>
  <c r="T10" i="23"/>
  <c r="S10" i="23"/>
  <c r="O71" i="23" s="1"/>
  <c r="O10" i="23"/>
  <c r="N10" i="23"/>
  <c r="I10" i="23"/>
  <c r="M10" i="23" s="1"/>
  <c r="C10" i="23"/>
  <c r="B10" i="23" s="1"/>
  <c r="Z9" i="23"/>
  <c r="Y9" i="23"/>
  <c r="W9" i="23"/>
  <c r="V9" i="23"/>
  <c r="T9" i="23"/>
  <c r="P94" i="23" s="1"/>
  <c r="S9" i="23"/>
  <c r="P9" i="23"/>
  <c r="O9" i="23"/>
  <c r="N9" i="23"/>
  <c r="I9" i="23"/>
  <c r="M9" i="23" s="1"/>
  <c r="C9" i="23"/>
  <c r="B9" i="23" s="1"/>
  <c r="Z8" i="23"/>
  <c r="Y8" i="23"/>
  <c r="W8" i="23"/>
  <c r="V8" i="23"/>
  <c r="T8" i="23"/>
  <c r="N72" i="23" s="1"/>
  <c r="S8" i="23"/>
  <c r="P8" i="23"/>
  <c r="O8" i="23"/>
  <c r="N8" i="23"/>
  <c r="I8" i="23"/>
  <c r="M8" i="23" s="1"/>
  <c r="C8" i="23"/>
  <c r="B8" i="23"/>
  <c r="Z7" i="23"/>
  <c r="Y7" i="23"/>
  <c r="W7" i="23"/>
  <c r="V7" i="23"/>
  <c r="P7" i="23"/>
  <c r="O7" i="23"/>
  <c r="N7" i="23"/>
  <c r="M7" i="23"/>
  <c r="I7" i="23"/>
  <c r="C7" i="23"/>
  <c r="B7" i="23"/>
  <c r="Z6" i="23"/>
  <c r="Y6" i="23"/>
  <c r="W6" i="23"/>
  <c r="V6" i="23"/>
  <c r="P6" i="23"/>
  <c r="O6" i="23"/>
  <c r="N6" i="23"/>
  <c r="I6" i="23"/>
  <c r="M6" i="23" s="1"/>
  <c r="C6" i="23"/>
  <c r="B6" i="23" s="1"/>
  <c r="Z5" i="23"/>
  <c r="Y5" i="23"/>
  <c r="W5" i="23"/>
  <c r="V5" i="23"/>
  <c r="P5" i="23"/>
  <c r="O5" i="23"/>
  <c r="N5" i="23"/>
  <c r="M5" i="23"/>
  <c r="I5" i="23"/>
  <c r="C5" i="23"/>
  <c r="B5" i="23"/>
  <c r="Z4" i="23"/>
  <c r="Y4" i="23"/>
  <c r="W4" i="23"/>
  <c r="V4" i="23"/>
  <c r="P4" i="23"/>
  <c r="O4" i="23"/>
  <c r="N4" i="23"/>
  <c r="M4" i="23"/>
  <c r="I4" i="23"/>
  <c r="C4" i="23"/>
  <c r="P3" i="23"/>
  <c r="O3" i="23"/>
  <c r="N3" i="23"/>
  <c r="I3" i="23"/>
  <c r="M3" i="23" s="1"/>
  <c r="C3" i="23"/>
  <c r="P2" i="23"/>
  <c r="O2" i="23"/>
  <c r="N2" i="23"/>
  <c r="M2" i="23"/>
  <c r="I2" i="23"/>
  <c r="C2" i="23"/>
  <c r="B2" i="23"/>
  <c r="B163" i="22"/>
  <c r="B162" i="22"/>
  <c r="B161" i="22"/>
  <c r="B160" i="22"/>
  <c r="B159" i="22"/>
  <c r="B158" i="22"/>
  <c r="B157" i="22"/>
  <c r="B156" i="22"/>
  <c r="B155" i="22"/>
  <c r="B154" i="22"/>
  <c r="B153" i="22"/>
  <c r="B152" i="22"/>
  <c r="B151" i="22"/>
  <c r="B150" i="22"/>
  <c r="B149" i="22"/>
  <c r="B148" i="22"/>
  <c r="B147" i="22"/>
  <c r="B146" i="22"/>
  <c r="B145" i="22"/>
  <c r="B144" i="22"/>
  <c r="B143" i="22"/>
  <c r="B142" i="22"/>
  <c r="B141" i="22"/>
  <c r="B140" i="22"/>
  <c r="B139" i="22"/>
  <c r="B138" i="22"/>
  <c r="B137" i="22"/>
  <c r="B136" i="22"/>
  <c r="B135" i="22"/>
  <c r="B134" i="22"/>
  <c r="B133" i="22"/>
  <c r="B132" i="22"/>
  <c r="B131" i="22"/>
  <c r="B130" i="22"/>
  <c r="B129" i="22"/>
  <c r="B128" i="22"/>
  <c r="B127" i="22"/>
  <c r="B126" i="22"/>
  <c r="B125" i="22"/>
  <c r="B124" i="22"/>
  <c r="B123" i="22"/>
  <c r="B122" i="22"/>
  <c r="B121" i="22"/>
  <c r="B120" i="22"/>
  <c r="B119" i="22"/>
  <c r="B118" i="22"/>
  <c r="B117" i="22"/>
  <c r="B116" i="22"/>
  <c r="B115" i="22"/>
  <c r="B114" i="22"/>
  <c r="B113" i="22"/>
  <c r="B112" i="22"/>
  <c r="B111" i="22"/>
  <c r="B110" i="22"/>
  <c r="B109" i="22"/>
  <c r="B108" i="22"/>
  <c r="B107" i="22"/>
  <c r="B106" i="22"/>
  <c r="B105" i="22"/>
  <c r="B104" i="22"/>
  <c r="P103" i="22"/>
  <c r="O103" i="22"/>
  <c r="N103" i="22"/>
  <c r="M103" i="22"/>
  <c r="I103" i="22"/>
  <c r="B103" i="22"/>
  <c r="P102" i="22"/>
  <c r="O102" i="22"/>
  <c r="N102" i="22"/>
  <c r="I102" i="22"/>
  <c r="M102" i="22" s="1"/>
  <c r="B102" i="22"/>
  <c r="P101" i="22"/>
  <c r="O101" i="22"/>
  <c r="N101" i="22"/>
  <c r="I101" i="22"/>
  <c r="M101" i="22" s="1"/>
  <c r="B101" i="22"/>
  <c r="P100" i="22"/>
  <c r="O100" i="22"/>
  <c r="N100" i="22"/>
  <c r="I100" i="22"/>
  <c r="M100" i="22" s="1"/>
  <c r="B100" i="22"/>
  <c r="P99" i="22"/>
  <c r="O99" i="22"/>
  <c r="N99" i="22"/>
  <c r="I99" i="22"/>
  <c r="M99" i="22" s="1"/>
  <c r="B99" i="22"/>
  <c r="P98" i="22"/>
  <c r="O98" i="22"/>
  <c r="N98" i="22"/>
  <c r="I98" i="22"/>
  <c r="M98" i="22" s="1"/>
  <c r="B98" i="22"/>
  <c r="P97" i="22"/>
  <c r="O97" i="22"/>
  <c r="N97" i="22"/>
  <c r="M97" i="22"/>
  <c r="I97" i="22"/>
  <c r="B97" i="22"/>
  <c r="P96" i="22"/>
  <c r="N96" i="22"/>
  <c r="I96" i="22"/>
  <c r="M96" i="22" s="1"/>
  <c r="B96" i="22"/>
  <c r="P95" i="22"/>
  <c r="N95" i="22"/>
  <c r="I95" i="22"/>
  <c r="M95" i="22" s="1"/>
  <c r="B95" i="22"/>
  <c r="P94" i="22"/>
  <c r="N94" i="22"/>
  <c r="I94" i="22"/>
  <c r="B94" i="22"/>
  <c r="P93" i="22"/>
  <c r="N93" i="22"/>
  <c r="I93" i="22"/>
  <c r="M93" i="22" s="1"/>
  <c r="B93" i="22"/>
  <c r="P92" i="22"/>
  <c r="O92" i="22"/>
  <c r="N92" i="22"/>
  <c r="I92" i="22"/>
  <c r="B92" i="22"/>
  <c r="P91" i="22"/>
  <c r="N91" i="22"/>
  <c r="M91" i="22"/>
  <c r="I91" i="22"/>
  <c r="B91" i="22"/>
  <c r="P90" i="22"/>
  <c r="O90" i="22"/>
  <c r="N90" i="22"/>
  <c r="I90" i="22"/>
  <c r="M90" i="22" s="1"/>
  <c r="C90" i="22"/>
  <c r="B90" i="22"/>
  <c r="P89" i="22"/>
  <c r="N89" i="22"/>
  <c r="I89" i="22"/>
  <c r="B89" i="22"/>
  <c r="P88" i="22"/>
  <c r="O88" i="22"/>
  <c r="N88" i="22"/>
  <c r="I88" i="22"/>
  <c r="B88" i="22"/>
  <c r="P87" i="22"/>
  <c r="O87" i="22"/>
  <c r="N87" i="22"/>
  <c r="M87" i="22"/>
  <c r="I87" i="22"/>
  <c r="C87" i="22"/>
  <c r="B87" i="22"/>
  <c r="P86" i="22"/>
  <c r="N86" i="22"/>
  <c r="I86" i="22"/>
  <c r="B86" i="22"/>
  <c r="P85" i="22"/>
  <c r="N85" i="22"/>
  <c r="M85" i="22"/>
  <c r="I85" i="22"/>
  <c r="B85" i="22"/>
  <c r="P84" i="22"/>
  <c r="N84" i="22"/>
  <c r="I84" i="22"/>
  <c r="B84" i="22"/>
  <c r="P83" i="22"/>
  <c r="N83" i="22"/>
  <c r="I83" i="22"/>
  <c r="B83" i="22"/>
  <c r="P82" i="22"/>
  <c r="N82" i="22"/>
  <c r="M82" i="22"/>
  <c r="I82" i="22"/>
  <c r="B82" i="22"/>
  <c r="P81" i="22"/>
  <c r="N81" i="22"/>
  <c r="I81" i="22"/>
  <c r="B81" i="22"/>
  <c r="P80" i="22"/>
  <c r="O80" i="22"/>
  <c r="N80" i="22"/>
  <c r="I80" i="22"/>
  <c r="M80" i="22" s="1"/>
  <c r="C80" i="22"/>
  <c r="B80" i="22" s="1"/>
  <c r="P79" i="22"/>
  <c r="N79" i="22"/>
  <c r="I79" i="22"/>
  <c r="B79" i="22"/>
  <c r="P78" i="22"/>
  <c r="N78" i="22"/>
  <c r="I78" i="22"/>
  <c r="B78" i="22"/>
  <c r="P77" i="22"/>
  <c r="N77" i="22"/>
  <c r="I77" i="22"/>
  <c r="B77" i="22"/>
  <c r="P76" i="22"/>
  <c r="N76" i="22"/>
  <c r="I76" i="22"/>
  <c r="B76" i="22"/>
  <c r="P75" i="22"/>
  <c r="O75" i="22"/>
  <c r="N75" i="22"/>
  <c r="I75" i="22"/>
  <c r="B75" i="22"/>
  <c r="P74" i="22"/>
  <c r="O74" i="22"/>
  <c r="N74" i="22"/>
  <c r="M74" i="22"/>
  <c r="I74" i="22"/>
  <c r="C74" i="22"/>
  <c r="B74" i="22"/>
  <c r="P73" i="22"/>
  <c r="O73" i="22"/>
  <c r="N73" i="22"/>
  <c r="M73" i="22"/>
  <c r="I73" i="22"/>
  <c r="C73" i="22"/>
  <c r="B73" i="22"/>
  <c r="P72" i="22"/>
  <c r="O72" i="22"/>
  <c r="N72" i="22"/>
  <c r="M72" i="22"/>
  <c r="I72" i="22"/>
  <c r="B72" i="22"/>
  <c r="T71" i="22"/>
  <c r="P71" i="22"/>
  <c r="O71" i="22"/>
  <c r="N71" i="22"/>
  <c r="I71" i="22"/>
  <c r="M71" i="22" s="1"/>
  <c r="C71" i="22"/>
  <c r="B71" i="22" s="1"/>
  <c r="P70" i="22"/>
  <c r="O70" i="22"/>
  <c r="N70" i="22"/>
  <c r="I70" i="22"/>
  <c r="B70" i="22"/>
  <c r="P69" i="22"/>
  <c r="O69" i="22"/>
  <c r="N69" i="22"/>
  <c r="I69" i="22"/>
  <c r="B69" i="22"/>
  <c r="P68" i="22"/>
  <c r="O68" i="22"/>
  <c r="N68" i="22"/>
  <c r="I68" i="22"/>
  <c r="B68" i="22"/>
  <c r="P67" i="22"/>
  <c r="N67" i="22"/>
  <c r="I67" i="22"/>
  <c r="M67" i="22" s="1"/>
  <c r="B67" i="22"/>
  <c r="P66" i="22"/>
  <c r="O66" i="22"/>
  <c r="N66" i="22"/>
  <c r="I66" i="22"/>
  <c r="M66" i="22" s="1"/>
  <c r="B66" i="22"/>
  <c r="P65" i="22"/>
  <c r="O65" i="22"/>
  <c r="N65" i="22"/>
  <c r="I65" i="22"/>
  <c r="M65" i="22" s="1"/>
  <c r="B65" i="22"/>
  <c r="P64" i="22"/>
  <c r="O64" i="22"/>
  <c r="N64" i="22"/>
  <c r="I64" i="22"/>
  <c r="B64" i="22"/>
  <c r="P63" i="22"/>
  <c r="O63" i="22"/>
  <c r="N63" i="22"/>
  <c r="I63" i="22"/>
  <c r="M63" i="22" s="1"/>
  <c r="C63" i="22"/>
  <c r="B63" i="22" s="1"/>
  <c r="P62" i="22"/>
  <c r="N62" i="22"/>
  <c r="M62" i="22"/>
  <c r="I62" i="22"/>
  <c r="B62" i="22"/>
  <c r="P61" i="22"/>
  <c r="O61" i="22"/>
  <c r="N61" i="22"/>
  <c r="I61" i="22"/>
  <c r="M61" i="22" s="1"/>
  <c r="C61" i="22"/>
  <c r="B61" i="22"/>
  <c r="P60" i="22"/>
  <c r="O60" i="22"/>
  <c r="N60" i="22"/>
  <c r="M60" i="22"/>
  <c r="I60" i="22"/>
  <c r="C60" i="22"/>
  <c r="B60" i="22"/>
  <c r="P59" i="22"/>
  <c r="O59" i="22"/>
  <c r="N59" i="22"/>
  <c r="M59" i="22"/>
  <c r="I59" i="22"/>
  <c r="C59" i="22"/>
  <c r="B59" i="22"/>
  <c r="P58" i="22"/>
  <c r="O58" i="22"/>
  <c r="N58" i="22"/>
  <c r="I58" i="22"/>
  <c r="M58" i="22" s="1"/>
  <c r="C58" i="22"/>
  <c r="B58" i="22" s="1"/>
  <c r="P57" i="22"/>
  <c r="O57" i="22"/>
  <c r="N57" i="22"/>
  <c r="I57" i="22"/>
  <c r="M57" i="22" s="1"/>
  <c r="C57" i="22"/>
  <c r="B57" i="22"/>
  <c r="P56" i="22"/>
  <c r="O56" i="22"/>
  <c r="N56" i="22"/>
  <c r="I56" i="22"/>
  <c r="M56" i="22" s="1"/>
  <c r="C56" i="22"/>
  <c r="B56" i="22"/>
  <c r="P55" i="22"/>
  <c r="O55" i="22"/>
  <c r="N55" i="22"/>
  <c r="M55" i="22"/>
  <c r="I55" i="22"/>
  <c r="C55" i="22"/>
  <c r="B55" i="22"/>
  <c r="P54" i="22"/>
  <c r="O54" i="22"/>
  <c r="N54" i="22"/>
  <c r="M54" i="22"/>
  <c r="I54" i="22"/>
  <c r="C54" i="22"/>
  <c r="B54" i="22"/>
  <c r="P53" i="22"/>
  <c r="N53" i="22"/>
  <c r="I53" i="22"/>
  <c r="B53" i="22"/>
  <c r="P52" i="22"/>
  <c r="O52" i="22"/>
  <c r="N52" i="22"/>
  <c r="M52" i="22"/>
  <c r="I52" i="22"/>
  <c r="B52" i="22"/>
  <c r="P51" i="22"/>
  <c r="O51" i="22"/>
  <c r="N51" i="22"/>
  <c r="M51" i="22"/>
  <c r="I51" i="22"/>
  <c r="C51" i="22"/>
  <c r="B51" i="22" s="1"/>
  <c r="P50" i="22"/>
  <c r="O50" i="22"/>
  <c r="N50" i="22"/>
  <c r="I50" i="22"/>
  <c r="M50" i="22" s="1"/>
  <c r="C50" i="22"/>
  <c r="B50" i="22"/>
  <c r="P49" i="22"/>
  <c r="O49" i="22"/>
  <c r="N49" i="22"/>
  <c r="M49" i="22"/>
  <c r="I49" i="22"/>
  <c r="C49" i="22"/>
  <c r="B49" i="22" s="1"/>
  <c r="P48" i="22"/>
  <c r="O48" i="22"/>
  <c r="N48" i="22"/>
  <c r="I48" i="22"/>
  <c r="M48" i="22" s="1"/>
  <c r="C48" i="22"/>
  <c r="B48" i="22" s="1"/>
  <c r="P47" i="22"/>
  <c r="O47" i="22"/>
  <c r="N47" i="22"/>
  <c r="I47" i="22"/>
  <c r="M47" i="22" s="1"/>
  <c r="C47" i="22"/>
  <c r="B47" i="22"/>
  <c r="P46" i="22"/>
  <c r="O46" i="22"/>
  <c r="N46" i="22"/>
  <c r="M46" i="22"/>
  <c r="I46" i="22"/>
  <c r="C46" i="22"/>
  <c r="B46" i="22"/>
  <c r="P45" i="22"/>
  <c r="O45" i="22"/>
  <c r="N45" i="22"/>
  <c r="I45" i="22"/>
  <c r="B45" i="22"/>
  <c r="P44" i="22"/>
  <c r="O44" i="22"/>
  <c r="N44" i="22"/>
  <c r="I44" i="22"/>
  <c r="M44" i="22" s="1"/>
  <c r="C44" i="22"/>
  <c r="B44" i="22" s="1"/>
  <c r="P43" i="22"/>
  <c r="O43" i="22"/>
  <c r="N43" i="22"/>
  <c r="I43" i="22"/>
  <c r="M43" i="22" s="1"/>
  <c r="C43" i="22"/>
  <c r="B43" i="22" s="1"/>
  <c r="P42" i="22"/>
  <c r="O42" i="22"/>
  <c r="N42" i="22"/>
  <c r="I42" i="22"/>
  <c r="M42" i="22" s="1"/>
  <c r="C42" i="22"/>
  <c r="B42" i="22" s="1"/>
  <c r="P41" i="22"/>
  <c r="O41" i="22"/>
  <c r="N41" i="22"/>
  <c r="I41" i="22"/>
  <c r="M41" i="22" s="1"/>
  <c r="C41" i="22"/>
  <c r="B41" i="22"/>
  <c r="P40" i="22"/>
  <c r="O40" i="22"/>
  <c r="N40" i="22"/>
  <c r="M40" i="22"/>
  <c r="I40" i="22"/>
  <c r="C40" i="22"/>
  <c r="B40" i="22"/>
  <c r="P39" i="22"/>
  <c r="O39" i="22"/>
  <c r="N39" i="22"/>
  <c r="I39" i="22"/>
  <c r="M39" i="22" s="1"/>
  <c r="C39" i="22"/>
  <c r="B39" i="22" s="1"/>
  <c r="P38" i="22"/>
  <c r="N38" i="22"/>
  <c r="I38" i="22"/>
  <c r="B38" i="22"/>
  <c r="S37" i="22"/>
  <c r="P37" i="22"/>
  <c r="O37" i="22"/>
  <c r="N37" i="22"/>
  <c r="I37" i="22"/>
  <c r="B37" i="22"/>
  <c r="P36" i="22"/>
  <c r="O36" i="22"/>
  <c r="N36" i="22"/>
  <c r="I36" i="22"/>
  <c r="B36" i="22"/>
  <c r="P35" i="22"/>
  <c r="O35" i="22"/>
  <c r="N35" i="22"/>
  <c r="M35" i="22"/>
  <c r="I35" i="22"/>
  <c r="C35" i="22"/>
  <c r="B35" i="22" s="1"/>
  <c r="P34" i="22"/>
  <c r="O34" i="22"/>
  <c r="N34" i="22"/>
  <c r="I34" i="22"/>
  <c r="M34" i="22" s="1"/>
  <c r="C34" i="22"/>
  <c r="B34" i="22"/>
  <c r="P33" i="22"/>
  <c r="O33" i="22"/>
  <c r="N33" i="22"/>
  <c r="I33" i="22"/>
  <c r="M33" i="22" s="1"/>
  <c r="B33" i="22"/>
  <c r="P32" i="22"/>
  <c r="O32" i="22"/>
  <c r="N32" i="22"/>
  <c r="M32" i="22"/>
  <c r="I32" i="22"/>
  <c r="C32" i="22"/>
  <c r="B32" i="22" s="1"/>
  <c r="P31" i="22"/>
  <c r="O31" i="22"/>
  <c r="N31" i="22"/>
  <c r="I31" i="22"/>
  <c r="M31" i="22" s="1"/>
  <c r="B31" i="22"/>
  <c r="P30" i="22"/>
  <c r="O30" i="22"/>
  <c r="N30" i="22"/>
  <c r="I30" i="22"/>
  <c r="B30" i="22"/>
  <c r="P29" i="22"/>
  <c r="O29" i="22"/>
  <c r="N29" i="22"/>
  <c r="I29" i="22"/>
  <c r="M29" i="22" s="1"/>
  <c r="B29" i="22"/>
  <c r="P28" i="22"/>
  <c r="O28" i="22"/>
  <c r="N28" i="22"/>
  <c r="I28" i="22"/>
  <c r="B28" i="22"/>
  <c r="P27" i="22"/>
  <c r="O27" i="22"/>
  <c r="N27" i="22"/>
  <c r="I27" i="22"/>
  <c r="B27" i="22"/>
  <c r="Z26" i="22"/>
  <c r="Y26" i="22"/>
  <c r="W26" i="22"/>
  <c r="V26" i="22"/>
  <c r="P26" i="22"/>
  <c r="O26" i="22"/>
  <c r="N26" i="22"/>
  <c r="I26" i="22"/>
  <c r="B26" i="22"/>
  <c r="Z25" i="22"/>
  <c r="Y25" i="22"/>
  <c r="W25" i="22"/>
  <c r="V25" i="22"/>
  <c r="T25" i="22"/>
  <c r="S25" i="22"/>
  <c r="P25" i="22"/>
  <c r="O25" i="22"/>
  <c r="N25" i="22"/>
  <c r="I25" i="22"/>
  <c r="B25" i="22"/>
  <c r="Z24" i="22"/>
  <c r="Y24" i="22"/>
  <c r="W24" i="22"/>
  <c r="V24" i="22"/>
  <c r="T24" i="22"/>
  <c r="S24" i="22"/>
  <c r="P24" i="22"/>
  <c r="O24" i="22"/>
  <c r="N24" i="22"/>
  <c r="M24" i="22"/>
  <c r="I24" i="22"/>
  <c r="C24" i="22"/>
  <c r="B24" i="22"/>
  <c r="Z23" i="22"/>
  <c r="Y23" i="22"/>
  <c r="W23" i="22"/>
  <c r="V23" i="22"/>
  <c r="T23" i="22"/>
  <c r="P23" i="22"/>
  <c r="O23" i="22"/>
  <c r="N23" i="22"/>
  <c r="I23" i="22"/>
  <c r="B23" i="22"/>
  <c r="Z22" i="22"/>
  <c r="Y22" i="22"/>
  <c r="W22" i="22"/>
  <c r="V22" i="22"/>
  <c r="P22" i="22"/>
  <c r="O22" i="22"/>
  <c r="N22" i="22"/>
  <c r="I22" i="22"/>
  <c r="B22" i="22"/>
  <c r="Z21" i="22"/>
  <c r="Y21" i="22"/>
  <c r="W21" i="22"/>
  <c r="V21" i="22"/>
  <c r="P21" i="22"/>
  <c r="N21" i="22"/>
  <c r="I21" i="22"/>
  <c r="B21" i="22"/>
  <c r="Z20" i="22"/>
  <c r="Y20" i="22"/>
  <c r="W20" i="22"/>
  <c r="V20" i="22"/>
  <c r="P20" i="22"/>
  <c r="O20" i="22"/>
  <c r="N20" i="22"/>
  <c r="I20" i="22"/>
  <c r="B20" i="22"/>
  <c r="Z19" i="22"/>
  <c r="Y19" i="22"/>
  <c r="W19" i="22"/>
  <c r="V19" i="22"/>
  <c r="P19" i="22"/>
  <c r="O19" i="22"/>
  <c r="N19" i="22"/>
  <c r="I19" i="22"/>
  <c r="B19" i="22"/>
  <c r="Z18" i="22"/>
  <c r="Y18" i="22"/>
  <c r="W18" i="22"/>
  <c r="V18" i="22"/>
  <c r="P18" i="22"/>
  <c r="O18" i="22"/>
  <c r="N18" i="22"/>
  <c r="I18" i="22"/>
  <c r="M18" i="22" s="1"/>
  <c r="C18" i="22"/>
  <c r="B18" i="22" s="1"/>
  <c r="Z17" i="22"/>
  <c r="Y17" i="22"/>
  <c r="W17" i="22"/>
  <c r="V17" i="22"/>
  <c r="P17" i="22"/>
  <c r="O17" i="22"/>
  <c r="N17" i="22"/>
  <c r="I17" i="22"/>
  <c r="M17" i="22" s="1"/>
  <c r="B17" i="22"/>
  <c r="P16" i="22"/>
  <c r="O16" i="22"/>
  <c r="N16" i="22"/>
  <c r="I16" i="22"/>
  <c r="M16" i="22" s="1"/>
  <c r="B16" i="22"/>
  <c r="P15" i="22"/>
  <c r="O15" i="22"/>
  <c r="N15" i="22"/>
  <c r="I15" i="22"/>
  <c r="M15" i="22" s="1"/>
  <c r="C15" i="22"/>
  <c r="B15" i="22"/>
  <c r="P14" i="22"/>
  <c r="O14" i="22"/>
  <c r="N14" i="22"/>
  <c r="I14" i="22"/>
  <c r="M14" i="22" s="1"/>
  <c r="C14" i="22"/>
  <c r="B14" i="22" s="1"/>
  <c r="Z13" i="22"/>
  <c r="Y13" i="22"/>
  <c r="W13" i="22"/>
  <c r="V13" i="22"/>
  <c r="T13" i="22"/>
  <c r="S13" i="22"/>
  <c r="P13" i="22"/>
  <c r="O13" i="22"/>
  <c r="N13" i="22"/>
  <c r="M13" i="22"/>
  <c r="I13" i="22"/>
  <c r="C13" i="22"/>
  <c r="B13" i="22"/>
  <c r="Z12" i="22"/>
  <c r="Y12" i="22"/>
  <c r="W12" i="22"/>
  <c r="V12" i="22"/>
  <c r="T12" i="22"/>
  <c r="S12" i="22"/>
  <c r="P12" i="22"/>
  <c r="O12" i="22"/>
  <c r="N12" i="22"/>
  <c r="M12" i="22"/>
  <c r="I12" i="22"/>
  <c r="C12" i="22"/>
  <c r="B12" i="22" s="1"/>
  <c r="Z11" i="22"/>
  <c r="Y11" i="22"/>
  <c r="W11" i="22"/>
  <c r="V11" i="22"/>
  <c r="T11" i="22"/>
  <c r="S11" i="22"/>
  <c r="P11" i="22"/>
  <c r="O11" i="22"/>
  <c r="N11" i="22"/>
  <c r="M11" i="22"/>
  <c r="I11" i="22"/>
  <c r="C11" i="22"/>
  <c r="B11" i="22"/>
  <c r="Z10" i="22"/>
  <c r="Y10" i="22"/>
  <c r="W10" i="22"/>
  <c r="V10" i="22"/>
  <c r="T10" i="22"/>
  <c r="S10" i="22"/>
  <c r="P10" i="22"/>
  <c r="O10" i="22"/>
  <c r="N10" i="22"/>
  <c r="M10" i="22"/>
  <c r="I10" i="22"/>
  <c r="C10" i="22"/>
  <c r="B10" i="22" s="1"/>
  <c r="Z9" i="22"/>
  <c r="Y9" i="22"/>
  <c r="W9" i="22"/>
  <c r="V9" i="22"/>
  <c r="T9" i="22"/>
  <c r="S9" i="22"/>
  <c r="P9" i="22"/>
  <c r="O9" i="22"/>
  <c r="N9" i="22"/>
  <c r="M9" i="22"/>
  <c r="I9" i="22"/>
  <c r="C9" i="22"/>
  <c r="B9" i="22"/>
  <c r="Z8" i="22"/>
  <c r="Y8" i="22"/>
  <c r="W8" i="22"/>
  <c r="V8" i="22"/>
  <c r="T8" i="22"/>
  <c r="S8" i="22"/>
  <c r="P8" i="22"/>
  <c r="O8" i="22"/>
  <c r="N8" i="22"/>
  <c r="M8" i="22"/>
  <c r="I8" i="22"/>
  <c r="B8" i="22"/>
  <c r="Z7" i="22"/>
  <c r="Y7" i="22"/>
  <c r="W7" i="22"/>
  <c r="V7" i="22"/>
  <c r="P7" i="22"/>
  <c r="O7" i="22"/>
  <c r="N7" i="22"/>
  <c r="M7" i="22"/>
  <c r="I7" i="22"/>
  <c r="C7" i="22"/>
  <c r="B7" i="22" s="1"/>
  <c r="Z6" i="22"/>
  <c r="Y6" i="22"/>
  <c r="W6" i="22"/>
  <c r="V6" i="22"/>
  <c r="P6" i="22"/>
  <c r="O6" i="22"/>
  <c r="N6" i="22"/>
  <c r="I6" i="22"/>
  <c r="M6" i="22" s="1"/>
  <c r="C6" i="22"/>
  <c r="S38" i="22" s="1"/>
  <c r="Z5" i="22"/>
  <c r="Y5" i="22"/>
  <c r="W5" i="22"/>
  <c r="V5" i="22"/>
  <c r="P5" i="22"/>
  <c r="O5" i="22"/>
  <c r="N5" i="22"/>
  <c r="I5" i="22"/>
  <c r="M5" i="22" s="1"/>
  <c r="C5" i="22"/>
  <c r="B5" i="22"/>
  <c r="Z4" i="22"/>
  <c r="Y4" i="22"/>
  <c r="W4" i="22"/>
  <c r="V4" i="22"/>
  <c r="P4" i="22"/>
  <c r="O4" i="22"/>
  <c r="N4" i="22"/>
  <c r="M4" i="22"/>
  <c r="I4" i="22"/>
  <c r="C4" i="22"/>
  <c r="B4" i="22" s="1"/>
  <c r="P3" i="22"/>
  <c r="O3" i="22"/>
  <c r="N3" i="22"/>
  <c r="M3" i="22"/>
  <c r="I3" i="22"/>
  <c r="C3" i="22"/>
  <c r="B3" i="22" s="1"/>
  <c r="P2" i="22"/>
  <c r="O2" i="22"/>
  <c r="N2" i="22"/>
  <c r="I2" i="22"/>
  <c r="M2" i="22" s="1"/>
  <c r="C2" i="22"/>
  <c r="B163" i="21"/>
  <c r="B162" i="21"/>
  <c r="B161" i="21"/>
  <c r="B160" i="21"/>
  <c r="B159" i="21"/>
  <c r="B158" i="21"/>
  <c r="B157" i="21"/>
  <c r="B156" i="21"/>
  <c r="B155" i="21"/>
  <c r="B154" i="21"/>
  <c r="B153" i="21"/>
  <c r="B152" i="21"/>
  <c r="B151" i="21"/>
  <c r="B150" i="21"/>
  <c r="B149" i="21"/>
  <c r="B148" i="21"/>
  <c r="B147" i="21"/>
  <c r="B146" i="21"/>
  <c r="B145" i="21"/>
  <c r="B144" i="21"/>
  <c r="B143" i="21"/>
  <c r="B142" i="21"/>
  <c r="B141" i="21"/>
  <c r="B140" i="21"/>
  <c r="B139" i="21"/>
  <c r="B138" i="21"/>
  <c r="B137" i="21"/>
  <c r="B136" i="21"/>
  <c r="B135" i="21"/>
  <c r="B134" i="21"/>
  <c r="B133" i="21"/>
  <c r="B132" i="21"/>
  <c r="B131" i="21"/>
  <c r="B130" i="21"/>
  <c r="B129" i="21"/>
  <c r="B128" i="21"/>
  <c r="B127" i="21"/>
  <c r="B126" i="21"/>
  <c r="B125" i="21"/>
  <c r="B124" i="21"/>
  <c r="B123" i="21"/>
  <c r="B122" i="21"/>
  <c r="B121" i="21"/>
  <c r="B120" i="21"/>
  <c r="B119" i="21"/>
  <c r="B118" i="21"/>
  <c r="B117" i="21"/>
  <c r="B116" i="21"/>
  <c r="B115" i="21"/>
  <c r="B114" i="21"/>
  <c r="B113" i="21"/>
  <c r="B112" i="21"/>
  <c r="B111" i="21"/>
  <c r="B110" i="21"/>
  <c r="B109" i="21"/>
  <c r="B108" i="21"/>
  <c r="B107" i="21"/>
  <c r="B106" i="21"/>
  <c r="B105" i="21"/>
  <c r="B104" i="21"/>
  <c r="C103" i="21"/>
  <c r="B103" i="21"/>
  <c r="C102" i="21"/>
  <c r="B102" i="21"/>
  <c r="C101" i="21"/>
  <c r="B101" i="21"/>
  <c r="C100" i="21"/>
  <c r="B100" i="21"/>
  <c r="C99" i="21"/>
  <c r="B99" i="21"/>
  <c r="C98" i="21"/>
  <c r="B98" i="21" s="1"/>
  <c r="C97" i="21"/>
  <c r="B97" i="21" s="1"/>
  <c r="C96" i="21"/>
  <c r="B96" i="21"/>
  <c r="C95" i="21"/>
  <c r="B95" i="21"/>
  <c r="C94" i="21"/>
  <c r="B94" i="21"/>
  <c r="C93" i="21"/>
  <c r="B93" i="21"/>
  <c r="P92" i="21"/>
  <c r="O92" i="21"/>
  <c r="N92" i="21"/>
  <c r="M92" i="21"/>
  <c r="I92" i="21"/>
  <c r="C92" i="21"/>
  <c r="B92" i="21" s="1"/>
  <c r="P91" i="21"/>
  <c r="O91" i="21"/>
  <c r="N91" i="21"/>
  <c r="M91" i="21"/>
  <c r="I91" i="21"/>
  <c r="C91" i="21"/>
  <c r="B91" i="21"/>
  <c r="P90" i="21"/>
  <c r="O90" i="21"/>
  <c r="N90" i="21"/>
  <c r="M90" i="21"/>
  <c r="I90" i="21"/>
  <c r="C90" i="21"/>
  <c r="B90" i="21" s="1"/>
  <c r="P89" i="21"/>
  <c r="O89" i="21"/>
  <c r="N89" i="21"/>
  <c r="I89" i="21"/>
  <c r="M89" i="21" s="1"/>
  <c r="C89" i="21"/>
  <c r="B89" i="21"/>
  <c r="P88" i="21"/>
  <c r="O88" i="21"/>
  <c r="N88" i="21"/>
  <c r="M88" i="21"/>
  <c r="I88" i="21"/>
  <c r="C88" i="21"/>
  <c r="B88" i="21"/>
  <c r="P87" i="21"/>
  <c r="O87" i="21"/>
  <c r="N87" i="21"/>
  <c r="I87" i="21"/>
  <c r="M87" i="21" s="1"/>
  <c r="C87" i="21"/>
  <c r="B87" i="21" s="1"/>
  <c r="P86" i="21"/>
  <c r="O86" i="21"/>
  <c r="N86" i="21"/>
  <c r="I86" i="21"/>
  <c r="M86" i="21" s="1"/>
  <c r="C86" i="21"/>
  <c r="B86" i="21"/>
  <c r="P85" i="21"/>
  <c r="O85" i="21"/>
  <c r="N85" i="21"/>
  <c r="I85" i="21"/>
  <c r="M85" i="21" s="1"/>
  <c r="C85" i="21"/>
  <c r="B85" i="21"/>
  <c r="P84" i="21"/>
  <c r="O84" i="21"/>
  <c r="N84" i="21"/>
  <c r="I84" i="21"/>
  <c r="M84" i="21" s="1"/>
  <c r="C84" i="21"/>
  <c r="B84" i="21"/>
  <c r="P83" i="21"/>
  <c r="O83" i="21"/>
  <c r="N83" i="21"/>
  <c r="I83" i="21"/>
  <c r="M83" i="21" s="1"/>
  <c r="C83" i="21"/>
  <c r="B83" i="21"/>
  <c r="P82" i="21"/>
  <c r="O82" i="21"/>
  <c r="N82" i="21"/>
  <c r="M82" i="21"/>
  <c r="I82" i="21"/>
  <c r="C82" i="21"/>
  <c r="B82" i="21"/>
  <c r="P81" i="21"/>
  <c r="N81" i="21"/>
  <c r="M81" i="21"/>
  <c r="I81" i="21"/>
  <c r="C81" i="21"/>
  <c r="B81" i="21" s="1"/>
  <c r="P80" i="21"/>
  <c r="N80" i="21"/>
  <c r="I80" i="21"/>
  <c r="C80" i="21"/>
  <c r="B80" i="21" s="1"/>
  <c r="P79" i="21"/>
  <c r="O79" i="21"/>
  <c r="N79" i="21"/>
  <c r="I79" i="21"/>
  <c r="M79" i="21" s="1"/>
  <c r="C79" i="21"/>
  <c r="B79" i="21"/>
  <c r="P78" i="21"/>
  <c r="O78" i="21"/>
  <c r="N78" i="21"/>
  <c r="M78" i="21"/>
  <c r="I78" i="21"/>
  <c r="C78" i="21"/>
  <c r="B78" i="21"/>
  <c r="P77" i="21"/>
  <c r="O77" i="21"/>
  <c r="N77" i="21"/>
  <c r="I77" i="21"/>
  <c r="M77" i="21" s="1"/>
  <c r="C77" i="21"/>
  <c r="B77" i="21"/>
  <c r="P76" i="21"/>
  <c r="O76" i="21"/>
  <c r="N76" i="21"/>
  <c r="I76" i="21"/>
  <c r="M76" i="21" s="1"/>
  <c r="C76" i="21"/>
  <c r="B76" i="21" s="1"/>
  <c r="P75" i="21"/>
  <c r="N75" i="21"/>
  <c r="I75" i="21"/>
  <c r="C75" i="21"/>
  <c r="B75" i="21" s="1"/>
  <c r="P74" i="21"/>
  <c r="O74" i="21"/>
  <c r="N74" i="21"/>
  <c r="I74" i="21"/>
  <c r="M74" i="21" s="1"/>
  <c r="C74" i="21"/>
  <c r="B74" i="21" s="1"/>
  <c r="P73" i="21"/>
  <c r="O73" i="21"/>
  <c r="N73" i="21"/>
  <c r="I73" i="21"/>
  <c r="M73" i="21" s="1"/>
  <c r="C73" i="21"/>
  <c r="B73" i="21"/>
  <c r="P72" i="21"/>
  <c r="O72" i="21"/>
  <c r="N72" i="21"/>
  <c r="I72" i="21"/>
  <c r="C72" i="21"/>
  <c r="B72" i="21" s="1"/>
  <c r="P71" i="21"/>
  <c r="O71" i="21"/>
  <c r="N71" i="21"/>
  <c r="M71" i="21"/>
  <c r="I71" i="21"/>
  <c r="B71" i="21"/>
  <c r="P70" i="21"/>
  <c r="O70" i="21"/>
  <c r="N70" i="21"/>
  <c r="I70" i="21"/>
  <c r="M70" i="21" s="1"/>
  <c r="C70" i="21"/>
  <c r="B70" i="21"/>
  <c r="P69" i="21"/>
  <c r="O69" i="21"/>
  <c r="N69" i="21"/>
  <c r="I69" i="21"/>
  <c r="M69" i="21" s="1"/>
  <c r="C69" i="21"/>
  <c r="B69" i="21" s="1"/>
  <c r="P68" i="21"/>
  <c r="O68" i="21"/>
  <c r="N68" i="21"/>
  <c r="M68" i="21"/>
  <c r="I68" i="21"/>
  <c r="C68" i="21"/>
  <c r="B68" i="21" s="1"/>
  <c r="P67" i="21"/>
  <c r="O67" i="21"/>
  <c r="N67" i="21"/>
  <c r="I67" i="21"/>
  <c r="M67" i="21" s="1"/>
  <c r="C67" i="21"/>
  <c r="B67" i="21" s="1"/>
  <c r="P66" i="21"/>
  <c r="O66" i="21"/>
  <c r="N66" i="21"/>
  <c r="M66" i="21"/>
  <c r="I66" i="21"/>
  <c r="C66" i="21"/>
  <c r="B66" i="21"/>
  <c r="P65" i="21"/>
  <c r="O65" i="21"/>
  <c r="N65" i="21"/>
  <c r="I65" i="21"/>
  <c r="M65" i="21" s="1"/>
  <c r="C65" i="21"/>
  <c r="B65" i="21" s="1"/>
  <c r="P64" i="21"/>
  <c r="O64" i="21"/>
  <c r="N64" i="21"/>
  <c r="M64" i="21"/>
  <c r="I64" i="21"/>
  <c r="C64" i="21"/>
  <c r="B64" i="21"/>
  <c r="P63" i="21"/>
  <c r="O63" i="21"/>
  <c r="N63" i="21"/>
  <c r="M63" i="21"/>
  <c r="I63" i="21"/>
  <c r="C63" i="21"/>
  <c r="B63" i="21"/>
  <c r="P62" i="21"/>
  <c r="O62" i="21"/>
  <c r="N62" i="21"/>
  <c r="I62" i="21"/>
  <c r="M62" i="21" s="1"/>
  <c r="C62" i="21"/>
  <c r="B62" i="21"/>
  <c r="P61" i="21"/>
  <c r="O61" i="21"/>
  <c r="N61" i="21"/>
  <c r="I61" i="21"/>
  <c r="M61" i="21" s="1"/>
  <c r="C61" i="21"/>
  <c r="B61" i="21" s="1"/>
  <c r="P60" i="21"/>
  <c r="O60" i="21"/>
  <c r="N60" i="21"/>
  <c r="I60" i="21"/>
  <c r="M60" i="21" s="1"/>
  <c r="C60" i="21"/>
  <c r="B60" i="21" s="1"/>
  <c r="P59" i="21"/>
  <c r="N59" i="21"/>
  <c r="I59" i="21"/>
  <c r="M59" i="21" s="1"/>
  <c r="C59" i="21"/>
  <c r="B59" i="21" s="1"/>
  <c r="P58" i="21"/>
  <c r="O58" i="21"/>
  <c r="N58" i="21"/>
  <c r="M58" i="21"/>
  <c r="I58" i="21"/>
  <c r="C58" i="21"/>
  <c r="B58" i="21" s="1"/>
  <c r="P57" i="21"/>
  <c r="N57" i="21"/>
  <c r="I57" i="21"/>
  <c r="C57" i="21"/>
  <c r="B57" i="21" s="1"/>
  <c r="P56" i="21"/>
  <c r="O56" i="21"/>
  <c r="N56" i="21"/>
  <c r="I56" i="21"/>
  <c r="C56" i="21"/>
  <c r="B56" i="21"/>
  <c r="P55" i="21"/>
  <c r="O55" i="21"/>
  <c r="N55" i="21"/>
  <c r="M55" i="21"/>
  <c r="I55" i="21"/>
  <c r="C55" i="21"/>
  <c r="B55" i="21" s="1"/>
  <c r="P54" i="21"/>
  <c r="O54" i="21"/>
  <c r="N54" i="21"/>
  <c r="I54" i="21"/>
  <c r="M54" i="21" s="1"/>
  <c r="C54" i="21"/>
  <c r="B54" i="21"/>
  <c r="P53" i="21"/>
  <c r="O53" i="21"/>
  <c r="N53" i="21"/>
  <c r="M53" i="21"/>
  <c r="I53" i="21"/>
  <c r="C53" i="21"/>
  <c r="B53" i="21" s="1"/>
  <c r="P52" i="21"/>
  <c r="O52" i="21"/>
  <c r="N52" i="21"/>
  <c r="I52" i="21"/>
  <c r="M52" i="21" s="1"/>
  <c r="C52" i="21"/>
  <c r="B52" i="21" s="1"/>
  <c r="P51" i="21"/>
  <c r="O51" i="21"/>
  <c r="N51" i="21"/>
  <c r="I51" i="21"/>
  <c r="M51" i="21" s="1"/>
  <c r="C51" i="21"/>
  <c r="B51" i="21" s="1"/>
  <c r="P50" i="21"/>
  <c r="N50" i="21"/>
  <c r="I50" i="21"/>
  <c r="C50" i="21"/>
  <c r="B50" i="21" s="1"/>
  <c r="P49" i="21"/>
  <c r="O49" i="21"/>
  <c r="N49" i="21"/>
  <c r="I49" i="21"/>
  <c r="M49" i="21" s="1"/>
  <c r="C49" i="21"/>
  <c r="B49" i="21" s="1"/>
  <c r="P48" i="21"/>
  <c r="O48" i="21"/>
  <c r="N48" i="21"/>
  <c r="I48" i="21"/>
  <c r="M48" i="21" s="1"/>
  <c r="C48" i="21"/>
  <c r="B48" i="21"/>
  <c r="P47" i="21"/>
  <c r="O47" i="21"/>
  <c r="N47" i="21"/>
  <c r="I47" i="21"/>
  <c r="C47" i="21"/>
  <c r="B47" i="21" s="1"/>
  <c r="P46" i="21"/>
  <c r="O46" i="21"/>
  <c r="N46" i="21"/>
  <c r="I46" i="21"/>
  <c r="M46" i="21" s="1"/>
  <c r="C46" i="21"/>
  <c r="B46" i="21"/>
  <c r="P45" i="21"/>
  <c r="O45" i="21"/>
  <c r="N45" i="21"/>
  <c r="M45" i="21"/>
  <c r="I45" i="21"/>
  <c r="B45" i="21"/>
  <c r="P44" i="21"/>
  <c r="O44" i="21"/>
  <c r="N44" i="21"/>
  <c r="I44" i="21"/>
  <c r="M44" i="21" s="1"/>
  <c r="C44" i="21"/>
  <c r="B44" i="21" s="1"/>
  <c r="P43" i="21"/>
  <c r="O43" i="21"/>
  <c r="N43" i="21"/>
  <c r="I43" i="21"/>
  <c r="M43" i="21" s="1"/>
  <c r="C43" i="21"/>
  <c r="B43" i="21"/>
  <c r="P42" i="21"/>
  <c r="O42" i="21"/>
  <c r="N42" i="21"/>
  <c r="I42" i="21"/>
  <c r="M42" i="21" s="1"/>
  <c r="C42" i="21"/>
  <c r="B42" i="21"/>
  <c r="P41" i="21"/>
  <c r="O41" i="21"/>
  <c r="N41" i="21"/>
  <c r="I41" i="21"/>
  <c r="M41" i="21" s="1"/>
  <c r="C41" i="21"/>
  <c r="B41" i="21" s="1"/>
  <c r="P40" i="21"/>
  <c r="O40" i="21"/>
  <c r="N40" i="21"/>
  <c r="M40" i="21"/>
  <c r="I40" i="21"/>
  <c r="C40" i="21"/>
  <c r="B40" i="21"/>
  <c r="P39" i="21"/>
  <c r="N39" i="21"/>
  <c r="I39" i="21"/>
  <c r="C39" i="21"/>
  <c r="P38" i="21"/>
  <c r="O38" i="21"/>
  <c r="N38" i="21"/>
  <c r="I38" i="21"/>
  <c r="M38" i="21" s="1"/>
  <c r="C38" i="21"/>
  <c r="B38" i="21"/>
  <c r="P37" i="21"/>
  <c r="O37" i="21"/>
  <c r="N37" i="21"/>
  <c r="I37" i="21"/>
  <c r="M37" i="21" s="1"/>
  <c r="C37" i="21"/>
  <c r="B37" i="21" s="1"/>
  <c r="AC36" i="21"/>
  <c r="P36" i="21"/>
  <c r="O36" i="21"/>
  <c r="N36" i="21"/>
  <c r="M36" i="21"/>
  <c r="I36" i="21"/>
  <c r="C36" i="21"/>
  <c r="B36" i="21" s="1"/>
  <c r="P35" i="21"/>
  <c r="O35" i="21"/>
  <c r="N35" i="21"/>
  <c r="I35" i="21"/>
  <c r="M35" i="21" s="1"/>
  <c r="C35" i="21"/>
  <c r="B35" i="21"/>
  <c r="P34" i="21"/>
  <c r="O34" i="21"/>
  <c r="N34" i="21"/>
  <c r="I34" i="21"/>
  <c r="C34" i="21"/>
  <c r="B34" i="21" s="1"/>
  <c r="P33" i="21"/>
  <c r="O33" i="21"/>
  <c r="N33" i="21"/>
  <c r="I33" i="21"/>
  <c r="M33" i="21" s="1"/>
  <c r="C33" i="21"/>
  <c r="B33" i="21" s="1"/>
  <c r="P32" i="21"/>
  <c r="O32" i="21"/>
  <c r="N32" i="21"/>
  <c r="I32" i="21"/>
  <c r="M32" i="21" s="1"/>
  <c r="C32" i="21"/>
  <c r="B32" i="21" s="1"/>
  <c r="P31" i="21"/>
  <c r="O31" i="21"/>
  <c r="N31" i="21"/>
  <c r="I31" i="21"/>
  <c r="M31" i="21" s="1"/>
  <c r="C31" i="21"/>
  <c r="B31" i="21"/>
  <c r="P30" i="21"/>
  <c r="O30" i="21"/>
  <c r="N30" i="21"/>
  <c r="M30" i="21"/>
  <c r="I30" i="21"/>
  <c r="C30" i="21"/>
  <c r="B30" i="21"/>
  <c r="P29" i="21"/>
  <c r="O29" i="21"/>
  <c r="N29" i="21"/>
  <c r="I29" i="21"/>
  <c r="M29" i="21" s="1"/>
  <c r="C29" i="21"/>
  <c r="B29" i="21" s="1"/>
  <c r="P28" i="21"/>
  <c r="N28" i="21"/>
  <c r="I28" i="21"/>
  <c r="M28" i="21" s="1"/>
  <c r="C28" i="21"/>
  <c r="B28" i="21" s="1"/>
  <c r="P27" i="21"/>
  <c r="O27" i="21"/>
  <c r="N27" i="21"/>
  <c r="M27" i="21"/>
  <c r="I27" i="21"/>
  <c r="C27" i="21"/>
  <c r="B27" i="21" s="1"/>
  <c r="Z26" i="21"/>
  <c r="Y26" i="21"/>
  <c r="W26" i="21"/>
  <c r="V26" i="21"/>
  <c r="P26" i="21"/>
  <c r="O26" i="21"/>
  <c r="N26" i="21"/>
  <c r="I26" i="21"/>
  <c r="M26" i="21" s="1"/>
  <c r="C26" i="21"/>
  <c r="B26" i="21"/>
  <c r="Z25" i="21"/>
  <c r="Y25" i="21"/>
  <c r="W25" i="21"/>
  <c r="V25" i="21"/>
  <c r="P25" i="21"/>
  <c r="O25" i="21"/>
  <c r="N25" i="21"/>
  <c r="I25" i="21"/>
  <c r="C25" i="21"/>
  <c r="B25" i="21"/>
  <c r="Z24" i="21"/>
  <c r="Y24" i="21"/>
  <c r="W24" i="21"/>
  <c r="V24" i="21"/>
  <c r="P24" i="21"/>
  <c r="O24" i="21"/>
  <c r="N24" i="21"/>
  <c r="I24" i="21"/>
  <c r="M24" i="21" s="1"/>
  <c r="C24" i="21"/>
  <c r="B24" i="21" s="1"/>
  <c r="Z23" i="21"/>
  <c r="Y23" i="21"/>
  <c r="W23" i="21"/>
  <c r="V23" i="21"/>
  <c r="P23" i="21"/>
  <c r="O23" i="21"/>
  <c r="N23" i="21"/>
  <c r="I23" i="21"/>
  <c r="M23" i="21" s="1"/>
  <c r="C23" i="21"/>
  <c r="B23" i="21"/>
  <c r="Z22" i="21"/>
  <c r="Y22" i="21"/>
  <c r="W22" i="21"/>
  <c r="V22" i="21"/>
  <c r="P22" i="21"/>
  <c r="O22" i="21"/>
  <c r="N22" i="21"/>
  <c r="I22" i="21"/>
  <c r="M22" i="21" s="1"/>
  <c r="C22" i="21"/>
  <c r="B22" i="21" s="1"/>
  <c r="Z21" i="21"/>
  <c r="Y21" i="21"/>
  <c r="W21" i="21"/>
  <c r="V21" i="21"/>
  <c r="P21" i="21"/>
  <c r="O21" i="21"/>
  <c r="N21" i="21"/>
  <c r="I21" i="21"/>
  <c r="C21" i="21"/>
  <c r="B21" i="21"/>
  <c r="Z20" i="21"/>
  <c r="Y20" i="21"/>
  <c r="W20" i="21"/>
  <c r="V20" i="21"/>
  <c r="P20" i="21"/>
  <c r="O20" i="21"/>
  <c r="N20" i="21"/>
  <c r="M20" i="21"/>
  <c r="I20" i="21"/>
  <c r="C20" i="21"/>
  <c r="B20" i="21"/>
  <c r="Z19" i="21"/>
  <c r="Y19" i="21"/>
  <c r="W19" i="21"/>
  <c r="V19" i="21"/>
  <c r="P19" i="21"/>
  <c r="O19" i="21"/>
  <c r="N19" i="21"/>
  <c r="M19" i="21"/>
  <c r="I19" i="21"/>
  <c r="C19" i="21"/>
  <c r="B19" i="21"/>
  <c r="Z18" i="21"/>
  <c r="Y18" i="21"/>
  <c r="W18" i="21"/>
  <c r="V18" i="21"/>
  <c r="P18" i="21"/>
  <c r="O18" i="21"/>
  <c r="N18" i="21"/>
  <c r="I18" i="21"/>
  <c r="C18" i="21"/>
  <c r="B18" i="21" s="1"/>
  <c r="Z17" i="21"/>
  <c r="Y17" i="21"/>
  <c r="W17" i="21"/>
  <c r="V17" i="21"/>
  <c r="P17" i="21"/>
  <c r="O17" i="21"/>
  <c r="N17" i="21"/>
  <c r="I17" i="21"/>
  <c r="M17" i="21" s="1"/>
  <c r="C17" i="21"/>
  <c r="B17" i="21" s="1"/>
  <c r="P16" i="21"/>
  <c r="O16" i="21"/>
  <c r="N16" i="21"/>
  <c r="M16" i="21"/>
  <c r="I16" i="21"/>
  <c r="C16" i="21"/>
  <c r="B16" i="21" s="1"/>
  <c r="P15" i="21"/>
  <c r="O15" i="21"/>
  <c r="N15" i="21"/>
  <c r="M15" i="21"/>
  <c r="I15" i="21"/>
  <c r="C15" i="21"/>
  <c r="B15" i="21"/>
  <c r="P14" i="21"/>
  <c r="O14" i="21"/>
  <c r="N14" i="21"/>
  <c r="I14" i="21"/>
  <c r="C14" i="21"/>
  <c r="B14" i="21" s="1"/>
  <c r="AD13" i="21"/>
  <c r="AC13" i="21"/>
  <c r="Z13" i="21"/>
  <c r="Y13" i="21"/>
  <c r="W13" i="21"/>
  <c r="V13" i="21"/>
  <c r="T13" i="21"/>
  <c r="S13" i="21"/>
  <c r="P13" i="21"/>
  <c r="O13" i="21"/>
  <c r="N13" i="21"/>
  <c r="I13" i="21"/>
  <c r="C13" i="21"/>
  <c r="B13" i="21" s="1"/>
  <c r="AD12" i="21"/>
  <c r="AC12" i="21"/>
  <c r="Z12" i="21"/>
  <c r="Y12" i="21"/>
  <c r="W12" i="21"/>
  <c r="V12" i="21"/>
  <c r="T12" i="21"/>
  <c r="S12" i="21"/>
  <c r="P12" i="21"/>
  <c r="O12" i="21"/>
  <c r="N12" i="21"/>
  <c r="I12" i="21"/>
  <c r="C12" i="21"/>
  <c r="B12" i="21" s="1"/>
  <c r="AD11" i="21"/>
  <c r="AC11" i="21"/>
  <c r="Z11" i="21"/>
  <c r="Y11" i="21"/>
  <c r="W11" i="21"/>
  <c r="V11" i="21"/>
  <c r="T11" i="21"/>
  <c r="S11" i="21"/>
  <c r="P11" i="21"/>
  <c r="N11" i="21"/>
  <c r="I11" i="21"/>
  <c r="C11" i="21"/>
  <c r="B11" i="21"/>
  <c r="AD10" i="21"/>
  <c r="AC10" i="21"/>
  <c r="Z10" i="21"/>
  <c r="Y10" i="21"/>
  <c r="W10" i="21"/>
  <c r="V10" i="21"/>
  <c r="T10" i="21"/>
  <c r="S10" i="21"/>
  <c r="P10" i="21"/>
  <c r="O10" i="21"/>
  <c r="N10" i="21"/>
  <c r="I10" i="21"/>
  <c r="M10" i="21" s="1"/>
  <c r="C10" i="21"/>
  <c r="B10" i="21"/>
  <c r="AD9" i="21"/>
  <c r="AC9" i="21"/>
  <c r="Z9" i="21"/>
  <c r="Y9" i="21"/>
  <c r="W9" i="21"/>
  <c r="V9" i="21"/>
  <c r="T9" i="21"/>
  <c r="S9" i="21"/>
  <c r="P9" i="21"/>
  <c r="O9" i="21"/>
  <c r="N9" i="21"/>
  <c r="M9" i="21"/>
  <c r="I9" i="21"/>
  <c r="C9" i="21"/>
  <c r="B9" i="21" s="1"/>
  <c r="AD8" i="21"/>
  <c r="AC8" i="21"/>
  <c r="Z8" i="21"/>
  <c r="Y8" i="21"/>
  <c r="W8" i="21"/>
  <c r="V8" i="21"/>
  <c r="T8" i="21"/>
  <c r="S8" i="21"/>
  <c r="P8" i="21"/>
  <c r="O8" i="21"/>
  <c r="N8" i="21"/>
  <c r="I8" i="21"/>
  <c r="C8" i="21"/>
  <c r="Z7" i="21"/>
  <c r="Y7" i="21"/>
  <c r="W7" i="21"/>
  <c r="V7" i="21"/>
  <c r="P7" i="21"/>
  <c r="O7" i="21"/>
  <c r="N7" i="21"/>
  <c r="I7" i="21"/>
  <c r="C7" i="21"/>
  <c r="B7" i="21"/>
  <c r="Z6" i="21"/>
  <c r="Y6" i="21"/>
  <c r="W6" i="21"/>
  <c r="V6" i="21"/>
  <c r="P6" i="21"/>
  <c r="O6" i="21"/>
  <c r="N6" i="21"/>
  <c r="I6" i="21"/>
  <c r="M6" i="21" s="1"/>
  <c r="C6" i="21"/>
  <c r="B6" i="21"/>
  <c r="Z5" i="21"/>
  <c r="Y5" i="21"/>
  <c r="W5" i="21"/>
  <c r="V5" i="21"/>
  <c r="P5" i="21"/>
  <c r="O5" i="21"/>
  <c r="N5" i="21"/>
  <c r="I5" i="21"/>
  <c r="C5" i="21"/>
  <c r="B5" i="21"/>
  <c r="Z4" i="21"/>
  <c r="Y4" i="21"/>
  <c r="W4" i="21"/>
  <c r="V4" i="21"/>
  <c r="P4" i="21"/>
  <c r="O4" i="21"/>
  <c r="N4" i="21"/>
  <c r="I4" i="21"/>
  <c r="M4" i="21" s="1"/>
  <c r="C4" i="21"/>
  <c r="B4" i="21" s="1"/>
  <c r="P3" i="21"/>
  <c r="N3" i="21"/>
  <c r="I3" i="21"/>
  <c r="M3" i="21" s="1"/>
  <c r="C3" i="21"/>
  <c r="P2" i="21"/>
  <c r="O2" i="21"/>
  <c r="N2" i="21"/>
  <c r="I2" i="21"/>
  <c r="C2" i="21"/>
  <c r="B163" i="20"/>
  <c r="B162" i="20"/>
  <c r="B161" i="20"/>
  <c r="B160" i="20"/>
  <c r="B159" i="20"/>
  <c r="B158" i="20"/>
  <c r="B157" i="20"/>
  <c r="B156" i="20"/>
  <c r="B155" i="20"/>
  <c r="B154" i="20"/>
  <c r="B153" i="20"/>
  <c r="B152" i="20"/>
  <c r="B151" i="20"/>
  <c r="B150" i="20"/>
  <c r="B149" i="20"/>
  <c r="B148" i="20"/>
  <c r="B147" i="20"/>
  <c r="B146" i="20"/>
  <c r="B145" i="20"/>
  <c r="B144" i="20"/>
  <c r="B143" i="20"/>
  <c r="B142" i="20"/>
  <c r="B141" i="20"/>
  <c r="B140" i="20"/>
  <c r="B139" i="20"/>
  <c r="B138" i="20"/>
  <c r="B137" i="20"/>
  <c r="B136" i="20"/>
  <c r="B135" i="20"/>
  <c r="B134" i="20"/>
  <c r="B133" i="20"/>
  <c r="B132" i="20"/>
  <c r="B131" i="20"/>
  <c r="B130" i="20"/>
  <c r="B129" i="20"/>
  <c r="B128" i="20"/>
  <c r="B127" i="20"/>
  <c r="B126" i="20"/>
  <c r="B125" i="20"/>
  <c r="B124" i="20"/>
  <c r="B123" i="20"/>
  <c r="B122" i="20"/>
  <c r="B121" i="20"/>
  <c r="B120" i="20"/>
  <c r="B119" i="20"/>
  <c r="B118" i="20"/>
  <c r="B117" i="20"/>
  <c r="B116" i="20"/>
  <c r="B115" i="20"/>
  <c r="B114" i="20"/>
  <c r="B113" i="20"/>
  <c r="B112" i="20"/>
  <c r="B111" i="20"/>
  <c r="B110" i="20"/>
  <c r="B109" i="20"/>
  <c r="B108" i="20"/>
  <c r="B107" i="20"/>
  <c r="B106" i="20"/>
  <c r="B105" i="20"/>
  <c r="B104" i="20"/>
  <c r="C103" i="20"/>
  <c r="B103" i="20" s="1"/>
  <c r="C102" i="20"/>
  <c r="B102" i="20"/>
  <c r="C101" i="20"/>
  <c r="B101" i="20"/>
  <c r="C100" i="20"/>
  <c r="B100" i="20"/>
  <c r="C99" i="20"/>
  <c r="B99" i="20"/>
  <c r="C98" i="20"/>
  <c r="B98" i="20" s="1"/>
  <c r="C97" i="20"/>
  <c r="B97" i="20"/>
  <c r="C96" i="20"/>
  <c r="B96" i="20"/>
  <c r="C95" i="20"/>
  <c r="B95" i="20" s="1"/>
  <c r="C94" i="20"/>
  <c r="B94" i="20" s="1"/>
  <c r="C93" i="20"/>
  <c r="B93" i="20" s="1"/>
  <c r="P92" i="20"/>
  <c r="O92" i="20"/>
  <c r="N92" i="20"/>
  <c r="M92" i="20"/>
  <c r="I92" i="20"/>
  <c r="C92" i="20"/>
  <c r="B92" i="20" s="1"/>
  <c r="P91" i="20"/>
  <c r="O91" i="20"/>
  <c r="N91" i="20"/>
  <c r="M91" i="20"/>
  <c r="I91" i="20"/>
  <c r="C91" i="20"/>
  <c r="B91" i="20" s="1"/>
  <c r="P90" i="20"/>
  <c r="O90" i="20"/>
  <c r="N90" i="20"/>
  <c r="I90" i="20"/>
  <c r="M90" i="20" s="1"/>
  <c r="C90" i="20"/>
  <c r="B90" i="20" s="1"/>
  <c r="P89" i="20"/>
  <c r="O89" i="20"/>
  <c r="N89" i="20"/>
  <c r="M89" i="20"/>
  <c r="I89" i="20"/>
  <c r="C89" i="20"/>
  <c r="B89" i="20" s="1"/>
  <c r="P88" i="20"/>
  <c r="O88" i="20"/>
  <c r="N88" i="20"/>
  <c r="I88" i="20"/>
  <c r="M88" i="20" s="1"/>
  <c r="C88" i="20"/>
  <c r="B88" i="20" s="1"/>
  <c r="P87" i="20"/>
  <c r="O87" i="20"/>
  <c r="N87" i="20"/>
  <c r="M87" i="20"/>
  <c r="I87" i="20"/>
  <c r="C87" i="20"/>
  <c r="B87" i="20" s="1"/>
  <c r="P86" i="20"/>
  <c r="O86" i="20"/>
  <c r="N86" i="20"/>
  <c r="M86" i="20"/>
  <c r="I86" i="20"/>
  <c r="C86" i="20"/>
  <c r="B86" i="20"/>
  <c r="P85" i="20"/>
  <c r="O85" i="20"/>
  <c r="N85" i="20"/>
  <c r="M85" i="20"/>
  <c r="I85" i="20"/>
  <c r="C85" i="20"/>
  <c r="B85" i="20" s="1"/>
  <c r="P84" i="20"/>
  <c r="O84" i="20"/>
  <c r="N84" i="20"/>
  <c r="I84" i="20"/>
  <c r="M84" i="20" s="1"/>
  <c r="C84" i="20"/>
  <c r="B84" i="20"/>
  <c r="P83" i="20"/>
  <c r="O83" i="20"/>
  <c r="N83" i="20"/>
  <c r="M83" i="20"/>
  <c r="I83" i="20"/>
  <c r="C83" i="20"/>
  <c r="B83" i="20"/>
  <c r="P82" i="20"/>
  <c r="O82" i="20"/>
  <c r="N82" i="20"/>
  <c r="I82" i="20"/>
  <c r="C82" i="20"/>
  <c r="B82" i="20" s="1"/>
  <c r="P81" i="20"/>
  <c r="N81" i="20"/>
  <c r="M81" i="20"/>
  <c r="I81" i="20"/>
  <c r="C81" i="20"/>
  <c r="B81" i="20" s="1"/>
  <c r="P80" i="20"/>
  <c r="N80" i="20"/>
  <c r="I80" i="20"/>
  <c r="M80" i="20" s="1"/>
  <c r="B80" i="20"/>
  <c r="P79" i="20"/>
  <c r="N79" i="20"/>
  <c r="I79" i="20"/>
  <c r="M79" i="20" s="1"/>
  <c r="C79" i="20"/>
  <c r="B79" i="20" s="1"/>
  <c r="P78" i="20"/>
  <c r="O78" i="20"/>
  <c r="N78" i="20"/>
  <c r="M78" i="20"/>
  <c r="I78" i="20"/>
  <c r="C78" i="20"/>
  <c r="B78" i="20" s="1"/>
  <c r="P77" i="20"/>
  <c r="O77" i="20"/>
  <c r="N77" i="20"/>
  <c r="M77" i="20"/>
  <c r="I77" i="20"/>
  <c r="B77" i="20"/>
  <c r="P76" i="20"/>
  <c r="O76" i="20"/>
  <c r="N76" i="20"/>
  <c r="I76" i="20"/>
  <c r="M76" i="20" s="1"/>
  <c r="C76" i="20"/>
  <c r="B76" i="20"/>
  <c r="P75" i="20"/>
  <c r="O75" i="20"/>
  <c r="N75" i="20"/>
  <c r="M75" i="20"/>
  <c r="I75" i="20"/>
  <c r="C75" i="20"/>
  <c r="B75" i="20" s="1"/>
  <c r="P74" i="20"/>
  <c r="N74" i="20"/>
  <c r="I74" i="20"/>
  <c r="C74" i="20"/>
  <c r="B74" i="20" s="1"/>
  <c r="P73" i="20"/>
  <c r="O73" i="20"/>
  <c r="N73" i="20"/>
  <c r="I73" i="20"/>
  <c r="M73" i="20" s="1"/>
  <c r="C73" i="20"/>
  <c r="B73" i="20" s="1"/>
  <c r="P72" i="20"/>
  <c r="O72" i="20"/>
  <c r="N72" i="20"/>
  <c r="I72" i="20"/>
  <c r="M72" i="20" s="1"/>
  <c r="C72" i="20"/>
  <c r="B72" i="20"/>
  <c r="P71" i="20"/>
  <c r="O71" i="20"/>
  <c r="N71" i="20"/>
  <c r="I71" i="20"/>
  <c r="C71" i="20"/>
  <c r="B71" i="20" s="1"/>
  <c r="P70" i="20"/>
  <c r="O70" i="20"/>
  <c r="N70" i="20"/>
  <c r="I70" i="20"/>
  <c r="M70" i="20" s="1"/>
  <c r="C70" i="20"/>
  <c r="B70" i="20"/>
  <c r="P69" i="20"/>
  <c r="N69" i="20"/>
  <c r="M69" i="20"/>
  <c r="I69" i="20"/>
  <c r="C69" i="20"/>
  <c r="B69" i="20" s="1"/>
  <c r="P68" i="20"/>
  <c r="O68" i="20"/>
  <c r="N68" i="20"/>
  <c r="I68" i="20"/>
  <c r="M68" i="20" s="1"/>
  <c r="C68" i="20"/>
  <c r="B68" i="20"/>
  <c r="P67" i="20"/>
  <c r="O67" i="20"/>
  <c r="N67" i="20"/>
  <c r="I67" i="20"/>
  <c r="M67" i="20" s="1"/>
  <c r="C67" i="20"/>
  <c r="B67" i="20"/>
  <c r="P66" i="20"/>
  <c r="O66" i="20"/>
  <c r="N66" i="20"/>
  <c r="I66" i="20"/>
  <c r="M66" i="20" s="1"/>
  <c r="C66" i="20"/>
  <c r="B66" i="20"/>
  <c r="P65" i="20"/>
  <c r="O65" i="20"/>
  <c r="N65" i="20"/>
  <c r="M65" i="20"/>
  <c r="I65" i="20"/>
  <c r="C65" i="20"/>
  <c r="B65" i="20"/>
  <c r="P64" i="20"/>
  <c r="O64" i="20"/>
  <c r="N64" i="20"/>
  <c r="I64" i="20"/>
  <c r="M64" i="20" s="1"/>
  <c r="C64" i="20"/>
  <c r="B64" i="20" s="1"/>
  <c r="P63" i="20"/>
  <c r="O63" i="20"/>
  <c r="N63" i="20"/>
  <c r="M63" i="20"/>
  <c r="I63" i="20"/>
  <c r="C63" i="20"/>
  <c r="B63" i="20" s="1"/>
  <c r="P62" i="20"/>
  <c r="N62" i="20"/>
  <c r="I62" i="20"/>
  <c r="C62" i="20"/>
  <c r="B62" i="20" s="1"/>
  <c r="P61" i="20"/>
  <c r="O61" i="20"/>
  <c r="N61" i="20"/>
  <c r="M61" i="20"/>
  <c r="I61" i="20"/>
  <c r="C61" i="20"/>
  <c r="B61" i="20" s="1"/>
  <c r="P60" i="20"/>
  <c r="O60" i="20"/>
  <c r="N60" i="20"/>
  <c r="I60" i="20"/>
  <c r="M60" i="20" s="1"/>
  <c r="C60" i="20"/>
  <c r="B60" i="20"/>
  <c r="P59" i="20"/>
  <c r="O59" i="20"/>
  <c r="N59" i="20"/>
  <c r="M59" i="20"/>
  <c r="I59" i="20"/>
  <c r="C59" i="20"/>
  <c r="B59" i="20" s="1"/>
  <c r="P58" i="20"/>
  <c r="N58" i="20"/>
  <c r="I58" i="20"/>
  <c r="M58" i="20" s="1"/>
  <c r="C58" i="20"/>
  <c r="B58" i="20"/>
  <c r="P57" i="20"/>
  <c r="O57" i="20"/>
  <c r="N57" i="20"/>
  <c r="I57" i="20"/>
  <c r="M57" i="20" s="1"/>
  <c r="B57" i="20"/>
  <c r="P56" i="20"/>
  <c r="O56" i="20"/>
  <c r="N56" i="20"/>
  <c r="I56" i="20"/>
  <c r="C56" i="20"/>
  <c r="B56" i="20"/>
  <c r="P55" i="20"/>
  <c r="N55" i="20"/>
  <c r="M55" i="20"/>
  <c r="I55" i="20"/>
  <c r="C55" i="20"/>
  <c r="B55" i="20"/>
  <c r="P54" i="20"/>
  <c r="O54" i="20"/>
  <c r="N54" i="20"/>
  <c r="M54" i="20"/>
  <c r="I54" i="20"/>
  <c r="C54" i="20"/>
  <c r="B54" i="20" s="1"/>
  <c r="P53" i="20"/>
  <c r="O53" i="20"/>
  <c r="N53" i="20"/>
  <c r="I53" i="20"/>
  <c r="M53" i="20" s="1"/>
  <c r="C53" i="20"/>
  <c r="B53" i="20"/>
  <c r="P52" i="20"/>
  <c r="O52" i="20"/>
  <c r="N52" i="20"/>
  <c r="I52" i="20"/>
  <c r="C52" i="20"/>
  <c r="B52" i="20" s="1"/>
  <c r="P51" i="20"/>
  <c r="O51" i="20"/>
  <c r="N51" i="20"/>
  <c r="I51" i="20"/>
  <c r="M51" i="20" s="1"/>
  <c r="B51" i="20"/>
  <c r="P50" i="20"/>
  <c r="O50" i="20"/>
  <c r="N50" i="20"/>
  <c r="I50" i="20"/>
  <c r="C50" i="20"/>
  <c r="B50" i="20" s="1"/>
  <c r="P49" i="20"/>
  <c r="O49" i="20"/>
  <c r="N49" i="20"/>
  <c r="I49" i="20"/>
  <c r="C49" i="20"/>
  <c r="B49" i="20"/>
  <c r="P48" i="20"/>
  <c r="O48" i="20"/>
  <c r="N48" i="20"/>
  <c r="M48" i="20"/>
  <c r="I48" i="20"/>
  <c r="C48" i="20"/>
  <c r="B48" i="20" s="1"/>
  <c r="P47" i="20"/>
  <c r="O47" i="20"/>
  <c r="N47" i="20"/>
  <c r="I47" i="20"/>
  <c r="M47" i="20" s="1"/>
  <c r="C47" i="20"/>
  <c r="B47" i="20" s="1"/>
  <c r="P46" i="20"/>
  <c r="O46" i="20"/>
  <c r="N46" i="20"/>
  <c r="I46" i="20"/>
  <c r="C46" i="20"/>
  <c r="B46" i="20"/>
  <c r="P45" i="20"/>
  <c r="O45" i="20"/>
  <c r="N45" i="20"/>
  <c r="M45" i="20"/>
  <c r="I45" i="20"/>
  <c r="C45" i="20"/>
  <c r="B45" i="20"/>
  <c r="P44" i="20"/>
  <c r="O44" i="20"/>
  <c r="N44" i="20"/>
  <c r="I44" i="20"/>
  <c r="M44" i="20" s="1"/>
  <c r="C44" i="20"/>
  <c r="B44" i="20"/>
  <c r="P43" i="20"/>
  <c r="O43" i="20"/>
  <c r="N43" i="20"/>
  <c r="M43" i="20"/>
  <c r="I43" i="20"/>
  <c r="C43" i="20"/>
  <c r="B43" i="20" s="1"/>
  <c r="P42" i="20"/>
  <c r="O42" i="20"/>
  <c r="N42" i="20"/>
  <c r="M42" i="20"/>
  <c r="I42" i="20"/>
  <c r="C42" i="20"/>
  <c r="B42" i="20" s="1"/>
  <c r="P41" i="20"/>
  <c r="O41" i="20"/>
  <c r="N41" i="20"/>
  <c r="I41" i="20"/>
  <c r="C41" i="20"/>
  <c r="B41" i="20" s="1"/>
  <c r="P40" i="20"/>
  <c r="O40" i="20"/>
  <c r="N40" i="20"/>
  <c r="M40" i="20"/>
  <c r="I40" i="20"/>
  <c r="C40" i="20"/>
  <c r="B40" i="20" s="1"/>
  <c r="P39" i="20"/>
  <c r="O39" i="20"/>
  <c r="N39" i="20"/>
  <c r="M39" i="20"/>
  <c r="I39" i="20"/>
  <c r="C39" i="20"/>
  <c r="B39" i="20"/>
  <c r="P38" i="20"/>
  <c r="O38" i="20"/>
  <c r="N38" i="20"/>
  <c r="I38" i="20"/>
  <c r="M38" i="20" s="1"/>
  <c r="C38" i="20"/>
  <c r="B38" i="20" s="1"/>
  <c r="P37" i="20"/>
  <c r="N37" i="20"/>
  <c r="I37" i="20"/>
  <c r="M37" i="20" s="1"/>
  <c r="B37" i="20"/>
  <c r="P36" i="20"/>
  <c r="N36" i="20"/>
  <c r="I36" i="20"/>
  <c r="M36" i="20" s="1"/>
  <c r="C36" i="20"/>
  <c r="B36" i="20"/>
  <c r="P35" i="20"/>
  <c r="O35" i="20"/>
  <c r="N35" i="20"/>
  <c r="I35" i="20"/>
  <c r="M35" i="20" s="1"/>
  <c r="C35" i="20"/>
  <c r="B35" i="20"/>
  <c r="P34" i="20"/>
  <c r="O34" i="20"/>
  <c r="N34" i="20"/>
  <c r="M34" i="20"/>
  <c r="I34" i="20"/>
  <c r="C34" i="20"/>
  <c r="B34" i="20" s="1"/>
  <c r="P33" i="20"/>
  <c r="O33" i="20"/>
  <c r="N33" i="20"/>
  <c r="I33" i="20"/>
  <c r="M33" i="20" s="1"/>
  <c r="B33" i="20"/>
  <c r="P32" i="20"/>
  <c r="O32" i="20"/>
  <c r="N32" i="20"/>
  <c r="I32" i="20"/>
  <c r="C32" i="20"/>
  <c r="B32" i="20"/>
  <c r="P31" i="20"/>
  <c r="O31" i="20"/>
  <c r="N31" i="20"/>
  <c r="I31" i="20"/>
  <c r="M31" i="20" s="1"/>
  <c r="C31" i="20"/>
  <c r="B31" i="20" s="1"/>
  <c r="P30" i="20"/>
  <c r="O30" i="20"/>
  <c r="N30" i="20"/>
  <c r="I30" i="20"/>
  <c r="M30" i="20" s="1"/>
  <c r="C30" i="20"/>
  <c r="B30" i="20" s="1"/>
  <c r="P29" i="20"/>
  <c r="O29" i="20"/>
  <c r="N29" i="20"/>
  <c r="M29" i="20"/>
  <c r="I29" i="20"/>
  <c r="C29" i="20"/>
  <c r="B29" i="20" s="1"/>
  <c r="P28" i="20"/>
  <c r="O28" i="20"/>
  <c r="N28" i="20"/>
  <c r="I28" i="20"/>
  <c r="M28" i="20" s="1"/>
  <c r="C28" i="20"/>
  <c r="B28" i="20" s="1"/>
  <c r="P27" i="20"/>
  <c r="O27" i="20"/>
  <c r="N27" i="20"/>
  <c r="M27" i="20"/>
  <c r="I27" i="20"/>
  <c r="C27" i="20"/>
  <c r="B27" i="20"/>
  <c r="Z26" i="20"/>
  <c r="Y26" i="20"/>
  <c r="W26" i="20"/>
  <c r="V26" i="20"/>
  <c r="P26" i="20"/>
  <c r="N26" i="20"/>
  <c r="I26" i="20"/>
  <c r="C26" i="20"/>
  <c r="B26" i="20" s="1"/>
  <c r="Z25" i="20"/>
  <c r="Y25" i="20"/>
  <c r="W25" i="20"/>
  <c r="V25" i="20"/>
  <c r="P25" i="20"/>
  <c r="O25" i="20"/>
  <c r="N25" i="20"/>
  <c r="M25" i="20"/>
  <c r="I25" i="20"/>
  <c r="C25" i="20"/>
  <c r="B25" i="20"/>
  <c r="Z24" i="20"/>
  <c r="Y24" i="20"/>
  <c r="W24" i="20"/>
  <c r="V24" i="20"/>
  <c r="P24" i="20"/>
  <c r="O24" i="20"/>
  <c r="N24" i="20"/>
  <c r="I24" i="20"/>
  <c r="M24" i="20" s="1"/>
  <c r="C24" i="20"/>
  <c r="B24" i="20" s="1"/>
  <c r="Z23" i="20"/>
  <c r="Y23" i="20"/>
  <c r="W23" i="20"/>
  <c r="V23" i="20"/>
  <c r="P23" i="20"/>
  <c r="O23" i="20"/>
  <c r="N23" i="20"/>
  <c r="I23" i="20"/>
  <c r="B23" i="20"/>
  <c r="Z22" i="20"/>
  <c r="Y22" i="20"/>
  <c r="W22" i="20"/>
  <c r="V22" i="20"/>
  <c r="P22" i="20"/>
  <c r="O22" i="20"/>
  <c r="N22" i="20"/>
  <c r="I22" i="20"/>
  <c r="M22" i="20" s="1"/>
  <c r="C22" i="20"/>
  <c r="B22" i="20" s="1"/>
  <c r="Z21" i="20"/>
  <c r="Y21" i="20"/>
  <c r="W21" i="20"/>
  <c r="V21" i="20"/>
  <c r="P21" i="20"/>
  <c r="O21" i="20"/>
  <c r="N21" i="20"/>
  <c r="M21" i="20"/>
  <c r="I21" i="20"/>
  <c r="C21" i="20"/>
  <c r="B21" i="20" s="1"/>
  <c r="Z20" i="20"/>
  <c r="Y20" i="20"/>
  <c r="W20" i="20"/>
  <c r="V20" i="20"/>
  <c r="P20" i="20"/>
  <c r="N20" i="20"/>
  <c r="I20" i="20"/>
  <c r="M20" i="20" s="1"/>
  <c r="C20" i="20"/>
  <c r="B20" i="20" s="1"/>
  <c r="Z19" i="20"/>
  <c r="Y19" i="20"/>
  <c r="W19" i="20"/>
  <c r="V19" i="20"/>
  <c r="P19" i="20"/>
  <c r="O19" i="20"/>
  <c r="N19" i="20"/>
  <c r="M19" i="20"/>
  <c r="I19" i="20"/>
  <c r="C19" i="20"/>
  <c r="B19" i="20" s="1"/>
  <c r="Z18" i="20"/>
  <c r="Y18" i="20"/>
  <c r="W18" i="20"/>
  <c r="V18" i="20"/>
  <c r="P18" i="20"/>
  <c r="O18" i="20"/>
  <c r="N18" i="20"/>
  <c r="I18" i="20"/>
  <c r="C18" i="20"/>
  <c r="B18" i="20"/>
  <c r="Z17" i="20"/>
  <c r="Y17" i="20"/>
  <c r="W17" i="20"/>
  <c r="V17" i="20"/>
  <c r="P17" i="20"/>
  <c r="O17" i="20"/>
  <c r="N17" i="20"/>
  <c r="I17" i="20"/>
  <c r="C17" i="20"/>
  <c r="P16" i="20"/>
  <c r="O16" i="20"/>
  <c r="N16" i="20"/>
  <c r="I16" i="20"/>
  <c r="M16" i="20" s="1"/>
  <c r="C16" i="20"/>
  <c r="B16" i="20" s="1"/>
  <c r="P15" i="20"/>
  <c r="O15" i="20"/>
  <c r="N15" i="20"/>
  <c r="I15" i="20"/>
  <c r="C15" i="20"/>
  <c r="P14" i="20"/>
  <c r="O14" i="20"/>
  <c r="N14" i="20"/>
  <c r="I14" i="20"/>
  <c r="C14" i="20"/>
  <c r="B14" i="20"/>
  <c r="AD13" i="20"/>
  <c r="AC13" i="20"/>
  <c r="Z13" i="20"/>
  <c r="Y13" i="20"/>
  <c r="W13" i="20"/>
  <c r="V13" i="20"/>
  <c r="T13" i="20"/>
  <c r="S13" i="20"/>
  <c r="P13" i="20"/>
  <c r="O13" i="20"/>
  <c r="N13" i="20"/>
  <c r="I13" i="20"/>
  <c r="C13" i="20"/>
  <c r="B13" i="20" s="1"/>
  <c r="AD12" i="20"/>
  <c r="AC12" i="20"/>
  <c r="Z12" i="20"/>
  <c r="Y12" i="20"/>
  <c r="W12" i="20"/>
  <c r="V12" i="20"/>
  <c r="T12" i="20"/>
  <c r="S12" i="20"/>
  <c r="P12" i="20"/>
  <c r="O12" i="20"/>
  <c r="N12" i="20"/>
  <c r="I12" i="20"/>
  <c r="M12" i="20" s="1"/>
  <c r="C12" i="20"/>
  <c r="B12" i="20"/>
  <c r="AD11" i="20"/>
  <c r="AC11" i="20"/>
  <c r="Z11" i="20"/>
  <c r="Y11" i="20"/>
  <c r="W11" i="20"/>
  <c r="V11" i="20"/>
  <c r="T11" i="20"/>
  <c r="S11" i="20"/>
  <c r="P11" i="20"/>
  <c r="O11" i="20"/>
  <c r="N11" i="20"/>
  <c r="I11" i="20"/>
  <c r="M11" i="20" s="1"/>
  <c r="C11" i="20"/>
  <c r="B11" i="20" s="1"/>
  <c r="AD10" i="20"/>
  <c r="AC10" i="20"/>
  <c r="Z10" i="20"/>
  <c r="Y10" i="20"/>
  <c r="W10" i="20"/>
  <c r="V10" i="20"/>
  <c r="T10" i="20"/>
  <c r="S10" i="20"/>
  <c r="P10" i="20"/>
  <c r="O10" i="20"/>
  <c r="N10" i="20"/>
  <c r="I10" i="20"/>
  <c r="M10" i="20" s="1"/>
  <c r="C10" i="20"/>
  <c r="B10" i="20"/>
  <c r="AD9" i="20"/>
  <c r="AC9" i="20"/>
  <c r="Z9" i="20"/>
  <c r="Y9" i="20"/>
  <c r="W9" i="20"/>
  <c r="V9" i="20"/>
  <c r="T9" i="20"/>
  <c r="S9" i="20"/>
  <c r="P9" i="20"/>
  <c r="O9" i="20"/>
  <c r="N9" i="20"/>
  <c r="M9" i="20"/>
  <c r="I9" i="20"/>
  <c r="C9" i="20"/>
  <c r="B9" i="20"/>
  <c r="AD8" i="20"/>
  <c r="AC8" i="20"/>
  <c r="Z8" i="20"/>
  <c r="Y8" i="20"/>
  <c r="W8" i="20"/>
  <c r="V8" i="20"/>
  <c r="T8" i="20"/>
  <c r="S8" i="20"/>
  <c r="P8" i="20"/>
  <c r="N8" i="20"/>
  <c r="I8" i="20"/>
  <c r="M8" i="20" s="1"/>
  <c r="C8" i="20"/>
  <c r="B8" i="20" s="1"/>
  <c r="Z7" i="20"/>
  <c r="Y7" i="20"/>
  <c r="W7" i="20"/>
  <c r="V7" i="20"/>
  <c r="P7" i="20"/>
  <c r="O7" i="20"/>
  <c r="N7" i="20"/>
  <c r="M7" i="20"/>
  <c r="I7" i="20"/>
  <c r="C7" i="20"/>
  <c r="B7" i="20"/>
  <c r="Z6" i="20"/>
  <c r="Y6" i="20"/>
  <c r="W6" i="20"/>
  <c r="V6" i="20"/>
  <c r="P6" i="20"/>
  <c r="O6" i="20"/>
  <c r="N6" i="20"/>
  <c r="I6" i="20"/>
  <c r="M6" i="20" s="1"/>
  <c r="C6" i="20"/>
  <c r="B6" i="20"/>
  <c r="Z5" i="20"/>
  <c r="Y5" i="20"/>
  <c r="W5" i="20"/>
  <c r="V5" i="20"/>
  <c r="P5" i="20"/>
  <c r="O5" i="20"/>
  <c r="N5" i="20"/>
  <c r="I5" i="20"/>
  <c r="C5" i="20"/>
  <c r="B5" i="20" s="1"/>
  <c r="Z4" i="20"/>
  <c r="Y4" i="20"/>
  <c r="W4" i="20"/>
  <c r="V4" i="20"/>
  <c r="P4" i="20"/>
  <c r="O4" i="20"/>
  <c r="N4" i="20"/>
  <c r="M4" i="20"/>
  <c r="I4" i="20"/>
  <c r="C4" i="20"/>
  <c r="B4" i="20"/>
  <c r="P3" i="20"/>
  <c r="O3" i="20"/>
  <c r="N3" i="20"/>
  <c r="M3" i="20"/>
  <c r="I3" i="20"/>
  <c r="C3" i="20"/>
  <c r="B3" i="20" s="1"/>
  <c r="P2" i="20"/>
  <c r="O2" i="20"/>
  <c r="N2" i="20"/>
  <c r="I2" i="20"/>
  <c r="M2" i="20" s="1"/>
  <c r="C2" i="20"/>
  <c r="B163" i="19"/>
  <c r="B162" i="19"/>
  <c r="B161" i="19"/>
  <c r="B160" i="19"/>
  <c r="B159" i="19"/>
  <c r="B158" i="19"/>
  <c r="B157" i="19"/>
  <c r="B156" i="19"/>
  <c r="B155" i="19"/>
  <c r="B154" i="19"/>
  <c r="B153" i="19"/>
  <c r="B152" i="19"/>
  <c r="B151" i="19"/>
  <c r="B150" i="19"/>
  <c r="B149" i="19"/>
  <c r="B148" i="19"/>
  <c r="B147" i="19"/>
  <c r="B146" i="19"/>
  <c r="B145" i="19"/>
  <c r="B144" i="19"/>
  <c r="B143" i="19"/>
  <c r="B142" i="19"/>
  <c r="B141" i="19"/>
  <c r="B140" i="19"/>
  <c r="B139" i="19"/>
  <c r="B138" i="19"/>
  <c r="B137" i="19"/>
  <c r="B136" i="19"/>
  <c r="B135" i="19"/>
  <c r="B134" i="19"/>
  <c r="B133" i="19"/>
  <c r="B132" i="19"/>
  <c r="B131" i="19"/>
  <c r="B130" i="19"/>
  <c r="B129" i="19"/>
  <c r="B128" i="19"/>
  <c r="B127" i="19"/>
  <c r="B126" i="19"/>
  <c r="B125" i="19"/>
  <c r="B124" i="19"/>
  <c r="B123" i="19"/>
  <c r="B122" i="19"/>
  <c r="B121" i="19"/>
  <c r="B120" i="19"/>
  <c r="B119" i="19"/>
  <c r="B118" i="19"/>
  <c r="B117" i="19"/>
  <c r="B116" i="19"/>
  <c r="B115" i="19"/>
  <c r="B114" i="19"/>
  <c r="B113" i="19"/>
  <c r="B112" i="19"/>
  <c r="B111" i="19"/>
  <c r="P110" i="19"/>
  <c r="O110" i="19"/>
  <c r="N110" i="19"/>
  <c r="I110" i="19"/>
  <c r="B110" i="19"/>
  <c r="P109" i="19"/>
  <c r="O109" i="19"/>
  <c r="N109" i="19"/>
  <c r="I109" i="19"/>
  <c r="M109" i="19" s="1"/>
  <c r="B109" i="19"/>
  <c r="P108" i="19"/>
  <c r="O108" i="19"/>
  <c r="N108" i="19"/>
  <c r="I108" i="19"/>
  <c r="B108" i="19"/>
  <c r="P107" i="19"/>
  <c r="O107" i="19"/>
  <c r="N107" i="19"/>
  <c r="I107" i="19"/>
  <c r="M107" i="19" s="1"/>
  <c r="B107" i="19"/>
  <c r="P106" i="19"/>
  <c r="O106" i="19"/>
  <c r="N106" i="19"/>
  <c r="I106" i="19"/>
  <c r="B106" i="19"/>
  <c r="P105" i="19"/>
  <c r="O105" i="19"/>
  <c r="N105" i="19"/>
  <c r="I105" i="19"/>
  <c r="M105" i="19" s="1"/>
  <c r="B105" i="19"/>
  <c r="P104" i="19"/>
  <c r="O104" i="19"/>
  <c r="N104" i="19"/>
  <c r="I104" i="19"/>
  <c r="B104" i="19"/>
  <c r="P103" i="19"/>
  <c r="O103" i="19"/>
  <c r="N103" i="19"/>
  <c r="I103" i="19"/>
  <c r="M103" i="19" s="1"/>
  <c r="C103" i="19"/>
  <c r="B103" i="19"/>
  <c r="P102" i="19"/>
  <c r="O102" i="19"/>
  <c r="N102" i="19"/>
  <c r="I102" i="19"/>
  <c r="B102" i="19"/>
  <c r="P101" i="19"/>
  <c r="O101" i="19"/>
  <c r="N101" i="19"/>
  <c r="M101" i="19"/>
  <c r="I101" i="19"/>
  <c r="C101" i="19"/>
  <c r="B101" i="19"/>
  <c r="P100" i="19"/>
  <c r="O100" i="19"/>
  <c r="N100" i="19"/>
  <c r="I100" i="19"/>
  <c r="M100" i="19" s="1"/>
  <c r="C100" i="19"/>
  <c r="B100" i="19"/>
  <c r="P99" i="19"/>
  <c r="O99" i="19"/>
  <c r="N99" i="19"/>
  <c r="M99" i="19"/>
  <c r="I99" i="19"/>
  <c r="C99" i="19"/>
  <c r="B99" i="19" s="1"/>
  <c r="P98" i="19"/>
  <c r="O98" i="19"/>
  <c r="N98" i="19"/>
  <c r="I98" i="19"/>
  <c r="B98" i="19"/>
  <c r="P97" i="19"/>
  <c r="N97" i="19"/>
  <c r="I97" i="19"/>
  <c r="M97" i="19" s="1"/>
  <c r="B97" i="19"/>
  <c r="P96" i="19"/>
  <c r="O96" i="19"/>
  <c r="N96" i="19"/>
  <c r="M96" i="19"/>
  <c r="I96" i="19"/>
  <c r="C96" i="19"/>
  <c r="B96" i="19"/>
  <c r="P95" i="19"/>
  <c r="O95" i="19"/>
  <c r="N95" i="19"/>
  <c r="I95" i="19"/>
  <c r="M95" i="19" s="1"/>
  <c r="C95" i="19"/>
  <c r="B95" i="19"/>
  <c r="P94" i="19"/>
  <c r="O94" i="19"/>
  <c r="N94" i="19"/>
  <c r="I94" i="19"/>
  <c r="M94" i="19" s="1"/>
  <c r="C94" i="19"/>
  <c r="B94" i="19"/>
  <c r="P93" i="19"/>
  <c r="O93" i="19"/>
  <c r="N93" i="19"/>
  <c r="M93" i="19"/>
  <c r="I93" i="19"/>
  <c r="B93" i="19"/>
  <c r="P92" i="19"/>
  <c r="O92" i="19"/>
  <c r="N92" i="19"/>
  <c r="I92" i="19"/>
  <c r="B92" i="19"/>
  <c r="P91" i="19"/>
  <c r="O91" i="19"/>
  <c r="N91" i="19"/>
  <c r="I91" i="19"/>
  <c r="M91" i="19" s="1"/>
  <c r="C91" i="19"/>
  <c r="B91" i="19" s="1"/>
  <c r="P90" i="19"/>
  <c r="N90" i="19"/>
  <c r="I90" i="19"/>
  <c r="M90" i="19" s="1"/>
  <c r="B90" i="19"/>
  <c r="P89" i="19"/>
  <c r="O89" i="19"/>
  <c r="N89" i="19"/>
  <c r="M89" i="19"/>
  <c r="I89" i="19"/>
  <c r="C89" i="19"/>
  <c r="B89" i="19"/>
  <c r="P88" i="19"/>
  <c r="O88" i="19"/>
  <c r="N88" i="19"/>
  <c r="M88" i="19"/>
  <c r="I88" i="19"/>
  <c r="C88" i="19"/>
  <c r="B88" i="19"/>
  <c r="P87" i="19"/>
  <c r="O87" i="19"/>
  <c r="N87" i="19"/>
  <c r="I87" i="19"/>
  <c r="M87" i="19" s="1"/>
  <c r="B87" i="19"/>
  <c r="P86" i="19"/>
  <c r="O86" i="19"/>
  <c r="N86" i="19"/>
  <c r="M86" i="19"/>
  <c r="I86" i="19"/>
  <c r="C86" i="19"/>
  <c r="B86" i="19" s="1"/>
  <c r="P85" i="19"/>
  <c r="O85" i="19"/>
  <c r="N85" i="19"/>
  <c r="M85" i="19"/>
  <c r="I85" i="19"/>
  <c r="B85" i="19"/>
  <c r="P84" i="19"/>
  <c r="O84" i="19"/>
  <c r="N84" i="19"/>
  <c r="I84" i="19"/>
  <c r="M84" i="19" s="1"/>
  <c r="C84" i="19"/>
  <c r="B84" i="19"/>
  <c r="P83" i="19"/>
  <c r="O83" i="19"/>
  <c r="N83" i="19"/>
  <c r="I83" i="19"/>
  <c r="M83" i="19" s="1"/>
  <c r="B83" i="19"/>
  <c r="P82" i="19"/>
  <c r="O82" i="19"/>
  <c r="N82" i="19"/>
  <c r="I82" i="19"/>
  <c r="M82" i="19" s="1"/>
  <c r="B82" i="19"/>
  <c r="P81" i="19"/>
  <c r="O81" i="19"/>
  <c r="N81" i="19"/>
  <c r="I81" i="19"/>
  <c r="M81" i="19" s="1"/>
  <c r="B81" i="19"/>
  <c r="P80" i="19"/>
  <c r="O80" i="19"/>
  <c r="N80" i="19"/>
  <c r="I80" i="19"/>
  <c r="B80" i="19"/>
  <c r="P79" i="19"/>
  <c r="O79" i="19"/>
  <c r="N79" i="19"/>
  <c r="I79" i="19"/>
  <c r="M79" i="19" s="1"/>
  <c r="B79" i="19"/>
  <c r="P78" i="19"/>
  <c r="O78" i="19"/>
  <c r="N78" i="19"/>
  <c r="M78" i="19"/>
  <c r="I78" i="19"/>
  <c r="B78" i="19"/>
  <c r="P77" i="19"/>
  <c r="O77" i="19"/>
  <c r="N77" i="19"/>
  <c r="I77" i="19"/>
  <c r="M77" i="19" s="1"/>
  <c r="B77" i="19"/>
  <c r="P76" i="19"/>
  <c r="O76" i="19"/>
  <c r="N76" i="19"/>
  <c r="I76" i="19"/>
  <c r="M76" i="19" s="1"/>
  <c r="C76" i="19"/>
  <c r="B76" i="19" s="1"/>
  <c r="P75" i="19"/>
  <c r="O75" i="19"/>
  <c r="N75" i="19"/>
  <c r="M75" i="19"/>
  <c r="I75" i="19"/>
  <c r="B75" i="19"/>
  <c r="P74" i="19"/>
  <c r="O74" i="19"/>
  <c r="N74" i="19"/>
  <c r="I74" i="19"/>
  <c r="M74" i="19" s="1"/>
  <c r="C74" i="19"/>
  <c r="B74" i="19" s="1"/>
  <c r="P73" i="19"/>
  <c r="O73" i="19"/>
  <c r="N73" i="19"/>
  <c r="I73" i="19"/>
  <c r="M73" i="19" s="1"/>
  <c r="C73" i="19"/>
  <c r="B73" i="19" s="1"/>
  <c r="P72" i="19"/>
  <c r="O72" i="19"/>
  <c r="N72" i="19"/>
  <c r="I72" i="19"/>
  <c r="B72" i="19"/>
  <c r="P71" i="19"/>
  <c r="O71" i="19"/>
  <c r="N71" i="19"/>
  <c r="M71" i="19"/>
  <c r="I71" i="19"/>
  <c r="C71" i="19"/>
  <c r="B71" i="19" s="1"/>
  <c r="P70" i="19"/>
  <c r="O70" i="19"/>
  <c r="N70" i="19"/>
  <c r="M70" i="19"/>
  <c r="I70" i="19"/>
  <c r="B70" i="19"/>
  <c r="P69" i="19"/>
  <c r="O69" i="19"/>
  <c r="N69" i="19"/>
  <c r="I69" i="19"/>
  <c r="B69" i="19"/>
  <c r="P68" i="19"/>
  <c r="O68" i="19"/>
  <c r="N68" i="19"/>
  <c r="M68" i="19"/>
  <c r="I68" i="19"/>
  <c r="C68" i="19"/>
  <c r="B68" i="19" s="1"/>
  <c r="P67" i="19"/>
  <c r="O67" i="19"/>
  <c r="N67" i="19"/>
  <c r="M67" i="19"/>
  <c r="I67" i="19"/>
  <c r="B67" i="19"/>
  <c r="P66" i="19"/>
  <c r="O66" i="19"/>
  <c r="N66" i="19"/>
  <c r="M66" i="19"/>
  <c r="I66" i="19"/>
  <c r="B66" i="19"/>
  <c r="P65" i="19"/>
  <c r="O65" i="19"/>
  <c r="N65" i="19"/>
  <c r="I65" i="19"/>
  <c r="B65" i="19"/>
  <c r="P64" i="19"/>
  <c r="O64" i="19"/>
  <c r="N64" i="19"/>
  <c r="M64" i="19"/>
  <c r="I64" i="19"/>
  <c r="B64" i="19"/>
  <c r="P63" i="19"/>
  <c r="O63" i="19"/>
  <c r="N63" i="19"/>
  <c r="M63" i="19"/>
  <c r="I63" i="19"/>
  <c r="C63" i="19"/>
  <c r="B63" i="19"/>
  <c r="P62" i="19"/>
  <c r="O62" i="19"/>
  <c r="N62" i="19"/>
  <c r="I62" i="19"/>
  <c r="M62" i="19" s="1"/>
  <c r="B62" i="19"/>
  <c r="P61" i="19"/>
  <c r="N61" i="19"/>
  <c r="I61" i="19"/>
  <c r="B61" i="19"/>
  <c r="AC60" i="19"/>
  <c r="P60" i="19"/>
  <c r="O60" i="19"/>
  <c r="N60" i="19"/>
  <c r="I60" i="19"/>
  <c r="B60" i="19"/>
  <c r="P59" i="19"/>
  <c r="O59" i="19"/>
  <c r="N59" i="19"/>
  <c r="M59" i="19"/>
  <c r="I59" i="19"/>
  <c r="B59" i="19"/>
  <c r="P58" i="19"/>
  <c r="O58" i="19"/>
  <c r="N58" i="19"/>
  <c r="M58" i="19"/>
  <c r="I58" i="19"/>
  <c r="C58" i="19"/>
  <c r="B58" i="19" s="1"/>
  <c r="P57" i="19"/>
  <c r="O57" i="19"/>
  <c r="N57" i="19"/>
  <c r="M57" i="19"/>
  <c r="I57" i="19"/>
  <c r="B57" i="19"/>
  <c r="P56" i="19"/>
  <c r="O56" i="19"/>
  <c r="N56" i="19"/>
  <c r="M56" i="19"/>
  <c r="I56" i="19"/>
  <c r="B56" i="19"/>
  <c r="P55" i="19"/>
  <c r="O55" i="19"/>
  <c r="N55" i="19"/>
  <c r="M55" i="19"/>
  <c r="I55" i="19"/>
  <c r="C55" i="19"/>
  <c r="B55" i="19" s="1"/>
  <c r="P54" i="19"/>
  <c r="N54" i="19"/>
  <c r="I54" i="19"/>
  <c r="M54" i="19" s="1"/>
  <c r="B54" i="19"/>
  <c r="P53" i="19"/>
  <c r="O53" i="19"/>
  <c r="N53" i="19"/>
  <c r="I53" i="19"/>
  <c r="M53" i="19" s="1"/>
  <c r="B53" i="19"/>
  <c r="P52" i="19"/>
  <c r="O52" i="19"/>
  <c r="N52" i="19"/>
  <c r="I52" i="19"/>
  <c r="M52" i="19" s="1"/>
  <c r="B52" i="19"/>
  <c r="P51" i="19"/>
  <c r="O51" i="19"/>
  <c r="N51" i="19"/>
  <c r="I51" i="19"/>
  <c r="M51" i="19" s="1"/>
  <c r="C51" i="19"/>
  <c r="B51" i="19" s="1"/>
  <c r="P50" i="19"/>
  <c r="O50" i="19"/>
  <c r="N50" i="19"/>
  <c r="I50" i="19"/>
  <c r="M50" i="19" s="1"/>
  <c r="C50" i="19"/>
  <c r="B50" i="19"/>
  <c r="P49" i="19"/>
  <c r="O49" i="19"/>
  <c r="N49" i="19"/>
  <c r="M49" i="19"/>
  <c r="I49" i="19"/>
  <c r="C49" i="19"/>
  <c r="B49" i="19"/>
  <c r="P48" i="19"/>
  <c r="O48" i="19"/>
  <c r="N48" i="19"/>
  <c r="I48" i="19"/>
  <c r="M48" i="19" s="1"/>
  <c r="B48" i="19"/>
  <c r="P47" i="19"/>
  <c r="O47" i="19"/>
  <c r="N47" i="19"/>
  <c r="M47" i="19"/>
  <c r="I47" i="19"/>
  <c r="C47" i="19"/>
  <c r="B47" i="19" s="1"/>
  <c r="P46" i="19"/>
  <c r="O46" i="19"/>
  <c r="N46" i="19"/>
  <c r="M46" i="19"/>
  <c r="I46" i="19"/>
  <c r="C46" i="19"/>
  <c r="B46" i="19"/>
  <c r="P45" i="19"/>
  <c r="O45" i="19"/>
  <c r="N45" i="19"/>
  <c r="M45" i="19"/>
  <c r="I45" i="19"/>
  <c r="B45" i="19"/>
  <c r="P44" i="19"/>
  <c r="O44" i="19"/>
  <c r="N44" i="19"/>
  <c r="I44" i="19"/>
  <c r="M44" i="19" s="1"/>
  <c r="B44" i="19"/>
  <c r="P43" i="19"/>
  <c r="O43" i="19"/>
  <c r="N43" i="19"/>
  <c r="M43" i="19"/>
  <c r="I43" i="19"/>
  <c r="B43" i="19"/>
  <c r="P42" i="19"/>
  <c r="O42" i="19"/>
  <c r="N42" i="19"/>
  <c r="I42" i="19"/>
  <c r="C42" i="19"/>
  <c r="B42" i="19" s="1"/>
  <c r="P41" i="19"/>
  <c r="N41" i="19"/>
  <c r="I41" i="19"/>
  <c r="B41" i="19"/>
  <c r="P40" i="19"/>
  <c r="O40" i="19"/>
  <c r="N40" i="19"/>
  <c r="I40" i="19"/>
  <c r="M40" i="19" s="1"/>
  <c r="C40" i="19"/>
  <c r="B40" i="19"/>
  <c r="P39" i="19"/>
  <c r="O39" i="19"/>
  <c r="N39" i="19"/>
  <c r="M39" i="19"/>
  <c r="I39" i="19"/>
  <c r="C39" i="19"/>
  <c r="B39" i="19" s="1"/>
  <c r="P38" i="19"/>
  <c r="O38" i="19"/>
  <c r="N38" i="19"/>
  <c r="I38" i="19"/>
  <c r="M38" i="19" s="1"/>
  <c r="C38" i="19"/>
  <c r="B38" i="19"/>
  <c r="P37" i="19"/>
  <c r="O37" i="19"/>
  <c r="N37" i="19"/>
  <c r="I37" i="19"/>
  <c r="M37" i="19" s="1"/>
  <c r="B37" i="19"/>
  <c r="P36" i="19"/>
  <c r="O36" i="19"/>
  <c r="N36" i="19"/>
  <c r="M36" i="19"/>
  <c r="I36" i="19"/>
  <c r="C36" i="19"/>
  <c r="B36" i="19" s="1"/>
  <c r="P35" i="19"/>
  <c r="O35" i="19"/>
  <c r="N35" i="19"/>
  <c r="I35" i="19"/>
  <c r="M35" i="19" s="1"/>
  <c r="B35" i="19"/>
  <c r="P34" i="19"/>
  <c r="O34" i="19"/>
  <c r="N34" i="19"/>
  <c r="I34" i="19"/>
  <c r="M34" i="19" s="1"/>
  <c r="B34" i="19"/>
  <c r="P33" i="19"/>
  <c r="N33" i="19"/>
  <c r="I33" i="19"/>
  <c r="B33" i="19"/>
  <c r="P32" i="19"/>
  <c r="O32" i="19"/>
  <c r="N32" i="19"/>
  <c r="I32" i="19"/>
  <c r="M32" i="19" s="1"/>
  <c r="B32" i="19"/>
  <c r="P31" i="19"/>
  <c r="O31" i="19"/>
  <c r="N31" i="19"/>
  <c r="I31" i="19"/>
  <c r="M31" i="19" s="1"/>
  <c r="C31" i="19"/>
  <c r="B31" i="19"/>
  <c r="P30" i="19"/>
  <c r="O30" i="19"/>
  <c r="N30" i="19"/>
  <c r="I30" i="19"/>
  <c r="M30" i="19" s="1"/>
  <c r="C30" i="19"/>
  <c r="B30" i="19" s="1"/>
  <c r="P29" i="19"/>
  <c r="N29" i="19"/>
  <c r="M29" i="19"/>
  <c r="I29" i="19"/>
  <c r="B29" i="19"/>
  <c r="P28" i="19"/>
  <c r="O28" i="19"/>
  <c r="N28" i="19"/>
  <c r="I28" i="19"/>
  <c r="M28" i="19" s="1"/>
  <c r="C28" i="19"/>
  <c r="B28" i="19"/>
  <c r="P27" i="19"/>
  <c r="O27" i="19"/>
  <c r="N27" i="19"/>
  <c r="I27" i="19"/>
  <c r="M27" i="19" s="1"/>
  <c r="C27" i="19"/>
  <c r="B27" i="19" s="1"/>
  <c r="Z26" i="19"/>
  <c r="Y26" i="19"/>
  <c r="W26" i="19"/>
  <c r="V26" i="19"/>
  <c r="P26" i="19"/>
  <c r="N26" i="19"/>
  <c r="M26" i="19"/>
  <c r="I26" i="19"/>
  <c r="B26" i="19"/>
  <c r="Z25" i="19"/>
  <c r="Y25" i="19"/>
  <c r="W25" i="19"/>
  <c r="V25" i="19"/>
  <c r="P25" i="19"/>
  <c r="O25" i="19"/>
  <c r="N25" i="19"/>
  <c r="M25" i="19"/>
  <c r="I25" i="19"/>
  <c r="C25" i="19"/>
  <c r="B25" i="19" s="1"/>
  <c r="Z24" i="19"/>
  <c r="Y24" i="19"/>
  <c r="W24" i="19"/>
  <c r="V24" i="19"/>
  <c r="P24" i="19"/>
  <c r="O24" i="19"/>
  <c r="N24" i="19"/>
  <c r="I24" i="19"/>
  <c r="B24" i="19"/>
  <c r="Z23" i="19"/>
  <c r="Y23" i="19"/>
  <c r="W23" i="19"/>
  <c r="V23" i="19"/>
  <c r="P23" i="19"/>
  <c r="O23" i="19"/>
  <c r="N23" i="19"/>
  <c r="M23" i="19"/>
  <c r="I23" i="19"/>
  <c r="C23" i="19"/>
  <c r="B23" i="19" s="1"/>
  <c r="Z22" i="19"/>
  <c r="Y22" i="19"/>
  <c r="W22" i="19"/>
  <c r="V22" i="19"/>
  <c r="P22" i="19"/>
  <c r="N22" i="19"/>
  <c r="I22" i="19"/>
  <c r="M22" i="19" s="1"/>
  <c r="C22" i="19"/>
  <c r="B22" i="19"/>
  <c r="Z21" i="19"/>
  <c r="Y21" i="19"/>
  <c r="W21" i="19"/>
  <c r="V21" i="19"/>
  <c r="P21" i="19"/>
  <c r="O21" i="19"/>
  <c r="N21" i="19"/>
  <c r="I21" i="19"/>
  <c r="M21" i="19" s="1"/>
  <c r="B21" i="19"/>
  <c r="Z20" i="19"/>
  <c r="Y20" i="19"/>
  <c r="W20" i="19"/>
  <c r="V20" i="19"/>
  <c r="P20" i="19"/>
  <c r="O20" i="19"/>
  <c r="N20" i="19"/>
  <c r="M20" i="19"/>
  <c r="I20" i="19"/>
  <c r="B20" i="19"/>
  <c r="Z19" i="19"/>
  <c r="Y19" i="19"/>
  <c r="W19" i="19"/>
  <c r="V19" i="19"/>
  <c r="P19" i="19"/>
  <c r="O19" i="19"/>
  <c r="N19" i="19"/>
  <c r="I19" i="19"/>
  <c r="M19" i="19" s="1"/>
  <c r="B19" i="19"/>
  <c r="Z18" i="19"/>
  <c r="Y18" i="19"/>
  <c r="W18" i="19"/>
  <c r="V18" i="19"/>
  <c r="P18" i="19"/>
  <c r="O18" i="19"/>
  <c r="N18" i="19"/>
  <c r="M18" i="19"/>
  <c r="I18" i="19"/>
  <c r="C18" i="19"/>
  <c r="B18" i="19" s="1"/>
  <c r="Z17" i="19"/>
  <c r="Y17" i="19"/>
  <c r="W17" i="19"/>
  <c r="V17" i="19"/>
  <c r="P17" i="19"/>
  <c r="O17" i="19"/>
  <c r="N17" i="19"/>
  <c r="I17" i="19"/>
  <c r="M17" i="19" s="1"/>
  <c r="C17" i="19"/>
  <c r="B17" i="19"/>
  <c r="P16" i="19"/>
  <c r="O16" i="19"/>
  <c r="N16" i="19"/>
  <c r="I16" i="19"/>
  <c r="M16" i="19" s="1"/>
  <c r="C16" i="19"/>
  <c r="B16" i="19" s="1"/>
  <c r="P15" i="19"/>
  <c r="O15" i="19"/>
  <c r="N15" i="19"/>
  <c r="M15" i="19"/>
  <c r="I15" i="19"/>
  <c r="C15" i="19"/>
  <c r="B15" i="19" s="1"/>
  <c r="P14" i="19"/>
  <c r="O14" i="19"/>
  <c r="N14" i="19"/>
  <c r="M14" i="19"/>
  <c r="I14" i="19"/>
  <c r="B14" i="19"/>
  <c r="AD13" i="19"/>
  <c r="AC13" i="19"/>
  <c r="Z13" i="19"/>
  <c r="Y13" i="19"/>
  <c r="W13" i="19"/>
  <c r="V13" i="19"/>
  <c r="T13" i="19"/>
  <c r="S13" i="19"/>
  <c r="P13" i="19"/>
  <c r="O13" i="19"/>
  <c r="N13" i="19"/>
  <c r="I13" i="19"/>
  <c r="M13" i="19" s="1"/>
  <c r="C13" i="19"/>
  <c r="B13" i="19"/>
  <c r="AD12" i="19"/>
  <c r="AC12" i="19"/>
  <c r="Z12" i="19"/>
  <c r="Y12" i="19"/>
  <c r="W12" i="19"/>
  <c r="V12" i="19"/>
  <c r="T12" i="19"/>
  <c r="S12" i="19"/>
  <c r="P12" i="19"/>
  <c r="O12" i="19"/>
  <c r="N12" i="19"/>
  <c r="M12" i="19"/>
  <c r="I12" i="19"/>
  <c r="C12" i="19"/>
  <c r="B12" i="19"/>
  <c r="AD11" i="19"/>
  <c r="AC11" i="19"/>
  <c r="Z11" i="19"/>
  <c r="Y11" i="19"/>
  <c r="W11" i="19"/>
  <c r="V11" i="19"/>
  <c r="T11" i="19"/>
  <c r="S11" i="19"/>
  <c r="P11" i="19"/>
  <c r="O11" i="19"/>
  <c r="N11" i="19"/>
  <c r="M11" i="19"/>
  <c r="I11" i="19"/>
  <c r="C11" i="19"/>
  <c r="B11" i="19" s="1"/>
  <c r="AD10" i="19"/>
  <c r="AC10" i="19"/>
  <c r="Z10" i="19"/>
  <c r="Y10" i="19"/>
  <c r="W10" i="19"/>
  <c r="V10" i="19"/>
  <c r="T10" i="19"/>
  <c r="S10" i="19"/>
  <c r="P10" i="19"/>
  <c r="O10" i="19"/>
  <c r="N10" i="19"/>
  <c r="I10" i="19"/>
  <c r="M10" i="19" s="1"/>
  <c r="C10" i="19"/>
  <c r="B10" i="19"/>
  <c r="AD9" i="19"/>
  <c r="AC9" i="19"/>
  <c r="Z9" i="19"/>
  <c r="Y9" i="19"/>
  <c r="W9" i="19"/>
  <c r="V9" i="19"/>
  <c r="T9" i="19"/>
  <c r="S9" i="19"/>
  <c r="P9" i="19"/>
  <c r="O9" i="19"/>
  <c r="N9" i="19"/>
  <c r="I9" i="19"/>
  <c r="M9" i="19" s="1"/>
  <c r="C9" i="19"/>
  <c r="B9" i="19"/>
  <c r="AD8" i="19"/>
  <c r="AC8" i="19"/>
  <c r="Z8" i="19"/>
  <c r="Y8" i="19"/>
  <c r="W8" i="19"/>
  <c r="V8" i="19"/>
  <c r="T8" i="19"/>
  <c r="S8" i="19"/>
  <c r="P8" i="19"/>
  <c r="O8" i="19"/>
  <c r="N8" i="19"/>
  <c r="M8" i="19"/>
  <c r="I8" i="19"/>
  <c r="C8" i="19"/>
  <c r="B8" i="19" s="1"/>
  <c r="Z7" i="19"/>
  <c r="Y7" i="19"/>
  <c r="W7" i="19"/>
  <c r="V7" i="19"/>
  <c r="P7" i="19"/>
  <c r="O7" i="19"/>
  <c r="N7" i="19"/>
  <c r="M7" i="19"/>
  <c r="I7" i="19"/>
  <c r="C7" i="19"/>
  <c r="B7" i="19" s="1"/>
  <c r="Z6" i="19"/>
  <c r="Y6" i="19"/>
  <c r="W6" i="19"/>
  <c r="V6" i="19"/>
  <c r="P6" i="19"/>
  <c r="O6" i="19"/>
  <c r="N6" i="19"/>
  <c r="I6" i="19"/>
  <c r="M6" i="19" s="1"/>
  <c r="C6" i="19"/>
  <c r="B6" i="19"/>
  <c r="Z5" i="19"/>
  <c r="Y5" i="19"/>
  <c r="W5" i="19"/>
  <c r="V5" i="19"/>
  <c r="P5" i="19"/>
  <c r="O5" i="19"/>
  <c r="N5" i="19"/>
  <c r="I5" i="19"/>
  <c r="M5" i="19" s="1"/>
  <c r="C5" i="19"/>
  <c r="B5" i="19" s="1"/>
  <c r="Z4" i="19"/>
  <c r="Y4" i="19"/>
  <c r="W4" i="19"/>
  <c r="V4" i="19"/>
  <c r="P4" i="19"/>
  <c r="O4" i="19"/>
  <c r="N4" i="19"/>
  <c r="I4" i="19"/>
  <c r="M4" i="19" s="1"/>
  <c r="C4" i="19"/>
  <c r="B4" i="19"/>
  <c r="P3" i="19"/>
  <c r="O3" i="19"/>
  <c r="N3" i="19"/>
  <c r="M3" i="19"/>
  <c r="I3" i="19"/>
  <c r="C3" i="19"/>
  <c r="B3" i="19" s="1"/>
  <c r="P2" i="19"/>
  <c r="O2" i="19"/>
  <c r="N2" i="19"/>
  <c r="M2" i="19"/>
  <c r="I2" i="19"/>
  <c r="C2" i="19"/>
  <c r="T60" i="19" s="1"/>
  <c r="B163" i="18"/>
  <c r="B162" i="18"/>
  <c r="B161" i="18"/>
  <c r="B160" i="18"/>
  <c r="B159" i="18"/>
  <c r="B158" i="18"/>
  <c r="B157" i="18"/>
  <c r="B156" i="18"/>
  <c r="B155" i="18"/>
  <c r="B154" i="18"/>
  <c r="B153" i="18"/>
  <c r="B152" i="18"/>
  <c r="B151" i="18"/>
  <c r="B150" i="18"/>
  <c r="B149" i="18"/>
  <c r="B148" i="18"/>
  <c r="B147" i="18"/>
  <c r="B146" i="18"/>
  <c r="B145" i="18"/>
  <c r="B144" i="18"/>
  <c r="B143" i="18"/>
  <c r="B142" i="18"/>
  <c r="B141" i="18"/>
  <c r="B140" i="18"/>
  <c r="B139" i="18"/>
  <c r="B138" i="18"/>
  <c r="B137" i="18"/>
  <c r="B136" i="18"/>
  <c r="B135" i="18"/>
  <c r="B134" i="18"/>
  <c r="B133" i="18"/>
  <c r="B132" i="18"/>
  <c r="B131" i="18"/>
  <c r="B130" i="18"/>
  <c r="B129" i="18"/>
  <c r="B128" i="18"/>
  <c r="B127" i="18"/>
  <c r="B126" i="18"/>
  <c r="B125" i="18"/>
  <c r="B124" i="18"/>
  <c r="B123" i="18"/>
  <c r="B122" i="18"/>
  <c r="B121" i="18"/>
  <c r="B120" i="18"/>
  <c r="B119" i="18"/>
  <c r="B118" i="18"/>
  <c r="B117" i="18"/>
  <c r="B116" i="18"/>
  <c r="B115" i="18"/>
  <c r="B114" i="18"/>
  <c r="B113" i="18"/>
  <c r="B112" i="18"/>
  <c r="B111" i="18"/>
  <c r="B110" i="18"/>
  <c r="B109" i="18"/>
  <c r="B108" i="18"/>
  <c r="B107" i="18"/>
  <c r="B106" i="18"/>
  <c r="B105" i="18"/>
  <c r="B104" i="18"/>
  <c r="C103" i="18"/>
  <c r="B103" i="18"/>
  <c r="C102" i="18"/>
  <c r="B102" i="18"/>
  <c r="C101" i="18"/>
  <c r="B101" i="18"/>
  <c r="C100" i="18"/>
  <c r="B100" i="18"/>
  <c r="C99" i="18"/>
  <c r="B99" i="18"/>
  <c r="C98" i="18"/>
  <c r="B98" i="18" s="1"/>
  <c r="P97" i="18"/>
  <c r="O97" i="18"/>
  <c r="N97" i="18"/>
  <c r="M97" i="18"/>
  <c r="I97" i="18"/>
  <c r="C97" i="18"/>
  <c r="B97" i="18" s="1"/>
  <c r="P96" i="18"/>
  <c r="O96" i="18"/>
  <c r="N96" i="18"/>
  <c r="M96" i="18"/>
  <c r="I96" i="18"/>
  <c r="C96" i="18"/>
  <c r="B96" i="18"/>
  <c r="P95" i="18"/>
  <c r="O95" i="18"/>
  <c r="N95" i="18"/>
  <c r="M95" i="18"/>
  <c r="I95" i="18"/>
  <c r="C95" i="18"/>
  <c r="B95" i="18"/>
  <c r="P94" i="18"/>
  <c r="O94" i="18"/>
  <c r="N94" i="18"/>
  <c r="I94" i="18"/>
  <c r="M94" i="18" s="1"/>
  <c r="C94" i="18"/>
  <c r="B94" i="18"/>
  <c r="P93" i="18"/>
  <c r="O93" i="18"/>
  <c r="N93" i="18"/>
  <c r="I93" i="18"/>
  <c r="M93" i="18" s="1"/>
  <c r="C93" i="18"/>
  <c r="B93" i="18" s="1"/>
  <c r="P92" i="18"/>
  <c r="O92" i="18"/>
  <c r="N92" i="18"/>
  <c r="I92" i="18"/>
  <c r="M92" i="18" s="1"/>
  <c r="C92" i="18"/>
  <c r="B92" i="18"/>
  <c r="P91" i="18"/>
  <c r="O91" i="18"/>
  <c r="N91" i="18"/>
  <c r="I91" i="18"/>
  <c r="M91" i="18" s="1"/>
  <c r="C91" i="18"/>
  <c r="B91" i="18" s="1"/>
  <c r="P90" i="18"/>
  <c r="O90" i="18"/>
  <c r="N90" i="18"/>
  <c r="M90" i="18"/>
  <c r="I90" i="18"/>
  <c r="C90" i="18"/>
  <c r="B90" i="18" s="1"/>
  <c r="P89" i="18"/>
  <c r="O89" i="18"/>
  <c r="N89" i="18"/>
  <c r="M89" i="18"/>
  <c r="I89" i="18"/>
  <c r="B89" i="18"/>
  <c r="P88" i="18"/>
  <c r="O88" i="18"/>
  <c r="N88" i="18"/>
  <c r="I88" i="18"/>
  <c r="M88" i="18" s="1"/>
  <c r="C88" i="18"/>
  <c r="B88" i="18"/>
  <c r="P87" i="18"/>
  <c r="O87" i="18"/>
  <c r="N87" i="18"/>
  <c r="I87" i="18"/>
  <c r="M87" i="18" s="1"/>
  <c r="C87" i="18"/>
  <c r="B87" i="18"/>
  <c r="P86" i="18"/>
  <c r="O86" i="18"/>
  <c r="N86" i="18"/>
  <c r="M86" i="18"/>
  <c r="I86" i="18"/>
  <c r="B86" i="18"/>
  <c r="P85" i="18"/>
  <c r="O85" i="18"/>
  <c r="N85" i="18"/>
  <c r="M85" i="18"/>
  <c r="I85" i="18"/>
  <c r="C85" i="18"/>
  <c r="B85" i="18"/>
  <c r="P84" i="18"/>
  <c r="O84" i="18"/>
  <c r="N84" i="18"/>
  <c r="I84" i="18"/>
  <c r="M84" i="18" s="1"/>
  <c r="B84" i="18"/>
  <c r="P83" i="18"/>
  <c r="N83" i="18"/>
  <c r="I83" i="18"/>
  <c r="M83" i="18" s="1"/>
  <c r="B83" i="18"/>
  <c r="P82" i="18"/>
  <c r="O82" i="18"/>
  <c r="N82" i="18"/>
  <c r="I82" i="18"/>
  <c r="M82" i="18" s="1"/>
  <c r="B82" i="18"/>
  <c r="P81" i="18"/>
  <c r="N81" i="18"/>
  <c r="I81" i="18"/>
  <c r="M81" i="18" s="1"/>
  <c r="B81" i="18"/>
  <c r="P80" i="18"/>
  <c r="O80" i="18"/>
  <c r="N80" i="18"/>
  <c r="M80" i="18"/>
  <c r="I80" i="18"/>
  <c r="B80" i="18"/>
  <c r="P79" i="18"/>
  <c r="O79" i="18"/>
  <c r="N79" i="18"/>
  <c r="I79" i="18"/>
  <c r="M79" i="18" s="1"/>
  <c r="C79" i="18"/>
  <c r="B79" i="18" s="1"/>
  <c r="P78" i="18"/>
  <c r="O78" i="18"/>
  <c r="N78" i="18"/>
  <c r="M78" i="18"/>
  <c r="I78" i="18"/>
  <c r="B78" i="18"/>
  <c r="P77" i="18"/>
  <c r="O77" i="18"/>
  <c r="N77" i="18"/>
  <c r="I77" i="18"/>
  <c r="M77" i="18" s="1"/>
  <c r="B77" i="18"/>
  <c r="P76" i="18"/>
  <c r="O76" i="18"/>
  <c r="N76" i="18"/>
  <c r="M76" i="18"/>
  <c r="I76" i="18"/>
  <c r="B76" i="18"/>
  <c r="P75" i="18"/>
  <c r="O75" i="18"/>
  <c r="N75" i="18"/>
  <c r="I75" i="18"/>
  <c r="M75" i="18" s="1"/>
  <c r="B75" i="18"/>
  <c r="P74" i="18"/>
  <c r="O74" i="18"/>
  <c r="N74" i="18"/>
  <c r="M74" i="18"/>
  <c r="I74" i="18"/>
  <c r="C74" i="18"/>
  <c r="B74" i="18" s="1"/>
  <c r="P73" i="18"/>
  <c r="O73" i="18"/>
  <c r="N73" i="18"/>
  <c r="I73" i="18"/>
  <c r="M73" i="18" s="1"/>
  <c r="B73" i="18"/>
  <c r="P72" i="18"/>
  <c r="O72" i="18"/>
  <c r="N72" i="18"/>
  <c r="I72" i="18"/>
  <c r="M72" i="18" s="1"/>
  <c r="C72" i="18"/>
  <c r="B72" i="18" s="1"/>
  <c r="P71" i="18"/>
  <c r="O71" i="18"/>
  <c r="N71" i="18"/>
  <c r="M71" i="18"/>
  <c r="I71" i="18"/>
  <c r="C71" i="18"/>
  <c r="B71" i="18"/>
  <c r="P70" i="18"/>
  <c r="O70" i="18"/>
  <c r="N70" i="18"/>
  <c r="I70" i="18"/>
  <c r="M70" i="18" s="1"/>
  <c r="C70" i="18"/>
  <c r="B70" i="18"/>
  <c r="P69" i="18"/>
  <c r="O69" i="18"/>
  <c r="N69" i="18"/>
  <c r="M69" i="18"/>
  <c r="I69" i="18"/>
  <c r="B69" i="18"/>
  <c r="P68" i="18"/>
  <c r="O68" i="18"/>
  <c r="N68" i="18"/>
  <c r="M68" i="18"/>
  <c r="I68" i="18"/>
  <c r="B68" i="18"/>
  <c r="P67" i="18"/>
  <c r="O67" i="18"/>
  <c r="N67" i="18"/>
  <c r="I67" i="18"/>
  <c r="M67" i="18" s="1"/>
  <c r="C67" i="18"/>
  <c r="B67" i="18"/>
  <c r="P66" i="18"/>
  <c r="O66" i="18"/>
  <c r="N66" i="18"/>
  <c r="I66" i="18"/>
  <c r="M66" i="18" s="1"/>
  <c r="C66" i="18"/>
  <c r="B66" i="18" s="1"/>
  <c r="P65" i="18"/>
  <c r="O65" i="18"/>
  <c r="N65" i="18"/>
  <c r="I65" i="18"/>
  <c r="M65" i="18" s="1"/>
  <c r="B65" i="18"/>
  <c r="P64" i="18"/>
  <c r="O64" i="18"/>
  <c r="N64" i="18"/>
  <c r="M64" i="18"/>
  <c r="I64" i="18"/>
  <c r="C64" i="18"/>
  <c r="B64" i="18" s="1"/>
  <c r="P63" i="18"/>
  <c r="O63" i="18"/>
  <c r="N63" i="18"/>
  <c r="I63" i="18"/>
  <c r="M63" i="18" s="1"/>
  <c r="B63" i="18"/>
  <c r="P62" i="18"/>
  <c r="O62" i="18"/>
  <c r="N62" i="18"/>
  <c r="I62" i="18"/>
  <c r="M62" i="18" s="1"/>
  <c r="B62" i="18"/>
  <c r="P61" i="18"/>
  <c r="O61" i="18"/>
  <c r="N61" i="18"/>
  <c r="M61" i="18"/>
  <c r="I61" i="18"/>
  <c r="C61" i="18"/>
  <c r="B61" i="18" s="1"/>
  <c r="P60" i="18"/>
  <c r="O60" i="18"/>
  <c r="N60" i="18"/>
  <c r="M60" i="18"/>
  <c r="I60" i="18"/>
  <c r="C60" i="18"/>
  <c r="B60" i="18" s="1"/>
  <c r="P59" i="18"/>
  <c r="O59" i="18"/>
  <c r="N59" i="18"/>
  <c r="I59" i="18"/>
  <c r="M59" i="18" s="1"/>
  <c r="C59" i="18"/>
  <c r="B59" i="18" s="1"/>
  <c r="P58" i="18"/>
  <c r="O58" i="18"/>
  <c r="N58" i="18"/>
  <c r="M58" i="18"/>
  <c r="I58" i="18"/>
  <c r="C58" i="18"/>
  <c r="B58" i="18"/>
  <c r="P57" i="18"/>
  <c r="O57" i="18"/>
  <c r="N57" i="18"/>
  <c r="I57" i="18"/>
  <c r="M57" i="18" s="1"/>
  <c r="C57" i="18"/>
  <c r="B57" i="18"/>
  <c r="P56" i="18"/>
  <c r="O56" i="18"/>
  <c r="N56" i="18"/>
  <c r="M56" i="18"/>
  <c r="I56" i="18"/>
  <c r="B56" i="18"/>
  <c r="P55" i="18"/>
  <c r="O55" i="18"/>
  <c r="N55" i="18"/>
  <c r="M55" i="18"/>
  <c r="I55" i="18"/>
  <c r="B55" i="18"/>
  <c r="P54" i="18"/>
  <c r="O54" i="18"/>
  <c r="N54" i="18"/>
  <c r="I54" i="18"/>
  <c r="M54" i="18" s="1"/>
  <c r="B54" i="18"/>
  <c r="P53" i="18"/>
  <c r="O53" i="18"/>
  <c r="N53" i="18"/>
  <c r="I53" i="18"/>
  <c r="M53" i="18" s="1"/>
  <c r="C53" i="18"/>
  <c r="B53" i="18"/>
  <c r="P52" i="18"/>
  <c r="O52" i="18"/>
  <c r="N52" i="18"/>
  <c r="I52" i="18"/>
  <c r="M52" i="18" s="1"/>
  <c r="C52" i="18"/>
  <c r="B52" i="18"/>
  <c r="P51" i="18"/>
  <c r="O51" i="18"/>
  <c r="N51" i="18"/>
  <c r="M51" i="18"/>
  <c r="I51" i="18"/>
  <c r="B51" i="18"/>
  <c r="P50" i="18"/>
  <c r="O50" i="18"/>
  <c r="N50" i="18"/>
  <c r="M50" i="18"/>
  <c r="I50" i="18"/>
  <c r="C50" i="18"/>
  <c r="B50" i="18" s="1"/>
  <c r="P49" i="18"/>
  <c r="O49" i="18"/>
  <c r="N49" i="18"/>
  <c r="M49" i="18"/>
  <c r="I49" i="18"/>
  <c r="C49" i="18"/>
  <c r="B49" i="18"/>
  <c r="P48" i="18"/>
  <c r="O48" i="18"/>
  <c r="N48" i="18"/>
  <c r="M48" i="18"/>
  <c r="I48" i="18"/>
  <c r="B48" i="18"/>
  <c r="P47" i="18"/>
  <c r="O47" i="18"/>
  <c r="N47" i="18"/>
  <c r="I47" i="18"/>
  <c r="M47" i="18" s="1"/>
  <c r="C47" i="18"/>
  <c r="B47" i="18" s="1"/>
  <c r="P46" i="18"/>
  <c r="O46" i="18"/>
  <c r="N46" i="18"/>
  <c r="M46" i="18"/>
  <c r="I46" i="18"/>
  <c r="C46" i="18"/>
  <c r="B46" i="18" s="1"/>
  <c r="P45" i="18"/>
  <c r="O45" i="18"/>
  <c r="N45" i="18"/>
  <c r="I45" i="18"/>
  <c r="M45" i="18" s="1"/>
  <c r="C45" i="18"/>
  <c r="B45" i="18" s="1"/>
  <c r="P44" i="18"/>
  <c r="O44" i="18"/>
  <c r="N44" i="18"/>
  <c r="I44" i="18"/>
  <c r="M44" i="18" s="1"/>
  <c r="C44" i="18"/>
  <c r="B44" i="18"/>
  <c r="P43" i="18"/>
  <c r="O43" i="18"/>
  <c r="N43" i="18"/>
  <c r="I43" i="18"/>
  <c r="M43" i="18" s="1"/>
  <c r="B43" i="18"/>
  <c r="P42" i="18"/>
  <c r="O42" i="18"/>
  <c r="N42" i="18"/>
  <c r="M42" i="18"/>
  <c r="I42" i="18"/>
  <c r="C42" i="18"/>
  <c r="B42" i="18" s="1"/>
  <c r="P41" i="18"/>
  <c r="O41" i="18"/>
  <c r="N41" i="18"/>
  <c r="I41" i="18"/>
  <c r="M41" i="18" s="1"/>
  <c r="B41" i="18"/>
  <c r="P40" i="18"/>
  <c r="O40" i="18"/>
  <c r="N40" i="18"/>
  <c r="I40" i="18"/>
  <c r="M40" i="18" s="1"/>
  <c r="C40" i="18"/>
  <c r="B40" i="18"/>
  <c r="P39" i="18"/>
  <c r="O39" i="18"/>
  <c r="N39" i="18"/>
  <c r="I39" i="18"/>
  <c r="M39" i="18" s="1"/>
  <c r="B39" i="18"/>
  <c r="P38" i="18"/>
  <c r="O38" i="18"/>
  <c r="N38" i="18"/>
  <c r="I38" i="18"/>
  <c r="M38" i="18" s="1"/>
  <c r="B38" i="18"/>
  <c r="P37" i="18"/>
  <c r="O37" i="18"/>
  <c r="N37" i="18"/>
  <c r="M37" i="18"/>
  <c r="I37" i="18"/>
  <c r="B37" i="18"/>
  <c r="P36" i="18"/>
  <c r="O36" i="18"/>
  <c r="N36" i="18"/>
  <c r="M36" i="18"/>
  <c r="I36" i="18"/>
  <c r="B36" i="18"/>
  <c r="P35" i="18"/>
  <c r="O35" i="18"/>
  <c r="N35" i="18"/>
  <c r="M35" i="18"/>
  <c r="I35" i="18"/>
  <c r="B35" i="18"/>
  <c r="P34" i="18"/>
  <c r="O34" i="18"/>
  <c r="N34" i="18"/>
  <c r="M34" i="18"/>
  <c r="I34" i="18"/>
  <c r="B34" i="18"/>
  <c r="P33" i="18"/>
  <c r="O33" i="18"/>
  <c r="N33" i="18"/>
  <c r="I33" i="18"/>
  <c r="M33" i="18" s="1"/>
  <c r="C33" i="18"/>
  <c r="B33" i="18" s="1"/>
  <c r="P32" i="18"/>
  <c r="O32" i="18"/>
  <c r="N32" i="18"/>
  <c r="M32" i="18"/>
  <c r="I32" i="18"/>
  <c r="B32" i="18"/>
  <c r="P31" i="18"/>
  <c r="O31" i="18"/>
  <c r="N31" i="18"/>
  <c r="M31" i="18"/>
  <c r="I31" i="18"/>
  <c r="B31" i="18"/>
  <c r="P30" i="18"/>
  <c r="N30" i="18"/>
  <c r="I30" i="18"/>
  <c r="M30" i="18" s="1"/>
  <c r="B30" i="18"/>
  <c r="P29" i="18"/>
  <c r="O29" i="18"/>
  <c r="N29" i="18"/>
  <c r="M29" i="18"/>
  <c r="I29" i="18"/>
  <c r="B29" i="18"/>
  <c r="P28" i="18"/>
  <c r="N28" i="18"/>
  <c r="M28" i="18"/>
  <c r="I28" i="18"/>
  <c r="B28" i="18"/>
  <c r="P27" i="18"/>
  <c r="O27" i="18"/>
  <c r="N27" i="18"/>
  <c r="I27" i="18"/>
  <c r="M27" i="18" s="1"/>
  <c r="C27" i="18"/>
  <c r="B27" i="18"/>
  <c r="Z26" i="18"/>
  <c r="Y26" i="18"/>
  <c r="W26" i="18"/>
  <c r="V26" i="18"/>
  <c r="P26" i="18"/>
  <c r="O26" i="18"/>
  <c r="N26" i="18"/>
  <c r="M26" i="18"/>
  <c r="I26" i="18"/>
  <c r="B26" i="18"/>
  <c r="Z25" i="18"/>
  <c r="Y25" i="18"/>
  <c r="W25" i="18"/>
  <c r="V25" i="18"/>
  <c r="P25" i="18"/>
  <c r="O25" i="18"/>
  <c r="N25" i="18"/>
  <c r="M25" i="18"/>
  <c r="I25" i="18"/>
  <c r="B25" i="18"/>
  <c r="Z24" i="18"/>
  <c r="Y24" i="18"/>
  <c r="W24" i="18"/>
  <c r="V24" i="18"/>
  <c r="T24" i="18"/>
  <c r="P24" i="18"/>
  <c r="O24" i="18"/>
  <c r="N24" i="18"/>
  <c r="M24" i="18"/>
  <c r="I24" i="18"/>
  <c r="B24" i="18"/>
  <c r="Z23" i="18"/>
  <c r="Y23" i="18"/>
  <c r="W23" i="18"/>
  <c r="V23" i="18"/>
  <c r="T23" i="18"/>
  <c r="P23" i="18"/>
  <c r="O23" i="18"/>
  <c r="N23" i="18"/>
  <c r="I23" i="18"/>
  <c r="M23" i="18" s="1"/>
  <c r="C23" i="18"/>
  <c r="B23" i="18"/>
  <c r="Z22" i="18"/>
  <c r="Y22" i="18"/>
  <c r="W22" i="18"/>
  <c r="V22" i="18"/>
  <c r="P22" i="18"/>
  <c r="O22" i="18"/>
  <c r="N22" i="18"/>
  <c r="I22" i="18"/>
  <c r="M22" i="18" s="1"/>
  <c r="B22" i="18"/>
  <c r="Z21" i="18"/>
  <c r="Y21" i="18"/>
  <c r="W21" i="18"/>
  <c r="V21" i="18"/>
  <c r="P21" i="18"/>
  <c r="O21" i="18"/>
  <c r="N21" i="18"/>
  <c r="M21" i="18"/>
  <c r="I21" i="18"/>
  <c r="B21" i="18"/>
  <c r="Z20" i="18"/>
  <c r="Y20" i="18"/>
  <c r="W20" i="18"/>
  <c r="V20" i="18"/>
  <c r="P20" i="18"/>
  <c r="O20" i="18"/>
  <c r="N20" i="18"/>
  <c r="I20" i="18"/>
  <c r="M20" i="18" s="1"/>
  <c r="B20" i="18"/>
  <c r="Z19" i="18"/>
  <c r="Y19" i="18"/>
  <c r="W19" i="18"/>
  <c r="V19" i="18"/>
  <c r="P19" i="18"/>
  <c r="O19" i="18"/>
  <c r="N19" i="18"/>
  <c r="I19" i="18"/>
  <c r="M19" i="18" s="1"/>
  <c r="C19" i="18"/>
  <c r="B19" i="18"/>
  <c r="Z18" i="18"/>
  <c r="Y18" i="18"/>
  <c r="W18" i="18"/>
  <c r="V18" i="18"/>
  <c r="P18" i="18"/>
  <c r="O18" i="18"/>
  <c r="N18" i="18"/>
  <c r="I18" i="18"/>
  <c r="M18" i="18" s="1"/>
  <c r="C18" i="18"/>
  <c r="B18" i="18"/>
  <c r="Z17" i="18"/>
  <c r="Y17" i="18"/>
  <c r="W17" i="18"/>
  <c r="V17" i="18"/>
  <c r="P17" i="18"/>
  <c r="O17" i="18"/>
  <c r="N17" i="18"/>
  <c r="I17" i="18"/>
  <c r="M17" i="18" s="1"/>
  <c r="B17" i="18"/>
  <c r="P16" i="18"/>
  <c r="O16" i="18"/>
  <c r="N16" i="18"/>
  <c r="I16" i="18"/>
  <c r="M16" i="18" s="1"/>
  <c r="C16" i="18"/>
  <c r="B16" i="18"/>
  <c r="P15" i="18"/>
  <c r="O15" i="18"/>
  <c r="N15" i="18"/>
  <c r="I15" i="18"/>
  <c r="M15" i="18" s="1"/>
  <c r="B15" i="18"/>
  <c r="P14" i="18"/>
  <c r="O14" i="18"/>
  <c r="N14" i="18"/>
  <c r="M14" i="18"/>
  <c r="I14" i="18"/>
  <c r="C14" i="18"/>
  <c r="B14" i="18" s="1"/>
  <c r="AD13" i="18"/>
  <c r="AC13" i="18"/>
  <c r="Z13" i="18"/>
  <c r="Y13" i="18"/>
  <c r="W13" i="18"/>
  <c r="V13" i="18"/>
  <c r="T13" i="18"/>
  <c r="S13" i="18"/>
  <c r="P13" i="18"/>
  <c r="O13" i="18"/>
  <c r="N13" i="18"/>
  <c r="I13" i="18"/>
  <c r="M13" i="18" s="1"/>
  <c r="B13" i="18"/>
  <c r="AD12" i="18"/>
  <c r="AC12" i="18"/>
  <c r="Z12" i="18"/>
  <c r="Y12" i="18"/>
  <c r="W12" i="18"/>
  <c r="V12" i="18"/>
  <c r="T12" i="18"/>
  <c r="S12" i="18"/>
  <c r="P12" i="18"/>
  <c r="O12" i="18"/>
  <c r="N12" i="18"/>
  <c r="M12" i="18"/>
  <c r="I12" i="18"/>
  <c r="B12" i="18"/>
  <c r="AD11" i="18"/>
  <c r="AC11" i="18"/>
  <c r="Z11" i="18"/>
  <c r="Y11" i="18"/>
  <c r="W11" i="18"/>
  <c r="V11" i="18"/>
  <c r="T11" i="18"/>
  <c r="S11" i="18"/>
  <c r="P11" i="18"/>
  <c r="O11" i="18"/>
  <c r="N11" i="18"/>
  <c r="I11" i="18"/>
  <c r="M11" i="18" s="1"/>
  <c r="B11" i="18"/>
  <c r="AD10" i="18"/>
  <c r="AC10" i="18"/>
  <c r="Z10" i="18"/>
  <c r="Y10" i="18"/>
  <c r="W10" i="18"/>
  <c r="V10" i="18"/>
  <c r="T10" i="18"/>
  <c r="S10" i="18"/>
  <c r="P10" i="18"/>
  <c r="O10" i="18"/>
  <c r="N10" i="18"/>
  <c r="I10" i="18"/>
  <c r="M10" i="18" s="1"/>
  <c r="C10" i="18"/>
  <c r="B10" i="18"/>
  <c r="AD9" i="18"/>
  <c r="AC9" i="18"/>
  <c r="Z9" i="18"/>
  <c r="Y9" i="18"/>
  <c r="W9" i="18"/>
  <c r="V9" i="18"/>
  <c r="T9" i="18"/>
  <c r="S9" i="18"/>
  <c r="P9" i="18"/>
  <c r="O9" i="18"/>
  <c r="N9" i="18"/>
  <c r="M9" i="18"/>
  <c r="I9" i="18"/>
  <c r="B9" i="18"/>
  <c r="AD8" i="18"/>
  <c r="AC8" i="18"/>
  <c r="Z8" i="18"/>
  <c r="Y8" i="18"/>
  <c r="W8" i="18"/>
  <c r="V8" i="18"/>
  <c r="T8" i="18"/>
  <c r="S8" i="18"/>
  <c r="P8" i="18"/>
  <c r="O8" i="18"/>
  <c r="N8" i="18"/>
  <c r="M8" i="18"/>
  <c r="I8" i="18"/>
  <c r="B8" i="18"/>
  <c r="Z7" i="18"/>
  <c r="Y7" i="18"/>
  <c r="W7" i="18"/>
  <c r="V7" i="18"/>
  <c r="P7" i="18"/>
  <c r="O7" i="18"/>
  <c r="N7" i="18"/>
  <c r="I7" i="18"/>
  <c r="M7" i="18" s="1"/>
  <c r="C7" i="18"/>
  <c r="B7" i="18" s="1"/>
  <c r="Z6" i="18"/>
  <c r="Y6" i="18"/>
  <c r="W6" i="18"/>
  <c r="V6" i="18"/>
  <c r="P6" i="18"/>
  <c r="O6" i="18"/>
  <c r="N6" i="18"/>
  <c r="I6" i="18"/>
  <c r="M6" i="18" s="1"/>
  <c r="B6" i="18"/>
  <c r="Z5" i="18"/>
  <c r="Y5" i="18"/>
  <c r="W5" i="18"/>
  <c r="V5" i="18"/>
  <c r="P5" i="18"/>
  <c r="O5" i="18"/>
  <c r="N5" i="18"/>
  <c r="I5" i="18"/>
  <c r="M5" i="18" s="1"/>
  <c r="B5" i="18"/>
  <c r="Z4" i="18"/>
  <c r="Y4" i="18"/>
  <c r="W4" i="18"/>
  <c r="V4" i="18"/>
  <c r="P4" i="18"/>
  <c r="O4" i="18"/>
  <c r="N4" i="18"/>
  <c r="I4" i="18"/>
  <c r="M4" i="18" s="1"/>
  <c r="C4" i="18"/>
  <c r="B4" i="18"/>
  <c r="P3" i="18"/>
  <c r="O3" i="18"/>
  <c r="N3" i="18"/>
  <c r="I3" i="18"/>
  <c r="M3" i="18" s="1"/>
  <c r="C3" i="18"/>
  <c r="AD71" i="18" s="1"/>
  <c r="P2" i="18"/>
  <c r="O2" i="18"/>
  <c r="N2" i="18"/>
  <c r="I2" i="18"/>
  <c r="M2" i="18" s="1"/>
  <c r="C2" i="18"/>
  <c r="AD56" i="18" s="1"/>
  <c r="B163" i="17"/>
  <c r="B162" i="17"/>
  <c r="B161" i="17"/>
  <c r="B160" i="17"/>
  <c r="B159" i="17"/>
  <c r="B158" i="17"/>
  <c r="B157" i="17"/>
  <c r="B156" i="17"/>
  <c r="B155" i="17"/>
  <c r="B154" i="17"/>
  <c r="B153" i="17"/>
  <c r="B152" i="17"/>
  <c r="B151" i="17"/>
  <c r="B150" i="17"/>
  <c r="B149" i="17"/>
  <c r="B148" i="17"/>
  <c r="B147" i="17"/>
  <c r="B146" i="17"/>
  <c r="B145" i="17"/>
  <c r="B144" i="17"/>
  <c r="B143" i="17"/>
  <c r="B142" i="17"/>
  <c r="B141" i="17"/>
  <c r="B140" i="17"/>
  <c r="B139" i="17"/>
  <c r="B138" i="17"/>
  <c r="B137" i="17"/>
  <c r="B136" i="17"/>
  <c r="B135" i="17"/>
  <c r="B134" i="17"/>
  <c r="B133" i="17"/>
  <c r="B132" i="17"/>
  <c r="B131" i="17"/>
  <c r="B130" i="17"/>
  <c r="B129" i="17"/>
  <c r="B128" i="17"/>
  <c r="B127" i="17"/>
  <c r="B126" i="17"/>
  <c r="B125" i="17"/>
  <c r="B124" i="17"/>
  <c r="B123" i="17"/>
  <c r="B122" i="17"/>
  <c r="B121" i="17"/>
  <c r="B120" i="17"/>
  <c r="B119" i="17"/>
  <c r="B118" i="17"/>
  <c r="B117" i="17"/>
  <c r="B116" i="17"/>
  <c r="B115" i="17"/>
  <c r="B114" i="17"/>
  <c r="B113" i="17"/>
  <c r="B112" i="17"/>
  <c r="B111" i="17"/>
  <c r="B110" i="17"/>
  <c r="B109" i="17"/>
  <c r="B108" i="17"/>
  <c r="B107" i="17"/>
  <c r="B106" i="17"/>
  <c r="B105" i="17"/>
  <c r="B104" i="17"/>
  <c r="C103" i="17"/>
  <c r="B103" i="17" s="1"/>
  <c r="C102" i="17"/>
  <c r="B102" i="17"/>
  <c r="C101" i="17"/>
  <c r="B101" i="17"/>
  <c r="C100" i="17"/>
  <c r="B100" i="17" s="1"/>
  <c r="C99" i="17"/>
  <c r="B99" i="17" s="1"/>
  <c r="C98" i="17"/>
  <c r="B98" i="17" s="1"/>
  <c r="P97" i="17"/>
  <c r="O97" i="17"/>
  <c r="N97" i="17"/>
  <c r="M97" i="17"/>
  <c r="I97" i="17"/>
  <c r="C97" i="17"/>
  <c r="B97" i="17" s="1"/>
  <c r="P96" i="17"/>
  <c r="O96" i="17"/>
  <c r="N96" i="17"/>
  <c r="M96" i="17"/>
  <c r="I96" i="17"/>
  <c r="C96" i="17"/>
  <c r="B96" i="17" s="1"/>
  <c r="P95" i="17"/>
  <c r="O95" i="17"/>
  <c r="N95" i="17"/>
  <c r="M95" i="17"/>
  <c r="I95" i="17"/>
  <c r="C95" i="17"/>
  <c r="B95" i="17"/>
  <c r="P94" i="17"/>
  <c r="O94" i="17"/>
  <c r="N94" i="17"/>
  <c r="M94" i="17"/>
  <c r="I94" i="17"/>
  <c r="C94" i="17"/>
  <c r="B94" i="17"/>
  <c r="P93" i="17"/>
  <c r="O93" i="17"/>
  <c r="N93" i="17"/>
  <c r="I93" i="17"/>
  <c r="M93" i="17" s="1"/>
  <c r="C93" i="17"/>
  <c r="B93" i="17"/>
  <c r="P92" i="17"/>
  <c r="O92" i="17"/>
  <c r="N92" i="17"/>
  <c r="I92" i="17"/>
  <c r="M92" i="17" s="1"/>
  <c r="C92" i="17"/>
  <c r="B92" i="17"/>
  <c r="P91" i="17"/>
  <c r="O91" i="17"/>
  <c r="N91" i="17"/>
  <c r="I91" i="17"/>
  <c r="M91" i="17" s="1"/>
  <c r="C91" i="17"/>
  <c r="B91" i="17"/>
  <c r="P90" i="17"/>
  <c r="O90" i="17"/>
  <c r="N90" i="17"/>
  <c r="I90" i="17"/>
  <c r="M90" i="17" s="1"/>
  <c r="C90" i="17"/>
  <c r="B90" i="17" s="1"/>
  <c r="P89" i="17"/>
  <c r="O89" i="17"/>
  <c r="N89" i="17"/>
  <c r="I89" i="17"/>
  <c r="M89" i="17" s="1"/>
  <c r="C89" i="17"/>
  <c r="B89" i="17"/>
  <c r="P88" i="17"/>
  <c r="O88" i="17"/>
  <c r="N88" i="17"/>
  <c r="I88" i="17"/>
  <c r="M88" i="17" s="1"/>
  <c r="C88" i="17"/>
  <c r="B88" i="17" s="1"/>
  <c r="P87" i="17"/>
  <c r="O87" i="17"/>
  <c r="N87" i="17"/>
  <c r="I87" i="17"/>
  <c r="M87" i="17" s="1"/>
  <c r="C87" i="17"/>
  <c r="B87" i="17" s="1"/>
  <c r="P86" i="17"/>
  <c r="O86" i="17"/>
  <c r="N86" i="17"/>
  <c r="I86" i="17"/>
  <c r="M86" i="17" s="1"/>
  <c r="C86" i="17"/>
  <c r="B86" i="17" s="1"/>
  <c r="P85" i="17"/>
  <c r="O85" i="17"/>
  <c r="N85" i="17"/>
  <c r="M85" i="17"/>
  <c r="I85" i="17"/>
  <c r="B85" i="17"/>
  <c r="P84" i="17"/>
  <c r="O84" i="17"/>
  <c r="N84" i="17"/>
  <c r="I84" i="17"/>
  <c r="M84" i="17" s="1"/>
  <c r="C84" i="17"/>
  <c r="B84" i="17"/>
  <c r="P83" i="17"/>
  <c r="O83" i="17"/>
  <c r="N83" i="17"/>
  <c r="I83" i="17"/>
  <c r="M83" i="17" s="1"/>
  <c r="C83" i="17"/>
  <c r="B83" i="17"/>
  <c r="P82" i="17"/>
  <c r="O82" i="17"/>
  <c r="N82" i="17"/>
  <c r="I82" i="17"/>
  <c r="M82" i="17" s="1"/>
  <c r="C82" i="17"/>
  <c r="B82" i="17"/>
  <c r="P81" i="17"/>
  <c r="O81" i="17"/>
  <c r="N81" i="17"/>
  <c r="I81" i="17"/>
  <c r="M81" i="17" s="1"/>
  <c r="C81" i="17"/>
  <c r="B81" i="17" s="1"/>
  <c r="P80" i="17"/>
  <c r="O80" i="17"/>
  <c r="N80" i="17"/>
  <c r="I80" i="17"/>
  <c r="M80" i="17" s="1"/>
  <c r="C80" i="17"/>
  <c r="B80" i="17" s="1"/>
  <c r="P79" i="17"/>
  <c r="O79" i="17"/>
  <c r="N79" i="17"/>
  <c r="I79" i="17"/>
  <c r="M79" i="17" s="1"/>
  <c r="C79" i="17"/>
  <c r="B79" i="17" s="1"/>
  <c r="P78" i="17"/>
  <c r="O78" i="17"/>
  <c r="N78" i="17"/>
  <c r="M78" i="17"/>
  <c r="I78" i="17"/>
  <c r="C78" i="17"/>
  <c r="B78" i="17" s="1"/>
  <c r="P77" i="17"/>
  <c r="O77" i="17"/>
  <c r="N77" i="17"/>
  <c r="M77" i="17"/>
  <c r="I77" i="17"/>
  <c r="C77" i="17"/>
  <c r="B77" i="17"/>
  <c r="P76" i="17"/>
  <c r="O76" i="17"/>
  <c r="N76" i="17"/>
  <c r="M76" i="17"/>
  <c r="I76" i="17"/>
  <c r="C76" i="17"/>
  <c r="B76" i="17"/>
  <c r="P75" i="17"/>
  <c r="O75" i="17"/>
  <c r="N75" i="17"/>
  <c r="I75" i="17"/>
  <c r="M75" i="17" s="1"/>
  <c r="C75" i="17"/>
  <c r="B75" i="17"/>
  <c r="P74" i="17"/>
  <c r="O74" i="17"/>
  <c r="N74" i="17"/>
  <c r="I74" i="17"/>
  <c r="M74" i="17" s="1"/>
  <c r="B74" i="17"/>
  <c r="P73" i="17"/>
  <c r="O73" i="17"/>
  <c r="N73" i="17"/>
  <c r="M73" i="17"/>
  <c r="I73" i="17"/>
  <c r="C73" i="17"/>
  <c r="B73" i="17" s="1"/>
  <c r="P72" i="17"/>
  <c r="O72" i="17"/>
  <c r="N72" i="17"/>
  <c r="M72" i="17"/>
  <c r="I72" i="17"/>
  <c r="C72" i="17"/>
  <c r="B72" i="17" s="1"/>
  <c r="P71" i="17"/>
  <c r="O71" i="17"/>
  <c r="N71" i="17"/>
  <c r="I71" i="17"/>
  <c r="M71" i="17" s="1"/>
  <c r="C71" i="17"/>
  <c r="B71" i="17"/>
  <c r="P70" i="17"/>
  <c r="O70" i="17"/>
  <c r="N70" i="17"/>
  <c r="M70" i="17"/>
  <c r="I70" i="17"/>
  <c r="C70" i="17"/>
  <c r="B70" i="17" s="1"/>
  <c r="P69" i="17"/>
  <c r="O69" i="17"/>
  <c r="N69" i="17"/>
  <c r="M69" i="17"/>
  <c r="I69" i="17"/>
  <c r="B69" i="17"/>
  <c r="P68" i="17"/>
  <c r="O68" i="17"/>
  <c r="N68" i="17"/>
  <c r="I68" i="17"/>
  <c r="M68" i="17" s="1"/>
  <c r="C68" i="17"/>
  <c r="B68" i="17"/>
  <c r="P67" i="17"/>
  <c r="O67" i="17"/>
  <c r="N67" i="17"/>
  <c r="I67" i="17"/>
  <c r="M67" i="17" s="1"/>
  <c r="C67" i="17"/>
  <c r="B67" i="17"/>
  <c r="P66" i="17"/>
  <c r="O66" i="17"/>
  <c r="N66" i="17"/>
  <c r="I66" i="17"/>
  <c r="M66" i="17" s="1"/>
  <c r="C66" i="17"/>
  <c r="B66" i="17"/>
  <c r="P65" i="17"/>
  <c r="O65" i="17"/>
  <c r="N65" i="17"/>
  <c r="I65" i="17"/>
  <c r="M65" i="17" s="1"/>
  <c r="B65" i="17"/>
  <c r="P64" i="17"/>
  <c r="O64" i="17"/>
  <c r="N64" i="17"/>
  <c r="M64" i="17"/>
  <c r="I64" i="17"/>
  <c r="B64" i="17"/>
  <c r="P63" i="17"/>
  <c r="O63" i="17"/>
  <c r="N63" i="17"/>
  <c r="I63" i="17"/>
  <c r="M63" i="17" s="1"/>
  <c r="C63" i="17"/>
  <c r="B63" i="17" s="1"/>
  <c r="P62" i="17"/>
  <c r="O62" i="17"/>
  <c r="N62" i="17"/>
  <c r="I62" i="17"/>
  <c r="M62" i="17" s="1"/>
  <c r="C62" i="17"/>
  <c r="B62" i="17"/>
  <c r="P61" i="17"/>
  <c r="O61" i="17"/>
  <c r="N61" i="17"/>
  <c r="I61" i="17"/>
  <c r="M61" i="17" s="1"/>
  <c r="C61" i="17"/>
  <c r="B61" i="17"/>
  <c r="P60" i="17"/>
  <c r="O60" i="17"/>
  <c r="N60" i="17"/>
  <c r="I60" i="17"/>
  <c r="M60" i="17" s="1"/>
  <c r="C60" i="17"/>
  <c r="B60" i="17"/>
  <c r="P59" i="17"/>
  <c r="O59" i="17"/>
  <c r="N59" i="17"/>
  <c r="I59" i="17"/>
  <c r="M59" i="17" s="1"/>
  <c r="B59" i="17"/>
  <c r="P58" i="17"/>
  <c r="O58" i="17"/>
  <c r="N58" i="17"/>
  <c r="I58" i="17"/>
  <c r="M58" i="17" s="1"/>
  <c r="C58" i="17"/>
  <c r="B58" i="17"/>
  <c r="P57" i="17"/>
  <c r="O57" i="17"/>
  <c r="N57" i="17"/>
  <c r="M57" i="17"/>
  <c r="I57" i="17"/>
  <c r="C57" i="17"/>
  <c r="B57" i="17" s="1"/>
  <c r="P56" i="17"/>
  <c r="O56" i="17"/>
  <c r="N56" i="17"/>
  <c r="I56" i="17"/>
  <c r="M56" i="17" s="1"/>
  <c r="C56" i="17"/>
  <c r="B56" i="17"/>
  <c r="P55" i="17"/>
  <c r="O55" i="17"/>
  <c r="N55" i="17"/>
  <c r="I55" i="17"/>
  <c r="M55" i="17" s="1"/>
  <c r="C55" i="17"/>
  <c r="B55" i="17" s="1"/>
  <c r="P54" i="17"/>
  <c r="O54" i="17"/>
  <c r="N54" i="17"/>
  <c r="M54" i="17"/>
  <c r="I54" i="17"/>
  <c r="C54" i="17"/>
  <c r="B54" i="17"/>
  <c r="P53" i="17"/>
  <c r="O53" i="17"/>
  <c r="N53" i="17"/>
  <c r="I53" i="17"/>
  <c r="M53" i="17" s="1"/>
  <c r="B53" i="17"/>
  <c r="P52" i="17"/>
  <c r="O52" i="17"/>
  <c r="N52" i="17"/>
  <c r="I52" i="17"/>
  <c r="M52" i="17" s="1"/>
  <c r="C52" i="17"/>
  <c r="B52" i="17"/>
  <c r="P51" i="17"/>
  <c r="O51" i="17"/>
  <c r="N51" i="17"/>
  <c r="M51" i="17"/>
  <c r="I51" i="17"/>
  <c r="C51" i="17"/>
  <c r="B51" i="17" s="1"/>
  <c r="P50" i="17"/>
  <c r="O50" i="17"/>
  <c r="N50" i="17"/>
  <c r="M50" i="17"/>
  <c r="I50" i="17"/>
  <c r="B50" i="17"/>
  <c r="P49" i="17"/>
  <c r="O49" i="17"/>
  <c r="N49" i="17"/>
  <c r="M49" i="17"/>
  <c r="I49" i="17"/>
  <c r="C49" i="17"/>
  <c r="B49" i="17"/>
  <c r="P48" i="17"/>
  <c r="O48" i="17"/>
  <c r="N48" i="17"/>
  <c r="I48" i="17"/>
  <c r="M48" i="17" s="1"/>
  <c r="C48" i="17"/>
  <c r="B48" i="17"/>
  <c r="P47" i="17"/>
  <c r="O47" i="17"/>
  <c r="N47" i="17"/>
  <c r="I47" i="17"/>
  <c r="M47" i="17" s="1"/>
  <c r="C47" i="17"/>
  <c r="B47" i="17"/>
  <c r="P46" i="17"/>
  <c r="O46" i="17"/>
  <c r="N46" i="17"/>
  <c r="M46" i="17"/>
  <c r="I46" i="17"/>
  <c r="B46" i="17"/>
  <c r="P45" i="17"/>
  <c r="O45" i="17"/>
  <c r="N45" i="17"/>
  <c r="M45" i="17"/>
  <c r="I45" i="17"/>
  <c r="C45" i="17"/>
  <c r="B45" i="17" s="1"/>
  <c r="P44" i="17"/>
  <c r="O44" i="17"/>
  <c r="N44" i="17"/>
  <c r="M44" i="17"/>
  <c r="I44" i="17"/>
  <c r="B44" i="17"/>
  <c r="P43" i="17"/>
  <c r="O43" i="17"/>
  <c r="N43" i="17"/>
  <c r="M43" i="17"/>
  <c r="I43" i="17"/>
  <c r="C43" i="17"/>
  <c r="B43" i="17" s="1"/>
  <c r="S42" i="17"/>
  <c r="P42" i="17"/>
  <c r="O42" i="17"/>
  <c r="N42" i="17"/>
  <c r="I42" i="17"/>
  <c r="M42" i="17" s="1"/>
  <c r="C42" i="17"/>
  <c r="B42" i="17"/>
  <c r="P41" i="17"/>
  <c r="O41" i="17"/>
  <c r="N41" i="17"/>
  <c r="M41" i="17"/>
  <c r="I41" i="17"/>
  <c r="C41" i="17"/>
  <c r="B41" i="17" s="1"/>
  <c r="P40" i="17"/>
  <c r="O40" i="17"/>
  <c r="N40" i="17"/>
  <c r="I40" i="17"/>
  <c r="M40" i="17" s="1"/>
  <c r="C40" i="17"/>
  <c r="B40" i="17"/>
  <c r="P39" i="17"/>
  <c r="O39" i="17"/>
  <c r="N39" i="17"/>
  <c r="I39" i="17"/>
  <c r="M39" i="17" s="1"/>
  <c r="C39" i="17"/>
  <c r="B39" i="17" s="1"/>
  <c r="P38" i="17"/>
  <c r="O38" i="17"/>
  <c r="N38" i="17"/>
  <c r="M38" i="17"/>
  <c r="I38" i="17"/>
  <c r="C38" i="17"/>
  <c r="B38" i="17"/>
  <c r="P37" i="17"/>
  <c r="O37" i="17"/>
  <c r="N37" i="17"/>
  <c r="I37" i="17"/>
  <c r="M37" i="17" s="1"/>
  <c r="C37" i="17"/>
  <c r="B37" i="17"/>
  <c r="P36" i="17"/>
  <c r="O36" i="17"/>
  <c r="N36" i="17"/>
  <c r="M36" i="17"/>
  <c r="I36" i="17"/>
  <c r="C36" i="17"/>
  <c r="B36" i="17" s="1"/>
  <c r="P35" i="17"/>
  <c r="O35" i="17"/>
  <c r="N35" i="17"/>
  <c r="I35" i="17"/>
  <c r="M35" i="17" s="1"/>
  <c r="C35" i="17"/>
  <c r="B35" i="17"/>
  <c r="P34" i="17"/>
  <c r="O34" i="17"/>
  <c r="N34" i="17"/>
  <c r="M34" i="17"/>
  <c r="I34" i="17"/>
  <c r="C34" i="17"/>
  <c r="B34" i="17" s="1"/>
  <c r="P33" i="17"/>
  <c r="O33" i="17"/>
  <c r="N33" i="17"/>
  <c r="I33" i="17"/>
  <c r="M33" i="17" s="1"/>
  <c r="C33" i="17"/>
  <c r="B33" i="17" s="1"/>
  <c r="P32" i="17"/>
  <c r="O32" i="17"/>
  <c r="N32" i="17"/>
  <c r="I32" i="17"/>
  <c r="M32" i="17" s="1"/>
  <c r="C32" i="17"/>
  <c r="B32" i="17"/>
  <c r="P31" i="17"/>
  <c r="O31" i="17"/>
  <c r="N31" i="17"/>
  <c r="M31" i="17"/>
  <c r="I31" i="17"/>
  <c r="C31" i="17"/>
  <c r="B31" i="17"/>
  <c r="P30" i="17"/>
  <c r="O30" i="17"/>
  <c r="N30" i="17"/>
  <c r="I30" i="17"/>
  <c r="M30" i="17" s="1"/>
  <c r="C30" i="17"/>
  <c r="B30" i="17"/>
  <c r="P29" i="17"/>
  <c r="O29" i="17"/>
  <c r="N29" i="17"/>
  <c r="I29" i="17"/>
  <c r="M29" i="17" s="1"/>
  <c r="C29" i="17"/>
  <c r="B29" i="17"/>
  <c r="P28" i="17"/>
  <c r="O28" i="17"/>
  <c r="N28" i="17"/>
  <c r="I28" i="17"/>
  <c r="M28" i="17" s="1"/>
  <c r="C28" i="17"/>
  <c r="B28" i="17" s="1"/>
  <c r="P27" i="17"/>
  <c r="O27" i="17"/>
  <c r="N27" i="17"/>
  <c r="I27" i="17"/>
  <c r="M27" i="17" s="1"/>
  <c r="C27" i="17"/>
  <c r="B27" i="17" s="1"/>
  <c r="Z26" i="17"/>
  <c r="Y26" i="17"/>
  <c r="W26" i="17"/>
  <c r="V26" i="17"/>
  <c r="P26" i="17"/>
  <c r="O26" i="17"/>
  <c r="N26" i="17"/>
  <c r="M26" i="17"/>
  <c r="I26" i="17"/>
  <c r="C26" i="17"/>
  <c r="B26" i="17"/>
  <c r="Z25" i="17"/>
  <c r="Y25" i="17"/>
  <c r="W25" i="17"/>
  <c r="V25" i="17"/>
  <c r="P25" i="17"/>
  <c r="O25" i="17"/>
  <c r="N25" i="17"/>
  <c r="M25" i="17"/>
  <c r="I25" i="17"/>
  <c r="C25" i="17"/>
  <c r="B25" i="17" s="1"/>
  <c r="Z24" i="17"/>
  <c r="Y24" i="17"/>
  <c r="W24" i="17"/>
  <c r="V24" i="17"/>
  <c r="P24" i="17"/>
  <c r="O24" i="17"/>
  <c r="N24" i="17"/>
  <c r="I24" i="17"/>
  <c r="M24" i="17" s="1"/>
  <c r="B24" i="17"/>
  <c r="Z23" i="17"/>
  <c r="Y23" i="17"/>
  <c r="W23" i="17"/>
  <c r="V23" i="17"/>
  <c r="P23" i="17"/>
  <c r="O23" i="17"/>
  <c r="N23" i="17"/>
  <c r="I23" i="17"/>
  <c r="M23" i="17" s="1"/>
  <c r="C23" i="17"/>
  <c r="B23" i="17" s="1"/>
  <c r="Z22" i="17"/>
  <c r="Y22" i="17"/>
  <c r="W22" i="17"/>
  <c r="V22" i="17"/>
  <c r="P22" i="17"/>
  <c r="O22" i="17"/>
  <c r="N22" i="17"/>
  <c r="I22" i="17"/>
  <c r="M22" i="17" s="1"/>
  <c r="C22" i="17"/>
  <c r="B22" i="17"/>
  <c r="Z21" i="17"/>
  <c r="Y21" i="17"/>
  <c r="W21" i="17"/>
  <c r="V21" i="17"/>
  <c r="P21" i="17"/>
  <c r="O21" i="17"/>
  <c r="N21" i="17"/>
  <c r="I21" i="17"/>
  <c r="M21" i="17" s="1"/>
  <c r="C21" i="17"/>
  <c r="B21" i="17"/>
  <c r="Z20" i="17"/>
  <c r="Y20" i="17"/>
  <c r="W20" i="17"/>
  <c r="V20" i="17"/>
  <c r="P20" i="17"/>
  <c r="O20" i="17"/>
  <c r="N20" i="17"/>
  <c r="M20" i="17"/>
  <c r="I20" i="17"/>
  <c r="C20" i="17"/>
  <c r="B20" i="17" s="1"/>
  <c r="Z19" i="17"/>
  <c r="Y19" i="17"/>
  <c r="W19" i="17"/>
  <c r="V19" i="17"/>
  <c r="P19" i="17"/>
  <c r="O19" i="17"/>
  <c r="N19" i="17"/>
  <c r="I19" i="17"/>
  <c r="M19" i="17" s="1"/>
  <c r="C19" i="17"/>
  <c r="B19" i="17" s="1"/>
  <c r="Z18" i="17"/>
  <c r="Y18" i="17"/>
  <c r="W18" i="17"/>
  <c r="V18" i="17"/>
  <c r="P18" i="17"/>
  <c r="O18" i="17"/>
  <c r="N18" i="17"/>
  <c r="I18" i="17"/>
  <c r="M18" i="17" s="1"/>
  <c r="C18" i="17"/>
  <c r="B18" i="17"/>
  <c r="Z17" i="17"/>
  <c r="Y17" i="17"/>
  <c r="W17" i="17"/>
  <c r="V17" i="17"/>
  <c r="P17" i="17"/>
  <c r="O17" i="17"/>
  <c r="N17" i="17"/>
  <c r="I17" i="17"/>
  <c r="M17" i="17" s="1"/>
  <c r="C17" i="17"/>
  <c r="B17" i="17"/>
  <c r="P16" i="17"/>
  <c r="O16" i="17"/>
  <c r="N16" i="17"/>
  <c r="M16" i="17"/>
  <c r="I16" i="17"/>
  <c r="C16" i="17"/>
  <c r="B16" i="17"/>
  <c r="P15" i="17"/>
  <c r="O15" i="17"/>
  <c r="N15" i="17"/>
  <c r="I15" i="17"/>
  <c r="M15" i="17" s="1"/>
  <c r="C15" i="17"/>
  <c r="B15" i="17"/>
  <c r="P14" i="17"/>
  <c r="O14" i="17"/>
  <c r="N14" i="17"/>
  <c r="I14" i="17"/>
  <c r="M14" i="17" s="1"/>
  <c r="C14" i="17"/>
  <c r="B14" i="17" s="1"/>
  <c r="AD13" i="17"/>
  <c r="AC13" i="17"/>
  <c r="Z13" i="17"/>
  <c r="Y13" i="17"/>
  <c r="W13" i="17"/>
  <c r="V13" i="17"/>
  <c r="T13" i="17"/>
  <c r="S13" i="17"/>
  <c r="P13" i="17"/>
  <c r="O13" i="17"/>
  <c r="N13" i="17"/>
  <c r="I13" i="17"/>
  <c r="M13" i="17" s="1"/>
  <c r="C13" i="17"/>
  <c r="B13" i="17"/>
  <c r="AD12" i="17"/>
  <c r="AC12" i="17"/>
  <c r="Z12" i="17"/>
  <c r="Y12" i="17"/>
  <c r="W12" i="17"/>
  <c r="V12" i="17"/>
  <c r="T12" i="17"/>
  <c r="S12" i="17"/>
  <c r="P12" i="17"/>
  <c r="O12" i="17"/>
  <c r="N12" i="17"/>
  <c r="M12" i="17"/>
  <c r="I12" i="17"/>
  <c r="C12" i="17"/>
  <c r="B12" i="17"/>
  <c r="AD11" i="17"/>
  <c r="AC11" i="17"/>
  <c r="Z11" i="17"/>
  <c r="Y11" i="17"/>
  <c r="W11" i="17"/>
  <c r="V11" i="17"/>
  <c r="T11" i="17"/>
  <c r="S11" i="17"/>
  <c r="P11" i="17"/>
  <c r="O11" i="17"/>
  <c r="N11" i="17"/>
  <c r="M11" i="17"/>
  <c r="I11" i="17"/>
  <c r="AD10" i="17"/>
  <c r="AC10" i="17"/>
  <c r="Z10" i="17"/>
  <c r="Y10" i="17"/>
  <c r="W10" i="17"/>
  <c r="V10" i="17"/>
  <c r="T10" i="17"/>
  <c r="S10" i="17"/>
  <c r="P10" i="17"/>
  <c r="O10" i="17"/>
  <c r="N10" i="17"/>
  <c r="I10" i="17"/>
  <c r="M10" i="17" s="1"/>
  <c r="C10" i="17"/>
  <c r="B10" i="17"/>
  <c r="AD9" i="17"/>
  <c r="AC9" i="17"/>
  <c r="Z9" i="17"/>
  <c r="Y9" i="17"/>
  <c r="W9" i="17"/>
  <c r="V9" i="17"/>
  <c r="T9" i="17"/>
  <c r="S9" i="17"/>
  <c r="P9" i="17"/>
  <c r="O9" i="17"/>
  <c r="N9" i="17"/>
  <c r="I9" i="17"/>
  <c r="M9" i="17" s="1"/>
  <c r="C9" i="17"/>
  <c r="B9" i="17"/>
  <c r="AD8" i="17"/>
  <c r="AC8" i="17"/>
  <c r="Z8" i="17"/>
  <c r="Y8" i="17"/>
  <c r="W8" i="17"/>
  <c r="V8" i="17"/>
  <c r="T8" i="17"/>
  <c r="S8" i="17"/>
  <c r="P8" i="17"/>
  <c r="O8" i="17"/>
  <c r="N8" i="17"/>
  <c r="M8" i="17"/>
  <c r="I8" i="17"/>
  <c r="C8" i="17"/>
  <c r="B8" i="17" s="1"/>
  <c r="Z7" i="17"/>
  <c r="Y7" i="17"/>
  <c r="W7" i="17"/>
  <c r="V7" i="17"/>
  <c r="P7" i="17"/>
  <c r="O7" i="17"/>
  <c r="N7" i="17"/>
  <c r="M7" i="17"/>
  <c r="I7" i="17"/>
  <c r="C7" i="17"/>
  <c r="B7" i="17" s="1"/>
  <c r="Z6" i="17"/>
  <c r="Y6" i="17"/>
  <c r="W6" i="17"/>
  <c r="V6" i="17"/>
  <c r="P6" i="17"/>
  <c r="O6" i="17"/>
  <c r="N6" i="17"/>
  <c r="I6" i="17"/>
  <c r="M6" i="17" s="1"/>
  <c r="C6" i="17"/>
  <c r="B6" i="17"/>
  <c r="Z5" i="17"/>
  <c r="Y5" i="17"/>
  <c r="W5" i="17"/>
  <c r="V5" i="17"/>
  <c r="P5" i="17"/>
  <c r="O5" i="17"/>
  <c r="N5" i="17"/>
  <c r="I5" i="17"/>
  <c r="M5" i="17" s="1"/>
  <c r="C5" i="17"/>
  <c r="B5" i="17"/>
  <c r="Z4" i="17"/>
  <c r="Y4" i="17"/>
  <c r="W4" i="17"/>
  <c r="V4" i="17"/>
  <c r="P4" i="17"/>
  <c r="O4" i="17"/>
  <c r="N4" i="17"/>
  <c r="M4" i="17"/>
  <c r="I4" i="17"/>
  <c r="C4" i="17"/>
  <c r="B4" i="17" s="1"/>
  <c r="P3" i="17"/>
  <c r="O3" i="17"/>
  <c r="N3" i="17"/>
  <c r="M3" i="17"/>
  <c r="I3" i="17"/>
  <c r="C3" i="17"/>
  <c r="B3" i="17"/>
  <c r="P2" i="17"/>
  <c r="O2" i="17"/>
  <c r="N2" i="17"/>
  <c r="M2" i="17"/>
  <c r="I2" i="17"/>
  <c r="C2" i="17"/>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C103" i="16"/>
  <c r="B103" i="16"/>
  <c r="C102" i="16"/>
  <c r="B102" i="16"/>
  <c r="C101" i="16"/>
  <c r="B101" i="16" s="1"/>
  <c r="C100" i="16"/>
  <c r="B100" i="16" s="1"/>
  <c r="C99" i="16"/>
  <c r="B99" i="16" s="1"/>
  <c r="C98" i="16"/>
  <c r="B98" i="16" s="1"/>
  <c r="P97" i="16"/>
  <c r="O97" i="16"/>
  <c r="N97" i="16"/>
  <c r="I97" i="16"/>
  <c r="M97" i="16" s="1"/>
  <c r="C97" i="16"/>
  <c r="B97" i="16"/>
  <c r="P96" i="16"/>
  <c r="O96" i="16"/>
  <c r="N96" i="16"/>
  <c r="M96" i="16"/>
  <c r="I96" i="16"/>
  <c r="C96" i="16"/>
  <c r="B96" i="16"/>
  <c r="P95" i="16"/>
  <c r="O95" i="16"/>
  <c r="N95" i="16"/>
  <c r="I95" i="16"/>
  <c r="M95" i="16" s="1"/>
  <c r="C95" i="16"/>
  <c r="B95" i="16"/>
  <c r="P94" i="16"/>
  <c r="O94" i="16"/>
  <c r="N94" i="16"/>
  <c r="I94" i="16"/>
  <c r="M94" i="16" s="1"/>
  <c r="C94" i="16"/>
  <c r="B94" i="16"/>
  <c r="P93" i="16"/>
  <c r="O93" i="16"/>
  <c r="N93" i="16"/>
  <c r="I93" i="16"/>
  <c r="M93" i="16" s="1"/>
  <c r="C93" i="16"/>
  <c r="B93" i="16"/>
  <c r="P92" i="16"/>
  <c r="O92" i="16"/>
  <c r="N92" i="16"/>
  <c r="I92" i="16"/>
  <c r="M92" i="16" s="1"/>
  <c r="C92" i="16"/>
  <c r="B92" i="16" s="1"/>
  <c r="P91" i="16"/>
  <c r="O91" i="16"/>
  <c r="N91" i="16"/>
  <c r="M91" i="16"/>
  <c r="I91" i="16"/>
  <c r="C91" i="16"/>
  <c r="B91" i="16" s="1"/>
  <c r="P90" i="16"/>
  <c r="O90" i="16"/>
  <c r="N90" i="16"/>
  <c r="M90" i="16"/>
  <c r="I90" i="16"/>
  <c r="C90" i="16"/>
  <c r="B90" i="16" s="1"/>
  <c r="P89" i="16"/>
  <c r="O89" i="16"/>
  <c r="N89" i="16"/>
  <c r="M89" i="16"/>
  <c r="I89" i="16"/>
  <c r="C89" i="16"/>
  <c r="B89" i="16" s="1"/>
  <c r="P88" i="16"/>
  <c r="O88" i="16"/>
  <c r="N88" i="16"/>
  <c r="M88" i="16"/>
  <c r="I88" i="16"/>
  <c r="B88" i="16"/>
  <c r="P87" i="16"/>
  <c r="O87" i="16"/>
  <c r="N87" i="16"/>
  <c r="I87" i="16"/>
  <c r="M87" i="16" s="1"/>
  <c r="C87" i="16"/>
  <c r="B87" i="16"/>
  <c r="P86" i="16"/>
  <c r="O86" i="16"/>
  <c r="N86" i="16"/>
  <c r="I86" i="16"/>
  <c r="M86" i="16" s="1"/>
  <c r="C86" i="16"/>
  <c r="B86" i="16" s="1"/>
  <c r="P85" i="16"/>
  <c r="O85" i="16"/>
  <c r="N85" i="16"/>
  <c r="I85" i="16"/>
  <c r="M85" i="16" s="1"/>
  <c r="C85" i="16"/>
  <c r="B85" i="16" s="1"/>
  <c r="P84" i="16"/>
  <c r="O84" i="16"/>
  <c r="N84" i="16"/>
  <c r="M84" i="16"/>
  <c r="I84" i="16"/>
  <c r="C84" i="16"/>
  <c r="B84" i="16"/>
  <c r="P83" i="16"/>
  <c r="O83" i="16"/>
  <c r="N83" i="16"/>
  <c r="I83" i="16"/>
  <c r="M83" i="16" s="1"/>
  <c r="C83" i="16"/>
  <c r="B83" i="16"/>
  <c r="P82" i="16"/>
  <c r="O82" i="16"/>
  <c r="N82" i="16"/>
  <c r="M82" i="16"/>
  <c r="I82" i="16"/>
  <c r="C82" i="16"/>
  <c r="B82" i="16" s="1"/>
  <c r="P81" i="16"/>
  <c r="O81" i="16"/>
  <c r="N81" i="16"/>
  <c r="M81" i="16"/>
  <c r="I81" i="16"/>
  <c r="C81" i="16"/>
  <c r="B81" i="16"/>
  <c r="P80" i="16"/>
  <c r="O80" i="16"/>
  <c r="N80" i="16"/>
  <c r="M80" i="16"/>
  <c r="I80" i="16"/>
  <c r="C80" i="16"/>
  <c r="B80" i="16" s="1"/>
  <c r="P79" i="16"/>
  <c r="O79" i="16"/>
  <c r="N79" i="16"/>
  <c r="M79" i="16"/>
  <c r="I79" i="16"/>
  <c r="C79" i="16"/>
  <c r="B79" i="16"/>
  <c r="P78" i="16"/>
  <c r="O78" i="16"/>
  <c r="N78" i="16"/>
  <c r="I78" i="16"/>
  <c r="M78" i="16" s="1"/>
  <c r="B78" i="16"/>
  <c r="P77" i="16"/>
  <c r="O77" i="16"/>
  <c r="N77" i="16"/>
  <c r="I77" i="16"/>
  <c r="M77" i="16" s="1"/>
  <c r="C77" i="16"/>
  <c r="B77" i="16"/>
  <c r="P76" i="16"/>
  <c r="O76" i="16"/>
  <c r="N76" i="16"/>
  <c r="I76" i="16"/>
  <c r="M76" i="16" s="1"/>
  <c r="C76" i="16"/>
  <c r="B76" i="16"/>
  <c r="P75" i="16"/>
  <c r="O75" i="16"/>
  <c r="N75" i="16"/>
  <c r="I75" i="16"/>
  <c r="M75" i="16" s="1"/>
  <c r="C75" i="16"/>
  <c r="B75" i="16" s="1"/>
  <c r="P74" i="16"/>
  <c r="O74" i="16"/>
  <c r="N74" i="16"/>
  <c r="I74" i="16"/>
  <c r="M74" i="16" s="1"/>
  <c r="B74" i="16"/>
  <c r="P73" i="16"/>
  <c r="O73" i="16"/>
  <c r="N73" i="16"/>
  <c r="M73" i="16"/>
  <c r="I73" i="16"/>
  <c r="B73" i="16"/>
  <c r="P72" i="16"/>
  <c r="O72" i="16"/>
  <c r="N72" i="16"/>
  <c r="M72" i="16"/>
  <c r="I72" i="16"/>
  <c r="C72" i="16"/>
  <c r="B72" i="16"/>
  <c r="P71" i="16"/>
  <c r="O71" i="16"/>
  <c r="N71" i="16"/>
  <c r="I71" i="16"/>
  <c r="M71" i="16" s="1"/>
  <c r="C71" i="16"/>
  <c r="B71" i="16"/>
  <c r="P70" i="16"/>
  <c r="O70" i="16"/>
  <c r="N70" i="16"/>
  <c r="M70" i="16"/>
  <c r="I70" i="16"/>
  <c r="C70" i="16"/>
  <c r="B70" i="16" s="1"/>
  <c r="P69" i="16"/>
  <c r="O69" i="16"/>
  <c r="N69" i="16"/>
  <c r="I69" i="16"/>
  <c r="M69" i="16" s="1"/>
  <c r="C69" i="16"/>
  <c r="B69" i="16"/>
  <c r="P68" i="16"/>
  <c r="O68" i="16"/>
  <c r="N68" i="16"/>
  <c r="I68" i="16"/>
  <c r="M68" i="16" s="1"/>
  <c r="C68" i="16"/>
  <c r="B68" i="16" s="1"/>
  <c r="P67" i="16"/>
  <c r="O67" i="16"/>
  <c r="N67" i="16"/>
  <c r="M67" i="16"/>
  <c r="I67" i="16"/>
  <c r="C67" i="16"/>
  <c r="B67" i="16"/>
  <c r="P66" i="16"/>
  <c r="O66" i="16"/>
  <c r="N66" i="16"/>
  <c r="I66" i="16"/>
  <c r="M66" i="16" s="1"/>
  <c r="B66" i="16"/>
  <c r="P65" i="16"/>
  <c r="O65" i="16"/>
  <c r="N65" i="16"/>
  <c r="I65" i="16"/>
  <c r="M65" i="16" s="1"/>
  <c r="C65" i="16"/>
  <c r="B65" i="16"/>
  <c r="P64" i="16"/>
  <c r="O64" i="16"/>
  <c r="N64" i="16"/>
  <c r="I64" i="16"/>
  <c r="M64" i="16" s="1"/>
  <c r="C64" i="16"/>
  <c r="B64" i="16"/>
  <c r="P63" i="16"/>
  <c r="O63" i="16"/>
  <c r="N63" i="16"/>
  <c r="I63" i="16"/>
  <c r="M63" i="16" s="1"/>
  <c r="C63" i="16"/>
  <c r="B63" i="16"/>
  <c r="P62" i="16"/>
  <c r="O62" i="16"/>
  <c r="N62" i="16"/>
  <c r="I62" i="16"/>
  <c r="M62" i="16" s="1"/>
  <c r="C62" i="16"/>
  <c r="P61" i="16"/>
  <c r="O61" i="16"/>
  <c r="N61" i="16"/>
  <c r="I61" i="16"/>
  <c r="M61" i="16" s="1"/>
  <c r="C61" i="16"/>
  <c r="B61" i="16" s="1"/>
  <c r="P60" i="16"/>
  <c r="O60" i="16"/>
  <c r="N60" i="16"/>
  <c r="M60" i="16"/>
  <c r="I60" i="16"/>
  <c r="C60" i="16"/>
  <c r="B60" i="16"/>
  <c r="P59" i="16"/>
  <c r="O59" i="16"/>
  <c r="N59" i="16"/>
  <c r="I59" i="16"/>
  <c r="M59" i="16" s="1"/>
  <c r="C59" i="16"/>
  <c r="B59" i="16"/>
  <c r="P58" i="16"/>
  <c r="O58" i="16"/>
  <c r="N58" i="16"/>
  <c r="M58" i="16"/>
  <c r="I58" i="16"/>
  <c r="C58" i="16"/>
  <c r="B58" i="16" s="1"/>
  <c r="P57" i="16"/>
  <c r="O57" i="16"/>
  <c r="N57" i="16"/>
  <c r="M57" i="16"/>
  <c r="I57" i="16"/>
  <c r="B57" i="16"/>
  <c r="P56" i="16"/>
  <c r="O56" i="16"/>
  <c r="N56" i="16"/>
  <c r="I56" i="16"/>
  <c r="M56" i="16" s="1"/>
  <c r="C56" i="16"/>
  <c r="B56" i="16" s="1"/>
  <c r="P55" i="16"/>
  <c r="O55" i="16"/>
  <c r="N55" i="16"/>
  <c r="I55" i="16"/>
  <c r="M55" i="16" s="1"/>
  <c r="P54" i="16"/>
  <c r="O54" i="16"/>
  <c r="N54" i="16"/>
  <c r="M54" i="16"/>
  <c r="I54" i="16"/>
  <c r="C54" i="16"/>
  <c r="B54" i="16" s="1"/>
  <c r="P53" i="16"/>
  <c r="O53" i="16"/>
  <c r="N53" i="16"/>
  <c r="I53" i="16"/>
  <c r="M53" i="16" s="1"/>
  <c r="C53" i="16"/>
  <c r="B53" i="16"/>
  <c r="P52" i="16"/>
  <c r="O52" i="16"/>
  <c r="N52" i="16"/>
  <c r="I52" i="16"/>
  <c r="M52" i="16" s="1"/>
  <c r="C52" i="16"/>
  <c r="B52" i="16" s="1"/>
  <c r="P51" i="16"/>
  <c r="O51" i="16"/>
  <c r="N51" i="16"/>
  <c r="M51" i="16"/>
  <c r="I51" i="16"/>
  <c r="C51" i="16"/>
  <c r="B51" i="16"/>
  <c r="P50" i="16"/>
  <c r="O50" i="16"/>
  <c r="N50" i="16"/>
  <c r="M50" i="16"/>
  <c r="I50" i="16"/>
  <c r="B50" i="16"/>
  <c r="P49" i="16"/>
  <c r="O49" i="16"/>
  <c r="N49" i="16"/>
  <c r="I49" i="16"/>
  <c r="M49" i="16" s="1"/>
  <c r="C49" i="16"/>
  <c r="B49" i="16" s="1"/>
  <c r="P48" i="16"/>
  <c r="O48" i="16"/>
  <c r="N48" i="16"/>
  <c r="I48" i="16"/>
  <c r="M48" i="16" s="1"/>
  <c r="C48" i="16"/>
  <c r="B48" i="16" s="1"/>
  <c r="P47" i="16"/>
  <c r="O47" i="16"/>
  <c r="N47" i="16"/>
  <c r="M47" i="16"/>
  <c r="I47" i="16"/>
  <c r="C47" i="16"/>
  <c r="B47" i="16" s="1"/>
  <c r="P46" i="16"/>
  <c r="O46" i="16"/>
  <c r="N46" i="16"/>
  <c r="I46" i="16"/>
  <c r="M46" i="16" s="1"/>
  <c r="C46" i="16"/>
  <c r="B46" i="16"/>
  <c r="P45" i="16"/>
  <c r="O45" i="16"/>
  <c r="N45" i="16"/>
  <c r="I45" i="16"/>
  <c r="M45" i="16" s="1"/>
  <c r="C45" i="16"/>
  <c r="B45" i="16" s="1"/>
  <c r="P44" i="16"/>
  <c r="O44" i="16"/>
  <c r="N44" i="16"/>
  <c r="M44" i="16"/>
  <c r="I44" i="16"/>
  <c r="B44" i="16"/>
  <c r="P43" i="16"/>
  <c r="O43" i="16"/>
  <c r="N43" i="16"/>
  <c r="M43" i="16"/>
  <c r="I43" i="16"/>
  <c r="B43" i="16"/>
  <c r="P42" i="16"/>
  <c r="O42" i="16"/>
  <c r="N42" i="16"/>
  <c r="I42" i="16"/>
  <c r="M42" i="16" s="1"/>
  <c r="C42" i="16"/>
  <c r="B42" i="16" s="1"/>
  <c r="P41" i="16"/>
  <c r="O41" i="16"/>
  <c r="N41" i="16"/>
  <c r="M41" i="16"/>
  <c r="I41" i="16"/>
  <c r="B41" i="16"/>
  <c r="P40" i="16"/>
  <c r="O40" i="16"/>
  <c r="N40" i="16"/>
  <c r="M40" i="16"/>
  <c r="I40" i="16"/>
  <c r="C40" i="16"/>
  <c r="B40" i="16" s="1"/>
  <c r="P39" i="16"/>
  <c r="O39" i="16"/>
  <c r="N39" i="16"/>
  <c r="I39" i="16"/>
  <c r="M39" i="16" s="1"/>
  <c r="C39" i="16"/>
  <c r="B39" i="16"/>
  <c r="P38" i="16"/>
  <c r="O38" i="16"/>
  <c r="N38" i="16"/>
  <c r="M38" i="16"/>
  <c r="I38" i="16"/>
  <c r="C38" i="16"/>
  <c r="B38" i="16" s="1"/>
  <c r="P37" i="16"/>
  <c r="O37" i="16"/>
  <c r="N37" i="16"/>
  <c r="I37" i="16"/>
  <c r="M37" i="16" s="1"/>
  <c r="C37" i="16"/>
  <c r="B37" i="16"/>
  <c r="P36" i="16"/>
  <c r="O36" i="16"/>
  <c r="N36" i="16"/>
  <c r="I36" i="16"/>
  <c r="M36" i="16" s="1"/>
  <c r="B36" i="16"/>
  <c r="P35" i="16"/>
  <c r="O35" i="16"/>
  <c r="N35" i="16"/>
  <c r="I35" i="16"/>
  <c r="M35" i="16" s="1"/>
  <c r="C35" i="16"/>
  <c r="B35" i="16"/>
  <c r="P34" i="16"/>
  <c r="O34" i="16"/>
  <c r="N34" i="16"/>
  <c r="M34" i="16"/>
  <c r="I34" i="16"/>
  <c r="C34" i="16"/>
  <c r="B34" i="16" s="1"/>
  <c r="P33" i="16"/>
  <c r="O33" i="16"/>
  <c r="N33" i="16"/>
  <c r="I33" i="16"/>
  <c r="M33" i="16" s="1"/>
  <c r="C33" i="16"/>
  <c r="B33" i="16"/>
  <c r="P32" i="16"/>
  <c r="O32" i="16"/>
  <c r="N32" i="16"/>
  <c r="M32" i="16"/>
  <c r="I32" i="16"/>
  <c r="C32" i="16"/>
  <c r="B32" i="16" s="1"/>
  <c r="P31" i="16"/>
  <c r="O31" i="16"/>
  <c r="N31" i="16"/>
  <c r="I31" i="16"/>
  <c r="M31" i="16" s="1"/>
  <c r="B31" i="16"/>
  <c r="P30" i="16"/>
  <c r="O30" i="16"/>
  <c r="N30" i="16"/>
  <c r="M30" i="16"/>
  <c r="I30" i="16"/>
  <c r="C30" i="16"/>
  <c r="B30" i="16"/>
  <c r="P29" i="16"/>
  <c r="O29" i="16"/>
  <c r="N29" i="16"/>
  <c r="M29" i="16"/>
  <c r="I29" i="16"/>
  <c r="C29" i="16"/>
  <c r="B29" i="16"/>
  <c r="P28" i="16"/>
  <c r="O28" i="16"/>
  <c r="N28" i="16"/>
  <c r="I28" i="16"/>
  <c r="M28" i="16" s="1"/>
  <c r="C28" i="16"/>
  <c r="B28" i="16"/>
  <c r="P27" i="16"/>
  <c r="O27" i="16"/>
  <c r="N27" i="16"/>
  <c r="I27" i="16"/>
  <c r="M27" i="16" s="1"/>
  <c r="C27" i="16"/>
  <c r="B27" i="16"/>
  <c r="Z26" i="16"/>
  <c r="Y26" i="16"/>
  <c r="W26" i="16"/>
  <c r="V26" i="16"/>
  <c r="P26" i="16"/>
  <c r="O26" i="16"/>
  <c r="N26" i="16"/>
  <c r="I26" i="16"/>
  <c r="M26" i="16" s="1"/>
  <c r="C26" i="16"/>
  <c r="B26" i="16" s="1"/>
  <c r="Z25" i="16"/>
  <c r="Y25" i="16"/>
  <c r="W25" i="16"/>
  <c r="V25" i="16"/>
  <c r="P25" i="16"/>
  <c r="O25" i="16"/>
  <c r="N25" i="16"/>
  <c r="I25" i="16"/>
  <c r="M25" i="16" s="1"/>
  <c r="C25" i="16"/>
  <c r="B25" i="16"/>
  <c r="Z24" i="16"/>
  <c r="Y24" i="16"/>
  <c r="W24" i="16"/>
  <c r="V24" i="16"/>
  <c r="P24" i="16"/>
  <c r="O24" i="16"/>
  <c r="N24" i="16"/>
  <c r="I24" i="16"/>
  <c r="M24" i="16" s="1"/>
  <c r="B24" i="16"/>
  <c r="Z23" i="16"/>
  <c r="Y23" i="16"/>
  <c r="W23" i="16"/>
  <c r="V23" i="16"/>
  <c r="P23" i="16"/>
  <c r="O23" i="16"/>
  <c r="N23" i="16"/>
  <c r="I23" i="16"/>
  <c r="M23" i="16" s="1"/>
  <c r="C23" i="16"/>
  <c r="B23" i="16"/>
  <c r="Z22" i="16"/>
  <c r="Y22" i="16"/>
  <c r="W22" i="16"/>
  <c r="V22" i="16"/>
  <c r="P22" i="16"/>
  <c r="O22" i="16"/>
  <c r="N22" i="16"/>
  <c r="M22" i="16"/>
  <c r="I22" i="16"/>
  <c r="B22" i="16"/>
  <c r="Z21" i="16"/>
  <c r="Y21" i="16"/>
  <c r="W21" i="16"/>
  <c r="V21" i="16"/>
  <c r="P21" i="16"/>
  <c r="O21" i="16"/>
  <c r="N21" i="16"/>
  <c r="I21" i="16"/>
  <c r="M21" i="16" s="1"/>
  <c r="C21" i="16"/>
  <c r="B21" i="16"/>
  <c r="Z20" i="16"/>
  <c r="Y20" i="16"/>
  <c r="W20" i="16"/>
  <c r="V20" i="16"/>
  <c r="P20" i="16"/>
  <c r="O20" i="16"/>
  <c r="N20" i="16"/>
  <c r="M20" i="16"/>
  <c r="I20" i="16"/>
  <c r="C20" i="16"/>
  <c r="B20" i="16" s="1"/>
  <c r="Z19" i="16"/>
  <c r="Y19" i="16"/>
  <c r="W19" i="16"/>
  <c r="V19" i="16"/>
  <c r="P19" i="16"/>
  <c r="O19" i="16"/>
  <c r="N19" i="16"/>
  <c r="M19" i="16"/>
  <c r="I19" i="16"/>
  <c r="C19" i="16"/>
  <c r="B19" i="16" s="1"/>
  <c r="Z18" i="16"/>
  <c r="Y18" i="16"/>
  <c r="W18" i="16"/>
  <c r="V18" i="16"/>
  <c r="P18" i="16"/>
  <c r="O18" i="16"/>
  <c r="N18" i="16"/>
  <c r="I18" i="16"/>
  <c r="M18" i="16" s="1"/>
  <c r="C18" i="16"/>
  <c r="B18" i="16"/>
  <c r="Z17" i="16"/>
  <c r="Y17" i="16"/>
  <c r="W17" i="16"/>
  <c r="V17" i="16"/>
  <c r="P17" i="16"/>
  <c r="O17" i="16"/>
  <c r="N17" i="16"/>
  <c r="I17" i="16"/>
  <c r="M17" i="16" s="1"/>
  <c r="C17" i="16"/>
  <c r="B17" i="16"/>
  <c r="P16" i="16"/>
  <c r="O16" i="16"/>
  <c r="N16" i="16"/>
  <c r="M16" i="16"/>
  <c r="I16" i="16"/>
  <c r="C16" i="16"/>
  <c r="B16" i="16"/>
  <c r="P15" i="16"/>
  <c r="O15" i="16"/>
  <c r="N15" i="16"/>
  <c r="I15" i="16"/>
  <c r="M15" i="16" s="1"/>
  <c r="C15" i="16"/>
  <c r="B15" i="16"/>
  <c r="P14" i="16"/>
  <c r="O14" i="16"/>
  <c r="N14" i="16"/>
  <c r="I14" i="16"/>
  <c r="M14" i="16" s="1"/>
  <c r="C14" i="16"/>
  <c r="B14" i="16" s="1"/>
  <c r="AD13" i="16"/>
  <c r="AC13" i="16"/>
  <c r="Z13" i="16"/>
  <c r="Y13" i="16"/>
  <c r="W13" i="16"/>
  <c r="V13" i="16"/>
  <c r="T13" i="16"/>
  <c r="S13" i="16"/>
  <c r="P13" i="16"/>
  <c r="O13" i="16"/>
  <c r="N13" i="16"/>
  <c r="I13" i="16"/>
  <c r="M13" i="16" s="1"/>
  <c r="C13" i="16"/>
  <c r="B13" i="16"/>
  <c r="AD12" i="16"/>
  <c r="AC12" i="16"/>
  <c r="Z12" i="16"/>
  <c r="Y12" i="16"/>
  <c r="W12" i="16"/>
  <c r="V12" i="16"/>
  <c r="T12" i="16"/>
  <c r="S12" i="16"/>
  <c r="P12" i="16"/>
  <c r="O12" i="16"/>
  <c r="N12" i="16"/>
  <c r="I12" i="16"/>
  <c r="M12" i="16" s="1"/>
  <c r="C12" i="16"/>
  <c r="B12" i="16"/>
  <c r="AD11" i="16"/>
  <c r="AC11" i="16"/>
  <c r="Z11" i="16"/>
  <c r="Y11" i="16"/>
  <c r="W11" i="16"/>
  <c r="V11" i="16"/>
  <c r="T11" i="16"/>
  <c r="S11" i="16"/>
  <c r="P11" i="16"/>
  <c r="O11" i="16"/>
  <c r="N11" i="16"/>
  <c r="M11" i="16"/>
  <c r="I11" i="16"/>
  <c r="C11" i="16"/>
  <c r="AD10" i="16"/>
  <c r="AC10" i="16"/>
  <c r="Z10" i="16"/>
  <c r="Y10" i="16"/>
  <c r="W10" i="16"/>
  <c r="V10" i="16"/>
  <c r="T10" i="16"/>
  <c r="S10" i="16"/>
  <c r="P10" i="16"/>
  <c r="O10" i="16"/>
  <c r="N10" i="16"/>
  <c r="I10" i="16"/>
  <c r="M10" i="16" s="1"/>
  <c r="C10" i="16"/>
  <c r="B10" i="16" s="1"/>
  <c r="AD9" i="16"/>
  <c r="AC9" i="16"/>
  <c r="Z9" i="16"/>
  <c r="Y9" i="16"/>
  <c r="W9" i="16"/>
  <c r="V9" i="16"/>
  <c r="T9" i="16"/>
  <c r="S9" i="16"/>
  <c r="P9" i="16"/>
  <c r="O9" i="16"/>
  <c r="N9" i="16"/>
  <c r="I9" i="16"/>
  <c r="M9" i="16" s="1"/>
  <c r="C9" i="16"/>
  <c r="B9" i="16"/>
  <c r="AD8" i="16"/>
  <c r="AC8" i="16"/>
  <c r="Z8" i="16"/>
  <c r="Y8" i="16"/>
  <c r="W8" i="16"/>
  <c r="V8" i="16"/>
  <c r="T8" i="16"/>
  <c r="S8" i="16"/>
  <c r="P8" i="16"/>
  <c r="O8" i="16"/>
  <c r="N8" i="16"/>
  <c r="I8" i="16"/>
  <c r="M8" i="16" s="1"/>
  <c r="B8" i="16"/>
  <c r="Z7" i="16"/>
  <c r="Y7" i="16"/>
  <c r="W7" i="16"/>
  <c r="V7" i="16"/>
  <c r="P7" i="16"/>
  <c r="O7" i="16"/>
  <c r="N7" i="16"/>
  <c r="M7" i="16"/>
  <c r="I7" i="16"/>
  <c r="C7" i="16"/>
  <c r="B7" i="16"/>
  <c r="Z6" i="16"/>
  <c r="Y6" i="16"/>
  <c r="W6" i="16"/>
  <c r="V6" i="16"/>
  <c r="P6" i="16"/>
  <c r="O6" i="16"/>
  <c r="N6" i="16"/>
  <c r="M6" i="16"/>
  <c r="I6" i="16"/>
  <c r="C6" i="16"/>
  <c r="B6" i="16"/>
  <c r="Z5" i="16"/>
  <c r="Y5" i="16"/>
  <c r="W5" i="16"/>
  <c r="V5" i="16"/>
  <c r="P5" i="16"/>
  <c r="O5" i="16"/>
  <c r="N5" i="16"/>
  <c r="M5" i="16"/>
  <c r="I5" i="16"/>
  <c r="C5" i="16"/>
  <c r="B5" i="16" s="1"/>
  <c r="Z4" i="16"/>
  <c r="Y4" i="16"/>
  <c r="W4" i="16"/>
  <c r="V4" i="16"/>
  <c r="P4" i="16"/>
  <c r="O4" i="16"/>
  <c r="N4" i="16"/>
  <c r="I4" i="16"/>
  <c r="M4" i="16" s="1"/>
  <c r="C4" i="16"/>
  <c r="B4" i="16" s="1"/>
  <c r="P3" i="16"/>
  <c r="O3" i="16"/>
  <c r="N3" i="16"/>
  <c r="I3" i="16"/>
  <c r="M3" i="16" s="1"/>
  <c r="C3" i="16"/>
  <c r="B3" i="16" s="1"/>
  <c r="P2" i="16"/>
  <c r="O2" i="16"/>
  <c r="N2" i="16"/>
  <c r="I2" i="16"/>
  <c r="M2" i="16" s="1"/>
  <c r="C2" i="16"/>
  <c r="B163" i="15"/>
  <c r="B162" i="15"/>
  <c r="B161" i="15"/>
  <c r="B160" i="15"/>
  <c r="B159" i="15"/>
  <c r="B158" i="15"/>
  <c r="B157" i="15"/>
  <c r="B156" i="15"/>
  <c r="B155" i="15"/>
  <c r="B154" i="15"/>
  <c r="B153" i="15"/>
  <c r="B152" i="15"/>
  <c r="B151" i="15"/>
  <c r="B150" i="15"/>
  <c r="B149" i="15"/>
  <c r="B148" i="15"/>
  <c r="B147" i="15"/>
  <c r="B146" i="15"/>
  <c r="B145" i="15"/>
  <c r="B144" i="15"/>
  <c r="B143" i="15"/>
  <c r="B142" i="15"/>
  <c r="B141" i="15"/>
  <c r="B140" i="15"/>
  <c r="B139" i="15"/>
  <c r="B138" i="15"/>
  <c r="B137" i="15"/>
  <c r="B136" i="15"/>
  <c r="B135" i="15"/>
  <c r="B134" i="15"/>
  <c r="B133" i="15"/>
  <c r="B132" i="15"/>
  <c r="B131" i="15"/>
  <c r="B130" i="15"/>
  <c r="B129" i="15"/>
  <c r="B128" i="15"/>
  <c r="B127" i="15"/>
  <c r="B126" i="15"/>
  <c r="B125" i="15"/>
  <c r="B124" i="15"/>
  <c r="B123" i="15"/>
  <c r="B122" i="15"/>
  <c r="B121" i="15"/>
  <c r="B120" i="15"/>
  <c r="B119" i="15"/>
  <c r="B118" i="15"/>
  <c r="B117" i="15"/>
  <c r="B116" i="15"/>
  <c r="B115" i="15"/>
  <c r="B114" i="15"/>
  <c r="B113" i="15"/>
  <c r="B112" i="15"/>
  <c r="B111" i="15"/>
  <c r="B110" i="15"/>
  <c r="B109" i="15"/>
  <c r="B108" i="15"/>
  <c r="B107" i="15"/>
  <c r="B106" i="15"/>
  <c r="B105" i="15"/>
  <c r="B104" i="15"/>
  <c r="C103" i="15"/>
  <c r="B103" i="15" s="1"/>
  <c r="C102" i="15"/>
  <c r="B102" i="15"/>
  <c r="C101" i="15"/>
  <c r="B101" i="15"/>
  <c r="C100" i="15"/>
  <c r="B100" i="15"/>
  <c r="C99" i="15"/>
  <c r="B99" i="15"/>
  <c r="C98" i="15"/>
  <c r="B98" i="15" s="1"/>
  <c r="P97" i="15"/>
  <c r="O97" i="15"/>
  <c r="N97" i="15"/>
  <c r="M97" i="15"/>
  <c r="I97" i="15"/>
  <c r="C97" i="15"/>
  <c r="B97" i="15" s="1"/>
  <c r="P96" i="15"/>
  <c r="O96" i="15"/>
  <c r="N96" i="15"/>
  <c r="M96" i="15"/>
  <c r="I96" i="15"/>
  <c r="C96" i="15"/>
  <c r="B96" i="15" s="1"/>
  <c r="P95" i="15"/>
  <c r="O95" i="15"/>
  <c r="N95" i="15"/>
  <c r="M95" i="15"/>
  <c r="I95" i="15"/>
  <c r="C95" i="15"/>
  <c r="B95" i="15" s="1"/>
  <c r="P94" i="15"/>
  <c r="O94" i="15"/>
  <c r="N94" i="15"/>
  <c r="M94" i="15"/>
  <c r="I94" i="15"/>
  <c r="C94" i="15"/>
  <c r="B94" i="15"/>
  <c r="P93" i="15"/>
  <c r="O93" i="15"/>
  <c r="N93" i="15"/>
  <c r="M93" i="15"/>
  <c r="I93" i="15"/>
  <c r="C93" i="15"/>
  <c r="B93" i="15" s="1"/>
  <c r="P92" i="15"/>
  <c r="O92" i="15"/>
  <c r="N92" i="15"/>
  <c r="I92" i="15"/>
  <c r="M92" i="15" s="1"/>
  <c r="C92" i="15"/>
  <c r="B92" i="15"/>
  <c r="P91" i="15"/>
  <c r="O91" i="15"/>
  <c r="N91" i="15"/>
  <c r="M91" i="15"/>
  <c r="I91" i="15"/>
  <c r="C91" i="15"/>
  <c r="B91" i="15"/>
  <c r="P90" i="15"/>
  <c r="O90" i="15"/>
  <c r="N90" i="15"/>
  <c r="I90" i="15"/>
  <c r="M90" i="15" s="1"/>
  <c r="C90" i="15"/>
  <c r="B90" i="15"/>
  <c r="P89" i="15"/>
  <c r="O89" i="15"/>
  <c r="N89" i="15"/>
  <c r="I89" i="15"/>
  <c r="M89" i="15" s="1"/>
  <c r="B89" i="15"/>
  <c r="P88" i="15"/>
  <c r="O88" i="15"/>
  <c r="N88" i="15"/>
  <c r="M88" i="15"/>
  <c r="I88" i="15"/>
  <c r="C88" i="15"/>
  <c r="B88" i="15"/>
  <c r="P87" i="15"/>
  <c r="O87" i="15"/>
  <c r="N87" i="15"/>
  <c r="M87" i="15"/>
  <c r="I87" i="15"/>
  <c r="C87" i="15"/>
  <c r="B87" i="15"/>
  <c r="P86" i="15"/>
  <c r="O86" i="15"/>
  <c r="N86" i="15"/>
  <c r="I86" i="15"/>
  <c r="M86" i="15" s="1"/>
  <c r="B86" i="15"/>
  <c r="P85" i="15"/>
  <c r="O85" i="15"/>
  <c r="N85" i="15"/>
  <c r="I85" i="15"/>
  <c r="M85" i="15" s="1"/>
  <c r="C85" i="15"/>
  <c r="B85" i="15" s="1"/>
  <c r="S84" i="15"/>
  <c r="P84" i="15"/>
  <c r="O84" i="15"/>
  <c r="N84" i="15"/>
  <c r="M84" i="15"/>
  <c r="I84" i="15"/>
  <c r="C84" i="15"/>
  <c r="B84" i="15"/>
  <c r="P83" i="15"/>
  <c r="O83" i="15"/>
  <c r="N83" i="15"/>
  <c r="I83" i="15"/>
  <c r="M83" i="15" s="1"/>
  <c r="C83" i="15"/>
  <c r="B83" i="15"/>
  <c r="P82" i="15"/>
  <c r="O82" i="15"/>
  <c r="N82" i="15"/>
  <c r="M82" i="15"/>
  <c r="I82" i="15"/>
  <c r="C82" i="15"/>
  <c r="B82" i="15" s="1"/>
  <c r="P81" i="15"/>
  <c r="O81" i="15"/>
  <c r="N81" i="15"/>
  <c r="I81" i="15"/>
  <c r="M81" i="15" s="1"/>
  <c r="C81" i="15"/>
  <c r="B81" i="15"/>
  <c r="P80" i="15"/>
  <c r="O80" i="15"/>
  <c r="N80" i="15"/>
  <c r="M80" i="15"/>
  <c r="I80" i="15"/>
  <c r="C80" i="15"/>
  <c r="B80" i="15" s="1"/>
  <c r="P79" i="15"/>
  <c r="O79" i="15"/>
  <c r="N79" i="15"/>
  <c r="I79" i="15"/>
  <c r="M79" i="15" s="1"/>
  <c r="C79" i="15"/>
  <c r="B79" i="15"/>
  <c r="P78" i="15"/>
  <c r="O78" i="15"/>
  <c r="N78" i="15"/>
  <c r="I78" i="15"/>
  <c r="M78" i="15" s="1"/>
  <c r="C78" i="15"/>
  <c r="B78" i="15" s="1"/>
  <c r="P77" i="15"/>
  <c r="O77" i="15"/>
  <c r="N77" i="15"/>
  <c r="M77" i="15"/>
  <c r="I77" i="15"/>
  <c r="C77" i="15"/>
  <c r="B77" i="15" s="1"/>
  <c r="P76" i="15"/>
  <c r="O76" i="15"/>
  <c r="N76" i="15"/>
  <c r="M76" i="15"/>
  <c r="I76" i="15"/>
  <c r="C76" i="15"/>
  <c r="B76" i="15"/>
  <c r="P75" i="15"/>
  <c r="O75" i="15"/>
  <c r="N75" i="15"/>
  <c r="M75" i="15"/>
  <c r="I75" i="15"/>
  <c r="C75" i="15"/>
  <c r="B75" i="15"/>
  <c r="P74" i="15"/>
  <c r="O74" i="15"/>
  <c r="N74" i="15"/>
  <c r="I74" i="15"/>
  <c r="M74" i="15" s="1"/>
  <c r="B74" i="15"/>
  <c r="P73" i="15"/>
  <c r="O73" i="15"/>
  <c r="N73" i="15"/>
  <c r="M73" i="15"/>
  <c r="I73" i="15"/>
  <c r="B73" i="15"/>
  <c r="P72" i="15"/>
  <c r="O72" i="15"/>
  <c r="N72" i="15"/>
  <c r="I72" i="15"/>
  <c r="M72" i="15" s="1"/>
  <c r="C72" i="15"/>
  <c r="B72" i="15" s="1"/>
  <c r="P71" i="15"/>
  <c r="O71" i="15"/>
  <c r="N71" i="15"/>
  <c r="M71" i="15"/>
  <c r="I71" i="15"/>
  <c r="C71" i="15"/>
  <c r="B71" i="15" s="1"/>
  <c r="P70" i="15"/>
  <c r="O70" i="15"/>
  <c r="N70" i="15"/>
  <c r="I70" i="15"/>
  <c r="M70" i="15" s="1"/>
  <c r="C70" i="15"/>
  <c r="B70" i="15"/>
  <c r="P69" i="15"/>
  <c r="O69" i="15"/>
  <c r="N69" i="15"/>
  <c r="M69" i="15"/>
  <c r="I69" i="15"/>
  <c r="C69" i="15"/>
  <c r="B69" i="15" s="1"/>
  <c r="P68" i="15"/>
  <c r="O68" i="15"/>
  <c r="N68" i="15"/>
  <c r="I68" i="15"/>
  <c r="M68" i="15" s="1"/>
  <c r="C68" i="15"/>
  <c r="B68" i="15"/>
  <c r="P67" i="15"/>
  <c r="O67" i="15"/>
  <c r="N67" i="15"/>
  <c r="I67" i="15"/>
  <c r="M67" i="15" s="1"/>
  <c r="B67" i="15"/>
  <c r="P66" i="15"/>
  <c r="O66" i="15"/>
  <c r="N66" i="15"/>
  <c r="I66" i="15"/>
  <c r="M66" i="15" s="1"/>
  <c r="C66" i="15"/>
  <c r="B66" i="15"/>
  <c r="P65" i="15"/>
  <c r="O65" i="15"/>
  <c r="N65" i="15"/>
  <c r="M65" i="15"/>
  <c r="I65" i="15"/>
  <c r="C65" i="15"/>
  <c r="B65" i="15" s="1"/>
  <c r="P64" i="15"/>
  <c r="O64" i="15"/>
  <c r="N64" i="15"/>
  <c r="M64" i="15"/>
  <c r="I64" i="15"/>
  <c r="B64" i="15"/>
  <c r="P63" i="15"/>
  <c r="O63" i="15"/>
  <c r="N63" i="15"/>
  <c r="I63" i="15"/>
  <c r="M63" i="15" s="1"/>
  <c r="C63" i="15"/>
  <c r="B63" i="15"/>
  <c r="P62" i="15"/>
  <c r="O62" i="15"/>
  <c r="N62" i="15"/>
  <c r="I62" i="15"/>
  <c r="M62" i="15" s="1"/>
  <c r="C62" i="15"/>
  <c r="B62" i="15" s="1"/>
  <c r="P61" i="15"/>
  <c r="O61" i="15"/>
  <c r="N61" i="15"/>
  <c r="I61" i="15"/>
  <c r="M61" i="15" s="1"/>
  <c r="B61" i="15"/>
  <c r="P60" i="15"/>
  <c r="O60" i="15"/>
  <c r="N60" i="15"/>
  <c r="I60" i="15"/>
  <c r="M60" i="15" s="1"/>
  <c r="B60" i="15"/>
  <c r="P59" i="15"/>
  <c r="O59" i="15"/>
  <c r="N59" i="15"/>
  <c r="M59" i="15"/>
  <c r="I59" i="15"/>
  <c r="C59" i="15"/>
  <c r="B59" i="15"/>
  <c r="P58" i="15"/>
  <c r="O58" i="15"/>
  <c r="N58" i="15"/>
  <c r="I58" i="15"/>
  <c r="M58" i="15" s="1"/>
  <c r="C58" i="15"/>
  <c r="B58" i="15" s="1"/>
  <c r="P57" i="15"/>
  <c r="O57" i="15"/>
  <c r="N57" i="15"/>
  <c r="M57" i="15"/>
  <c r="I57" i="15"/>
  <c r="C57" i="15"/>
  <c r="B57" i="15" s="1"/>
  <c r="P56" i="15"/>
  <c r="O56" i="15"/>
  <c r="N56" i="15"/>
  <c r="I56" i="15"/>
  <c r="M56" i="15" s="1"/>
  <c r="C56" i="15"/>
  <c r="B56" i="15"/>
  <c r="P55" i="15"/>
  <c r="O55" i="15"/>
  <c r="N55" i="15"/>
  <c r="M55" i="15"/>
  <c r="I55" i="15"/>
  <c r="C55" i="15"/>
  <c r="B55" i="15"/>
  <c r="P54" i="15"/>
  <c r="O54" i="15"/>
  <c r="N54" i="15"/>
  <c r="I54" i="15"/>
  <c r="M54" i="15" s="1"/>
  <c r="C54" i="15"/>
  <c r="B54" i="15"/>
  <c r="P53" i="15"/>
  <c r="O53" i="15"/>
  <c r="N53" i="15"/>
  <c r="M53" i="15"/>
  <c r="I53" i="15"/>
  <c r="C53" i="15"/>
  <c r="B53" i="15" s="1"/>
  <c r="P52" i="15"/>
  <c r="O52" i="15"/>
  <c r="N52" i="15"/>
  <c r="I52" i="15"/>
  <c r="M52" i="15" s="1"/>
  <c r="B52" i="15"/>
  <c r="P51" i="15"/>
  <c r="O51" i="15"/>
  <c r="N51" i="15"/>
  <c r="M51" i="15"/>
  <c r="I51" i="15"/>
  <c r="C51" i="15"/>
  <c r="B51" i="15"/>
  <c r="P50" i="15"/>
  <c r="O50" i="15"/>
  <c r="N50" i="15"/>
  <c r="I50" i="15"/>
  <c r="M50" i="15" s="1"/>
  <c r="C50" i="15"/>
  <c r="B50" i="15" s="1"/>
  <c r="P49" i="15"/>
  <c r="O49" i="15"/>
  <c r="N49" i="15"/>
  <c r="I49" i="15"/>
  <c r="M49" i="15" s="1"/>
  <c r="C49" i="15"/>
  <c r="B49" i="15"/>
  <c r="P48" i="15"/>
  <c r="O48" i="15"/>
  <c r="N48" i="15"/>
  <c r="I48" i="15"/>
  <c r="M48" i="15" s="1"/>
  <c r="B48" i="15"/>
  <c r="P47" i="15"/>
  <c r="O47" i="15"/>
  <c r="N47" i="15"/>
  <c r="M47" i="15"/>
  <c r="I47" i="15"/>
  <c r="B47" i="15"/>
  <c r="P46" i="15"/>
  <c r="O46" i="15"/>
  <c r="N46" i="15"/>
  <c r="I46" i="15"/>
  <c r="M46" i="15" s="1"/>
  <c r="C46" i="15"/>
  <c r="B46" i="15" s="1"/>
  <c r="P45" i="15"/>
  <c r="O45" i="15"/>
  <c r="N45" i="15"/>
  <c r="M45" i="15"/>
  <c r="I45" i="15"/>
  <c r="C45" i="15"/>
  <c r="B45" i="15"/>
  <c r="P44" i="15"/>
  <c r="O44" i="15"/>
  <c r="N44" i="15"/>
  <c r="I44" i="15"/>
  <c r="M44" i="15" s="1"/>
  <c r="B44" i="15"/>
  <c r="P43" i="15"/>
  <c r="O43" i="15"/>
  <c r="N43" i="15"/>
  <c r="I43" i="15"/>
  <c r="M43" i="15" s="1"/>
  <c r="C43" i="15"/>
  <c r="B43" i="15"/>
  <c r="P42" i="15"/>
  <c r="O42" i="15"/>
  <c r="N42" i="15"/>
  <c r="M42" i="15"/>
  <c r="I42" i="15"/>
  <c r="C42" i="15"/>
  <c r="T82" i="15" s="1"/>
  <c r="P41" i="15"/>
  <c r="O41" i="15"/>
  <c r="N41" i="15"/>
  <c r="M41" i="15"/>
  <c r="I41" i="15"/>
  <c r="B41" i="15"/>
  <c r="P40" i="15"/>
  <c r="O40" i="15"/>
  <c r="N40" i="15"/>
  <c r="M40" i="15"/>
  <c r="I40" i="15"/>
  <c r="C40" i="15"/>
  <c r="B40" i="15"/>
  <c r="P39" i="15"/>
  <c r="O39" i="15"/>
  <c r="N39" i="15"/>
  <c r="I39" i="15"/>
  <c r="M39" i="15" s="1"/>
  <c r="B39" i="15"/>
  <c r="S38" i="15"/>
  <c r="P38" i="15"/>
  <c r="O38" i="15"/>
  <c r="N38" i="15"/>
  <c r="I38" i="15"/>
  <c r="M38" i="15" s="1"/>
  <c r="C38" i="15"/>
  <c r="B38" i="15"/>
  <c r="P37" i="15"/>
  <c r="O37" i="15"/>
  <c r="N37" i="15"/>
  <c r="I37" i="15"/>
  <c r="M37" i="15" s="1"/>
  <c r="C37" i="15"/>
  <c r="B37" i="15" s="1"/>
  <c r="P36" i="15"/>
  <c r="O36" i="15"/>
  <c r="N36" i="15"/>
  <c r="M36" i="15"/>
  <c r="I36" i="15"/>
  <c r="C36" i="15"/>
  <c r="B36" i="15"/>
  <c r="P35" i="15"/>
  <c r="O35" i="15"/>
  <c r="N35" i="15"/>
  <c r="I35" i="15"/>
  <c r="M35" i="15" s="1"/>
  <c r="C35" i="15"/>
  <c r="B35" i="15"/>
  <c r="P34" i="15"/>
  <c r="O34" i="15"/>
  <c r="N34" i="15"/>
  <c r="M34" i="15"/>
  <c r="I34" i="15"/>
  <c r="C34" i="15"/>
  <c r="B34" i="15" s="1"/>
  <c r="P33" i="15"/>
  <c r="O33" i="15"/>
  <c r="N33" i="15"/>
  <c r="I33" i="15"/>
  <c r="M33" i="15" s="1"/>
  <c r="C33" i="15"/>
  <c r="B33" i="15"/>
  <c r="P32" i="15"/>
  <c r="O32" i="15"/>
  <c r="N32" i="15"/>
  <c r="M32" i="15"/>
  <c r="I32" i="15"/>
  <c r="C32" i="15"/>
  <c r="B32" i="15" s="1"/>
  <c r="P31" i="15"/>
  <c r="O31" i="15"/>
  <c r="N31" i="15"/>
  <c r="I31" i="15"/>
  <c r="M31" i="15" s="1"/>
  <c r="C31" i="15"/>
  <c r="B31" i="15"/>
  <c r="P30" i="15"/>
  <c r="O30" i="15"/>
  <c r="N30" i="15"/>
  <c r="I30" i="15"/>
  <c r="M30" i="15" s="1"/>
  <c r="C30" i="15"/>
  <c r="B30" i="15"/>
  <c r="P29" i="15"/>
  <c r="O29" i="15"/>
  <c r="N29" i="15"/>
  <c r="I29" i="15"/>
  <c r="M29" i="15" s="1"/>
  <c r="C29" i="15"/>
  <c r="B29" i="15" s="1"/>
  <c r="P28" i="15"/>
  <c r="O28" i="15"/>
  <c r="N28" i="15"/>
  <c r="I28" i="15"/>
  <c r="M28" i="15" s="1"/>
  <c r="B28" i="15"/>
  <c r="P27" i="15"/>
  <c r="O27" i="15"/>
  <c r="N27" i="15"/>
  <c r="I27" i="15"/>
  <c r="M27" i="15" s="1"/>
  <c r="C27" i="15"/>
  <c r="B27" i="15"/>
  <c r="Z26" i="15"/>
  <c r="Y26" i="15"/>
  <c r="W26" i="15"/>
  <c r="V26" i="15"/>
  <c r="P26" i="15"/>
  <c r="O26" i="15"/>
  <c r="N26" i="15"/>
  <c r="I26" i="15"/>
  <c r="M26" i="15" s="1"/>
  <c r="C26" i="15"/>
  <c r="B26" i="15" s="1"/>
  <c r="Z25" i="15"/>
  <c r="Y25" i="15"/>
  <c r="W25" i="15"/>
  <c r="V25" i="15"/>
  <c r="P25" i="15"/>
  <c r="O25" i="15"/>
  <c r="N25" i="15"/>
  <c r="I25" i="15"/>
  <c r="M25" i="15" s="1"/>
  <c r="C25" i="15"/>
  <c r="B25" i="15"/>
  <c r="Z24" i="15"/>
  <c r="Y24" i="15"/>
  <c r="W24" i="15"/>
  <c r="V24" i="15"/>
  <c r="P24" i="15"/>
  <c r="O24" i="15"/>
  <c r="N24" i="15"/>
  <c r="M24" i="15"/>
  <c r="I24" i="15"/>
  <c r="C24" i="15"/>
  <c r="B24" i="15" s="1"/>
  <c r="Z23" i="15"/>
  <c r="Y23" i="15"/>
  <c r="W23" i="15"/>
  <c r="V23" i="15"/>
  <c r="P23" i="15"/>
  <c r="O23" i="15"/>
  <c r="N23" i="15"/>
  <c r="M23" i="15"/>
  <c r="I23" i="15"/>
  <c r="B23" i="15"/>
  <c r="Z22" i="15"/>
  <c r="Y22" i="15"/>
  <c r="W22" i="15"/>
  <c r="V22" i="15"/>
  <c r="S22" i="15"/>
  <c r="P22" i="15"/>
  <c r="O22" i="15"/>
  <c r="N22" i="15"/>
  <c r="M22" i="15"/>
  <c r="I22" i="15"/>
  <c r="C22" i="15"/>
  <c r="B22" i="15"/>
  <c r="Z21" i="15"/>
  <c r="Y21" i="15"/>
  <c r="W21" i="15"/>
  <c r="V21" i="15"/>
  <c r="P21" i="15"/>
  <c r="O21" i="15"/>
  <c r="N21" i="15"/>
  <c r="M21" i="15"/>
  <c r="I21" i="15"/>
  <c r="C21" i="15"/>
  <c r="B21" i="15" s="1"/>
  <c r="Z20" i="15"/>
  <c r="Y20" i="15"/>
  <c r="W20" i="15"/>
  <c r="V20" i="15"/>
  <c r="P20" i="15"/>
  <c r="O20" i="15"/>
  <c r="N20" i="15"/>
  <c r="I20" i="15"/>
  <c r="M20" i="15" s="1"/>
  <c r="C20" i="15"/>
  <c r="B20" i="15"/>
  <c r="Z19" i="15"/>
  <c r="Y19" i="15"/>
  <c r="W19" i="15"/>
  <c r="V19" i="15"/>
  <c r="P19" i="15"/>
  <c r="O19" i="15"/>
  <c r="N19" i="15"/>
  <c r="M19" i="15"/>
  <c r="I19" i="15"/>
  <c r="C19" i="15"/>
  <c r="Z18" i="15"/>
  <c r="Y18" i="15"/>
  <c r="W18" i="15"/>
  <c r="V18" i="15"/>
  <c r="P18" i="15"/>
  <c r="O18" i="15"/>
  <c r="N18" i="15"/>
  <c r="I18" i="15"/>
  <c r="M18" i="15" s="1"/>
  <c r="C18" i="15"/>
  <c r="B18" i="15"/>
  <c r="Z17" i="15"/>
  <c r="Y17" i="15"/>
  <c r="W17" i="15"/>
  <c r="V17" i="15"/>
  <c r="P17" i="15"/>
  <c r="O17" i="15"/>
  <c r="N17" i="15"/>
  <c r="I17" i="15"/>
  <c r="M17" i="15" s="1"/>
  <c r="P16" i="15"/>
  <c r="O16" i="15"/>
  <c r="N16" i="15"/>
  <c r="M16" i="15"/>
  <c r="I16" i="15"/>
  <c r="B16" i="15"/>
  <c r="P15" i="15"/>
  <c r="O15" i="15"/>
  <c r="N15" i="15"/>
  <c r="I15" i="15"/>
  <c r="M15" i="15" s="1"/>
  <c r="B15" i="15"/>
  <c r="P14" i="15"/>
  <c r="O14" i="15"/>
  <c r="N14" i="15"/>
  <c r="M14" i="15"/>
  <c r="I14" i="15"/>
  <c r="C14" i="15"/>
  <c r="B14" i="15"/>
  <c r="AD13" i="15"/>
  <c r="AC13" i="15"/>
  <c r="Z13" i="15"/>
  <c r="Y13" i="15"/>
  <c r="W13" i="15"/>
  <c r="V13" i="15"/>
  <c r="T13" i="15"/>
  <c r="S13" i="15"/>
  <c r="P13" i="15"/>
  <c r="O13" i="15"/>
  <c r="N13" i="15"/>
  <c r="M13" i="15"/>
  <c r="I13" i="15"/>
  <c r="C13" i="15"/>
  <c r="B13" i="15"/>
  <c r="AD12" i="15"/>
  <c r="AC12" i="15"/>
  <c r="Z12" i="15"/>
  <c r="Y12" i="15"/>
  <c r="W12" i="15"/>
  <c r="V12" i="15"/>
  <c r="T12" i="15"/>
  <c r="S12" i="15"/>
  <c r="P12" i="15"/>
  <c r="O12" i="15"/>
  <c r="N12" i="15"/>
  <c r="M12" i="15"/>
  <c r="I12" i="15"/>
  <c r="C12" i="15"/>
  <c r="B12" i="15" s="1"/>
  <c r="AD11" i="15"/>
  <c r="AC11" i="15"/>
  <c r="Z11" i="15"/>
  <c r="Y11" i="15"/>
  <c r="W11" i="15"/>
  <c r="V11" i="15"/>
  <c r="T11" i="15"/>
  <c r="S11" i="15"/>
  <c r="P11" i="15"/>
  <c r="O11" i="15"/>
  <c r="N11" i="15"/>
  <c r="I11" i="15"/>
  <c r="M11" i="15" s="1"/>
  <c r="C11" i="15"/>
  <c r="B11" i="15" s="1"/>
  <c r="AD10" i="15"/>
  <c r="AC10" i="15"/>
  <c r="Z10" i="15"/>
  <c r="Y10" i="15"/>
  <c r="W10" i="15"/>
  <c r="V10" i="15"/>
  <c r="T10" i="15"/>
  <c r="S10" i="15"/>
  <c r="P10" i="15"/>
  <c r="O10" i="15"/>
  <c r="N10" i="15"/>
  <c r="I10" i="15"/>
  <c r="M10" i="15" s="1"/>
  <c r="C10" i="15"/>
  <c r="B10" i="15"/>
  <c r="AD9" i="15"/>
  <c r="AC9" i="15"/>
  <c r="Z9" i="15"/>
  <c r="Y9" i="15"/>
  <c r="W9" i="15"/>
  <c r="V9" i="15"/>
  <c r="T9" i="15"/>
  <c r="S9" i="15"/>
  <c r="P9" i="15"/>
  <c r="O9" i="15"/>
  <c r="N9" i="15"/>
  <c r="M9" i="15"/>
  <c r="I9" i="15"/>
  <c r="C9" i="15"/>
  <c r="B9" i="15"/>
  <c r="AD8" i="15"/>
  <c r="AC8" i="15"/>
  <c r="Z8" i="15"/>
  <c r="Y8" i="15"/>
  <c r="W8" i="15"/>
  <c r="V8" i="15"/>
  <c r="T8" i="15"/>
  <c r="S8" i="15"/>
  <c r="P8" i="15"/>
  <c r="O8" i="15"/>
  <c r="N8" i="15"/>
  <c r="M8" i="15"/>
  <c r="I8" i="15"/>
  <c r="C8" i="15"/>
  <c r="B8" i="15" s="1"/>
  <c r="Z7" i="15"/>
  <c r="Y7" i="15"/>
  <c r="W7" i="15"/>
  <c r="V7" i="15"/>
  <c r="P7" i="15"/>
  <c r="O7" i="15"/>
  <c r="N7" i="15"/>
  <c r="I7" i="15"/>
  <c r="M7" i="15" s="1"/>
  <c r="C7" i="15"/>
  <c r="B7" i="15"/>
  <c r="Z6" i="15"/>
  <c r="Y6" i="15"/>
  <c r="W6" i="15"/>
  <c r="V6" i="15"/>
  <c r="P6" i="15"/>
  <c r="O6" i="15"/>
  <c r="N6" i="15"/>
  <c r="M6" i="15"/>
  <c r="I6" i="15"/>
  <c r="C6" i="15"/>
  <c r="Z5" i="15"/>
  <c r="Y5" i="15"/>
  <c r="W5" i="15"/>
  <c r="V5" i="15"/>
  <c r="P5" i="15"/>
  <c r="O5" i="15"/>
  <c r="N5" i="15"/>
  <c r="I5" i="15"/>
  <c r="M5" i="15" s="1"/>
  <c r="C5" i="15"/>
  <c r="B5" i="15"/>
  <c r="Z4" i="15"/>
  <c r="Y4" i="15"/>
  <c r="W4" i="15"/>
  <c r="V4" i="15"/>
  <c r="P4" i="15"/>
  <c r="O4" i="15"/>
  <c r="N4" i="15"/>
  <c r="I4" i="15"/>
  <c r="M4" i="15" s="1"/>
  <c r="C4" i="15"/>
  <c r="P3" i="15"/>
  <c r="O3" i="15"/>
  <c r="N3" i="15"/>
  <c r="M3" i="15"/>
  <c r="I3" i="15"/>
  <c r="C3" i="15"/>
  <c r="P2" i="15"/>
  <c r="O2" i="15"/>
  <c r="N2" i="15"/>
  <c r="M2" i="15"/>
  <c r="I2" i="15"/>
  <c r="C2" i="15"/>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P109" i="14"/>
  <c r="O109" i="14"/>
  <c r="N109" i="14"/>
  <c r="I109" i="14"/>
  <c r="M109" i="14" s="1"/>
  <c r="P108" i="14"/>
  <c r="O108" i="14"/>
  <c r="N108" i="14"/>
  <c r="I108" i="14"/>
  <c r="M108" i="14" s="1"/>
  <c r="P107" i="14"/>
  <c r="O107" i="14"/>
  <c r="N107" i="14"/>
  <c r="I107" i="14"/>
  <c r="M107" i="14" s="1"/>
  <c r="B107" i="14"/>
  <c r="P106" i="14"/>
  <c r="O106" i="14"/>
  <c r="N106" i="14"/>
  <c r="M106" i="14"/>
  <c r="I106" i="14"/>
  <c r="P105" i="14"/>
  <c r="O105" i="14"/>
  <c r="N105" i="14"/>
  <c r="M105" i="14"/>
  <c r="I105" i="14"/>
  <c r="P104" i="14"/>
  <c r="O104" i="14"/>
  <c r="N104" i="14"/>
  <c r="M104" i="14"/>
  <c r="I104" i="14"/>
  <c r="P103" i="14"/>
  <c r="O103" i="14"/>
  <c r="N103" i="14"/>
  <c r="M103" i="14"/>
  <c r="I103" i="14"/>
  <c r="P102" i="14"/>
  <c r="O102" i="14"/>
  <c r="N102" i="14"/>
  <c r="I102" i="14"/>
  <c r="M102" i="14" s="1"/>
  <c r="P101" i="14"/>
  <c r="O101" i="14"/>
  <c r="N101" i="14"/>
  <c r="I101" i="14"/>
  <c r="M101" i="14" s="1"/>
  <c r="P100" i="14"/>
  <c r="O100" i="14"/>
  <c r="N100" i="14"/>
  <c r="I100" i="14"/>
  <c r="M100" i="14" s="1"/>
  <c r="B100" i="14"/>
  <c r="P99" i="14"/>
  <c r="O99" i="14"/>
  <c r="N99" i="14"/>
  <c r="M99" i="14"/>
  <c r="I99" i="14"/>
  <c r="P98" i="14"/>
  <c r="O98" i="14"/>
  <c r="N98" i="14"/>
  <c r="M98" i="14"/>
  <c r="I98" i="14"/>
  <c r="P97" i="14"/>
  <c r="O97" i="14"/>
  <c r="N97" i="14"/>
  <c r="M97" i="14"/>
  <c r="I97" i="14"/>
  <c r="P96" i="14"/>
  <c r="O96" i="14"/>
  <c r="N96" i="14"/>
  <c r="I96" i="14"/>
  <c r="M96" i="14" s="1"/>
  <c r="P95" i="14"/>
  <c r="O95" i="14"/>
  <c r="N95" i="14"/>
  <c r="I95" i="14"/>
  <c r="M95" i="14" s="1"/>
  <c r="P94" i="14"/>
  <c r="O94" i="14"/>
  <c r="N94" i="14"/>
  <c r="I94" i="14"/>
  <c r="M94" i="14" s="1"/>
  <c r="C94" i="14"/>
  <c r="B94" i="14"/>
  <c r="P93" i="14"/>
  <c r="O93" i="14"/>
  <c r="N93" i="14"/>
  <c r="I93" i="14"/>
  <c r="M93" i="14" s="1"/>
  <c r="P92" i="14"/>
  <c r="O92" i="14"/>
  <c r="N92" i="14"/>
  <c r="I92" i="14"/>
  <c r="M92" i="14" s="1"/>
  <c r="P91" i="14"/>
  <c r="O91" i="14"/>
  <c r="N91" i="14"/>
  <c r="M91" i="14"/>
  <c r="I91" i="14"/>
  <c r="P90" i="14"/>
  <c r="O90" i="14"/>
  <c r="N90" i="14"/>
  <c r="M90" i="14"/>
  <c r="I90" i="14"/>
  <c r="P89" i="14"/>
  <c r="O89" i="14"/>
  <c r="N89" i="14"/>
  <c r="M89" i="14"/>
  <c r="I89" i="14"/>
  <c r="B89" i="14"/>
  <c r="P88" i="14"/>
  <c r="O88" i="14"/>
  <c r="N88" i="14"/>
  <c r="I88" i="14"/>
  <c r="M88" i="14" s="1"/>
  <c r="P87" i="14"/>
  <c r="O87" i="14"/>
  <c r="N87" i="14"/>
  <c r="I87" i="14"/>
  <c r="M87" i="14" s="1"/>
  <c r="P86" i="14"/>
  <c r="O86" i="14"/>
  <c r="N86" i="14"/>
  <c r="I86" i="14"/>
  <c r="M86" i="14" s="1"/>
  <c r="P85" i="14"/>
  <c r="O85" i="14"/>
  <c r="N85" i="14"/>
  <c r="I85" i="14"/>
  <c r="M85" i="14" s="1"/>
  <c r="P84" i="14"/>
  <c r="O84" i="14"/>
  <c r="N84" i="14"/>
  <c r="M84" i="14"/>
  <c r="I84" i="14"/>
  <c r="P83" i="14"/>
  <c r="O83" i="14"/>
  <c r="N83" i="14"/>
  <c r="I83" i="14"/>
  <c r="M83" i="14" s="1"/>
  <c r="P82" i="14"/>
  <c r="O82" i="14"/>
  <c r="N82" i="14"/>
  <c r="M82" i="14"/>
  <c r="I82" i="14"/>
  <c r="C82" i="14"/>
  <c r="B82" i="14" s="1"/>
  <c r="P81" i="14"/>
  <c r="O81" i="14"/>
  <c r="N81" i="14"/>
  <c r="M81" i="14"/>
  <c r="I81" i="14"/>
  <c r="P80" i="14"/>
  <c r="O80" i="14"/>
  <c r="N80" i="14"/>
  <c r="M80" i="14"/>
  <c r="I80" i="14"/>
  <c r="P79" i="14"/>
  <c r="O79" i="14"/>
  <c r="N79" i="14"/>
  <c r="I79" i="14"/>
  <c r="M79" i="14" s="1"/>
  <c r="P78" i="14"/>
  <c r="O78" i="14"/>
  <c r="N78" i="14"/>
  <c r="I78" i="14"/>
  <c r="M78" i="14" s="1"/>
  <c r="P77" i="14"/>
  <c r="O77" i="14"/>
  <c r="N77" i="14"/>
  <c r="M77" i="14"/>
  <c r="I77" i="14"/>
  <c r="P76" i="14"/>
  <c r="O76" i="14"/>
  <c r="N76" i="14"/>
  <c r="M76" i="14"/>
  <c r="I76" i="14"/>
  <c r="P75" i="14"/>
  <c r="O75" i="14"/>
  <c r="N75" i="14"/>
  <c r="M75" i="14"/>
  <c r="I75" i="14"/>
  <c r="P74" i="14"/>
  <c r="O74" i="14"/>
  <c r="N74" i="14"/>
  <c r="M74" i="14"/>
  <c r="I74" i="14"/>
  <c r="P73" i="14"/>
  <c r="O73" i="14"/>
  <c r="N73" i="14"/>
  <c r="I73" i="14"/>
  <c r="M73" i="14" s="1"/>
  <c r="P72" i="14"/>
  <c r="O72" i="14"/>
  <c r="N72" i="14"/>
  <c r="I72" i="14"/>
  <c r="M72" i="14" s="1"/>
  <c r="P71" i="14"/>
  <c r="O71" i="14"/>
  <c r="N71" i="14"/>
  <c r="M71" i="14"/>
  <c r="I71" i="14"/>
  <c r="P70" i="14"/>
  <c r="O70" i="14"/>
  <c r="N70" i="14"/>
  <c r="I70" i="14"/>
  <c r="M70" i="14" s="1"/>
  <c r="P69" i="14"/>
  <c r="O69" i="14"/>
  <c r="N69" i="14"/>
  <c r="M69" i="14"/>
  <c r="I69" i="14"/>
  <c r="P68" i="14"/>
  <c r="O68" i="14"/>
  <c r="N68" i="14"/>
  <c r="M68" i="14"/>
  <c r="I68" i="14"/>
  <c r="P67" i="14"/>
  <c r="O67" i="14"/>
  <c r="N67" i="14"/>
  <c r="I67" i="14"/>
  <c r="M67" i="14" s="1"/>
  <c r="P66" i="14"/>
  <c r="O66" i="14"/>
  <c r="N66" i="14"/>
  <c r="M66" i="14"/>
  <c r="I66" i="14"/>
  <c r="P65" i="14"/>
  <c r="O65" i="14"/>
  <c r="N65" i="14"/>
  <c r="I65" i="14"/>
  <c r="M65" i="14" s="1"/>
  <c r="P64" i="14"/>
  <c r="O64" i="14"/>
  <c r="N64" i="14"/>
  <c r="I64" i="14"/>
  <c r="M64" i="14" s="1"/>
  <c r="P63" i="14"/>
  <c r="O63" i="14"/>
  <c r="N63" i="14"/>
  <c r="I63" i="14"/>
  <c r="M63" i="14" s="1"/>
  <c r="P62" i="14"/>
  <c r="O62" i="14"/>
  <c r="N62" i="14"/>
  <c r="M62" i="14"/>
  <c r="I62" i="14"/>
  <c r="P61" i="14"/>
  <c r="O61" i="14"/>
  <c r="N61" i="14"/>
  <c r="M61" i="14"/>
  <c r="I61" i="14"/>
  <c r="P60" i="14"/>
  <c r="O60" i="14"/>
  <c r="N60" i="14"/>
  <c r="M60" i="14"/>
  <c r="I60" i="14"/>
  <c r="P59" i="14"/>
  <c r="O59" i="14"/>
  <c r="N59" i="14"/>
  <c r="I59" i="14"/>
  <c r="M59" i="14" s="1"/>
  <c r="P58" i="14"/>
  <c r="O58" i="14"/>
  <c r="N58" i="14"/>
  <c r="M58" i="14"/>
  <c r="I58" i="14"/>
  <c r="P57" i="14"/>
  <c r="O57" i="14"/>
  <c r="N57" i="14"/>
  <c r="I57" i="14"/>
  <c r="M57" i="14" s="1"/>
  <c r="P56" i="14"/>
  <c r="O56" i="14"/>
  <c r="N56" i="14"/>
  <c r="M56" i="14"/>
  <c r="I56" i="14"/>
  <c r="P55" i="14"/>
  <c r="O55" i="14"/>
  <c r="N55" i="14"/>
  <c r="M55" i="14"/>
  <c r="I55" i="14"/>
  <c r="P54" i="14"/>
  <c r="O54" i="14"/>
  <c r="N54" i="14"/>
  <c r="I54" i="14"/>
  <c r="M54" i="14" s="1"/>
  <c r="P53" i="14"/>
  <c r="O53" i="14"/>
  <c r="N53" i="14"/>
  <c r="M53" i="14"/>
  <c r="I53" i="14"/>
  <c r="P52" i="14"/>
  <c r="O52" i="14"/>
  <c r="N52" i="14"/>
  <c r="M52" i="14"/>
  <c r="I52" i="14"/>
  <c r="P51" i="14"/>
  <c r="O51" i="14"/>
  <c r="N51" i="14"/>
  <c r="I51" i="14"/>
  <c r="M51" i="14" s="1"/>
  <c r="P50" i="14"/>
  <c r="O50" i="14"/>
  <c r="N50" i="14"/>
  <c r="M50" i="14"/>
  <c r="I50" i="14"/>
  <c r="B50" i="14"/>
  <c r="P49" i="14"/>
  <c r="O49" i="14"/>
  <c r="N49" i="14"/>
  <c r="I49" i="14"/>
  <c r="M49" i="14" s="1"/>
  <c r="P48" i="14"/>
  <c r="O48" i="14"/>
  <c r="N48" i="14"/>
  <c r="I48" i="14"/>
  <c r="M48" i="14" s="1"/>
  <c r="P47" i="14"/>
  <c r="O47" i="14"/>
  <c r="N47" i="14"/>
  <c r="M47" i="14"/>
  <c r="I47" i="14"/>
  <c r="P46" i="14"/>
  <c r="O46" i="14"/>
  <c r="N46" i="14"/>
  <c r="M46" i="14"/>
  <c r="I46" i="14"/>
  <c r="P45" i="14"/>
  <c r="O45" i="14"/>
  <c r="N45" i="14"/>
  <c r="I45" i="14"/>
  <c r="M45" i="14" s="1"/>
  <c r="P44" i="14"/>
  <c r="O44" i="14"/>
  <c r="N44" i="14"/>
  <c r="I44" i="14"/>
  <c r="M44" i="14" s="1"/>
  <c r="P43" i="14"/>
  <c r="O43" i="14"/>
  <c r="N43" i="14"/>
  <c r="I43" i="14"/>
  <c r="M43" i="14" s="1"/>
  <c r="P42" i="14"/>
  <c r="O42" i="14"/>
  <c r="N42" i="14"/>
  <c r="M42" i="14"/>
  <c r="I42" i="14"/>
  <c r="P41" i="14"/>
  <c r="O41" i="14"/>
  <c r="N41" i="14"/>
  <c r="I41" i="14"/>
  <c r="M41" i="14" s="1"/>
  <c r="P40" i="14"/>
  <c r="O40" i="14"/>
  <c r="N40" i="14"/>
  <c r="M40" i="14"/>
  <c r="I40" i="14"/>
  <c r="P39" i="14"/>
  <c r="O39" i="14"/>
  <c r="N39" i="14"/>
  <c r="M39" i="14"/>
  <c r="I39" i="14"/>
  <c r="P38" i="14"/>
  <c r="O38" i="14"/>
  <c r="N38" i="14"/>
  <c r="I38" i="14"/>
  <c r="M38" i="14" s="1"/>
  <c r="P37" i="14"/>
  <c r="O37" i="14"/>
  <c r="N37" i="14"/>
  <c r="M37" i="14"/>
  <c r="I37" i="14"/>
  <c r="P36" i="14"/>
  <c r="O36" i="14"/>
  <c r="N36" i="14"/>
  <c r="I36" i="14"/>
  <c r="M36" i="14" s="1"/>
  <c r="P35" i="14"/>
  <c r="O35" i="14"/>
  <c r="N35" i="14"/>
  <c r="I35" i="14"/>
  <c r="M35" i="14" s="1"/>
  <c r="P34" i="14"/>
  <c r="O34" i="14"/>
  <c r="N34" i="14"/>
  <c r="M34" i="14"/>
  <c r="I34" i="14"/>
  <c r="B34" i="14"/>
  <c r="P33" i="14"/>
  <c r="O33" i="14"/>
  <c r="N33" i="14"/>
  <c r="I33" i="14"/>
  <c r="M33" i="14" s="1"/>
  <c r="P32" i="14"/>
  <c r="O32" i="14"/>
  <c r="N32" i="14"/>
  <c r="M32" i="14"/>
  <c r="I32" i="14"/>
  <c r="P31" i="14"/>
  <c r="O31" i="14"/>
  <c r="N31" i="14"/>
  <c r="I31" i="14"/>
  <c r="M31" i="14" s="1"/>
  <c r="P30" i="14"/>
  <c r="O30" i="14"/>
  <c r="N30" i="14"/>
  <c r="M30" i="14"/>
  <c r="I30" i="14"/>
  <c r="P29" i="14"/>
  <c r="O29" i="14"/>
  <c r="N29" i="14"/>
  <c r="I29" i="14"/>
  <c r="M29" i="14" s="1"/>
  <c r="P28" i="14"/>
  <c r="O28" i="14"/>
  <c r="N28" i="14"/>
  <c r="I28" i="14"/>
  <c r="M28" i="14" s="1"/>
  <c r="P27" i="14"/>
  <c r="O27" i="14"/>
  <c r="N27" i="14"/>
  <c r="I27" i="14"/>
  <c r="M27" i="14" s="1"/>
  <c r="Z26" i="14"/>
  <c r="Y26" i="14"/>
  <c r="W26" i="14"/>
  <c r="V26" i="14"/>
  <c r="P26" i="14"/>
  <c r="O26" i="14"/>
  <c r="N26" i="14"/>
  <c r="I26" i="14"/>
  <c r="M26" i="14" s="1"/>
  <c r="Z25" i="14"/>
  <c r="Y25" i="14"/>
  <c r="W25" i="14"/>
  <c r="V25" i="14"/>
  <c r="P25" i="14"/>
  <c r="O25" i="14"/>
  <c r="N25" i="14"/>
  <c r="I25" i="14"/>
  <c r="M25" i="14" s="1"/>
  <c r="Z24" i="14"/>
  <c r="Y24" i="14"/>
  <c r="W24" i="14"/>
  <c r="V24" i="14"/>
  <c r="P24" i="14"/>
  <c r="O24" i="14"/>
  <c r="N24" i="14"/>
  <c r="I24" i="14"/>
  <c r="M24" i="14" s="1"/>
  <c r="Z23" i="14"/>
  <c r="Y23" i="14"/>
  <c r="W23" i="14"/>
  <c r="V23" i="14"/>
  <c r="P23" i="14"/>
  <c r="O23" i="14"/>
  <c r="N23" i="14"/>
  <c r="M23" i="14"/>
  <c r="I23" i="14"/>
  <c r="Z22" i="14"/>
  <c r="Y22" i="14"/>
  <c r="W22" i="14"/>
  <c r="V22" i="14"/>
  <c r="P22" i="14"/>
  <c r="O22" i="14"/>
  <c r="N22" i="14"/>
  <c r="I22" i="14"/>
  <c r="M22" i="14" s="1"/>
  <c r="Z21" i="14"/>
  <c r="Y21" i="14"/>
  <c r="W21" i="14"/>
  <c r="V21" i="14"/>
  <c r="P21" i="14"/>
  <c r="O21" i="14"/>
  <c r="N21" i="14"/>
  <c r="M21" i="14"/>
  <c r="I21" i="14"/>
  <c r="Z20" i="14"/>
  <c r="Y20" i="14"/>
  <c r="W20" i="14"/>
  <c r="V20" i="14"/>
  <c r="P20" i="14"/>
  <c r="O20" i="14"/>
  <c r="N20" i="14"/>
  <c r="I20" i="14"/>
  <c r="M20" i="14" s="1"/>
  <c r="Z19" i="14"/>
  <c r="Y19" i="14"/>
  <c r="W19" i="14"/>
  <c r="V19" i="14"/>
  <c r="P19" i="14"/>
  <c r="O19" i="14"/>
  <c r="N19" i="14"/>
  <c r="I19" i="14"/>
  <c r="M19" i="14" s="1"/>
  <c r="Z18" i="14"/>
  <c r="Y18" i="14"/>
  <c r="W18" i="14"/>
  <c r="V18" i="14"/>
  <c r="P18" i="14"/>
  <c r="O18" i="14"/>
  <c r="N18" i="14"/>
  <c r="I18" i="14"/>
  <c r="M18" i="14" s="1"/>
  <c r="Z17" i="14"/>
  <c r="Y17" i="14"/>
  <c r="W17" i="14"/>
  <c r="V17" i="14"/>
  <c r="P17" i="14"/>
  <c r="O17" i="14"/>
  <c r="N17" i="14"/>
  <c r="M17" i="14"/>
  <c r="I17" i="14"/>
  <c r="P16" i="14"/>
  <c r="O16" i="14"/>
  <c r="N16" i="14"/>
  <c r="M16" i="14"/>
  <c r="I16" i="14"/>
  <c r="P15" i="14"/>
  <c r="O15" i="14"/>
  <c r="N15" i="14"/>
  <c r="M15" i="14"/>
  <c r="I15" i="14"/>
  <c r="P14" i="14"/>
  <c r="O14" i="14"/>
  <c r="N14" i="14"/>
  <c r="I14" i="14"/>
  <c r="M14" i="14" s="1"/>
  <c r="AD13" i="14"/>
  <c r="AC13" i="14"/>
  <c r="Z13" i="14"/>
  <c r="Y13" i="14"/>
  <c r="W13" i="14"/>
  <c r="V13" i="14"/>
  <c r="T13" i="14"/>
  <c r="S13" i="14"/>
  <c r="P13" i="14"/>
  <c r="O13" i="14"/>
  <c r="N13" i="14"/>
  <c r="M13" i="14"/>
  <c r="I13" i="14"/>
  <c r="AD12" i="14"/>
  <c r="AC12" i="14"/>
  <c r="Z12" i="14"/>
  <c r="Y12" i="14"/>
  <c r="W12" i="14"/>
  <c r="V12" i="14"/>
  <c r="T12" i="14"/>
  <c r="S12" i="14"/>
  <c r="P12" i="14"/>
  <c r="O12" i="14"/>
  <c r="N12" i="14"/>
  <c r="I12" i="14"/>
  <c r="M12" i="14" s="1"/>
  <c r="AD11" i="14"/>
  <c r="AC11" i="14"/>
  <c r="Z11" i="14"/>
  <c r="Y11" i="14"/>
  <c r="W11" i="14"/>
  <c r="V11" i="14"/>
  <c r="T11" i="14"/>
  <c r="S11" i="14"/>
  <c r="P11" i="14"/>
  <c r="O11" i="14"/>
  <c r="N11" i="14"/>
  <c r="I11" i="14"/>
  <c r="M11" i="14" s="1"/>
  <c r="AD10" i="14"/>
  <c r="AC10" i="14"/>
  <c r="Z10" i="14"/>
  <c r="Y10" i="14"/>
  <c r="W10" i="14"/>
  <c r="V10" i="14"/>
  <c r="T10" i="14"/>
  <c r="S10" i="14"/>
  <c r="P10" i="14"/>
  <c r="O10" i="14"/>
  <c r="N10" i="14"/>
  <c r="M10" i="14"/>
  <c r="I10" i="14"/>
  <c r="AD9" i="14"/>
  <c r="AC9" i="14"/>
  <c r="Z9" i="14"/>
  <c r="Y9" i="14"/>
  <c r="W9" i="14"/>
  <c r="V9" i="14"/>
  <c r="T9" i="14"/>
  <c r="S9" i="14"/>
  <c r="P9" i="14"/>
  <c r="O9" i="14"/>
  <c r="N9" i="14"/>
  <c r="M9" i="14"/>
  <c r="I9" i="14"/>
  <c r="AD8" i="14"/>
  <c r="AC8" i="14"/>
  <c r="Z8" i="14"/>
  <c r="Y8" i="14"/>
  <c r="W8" i="14"/>
  <c r="V8" i="14"/>
  <c r="T8" i="14"/>
  <c r="S8" i="14"/>
  <c r="P8" i="14"/>
  <c r="O8" i="14"/>
  <c r="N8" i="14"/>
  <c r="M8" i="14"/>
  <c r="I8" i="14"/>
  <c r="Z7" i="14"/>
  <c r="Y7" i="14"/>
  <c r="W7" i="14"/>
  <c r="V7" i="14"/>
  <c r="P7" i="14"/>
  <c r="O7" i="14"/>
  <c r="N7" i="14"/>
  <c r="M7" i="14"/>
  <c r="I7" i="14"/>
  <c r="Z6" i="14"/>
  <c r="Y6" i="14"/>
  <c r="W6" i="14"/>
  <c r="V6" i="14"/>
  <c r="P6" i="14"/>
  <c r="O6" i="14"/>
  <c r="N6" i="14"/>
  <c r="I6" i="14"/>
  <c r="M6" i="14" s="1"/>
  <c r="Z5" i="14"/>
  <c r="Y5" i="14"/>
  <c r="W5" i="14"/>
  <c r="V5" i="14"/>
  <c r="P5" i="14"/>
  <c r="O5" i="14"/>
  <c r="N5" i="14"/>
  <c r="M5" i="14"/>
  <c r="I5" i="14"/>
  <c r="Z4" i="14"/>
  <c r="Y4" i="14"/>
  <c r="W4" i="14"/>
  <c r="V4" i="14"/>
  <c r="P4" i="14"/>
  <c r="O4" i="14"/>
  <c r="N4" i="14"/>
  <c r="I4" i="14"/>
  <c r="M4" i="14" s="1"/>
  <c r="P3" i="14"/>
  <c r="O3" i="14"/>
  <c r="N3" i="14"/>
  <c r="M3" i="14"/>
  <c r="I3" i="14"/>
  <c r="P2" i="14"/>
  <c r="O2" i="14"/>
  <c r="N2" i="14"/>
  <c r="M2" i="14"/>
  <c r="I2" i="14"/>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P97" i="13"/>
  <c r="O97" i="13"/>
  <c r="N97" i="13"/>
  <c r="I97" i="13"/>
  <c r="M97" i="13" s="1"/>
  <c r="P96" i="13"/>
  <c r="O96" i="13"/>
  <c r="N96" i="13"/>
  <c r="I96" i="13"/>
  <c r="M96" i="13" s="1"/>
  <c r="P95" i="13"/>
  <c r="O95" i="13"/>
  <c r="N95" i="13"/>
  <c r="I95" i="13"/>
  <c r="M95" i="13" s="1"/>
  <c r="P94" i="13"/>
  <c r="O94" i="13"/>
  <c r="N94" i="13"/>
  <c r="I94" i="13"/>
  <c r="M94" i="13" s="1"/>
  <c r="P93" i="13"/>
  <c r="O93" i="13"/>
  <c r="N93" i="13"/>
  <c r="M93" i="13"/>
  <c r="I93" i="13"/>
  <c r="P92" i="13"/>
  <c r="O92" i="13"/>
  <c r="N92" i="13"/>
  <c r="M92" i="13"/>
  <c r="I92" i="13"/>
  <c r="P91" i="13"/>
  <c r="O91" i="13"/>
  <c r="N91" i="13"/>
  <c r="I91" i="13"/>
  <c r="M91" i="13" s="1"/>
  <c r="P90" i="13"/>
  <c r="O90" i="13"/>
  <c r="N90" i="13"/>
  <c r="I90" i="13"/>
  <c r="M90" i="13" s="1"/>
  <c r="P89" i="13"/>
  <c r="O89" i="13"/>
  <c r="N89" i="13"/>
  <c r="I89" i="13"/>
  <c r="M89" i="13" s="1"/>
  <c r="P88" i="13"/>
  <c r="O88" i="13"/>
  <c r="N88" i="13"/>
  <c r="I88" i="13"/>
  <c r="M88" i="13" s="1"/>
  <c r="P87" i="13"/>
  <c r="O87" i="13"/>
  <c r="N87" i="13"/>
  <c r="M87" i="13"/>
  <c r="I87" i="13"/>
  <c r="P86" i="13"/>
  <c r="O86" i="13"/>
  <c r="N86" i="13"/>
  <c r="M86" i="13"/>
  <c r="I86" i="13"/>
  <c r="P85" i="13"/>
  <c r="O85" i="13"/>
  <c r="N85" i="13"/>
  <c r="I85" i="13"/>
  <c r="M85" i="13" s="1"/>
  <c r="P84" i="13"/>
  <c r="O84" i="13"/>
  <c r="N84" i="13"/>
  <c r="M84" i="13"/>
  <c r="I84" i="13"/>
  <c r="P83" i="13"/>
  <c r="O83" i="13"/>
  <c r="N83" i="13"/>
  <c r="I83" i="13"/>
  <c r="M83" i="13" s="1"/>
  <c r="P82" i="13"/>
  <c r="O82" i="13"/>
  <c r="N82" i="13"/>
  <c r="I82" i="13"/>
  <c r="M82" i="13" s="1"/>
  <c r="P81" i="13"/>
  <c r="O81" i="13"/>
  <c r="N81" i="13"/>
  <c r="I81" i="13"/>
  <c r="M81" i="13" s="1"/>
  <c r="P80" i="13"/>
  <c r="O80" i="13"/>
  <c r="N80" i="13"/>
  <c r="M80" i="13"/>
  <c r="I80" i="13"/>
  <c r="P79" i="13"/>
  <c r="O79" i="13"/>
  <c r="N79" i="13"/>
  <c r="I79" i="13"/>
  <c r="M79" i="13" s="1"/>
  <c r="P78" i="13"/>
  <c r="O78" i="13"/>
  <c r="N78" i="13"/>
  <c r="M78" i="13"/>
  <c r="I78" i="13"/>
  <c r="P77" i="13"/>
  <c r="O77" i="13"/>
  <c r="N77" i="13"/>
  <c r="M77" i="13"/>
  <c r="I77" i="13"/>
  <c r="P76" i="13"/>
  <c r="O76" i="13"/>
  <c r="N76" i="13"/>
  <c r="M76" i="13"/>
  <c r="I76" i="13"/>
  <c r="P75" i="13"/>
  <c r="O75" i="13"/>
  <c r="N75" i="13"/>
  <c r="I75" i="13"/>
  <c r="M75" i="13" s="1"/>
  <c r="P74" i="13"/>
  <c r="O74" i="13"/>
  <c r="N74" i="13"/>
  <c r="I74" i="13"/>
  <c r="M74" i="13" s="1"/>
  <c r="P73" i="13"/>
  <c r="O73" i="13"/>
  <c r="N73" i="13"/>
  <c r="I73" i="13"/>
  <c r="M73" i="13" s="1"/>
  <c r="P72" i="13"/>
  <c r="O72" i="13"/>
  <c r="N72" i="13"/>
  <c r="M72" i="13"/>
  <c r="I72" i="13"/>
  <c r="B72" i="13"/>
  <c r="P71" i="13"/>
  <c r="O71" i="13"/>
  <c r="N71" i="13"/>
  <c r="I71" i="13"/>
  <c r="M71" i="13" s="1"/>
  <c r="P70" i="13"/>
  <c r="O70" i="13"/>
  <c r="N70" i="13"/>
  <c r="I70" i="13"/>
  <c r="M70" i="13" s="1"/>
  <c r="P69" i="13"/>
  <c r="O69" i="13"/>
  <c r="N69" i="13"/>
  <c r="I69" i="13"/>
  <c r="M69" i="13" s="1"/>
  <c r="P68" i="13"/>
  <c r="O68" i="13"/>
  <c r="N68" i="13"/>
  <c r="M68" i="13"/>
  <c r="I68" i="13"/>
  <c r="P67" i="13"/>
  <c r="O67" i="13"/>
  <c r="N67" i="13"/>
  <c r="I67" i="13"/>
  <c r="M67" i="13" s="1"/>
  <c r="P66" i="13"/>
  <c r="O66" i="13"/>
  <c r="N66" i="13"/>
  <c r="I66" i="13"/>
  <c r="M66" i="13" s="1"/>
  <c r="P65" i="13"/>
  <c r="O65" i="13"/>
  <c r="N65" i="13"/>
  <c r="M65" i="13"/>
  <c r="I65" i="13"/>
  <c r="P64" i="13"/>
  <c r="O64" i="13"/>
  <c r="N64" i="13"/>
  <c r="M64" i="13"/>
  <c r="I64" i="13"/>
  <c r="P63" i="13"/>
  <c r="O63" i="13"/>
  <c r="N63" i="13"/>
  <c r="M63" i="13"/>
  <c r="I63" i="13"/>
  <c r="P62" i="13"/>
  <c r="O62" i="13"/>
  <c r="N62" i="13"/>
  <c r="I62" i="13"/>
  <c r="M62" i="13" s="1"/>
  <c r="P61" i="13"/>
  <c r="O61" i="13"/>
  <c r="N61" i="13"/>
  <c r="I61" i="13"/>
  <c r="M61" i="13" s="1"/>
  <c r="P60" i="13"/>
  <c r="O60" i="13"/>
  <c r="N60" i="13"/>
  <c r="M60" i="13"/>
  <c r="I60" i="13"/>
  <c r="P59" i="13"/>
  <c r="O59" i="13"/>
  <c r="N59" i="13"/>
  <c r="I59" i="13"/>
  <c r="M59" i="13" s="1"/>
  <c r="P58" i="13"/>
  <c r="O58" i="13"/>
  <c r="N58" i="13"/>
  <c r="M58" i="13"/>
  <c r="I58" i="13"/>
  <c r="P57" i="13"/>
  <c r="O57" i="13"/>
  <c r="N57" i="13"/>
  <c r="I57" i="13"/>
  <c r="M57" i="13" s="1"/>
  <c r="P56" i="13"/>
  <c r="O56" i="13"/>
  <c r="N56" i="13"/>
  <c r="I56" i="13"/>
  <c r="M56" i="13" s="1"/>
  <c r="P55" i="13"/>
  <c r="O55" i="13"/>
  <c r="N55" i="13"/>
  <c r="M55" i="13"/>
  <c r="I55" i="13"/>
  <c r="P54" i="13"/>
  <c r="O54" i="13"/>
  <c r="N54" i="13"/>
  <c r="M54" i="13"/>
  <c r="I54" i="13"/>
  <c r="P53" i="13"/>
  <c r="O53" i="13"/>
  <c r="N53" i="13"/>
  <c r="M53" i="13"/>
  <c r="I53" i="13"/>
  <c r="P52" i="13"/>
  <c r="O52" i="13"/>
  <c r="N52" i="13"/>
  <c r="I52" i="13"/>
  <c r="M52" i="13" s="1"/>
  <c r="P51" i="13"/>
  <c r="O51" i="13"/>
  <c r="N51" i="13"/>
  <c r="M51" i="13"/>
  <c r="I51" i="13"/>
  <c r="P50" i="13"/>
  <c r="O50" i="13"/>
  <c r="N50" i="13"/>
  <c r="M50" i="13"/>
  <c r="I50" i="13"/>
  <c r="P49" i="13"/>
  <c r="O49" i="13"/>
  <c r="N49" i="13"/>
  <c r="M49" i="13"/>
  <c r="I49" i="13"/>
  <c r="P48" i="13"/>
  <c r="O48" i="13"/>
  <c r="N48" i="13"/>
  <c r="M48" i="13"/>
  <c r="I48" i="13"/>
  <c r="P47" i="13"/>
  <c r="O47" i="13"/>
  <c r="N47" i="13"/>
  <c r="M47" i="13"/>
  <c r="I47" i="13"/>
  <c r="P46" i="13"/>
  <c r="O46" i="13"/>
  <c r="N46" i="13"/>
  <c r="M46" i="13"/>
  <c r="I46" i="13"/>
  <c r="P45" i="13"/>
  <c r="O45" i="13"/>
  <c r="N45" i="13"/>
  <c r="M45" i="13"/>
  <c r="I45" i="13"/>
  <c r="P44" i="13"/>
  <c r="O44" i="13"/>
  <c r="N44" i="13"/>
  <c r="I44" i="13"/>
  <c r="M44" i="13" s="1"/>
  <c r="P43" i="13"/>
  <c r="O43" i="13"/>
  <c r="N43" i="13"/>
  <c r="I43" i="13"/>
  <c r="M43" i="13" s="1"/>
  <c r="P42" i="13"/>
  <c r="O42" i="13"/>
  <c r="N42" i="13"/>
  <c r="I42" i="13"/>
  <c r="M42" i="13" s="1"/>
  <c r="P41" i="13"/>
  <c r="O41" i="13"/>
  <c r="N41" i="13"/>
  <c r="M41" i="13"/>
  <c r="I41" i="13"/>
  <c r="P40" i="13"/>
  <c r="O40" i="13"/>
  <c r="N40" i="13"/>
  <c r="I40" i="13"/>
  <c r="M40" i="13" s="1"/>
  <c r="P39" i="13"/>
  <c r="O39" i="13"/>
  <c r="N39" i="13"/>
  <c r="M39" i="13"/>
  <c r="I39" i="13"/>
  <c r="P38" i="13"/>
  <c r="O38" i="13"/>
  <c r="N38" i="13"/>
  <c r="M38" i="13"/>
  <c r="I38" i="13"/>
  <c r="P37" i="13"/>
  <c r="O37" i="13"/>
  <c r="N37" i="13"/>
  <c r="I37" i="13"/>
  <c r="M37" i="13" s="1"/>
  <c r="P36" i="13"/>
  <c r="O36" i="13"/>
  <c r="N36" i="13"/>
  <c r="M36" i="13"/>
  <c r="I36" i="13"/>
  <c r="P35" i="13"/>
  <c r="O35" i="13"/>
  <c r="N35" i="13"/>
  <c r="I35" i="13"/>
  <c r="M35" i="13" s="1"/>
  <c r="P34" i="13"/>
  <c r="O34" i="13"/>
  <c r="N34" i="13"/>
  <c r="M34" i="13"/>
  <c r="I34" i="13"/>
  <c r="P33" i="13"/>
  <c r="O33" i="13"/>
  <c r="N33" i="13"/>
  <c r="I33" i="13"/>
  <c r="M33" i="13" s="1"/>
  <c r="P32" i="13"/>
  <c r="O32" i="13"/>
  <c r="N32" i="13"/>
  <c r="I32" i="13"/>
  <c r="M32" i="13" s="1"/>
  <c r="P31" i="13"/>
  <c r="O31" i="13"/>
  <c r="N31" i="13"/>
  <c r="I31" i="13"/>
  <c r="M31" i="13" s="1"/>
  <c r="P30" i="13"/>
  <c r="O30" i="13"/>
  <c r="N30" i="13"/>
  <c r="I30" i="13"/>
  <c r="M30" i="13" s="1"/>
  <c r="P29" i="13"/>
  <c r="O29" i="13"/>
  <c r="N29" i="13"/>
  <c r="I29" i="13"/>
  <c r="M29" i="13" s="1"/>
  <c r="P28" i="13"/>
  <c r="O28" i="13"/>
  <c r="N28" i="13"/>
  <c r="M28" i="13"/>
  <c r="I28" i="13"/>
  <c r="P27" i="13"/>
  <c r="O27" i="13"/>
  <c r="N27" i="13"/>
  <c r="I27" i="13"/>
  <c r="M27" i="13" s="1"/>
  <c r="Z26" i="13"/>
  <c r="Y26" i="13"/>
  <c r="W26" i="13"/>
  <c r="V26" i="13"/>
  <c r="P26" i="13"/>
  <c r="O26" i="13"/>
  <c r="N26" i="13"/>
  <c r="I26" i="13"/>
  <c r="M26" i="13" s="1"/>
  <c r="Z25" i="13"/>
  <c r="Y25" i="13"/>
  <c r="W25" i="13"/>
  <c r="V25" i="13"/>
  <c r="P25" i="13"/>
  <c r="O25" i="13"/>
  <c r="N25" i="13"/>
  <c r="M25" i="13"/>
  <c r="I25" i="13"/>
  <c r="Z24" i="13"/>
  <c r="Y24" i="13"/>
  <c r="W24" i="13"/>
  <c r="V24" i="13"/>
  <c r="P24" i="13"/>
  <c r="O24" i="13"/>
  <c r="N24" i="13"/>
  <c r="M24" i="13"/>
  <c r="I24" i="13"/>
  <c r="Z23" i="13"/>
  <c r="Y23" i="13"/>
  <c r="W23" i="13"/>
  <c r="V23" i="13"/>
  <c r="P23" i="13"/>
  <c r="O23" i="13"/>
  <c r="N23" i="13"/>
  <c r="I23" i="13"/>
  <c r="M23" i="13" s="1"/>
  <c r="Z22" i="13"/>
  <c r="Y22" i="13"/>
  <c r="W22" i="13"/>
  <c r="V22" i="13"/>
  <c r="P22" i="13"/>
  <c r="O22" i="13"/>
  <c r="N22" i="13"/>
  <c r="M22" i="13"/>
  <c r="I22" i="13"/>
  <c r="Z21" i="13"/>
  <c r="Y21" i="13"/>
  <c r="W21" i="13"/>
  <c r="V21" i="13"/>
  <c r="P21" i="13"/>
  <c r="O21" i="13"/>
  <c r="N21" i="13"/>
  <c r="M21" i="13"/>
  <c r="I21" i="13"/>
  <c r="Z20" i="13"/>
  <c r="Y20" i="13"/>
  <c r="W20" i="13"/>
  <c r="V20" i="13"/>
  <c r="P20" i="13"/>
  <c r="O20" i="13"/>
  <c r="N20" i="13"/>
  <c r="I20" i="13"/>
  <c r="M20" i="13" s="1"/>
  <c r="Z19" i="13"/>
  <c r="Y19" i="13"/>
  <c r="W19" i="13"/>
  <c r="V19" i="13"/>
  <c r="P19" i="13"/>
  <c r="O19" i="13"/>
  <c r="N19" i="13"/>
  <c r="M19" i="13"/>
  <c r="I19" i="13"/>
  <c r="Z18" i="13"/>
  <c r="Y18" i="13"/>
  <c r="W18" i="13"/>
  <c r="V18" i="13"/>
  <c r="P18" i="13"/>
  <c r="O18" i="13"/>
  <c r="N18" i="13"/>
  <c r="I18" i="13"/>
  <c r="M18" i="13" s="1"/>
  <c r="Z17" i="13"/>
  <c r="Y17" i="13"/>
  <c r="W17" i="13"/>
  <c r="V17" i="13"/>
  <c r="P17" i="13"/>
  <c r="O17" i="13"/>
  <c r="N17" i="13"/>
  <c r="M17" i="13"/>
  <c r="I17" i="13"/>
  <c r="P16" i="13"/>
  <c r="O16" i="13"/>
  <c r="N16" i="13"/>
  <c r="I16" i="13"/>
  <c r="M16" i="13" s="1"/>
  <c r="P15" i="13"/>
  <c r="O15" i="13"/>
  <c r="N15" i="13"/>
  <c r="I15" i="13"/>
  <c r="M15" i="13" s="1"/>
  <c r="P14" i="13"/>
  <c r="O14" i="13"/>
  <c r="N14" i="13"/>
  <c r="I14" i="13"/>
  <c r="M14" i="13" s="1"/>
  <c r="AD13" i="13"/>
  <c r="AC13" i="13"/>
  <c r="Z13" i="13"/>
  <c r="Y13" i="13"/>
  <c r="W13" i="13"/>
  <c r="V13" i="13"/>
  <c r="T13" i="13"/>
  <c r="S13" i="13"/>
  <c r="P13" i="13"/>
  <c r="O13" i="13"/>
  <c r="N13" i="13"/>
  <c r="I13" i="13"/>
  <c r="M13" i="13" s="1"/>
  <c r="AD12" i="13"/>
  <c r="AC12" i="13"/>
  <c r="Z12" i="13"/>
  <c r="Y12" i="13"/>
  <c r="W12" i="13"/>
  <c r="V12" i="13"/>
  <c r="T12" i="13"/>
  <c r="S12" i="13"/>
  <c r="P12" i="13"/>
  <c r="O12" i="13"/>
  <c r="N12" i="13"/>
  <c r="I12" i="13"/>
  <c r="M12" i="13" s="1"/>
  <c r="AD11" i="13"/>
  <c r="AC11" i="13"/>
  <c r="Z11" i="13"/>
  <c r="Y11" i="13"/>
  <c r="W11" i="13"/>
  <c r="V11" i="13"/>
  <c r="T11" i="13"/>
  <c r="S11" i="13"/>
  <c r="P11" i="13"/>
  <c r="O11" i="13"/>
  <c r="N11" i="13"/>
  <c r="I11" i="13"/>
  <c r="M11" i="13" s="1"/>
  <c r="AD10" i="13"/>
  <c r="AC10" i="13"/>
  <c r="Z10" i="13"/>
  <c r="Y10" i="13"/>
  <c r="W10" i="13"/>
  <c r="V10" i="13"/>
  <c r="T10" i="13"/>
  <c r="S10" i="13"/>
  <c r="P10" i="13"/>
  <c r="O10" i="13"/>
  <c r="N10" i="13"/>
  <c r="M10" i="13"/>
  <c r="I10" i="13"/>
  <c r="AD9" i="13"/>
  <c r="AC9" i="13"/>
  <c r="Z9" i="13"/>
  <c r="Y9" i="13"/>
  <c r="W9" i="13"/>
  <c r="V9" i="13"/>
  <c r="T9" i="13"/>
  <c r="S9" i="13"/>
  <c r="P9" i="13"/>
  <c r="O9" i="13"/>
  <c r="N9" i="13"/>
  <c r="M9" i="13"/>
  <c r="I9" i="13"/>
  <c r="AD8" i="13"/>
  <c r="AC8" i="13"/>
  <c r="Z8" i="13"/>
  <c r="Y8" i="13"/>
  <c r="W8" i="13"/>
  <c r="V8" i="13"/>
  <c r="T8" i="13"/>
  <c r="S8" i="13"/>
  <c r="P8" i="13"/>
  <c r="O8" i="13"/>
  <c r="N8" i="13"/>
  <c r="M8" i="13"/>
  <c r="I8" i="13"/>
  <c r="Z7" i="13"/>
  <c r="Y7" i="13"/>
  <c r="W7" i="13"/>
  <c r="V7" i="13"/>
  <c r="P7" i="13"/>
  <c r="O7" i="13"/>
  <c r="N7" i="13"/>
  <c r="M7" i="13"/>
  <c r="I7" i="13"/>
  <c r="Z6" i="13"/>
  <c r="Y6" i="13"/>
  <c r="W6" i="13"/>
  <c r="V6" i="13"/>
  <c r="P6" i="13"/>
  <c r="O6" i="13"/>
  <c r="N6" i="13"/>
  <c r="M6" i="13"/>
  <c r="I6" i="13"/>
  <c r="Z5" i="13"/>
  <c r="Y5" i="13"/>
  <c r="W5" i="13"/>
  <c r="V5" i="13"/>
  <c r="P5" i="13"/>
  <c r="O5" i="13"/>
  <c r="N5" i="13"/>
  <c r="I5" i="13"/>
  <c r="M5" i="13" s="1"/>
  <c r="Z4" i="13"/>
  <c r="Y4" i="13"/>
  <c r="W4" i="13"/>
  <c r="V4" i="13"/>
  <c r="P4" i="13"/>
  <c r="O4" i="13"/>
  <c r="N4" i="13"/>
  <c r="I4" i="13"/>
  <c r="M4" i="13" s="1"/>
  <c r="P3" i="13"/>
  <c r="O3" i="13"/>
  <c r="N3" i="13"/>
  <c r="M3" i="13"/>
  <c r="I3" i="13"/>
  <c r="P2" i="13"/>
  <c r="O2" i="13"/>
  <c r="N2" i="13"/>
  <c r="M2" i="13"/>
  <c r="I2" i="13"/>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P97" i="12"/>
  <c r="O97" i="12"/>
  <c r="N97" i="12"/>
  <c r="I97" i="12"/>
  <c r="M97" i="12" s="1"/>
  <c r="P96" i="12"/>
  <c r="O96" i="12"/>
  <c r="N96" i="12"/>
  <c r="M96" i="12"/>
  <c r="I96" i="12"/>
  <c r="P95" i="12"/>
  <c r="O95" i="12"/>
  <c r="N95" i="12"/>
  <c r="I95" i="12"/>
  <c r="M95" i="12" s="1"/>
  <c r="P94" i="12"/>
  <c r="O94" i="12"/>
  <c r="N94" i="12"/>
  <c r="I94" i="12"/>
  <c r="M94" i="12" s="1"/>
  <c r="P93" i="12"/>
  <c r="O93" i="12"/>
  <c r="N93" i="12"/>
  <c r="M93" i="12"/>
  <c r="I93" i="12"/>
  <c r="P92" i="12"/>
  <c r="O92" i="12"/>
  <c r="N92" i="12"/>
  <c r="I92" i="12"/>
  <c r="M92" i="12" s="1"/>
  <c r="P91" i="12"/>
  <c r="O91" i="12"/>
  <c r="N91" i="12"/>
  <c r="I91" i="12"/>
  <c r="M91" i="12" s="1"/>
  <c r="P90" i="12"/>
  <c r="O90" i="12"/>
  <c r="N90" i="12"/>
  <c r="M90" i="12"/>
  <c r="I90" i="12"/>
  <c r="P89" i="12"/>
  <c r="O89" i="12"/>
  <c r="N89" i="12"/>
  <c r="I89" i="12"/>
  <c r="M89" i="12" s="1"/>
  <c r="P88" i="12"/>
  <c r="O88" i="12"/>
  <c r="N88" i="12"/>
  <c r="M88" i="12"/>
  <c r="I88" i="12"/>
  <c r="P87" i="12"/>
  <c r="O87" i="12"/>
  <c r="N87" i="12"/>
  <c r="M87" i="12"/>
  <c r="I87" i="12"/>
  <c r="P86" i="12"/>
  <c r="O86" i="12"/>
  <c r="N86" i="12"/>
  <c r="I86" i="12"/>
  <c r="M86" i="12" s="1"/>
  <c r="P85" i="12"/>
  <c r="O85" i="12"/>
  <c r="N85" i="12"/>
  <c r="I85" i="12"/>
  <c r="M85" i="12" s="1"/>
  <c r="B85" i="12"/>
  <c r="AD84" i="12"/>
  <c r="P84" i="12"/>
  <c r="O84" i="12"/>
  <c r="N84" i="12"/>
  <c r="M84" i="12"/>
  <c r="I84" i="12"/>
  <c r="P83" i="12"/>
  <c r="O83" i="12"/>
  <c r="N83" i="12"/>
  <c r="I83" i="12"/>
  <c r="M83" i="12" s="1"/>
  <c r="P82" i="12"/>
  <c r="O82" i="12"/>
  <c r="N82" i="12"/>
  <c r="I82" i="12"/>
  <c r="M82" i="12" s="1"/>
  <c r="P81" i="12"/>
  <c r="O81" i="12"/>
  <c r="N81" i="12"/>
  <c r="M81" i="12"/>
  <c r="I81" i="12"/>
  <c r="P80" i="12"/>
  <c r="O80" i="12"/>
  <c r="N80" i="12"/>
  <c r="I80" i="12"/>
  <c r="M80" i="12" s="1"/>
  <c r="P79" i="12"/>
  <c r="O79" i="12"/>
  <c r="N79" i="12"/>
  <c r="I79" i="12"/>
  <c r="M79" i="12" s="1"/>
  <c r="P78" i="12"/>
  <c r="O78" i="12"/>
  <c r="N78" i="12"/>
  <c r="M78" i="12"/>
  <c r="I78" i="12"/>
  <c r="P77" i="12"/>
  <c r="O77" i="12"/>
  <c r="N77" i="12"/>
  <c r="I77" i="12"/>
  <c r="M77" i="12" s="1"/>
  <c r="P76" i="12"/>
  <c r="O76" i="12"/>
  <c r="N76" i="12"/>
  <c r="M76" i="12"/>
  <c r="I76" i="12"/>
  <c r="P75" i="12"/>
  <c r="O75" i="12"/>
  <c r="N75" i="12"/>
  <c r="I75" i="12"/>
  <c r="M75" i="12" s="1"/>
  <c r="P74" i="12"/>
  <c r="O74" i="12"/>
  <c r="N74" i="12"/>
  <c r="M74" i="12"/>
  <c r="I74" i="12"/>
  <c r="P73" i="12"/>
  <c r="O73" i="12"/>
  <c r="N73" i="12"/>
  <c r="M73" i="12"/>
  <c r="I73" i="12"/>
  <c r="P72" i="12"/>
  <c r="O72" i="12"/>
  <c r="N72" i="12"/>
  <c r="I72" i="12"/>
  <c r="M72" i="12" s="1"/>
  <c r="P71" i="12"/>
  <c r="O71" i="12"/>
  <c r="N71" i="12"/>
  <c r="I71" i="12"/>
  <c r="M71" i="12" s="1"/>
  <c r="P70" i="12"/>
  <c r="O70" i="12"/>
  <c r="N70" i="12"/>
  <c r="M70" i="12"/>
  <c r="I70" i="12"/>
  <c r="P69" i="12"/>
  <c r="O69" i="12"/>
  <c r="N69" i="12"/>
  <c r="I69" i="12"/>
  <c r="M69" i="12" s="1"/>
  <c r="P68" i="12"/>
  <c r="O68" i="12"/>
  <c r="N68" i="12"/>
  <c r="M68" i="12"/>
  <c r="I68" i="12"/>
  <c r="P67" i="12"/>
  <c r="O67" i="12"/>
  <c r="N67" i="12"/>
  <c r="I67" i="12"/>
  <c r="M67" i="12" s="1"/>
  <c r="P66" i="12"/>
  <c r="O66" i="12"/>
  <c r="N66" i="12"/>
  <c r="M66" i="12"/>
  <c r="I66" i="12"/>
  <c r="P65" i="12"/>
  <c r="O65" i="12"/>
  <c r="N65" i="12"/>
  <c r="M65" i="12"/>
  <c r="I65" i="12"/>
  <c r="P64" i="12"/>
  <c r="O64" i="12"/>
  <c r="N64" i="12"/>
  <c r="I64" i="12"/>
  <c r="M64" i="12" s="1"/>
  <c r="P63" i="12"/>
  <c r="O63" i="12"/>
  <c r="N63" i="12"/>
  <c r="I63" i="12"/>
  <c r="M63" i="12" s="1"/>
  <c r="P62" i="12"/>
  <c r="O62" i="12"/>
  <c r="N62" i="12"/>
  <c r="I62" i="12"/>
  <c r="M62" i="12" s="1"/>
  <c r="P61" i="12"/>
  <c r="O61" i="12"/>
  <c r="N61" i="12"/>
  <c r="M61" i="12"/>
  <c r="I61" i="12"/>
  <c r="P60" i="12"/>
  <c r="O60" i="12"/>
  <c r="N60" i="12"/>
  <c r="I60" i="12"/>
  <c r="M60" i="12" s="1"/>
  <c r="P59" i="12"/>
  <c r="O59" i="12"/>
  <c r="N59" i="12"/>
  <c r="M59" i="12"/>
  <c r="I59" i="12"/>
  <c r="P58" i="12"/>
  <c r="O58" i="12"/>
  <c r="N58" i="12"/>
  <c r="M58" i="12"/>
  <c r="I58" i="12"/>
  <c r="P57" i="12"/>
  <c r="O57" i="12"/>
  <c r="N57" i="12"/>
  <c r="M57" i="12"/>
  <c r="I57" i="12"/>
  <c r="P56" i="12"/>
  <c r="O56" i="12"/>
  <c r="N56" i="12"/>
  <c r="I56" i="12"/>
  <c r="M56" i="12" s="1"/>
  <c r="P55" i="12"/>
  <c r="O55" i="12"/>
  <c r="N55" i="12"/>
  <c r="M55" i="12"/>
  <c r="I55" i="12"/>
  <c r="P54" i="12"/>
  <c r="O54" i="12"/>
  <c r="N54" i="12"/>
  <c r="I54" i="12"/>
  <c r="M54" i="12" s="1"/>
  <c r="P53" i="12"/>
  <c r="O53" i="12"/>
  <c r="N53" i="12"/>
  <c r="M53" i="12"/>
  <c r="I53" i="12"/>
  <c r="P52" i="12"/>
  <c r="O52" i="12"/>
  <c r="N52" i="12"/>
  <c r="I52" i="12"/>
  <c r="M52" i="12" s="1"/>
  <c r="P51" i="12"/>
  <c r="O51" i="12"/>
  <c r="N51" i="12"/>
  <c r="I51" i="12"/>
  <c r="M51" i="12" s="1"/>
  <c r="P50" i="12"/>
  <c r="O50" i="12"/>
  <c r="N50" i="12"/>
  <c r="M50" i="12"/>
  <c r="I50" i="12"/>
  <c r="P49" i="12"/>
  <c r="O49" i="12"/>
  <c r="N49" i="12"/>
  <c r="I49" i="12"/>
  <c r="M49" i="12" s="1"/>
  <c r="P48" i="12"/>
  <c r="O48" i="12"/>
  <c r="N48" i="12"/>
  <c r="I48" i="12"/>
  <c r="M48" i="12" s="1"/>
  <c r="P47" i="12"/>
  <c r="O47" i="12"/>
  <c r="N47" i="12"/>
  <c r="I47" i="12"/>
  <c r="M47" i="12" s="1"/>
  <c r="P46" i="12"/>
  <c r="O46" i="12"/>
  <c r="N46" i="12"/>
  <c r="I46" i="12"/>
  <c r="M46" i="12" s="1"/>
  <c r="P45" i="12"/>
  <c r="O45" i="12"/>
  <c r="N45" i="12"/>
  <c r="M45" i="12"/>
  <c r="I45" i="12"/>
  <c r="P44" i="12"/>
  <c r="O44" i="12"/>
  <c r="N44" i="12"/>
  <c r="I44" i="12"/>
  <c r="M44" i="12" s="1"/>
  <c r="P43" i="12"/>
  <c r="O43" i="12"/>
  <c r="N43" i="12"/>
  <c r="I43" i="12"/>
  <c r="M43" i="12" s="1"/>
  <c r="P42" i="12"/>
  <c r="O42" i="12"/>
  <c r="N42" i="12"/>
  <c r="M42" i="12"/>
  <c r="I42" i="12"/>
  <c r="P41" i="12"/>
  <c r="O41" i="12"/>
  <c r="N41" i="12"/>
  <c r="I41" i="12"/>
  <c r="M41" i="12" s="1"/>
  <c r="P40" i="12"/>
  <c r="O40" i="12"/>
  <c r="N40" i="12"/>
  <c r="I40" i="12"/>
  <c r="M40" i="12" s="1"/>
  <c r="P39" i="12"/>
  <c r="O39" i="12"/>
  <c r="N39" i="12"/>
  <c r="I39" i="12"/>
  <c r="M39" i="12" s="1"/>
  <c r="P38" i="12"/>
  <c r="O38" i="12"/>
  <c r="N38" i="12"/>
  <c r="I38" i="12"/>
  <c r="M38" i="12" s="1"/>
  <c r="P37" i="12"/>
  <c r="O37" i="12"/>
  <c r="N37" i="12"/>
  <c r="M37" i="12"/>
  <c r="I37" i="12"/>
  <c r="P36" i="12"/>
  <c r="O36" i="12"/>
  <c r="N36" i="12"/>
  <c r="M36" i="12"/>
  <c r="I36" i="12"/>
  <c r="P35" i="12"/>
  <c r="O35" i="12"/>
  <c r="N35" i="12"/>
  <c r="I35" i="12"/>
  <c r="M35" i="12" s="1"/>
  <c r="P34" i="12"/>
  <c r="O34" i="12"/>
  <c r="N34" i="12"/>
  <c r="M34" i="12"/>
  <c r="I34" i="12"/>
  <c r="P33" i="12"/>
  <c r="O33" i="12"/>
  <c r="N33" i="12"/>
  <c r="I33" i="12"/>
  <c r="M33" i="12" s="1"/>
  <c r="P32" i="12"/>
  <c r="O32" i="12"/>
  <c r="N32" i="12"/>
  <c r="I32" i="12"/>
  <c r="M32" i="12" s="1"/>
  <c r="P31" i="12"/>
  <c r="O31" i="12"/>
  <c r="N31" i="12"/>
  <c r="M31" i="12"/>
  <c r="I31" i="12"/>
  <c r="P30" i="12"/>
  <c r="O30" i="12"/>
  <c r="N30" i="12"/>
  <c r="I30" i="12"/>
  <c r="M30" i="12" s="1"/>
  <c r="P29" i="12"/>
  <c r="O29" i="12"/>
  <c r="N29" i="12"/>
  <c r="I29" i="12"/>
  <c r="M29" i="12" s="1"/>
  <c r="P28" i="12"/>
  <c r="O28" i="12"/>
  <c r="N28" i="12"/>
  <c r="I28" i="12"/>
  <c r="M28" i="12" s="1"/>
  <c r="P27" i="12"/>
  <c r="O27" i="12"/>
  <c r="N27" i="12"/>
  <c r="I27" i="12"/>
  <c r="M27" i="12" s="1"/>
  <c r="Z26" i="12"/>
  <c r="Y26" i="12"/>
  <c r="W26" i="12"/>
  <c r="V26" i="12"/>
  <c r="P26" i="12"/>
  <c r="O26" i="12"/>
  <c r="N26" i="12"/>
  <c r="I26" i="12"/>
  <c r="M26" i="12" s="1"/>
  <c r="Z25" i="12"/>
  <c r="Y25" i="12"/>
  <c r="W25" i="12"/>
  <c r="V25" i="12"/>
  <c r="P25" i="12"/>
  <c r="O25" i="12"/>
  <c r="N25" i="12"/>
  <c r="I25" i="12"/>
  <c r="M25" i="12" s="1"/>
  <c r="Z24" i="12"/>
  <c r="Y24" i="12"/>
  <c r="W24" i="12"/>
  <c r="V24" i="12"/>
  <c r="P24" i="12"/>
  <c r="O24" i="12"/>
  <c r="N24" i="12"/>
  <c r="I24" i="12"/>
  <c r="M24" i="12" s="1"/>
  <c r="Z23" i="12"/>
  <c r="Y23" i="12"/>
  <c r="W23" i="12"/>
  <c r="V23" i="12"/>
  <c r="P23" i="12"/>
  <c r="O23" i="12"/>
  <c r="N23" i="12"/>
  <c r="M23" i="12"/>
  <c r="I23" i="12"/>
  <c r="Z22" i="12"/>
  <c r="Y22" i="12"/>
  <c r="W22" i="12"/>
  <c r="V22" i="12"/>
  <c r="P22" i="12"/>
  <c r="O22" i="12"/>
  <c r="N22" i="12"/>
  <c r="M22" i="12"/>
  <c r="I22" i="12"/>
  <c r="Z21" i="12"/>
  <c r="Y21" i="12"/>
  <c r="W21" i="12"/>
  <c r="V21" i="12"/>
  <c r="P21" i="12"/>
  <c r="O21" i="12"/>
  <c r="N21" i="12"/>
  <c r="M21" i="12"/>
  <c r="I21" i="12"/>
  <c r="Z20" i="12"/>
  <c r="Y20" i="12"/>
  <c r="W20" i="12"/>
  <c r="V20" i="12"/>
  <c r="P20" i="12"/>
  <c r="O20" i="12"/>
  <c r="N20" i="12"/>
  <c r="I20" i="12"/>
  <c r="M20" i="12" s="1"/>
  <c r="Z19" i="12"/>
  <c r="Y19" i="12"/>
  <c r="W19" i="12"/>
  <c r="V19" i="12"/>
  <c r="P19" i="12"/>
  <c r="O19" i="12"/>
  <c r="N19" i="12"/>
  <c r="M19" i="12"/>
  <c r="I19" i="12"/>
  <c r="Z18" i="12"/>
  <c r="Y18" i="12"/>
  <c r="W18" i="12"/>
  <c r="V18" i="12"/>
  <c r="P18" i="12"/>
  <c r="O18" i="12"/>
  <c r="N18" i="12"/>
  <c r="I18" i="12"/>
  <c r="M18" i="12" s="1"/>
  <c r="Z17" i="12"/>
  <c r="Y17" i="12"/>
  <c r="W17" i="12"/>
  <c r="V17" i="12"/>
  <c r="P17" i="12"/>
  <c r="O17" i="12"/>
  <c r="N17" i="12"/>
  <c r="I17" i="12"/>
  <c r="M17" i="12" s="1"/>
  <c r="P16" i="12"/>
  <c r="O16" i="12"/>
  <c r="N16" i="12"/>
  <c r="I16" i="12"/>
  <c r="M16" i="12" s="1"/>
  <c r="P15" i="12"/>
  <c r="O15" i="12"/>
  <c r="N15" i="12"/>
  <c r="M15" i="12"/>
  <c r="I15" i="12"/>
  <c r="P14" i="12"/>
  <c r="O14" i="12"/>
  <c r="N14" i="12"/>
  <c r="M14" i="12"/>
  <c r="I14" i="12"/>
  <c r="AD13" i="12"/>
  <c r="AC13" i="12"/>
  <c r="Z13" i="12"/>
  <c r="Y13" i="12"/>
  <c r="W13" i="12"/>
  <c r="V13" i="12"/>
  <c r="T13" i="12"/>
  <c r="S13" i="12"/>
  <c r="P13" i="12"/>
  <c r="O13" i="12"/>
  <c r="N13" i="12"/>
  <c r="I13" i="12"/>
  <c r="M13" i="12" s="1"/>
  <c r="AD12" i="12"/>
  <c r="AC12" i="12"/>
  <c r="Z12" i="12"/>
  <c r="Y12" i="12"/>
  <c r="W12" i="12"/>
  <c r="V12" i="12"/>
  <c r="T12" i="12"/>
  <c r="S12" i="12"/>
  <c r="P12" i="12"/>
  <c r="O12" i="12"/>
  <c r="N12" i="12"/>
  <c r="M12" i="12"/>
  <c r="I12" i="12"/>
  <c r="AD11" i="12"/>
  <c r="AC11" i="12"/>
  <c r="Z11" i="12"/>
  <c r="Y11" i="12"/>
  <c r="W11" i="12"/>
  <c r="V11" i="12"/>
  <c r="T11" i="12"/>
  <c r="S11" i="12"/>
  <c r="P11" i="12"/>
  <c r="O11" i="12"/>
  <c r="N11" i="12"/>
  <c r="I11" i="12"/>
  <c r="M11" i="12" s="1"/>
  <c r="AD10" i="12"/>
  <c r="AC10" i="12"/>
  <c r="Z10" i="12"/>
  <c r="Y10" i="12"/>
  <c r="W10" i="12"/>
  <c r="V10" i="12"/>
  <c r="T10" i="12"/>
  <c r="S10" i="12"/>
  <c r="P10" i="12"/>
  <c r="O10" i="12"/>
  <c r="N10" i="12"/>
  <c r="I10" i="12"/>
  <c r="M10" i="12" s="1"/>
  <c r="AD9" i="12"/>
  <c r="AC9" i="12"/>
  <c r="Z9" i="12"/>
  <c r="Y9" i="12"/>
  <c r="W9" i="12"/>
  <c r="V9" i="12"/>
  <c r="T9" i="12"/>
  <c r="S9" i="12"/>
  <c r="P9" i="12"/>
  <c r="O9" i="12"/>
  <c r="N9" i="12"/>
  <c r="I9" i="12"/>
  <c r="M9" i="12" s="1"/>
  <c r="AD8" i="12"/>
  <c r="AC8" i="12"/>
  <c r="Z8" i="12"/>
  <c r="Y8" i="12"/>
  <c r="W8" i="12"/>
  <c r="V8" i="12"/>
  <c r="T8" i="12"/>
  <c r="S8" i="12"/>
  <c r="P8" i="12"/>
  <c r="O8" i="12"/>
  <c r="N8" i="12"/>
  <c r="I8" i="12"/>
  <c r="M8" i="12" s="1"/>
  <c r="Z7" i="12"/>
  <c r="Y7" i="12"/>
  <c r="W7" i="12"/>
  <c r="V7" i="12"/>
  <c r="P7" i="12"/>
  <c r="O7" i="12"/>
  <c r="N7" i="12"/>
  <c r="M7" i="12"/>
  <c r="I7" i="12"/>
  <c r="Z6" i="12"/>
  <c r="Y6" i="12"/>
  <c r="W6" i="12"/>
  <c r="V6" i="12"/>
  <c r="P6" i="12"/>
  <c r="O6" i="12"/>
  <c r="N6" i="12"/>
  <c r="I6" i="12"/>
  <c r="M6" i="12" s="1"/>
  <c r="Z5" i="12"/>
  <c r="Y5" i="12"/>
  <c r="W5" i="12"/>
  <c r="V5" i="12"/>
  <c r="P5" i="12"/>
  <c r="O5" i="12"/>
  <c r="N5" i="12"/>
  <c r="I5" i="12"/>
  <c r="M5" i="12" s="1"/>
  <c r="Z4" i="12"/>
  <c r="Y4" i="12"/>
  <c r="W4" i="12"/>
  <c r="V4" i="12"/>
  <c r="P4" i="12"/>
  <c r="O4" i="12"/>
  <c r="N4" i="12"/>
  <c r="I4" i="12"/>
  <c r="M4" i="12" s="1"/>
  <c r="AC82" i="12" s="1"/>
  <c r="P3" i="12"/>
  <c r="O3" i="12"/>
  <c r="N3" i="12"/>
  <c r="M3" i="12"/>
  <c r="I3" i="12"/>
  <c r="P2" i="12"/>
  <c r="O2" i="12"/>
  <c r="N2" i="12"/>
  <c r="I2" i="12"/>
  <c r="M2" i="12" s="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P97" i="11"/>
  <c r="O97" i="11"/>
  <c r="N97" i="11"/>
  <c r="M97" i="11"/>
  <c r="I97" i="11"/>
  <c r="P96" i="11"/>
  <c r="O96" i="11"/>
  <c r="N96" i="11"/>
  <c r="M96" i="11"/>
  <c r="I96" i="11"/>
  <c r="P95" i="11"/>
  <c r="O95" i="11"/>
  <c r="N95" i="11"/>
  <c r="M95" i="11"/>
  <c r="I95" i="11"/>
  <c r="P94" i="11"/>
  <c r="O94" i="11"/>
  <c r="N94" i="11"/>
  <c r="I94" i="11"/>
  <c r="M94" i="11" s="1"/>
  <c r="P93" i="11"/>
  <c r="O93" i="11"/>
  <c r="N93" i="11"/>
  <c r="M93" i="11"/>
  <c r="I93" i="11"/>
  <c r="P92" i="11"/>
  <c r="O92" i="11"/>
  <c r="N92" i="11"/>
  <c r="I92" i="11"/>
  <c r="M92" i="11" s="1"/>
  <c r="P91" i="11"/>
  <c r="O91" i="11"/>
  <c r="N91" i="11"/>
  <c r="I91" i="11"/>
  <c r="M91" i="11" s="1"/>
  <c r="P90" i="11"/>
  <c r="O90" i="11"/>
  <c r="N90" i="11"/>
  <c r="M90" i="11"/>
  <c r="I90" i="11"/>
  <c r="P89" i="11"/>
  <c r="O89" i="11"/>
  <c r="N89" i="11"/>
  <c r="I89" i="11"/>
  <c r="M89" i="11" s="1"/>
  <c r="P88" i="11"/>
  <c r="O88" i="11"/>
  <c r="N88" i="11"/>
  <c r="I88" i="11"/>
  <c r="M88" i="11" s="1"/>
  <c r="P87" i="11"/>
  <c r="O87" i="11"/>
  <c r="N87" i="11"/>
  <c r="M87" i="11"/>
  <c r="I87" i="11"/>
  <c r="P86" i="11"/>
  <c r="O86" i="11"/>
  <c r="N86" i="11"/>
  <c r="I86" i="11"/>
  <c r="M86" i="11" s="1"/>
  <c r="P85" i="11"/>
  <c r="O85" i="11"/>
  <c r="N85" i="11"/>
  <c r="I85" i="11"/>
  <c r="M85" i="11" s="1"/>
  <c r="P84" i="11"/>
  <c r="O84" i="11"/>
  <c r="N84" i="11"/>
  <c r="I84" i="11"/>
  <c r="M84" i="11" s="1"/>
  <c r="B84" i="11"/>
  <c r="P83" i="11"/>
  <c r="O83" i="11"/>
  <c r="N83" i="11"/>
  <c r="I83" i="11"/>
  <c r="M83" i="11" s="1"/>
  <c r="P82" i="11"/>
  <c r="O82" i="11"/>
  <c r="N82" i="11"/>
  <c r="I82" i="11"/>
  <c r="M82" i="11" s="1"/>
  <c r="P81" i="11"/>
  <c r="O81" i="11"/>
  <c r="N81" i="11"/>
  <c r="M81" i="11"/>
  <c r="I81" i="11"/>
  <c r="P80" i="11"/>
  <c r="O80" i="11"/>
  <c r="N80" i="11"/>
  <c r="I80" i="11"/>
  <c r="M80" i="11" s="1"/>
  <c r="B80" i="11"/>
  <c r="P79" i="11"/>
  <c r="O79" i="11"/>
  <c r="N79" i="11"/>
  <c r="M79" i="11"/>
  <c r="I79" i="11"/>
  <c r="P78" i="11"/>
  <c r="O78" i="11"/>
  <c r="N78" i="11"/>
  <c r="I78" i="11"/>
  <c r="M78" i="11" s="1"/>
  <c r="P77" i="11"/>
  <c r="O77" i="11"/>
  <c r="N77" i="11"/>
  <c r="M77" i="11"/>
  <c r="I77" i="11"/>
  <c r="P76" i="11"/>
  <c r="O76" i="11"/>
  <c r="N76" i="11"/>
  <c r="M76" i="11"/>
  <c r="I76" i="11"/>
  <c r="P75" i="11"/>
  <c r="O75" i="11"/>
  <c r="N75" i="11"/>
  <c r="M75" i="11"/>
  <c r="I75" i="11"/>
  <c r="P74" i="11"/>
  <c r="O74" i="11"/>
  <c r="N74" i="11"/>
  <c r="I74" i="11"/>
  <c r="M74" i="11" s="1"/>
  <c r="P73" i="11"/>
  <c r="O73" i="11"/>
  <c r="N73" i="11"/>
  <c r="I73" i="11"/>
  <c r="M73" i="11" s="1"/>
  <c r="P72" i="11"/>
  <c r="O72" i="11"/>
  <c r="N72" i="11"/>
  <c r="I72" i="11"/>
  <c r="M72" i="11" s="1"/>
  <c r="P71" i="11"/>
  <c r="O71" i="11"/>
  <c r="N71" i="11"/>
  <c r="M71" i="11"/>
  <c r="I71" i="11"/>
  <c r="P70" i="11"/>
  <c r="O70" i="11"/>
  <c r="N70" i="11"/>
  <c r="I70" i="11"/>
  <c r="M70" i="11" s="1"/>
  <c r="P69" i="11"/>
  <c r="O69" i="11"/>
  <c r="N69" i="11"/>
  <c r="M69" i="11"/>
  <c r="I69" i="11"/>
  <c r="P68" i="11"/>
  <c r="O68" i="11"/>
  <c r="N68" i="11"/>
  <c r="I68" i="11"/>
  <c r="M68" i="11" s="1"/>
  <c r="P67" i="11"/>
  <c r="O67" i="11"/>
  <c r="N67" i="11"/>
  <c r="M67" i="11"/>
  <c r="I67" i="11"/>
  <c r="P66" i="11"/>
  <c r="O66" i="11"/>
  <c r="N66" i="11"/>
  <c r="I66" i="11"/>
  <c r="M66" i="11" s="1"/>
  <c r="P65" i="11"/>
  <c r="O65" i="11"/>
  <c r="N65" i="11"/>
  <c r="M65" i="11"/>
  <c r="I65" i="11"/>
  <c r="P64" i="11"/>
  <c r="O64" i="11"/>
  <c r="N64" i="11"/>
  <c r="I64" i="11"/>
  <c r="M64" i="11" s="1"/>
  <c r="P63" i="11"/>
  <c r="O63" i="11"/>
  <c r="N63" i="11"/>
  <c r="I63" i="11"/>
  <c r="M63" i="11" s="1"/>
  <c r="P62" i="11"/>
  <c r="O62" i="11"/>
  <c r="N62" i="11"/>
  <c r="M62" i="11"/>
  <c r="I62" i="11"/>
  <c r="P61" i="11"/>
  <c r="O61" i="11"/>
  <c r="N61" i="11"/>
  <c r="M61" i="11"/>
  <c r="I61" i="11"/>
  <c r="P60" i="11"/>
  <c r="O60" i="11"/>
  <c r="N60" i="11"/>
  <c r="M60" i="11"/>
  <c r="I60" i="11"/>
  <c r="P59" i="11"/>
  <c r="O59" i="11"/>
  <c r="N59" i="11"/>
  <c r="M59" i="11"/>
  <c r="I59" i="11"/>
  <c r="P58" i="11"/>
  <c r="O58" i="11"/>
  <c r="N58" i="11"/>
  <c r="I58" i="11"/>
  <c r="M58" i="11" s="1"/>
  <c r="P57" i="11"/>
  <c r="O57" i="11"/>
  <c r="N57" i="11"/>
  <c r="M57" i="11"/>
  <c r="I57" i="11"/>
  <c r="P56" i="11"/>
  <c r="O56" i="11"/>
  <c r="N56" i="11"/>
  <c r="M56" i="11"/>
  <c r="I56" i="11"/>
  <c r="P55" i="11"/>
  <c r="O55" i="11"/>
  <c r="N55" i="11"/>
  <c r="M55" i="11"/>
  <c r="I55" i="11"/>
  <c r="P54" i="11"/>
  <c r="O54" i="11"/>
  <c r="N54" i="11"/>
  <c r="I54" i="11"/>
  <c r="M54" i="11" s="1"/>
  <c r="P53" i="11"/>
  <c r="O53" i="11"/>
  <c r="N53" i="11"/>
  <c r="I53" i="11"/>
  <c r="M53" i="11" s="1"/>
  <c r="P52" i="11"/>
  <c r="O52" i="11"/>
  <c r="N52" i="11"/>
  <c r="M52" i="11"/>
  <c r="I52" i="11"/>
  <c r="P51" i="11"/>
  <c r="O51" i="11"/>
  <c r="N51" i="11"/>
  <c r="I51" i="11"/>
  <c r="M51" i="11" s="1"/>
  <c r="P50" i="11"/>
  <c r="O50" i="11"/>
  <c r="N50" i="11"/>
  <c r="M50" i="11"/>
  <c r="I50" i="11"/>
  <c r="P49" i="11"/>
  <c r="O49" i="11"/>
  <c r="N49" i="11"/>
  <c r="I49" i="11"/>
  <c r="M49" i="11" s="1"/>
  <c r="P48" i="11"/>
  <c r="O48" i="11"/>
  <c r="N48" i="11"/>
  <c r="I48" i="11"/>
  <c r="M48" i="11" s="1"/>
  <c r="P47" i="11"/>
  <c r="O47" i="11"/>
  <c r="N47" i="11"/>
  <c r="M47" i="11"/>
  <c r="I47" i="11"/>
  <c r="P46" i="11"/>
  <c r="O46" i="11"/>
  <c r="N46" i="11"/>
  <c r="I46" i="11"/>
  <c r="M46" i="11" s="1"/>
  <c r="P45" i="11"/>
  <c r="O45" i="11"/>
  <c r="N45" i="11"/>
  <c r="I45" i="11"/>
  <c r="M45" i="11" s="1"/>
  <c r="P44" i="11"/>
  <c r="O44" i="11"/>
  <c r="N44" i="11"/>
  <c r="M44" i="11"/>
  <c r="I44" i="11"/>
  <c r="P43" i="11"/>
  <c r="O43" i="11"/>
  <c r="N43" i="11"/>
  <c r="I43" i="11"/>
  <c r="M43" i="11" s="1"/>
  <c r="P42" i="11"/>
  <c r="O42" i="11"/>
  <c r="N42" i="11"/>
  <c r="M42" i="11"/>
  <c r="I42" i="11"/>
  <c r="P41" i="11"/>
  <c r="O41" i="11"/>
  <c r="N41" i="11"/>
  <c r="M41" i="11"/>
  <c r="I41" i="11"/>
  <c r="P40" i="11"/>
  <c r="O40" i="11"/>
  <c r="N40" i="11"/>
  <c r="I40" i="11"/>
  <c r="M40" i="11" s="1"/>
  <c r="P39" i="11"/>
  <c r="O39" i="11"/>
  <c r="N39" i="11"/>
  <c r="I39" i="11"/>
  <c r="M39" i="11" s="1"/>
  <c r="P38" i="11"/>
  <c r="O38" i="11"/>
  <c r="N38" i="11"/>
  <c r="M38" i="11"/>
  <c r="I38" i="11"/>
  <c r="P37" i="11"/>
  <c r="O37" i="11"/>
  <c r="N37" i="11"/>
  <c r="M37" i="11"/>
  <c r="I37" i="11"/>
  <c r="P36" i="11"/>
  <c r="O36" i="11"/>
  <c r="N36" i="11"/>
  <c r="I36" i="11"/>
  <c r="M36" i="11" s="1"/>
  <c r="P35" i="11"/>
  <c r="O35" i="11"/>
  <c r="N35" i="11"/>
  <c r="I35" i="11"/>
  <c r="M35" i="11" s="1"/>
  <c r="P34" i="11"/>
  <c r="O34" i="11"/>
  <c r="N34" i="11"/>
  <c r="I34" i="11"/>
  <c r="M34" i="11" s="1"/>
  <c r="P33" i="11"/>
  <c r="O33" i="11"/>
  <c r="N33" i="11"/>
  <c r="I33" i="11"/>
  <c r="M33" i="11" s="1"/>
  <c r="P32" i="11"/>
  <c r="O32" i="11"/>
  <c r="N32" i="11"/>
  <c r="M32" i="11"/>
  <c r="I32" i="11"/>
  <c r="P31" i="11"/>
  <c r="O31" i="11"/>
  <c r="N31" i="11"/>
  <c r="I31" i="11"/>
  <c r="M31" i="11" s="1"/>
  <c r="P30" i="11"/>
  <c r="O30" i="11"/>
  <c r="N30" i="11"/>
  <c r="M30" i="11"/>
  <c r="I30" i="11"/>
  <c r="P29" i="11"/>
  <c r="O29" i="11"/>
  <c r="N29" i="11"/>
  <c r="I29" i="11"/>
  <c r="M29" i="11" s="1"/>
  <c r="P28" i="11"/>
  <c r="O28" i="11"/>
  <c r="N28" i="11"/>
  <c r="M28" i="11"/>
  <c r="I28" i="11"/>
  <c r="P27" i="11"/>
  <c r="O27" i="11"/>
  <c r="N27" i="11"/>
  <c r="I27" i="11"/>
  <c r="M27" i="11" s="1"/>
  <c r="Z26" i="11"/>
  <c r="Y26" i="11"/>
  <c r="W26" i="11"/>
  <c r="V26" i="11"/>
  <c r="P26" i="11"/>
  <c r="O26" i="11"/>
  <c r="N26" i="11"/>
  <c r="I26" i="11"/>
  <c r="M26" i="11" s="1"/>
  <c r="Z25" i="11"/>
  <c r="Y25" i="11"/>
  <c r="W25" i="11"/>
  <c r="V25" i="11"/>
  <c r="P25" i="11"/>
  <c r="O25" i="11"/>
  <c r="N25" i="11"/>
  <c r="M25" i="11"/>
  <c r="I25" i="11"/>
  <c r="Z24" i="11"/>
  <c r="Y24" i="11"/>
  <c r="W24" i="11"/>
  <c r="V24" i="11"/>
  <c r="P24" i="11"/>
  <c r="O24" i="11"/>
  <c r="N24" i="11"/>
  <c r="I24" i="11"/>
  <c r="M24" i="11" s="1"/>
  <c r="Z23" i="11"/>
  <c r="Y23" i="11"/>
  <c r="W23" i="11"/>
  <c r="V23" i="11"/>
  <c r="P23" i="11"/>
  <c r="O23" i="11"/>
  <c r="N23" i="11"/>
  <c r="I23" i="11"/>
  <c r="M23" i="11" s="1"/>
  <c r="Z22" i="11"/>
  <c r="Y22" i="11"/>
  <c r="W22" i="11"/>
  <c r="V22" i="11"/>
  <c r="P22" i="11"/>
  <c r="O22" i="11"/>
  <c r="N22" i="11"/>
  <c r="M22" i="11"/>
  <c r="I22" i="11"/>
  <c r="Z21" i="11"/>
  <c r="Y21" i="11"/>
  <c r="W21" i="11"/>
  <c r="V21" i="11"/>
  <c r="P21" i="11"/>
  <c r="O21" i="11"/>
  <c r="N21" i="11"/>
  <c r="M21" i="11"/>
  <c r="I21" i="11"/>
  <c r="Z20" i="11"/>
  <c r="Y20" i="11"/>
  <c r="W20" i="11"/>
  <c r="V20" i="11"/>
  <c r="P20" i="11"/>
  <c r="O20" i="11"/>
  <c r="N20" i="11"/>
  <c r="I20" i="11"/>
  <c r="M20" i="11" s="1"/>
  <c r="Z19" i="11"/>
  <c r="Y19" i="11"/>
  <c r="W19" i="11"/>
  <c r="V19" i="11"/>
  <c r="P19" i="11"/>
  <c r="O19" i="11"/>
  <c r="N19" i="11"/>
  <c r="I19" i="11"/>
  <c r="M19" i="11" s="1"/>
  <c r="Z18" i="11"/>
  <c r="Y18" i="11"/>
  <c r="W18" i="11"/>
  <c r="V18" i="11"/>
  <c r="P18" i="11"/>
  <c r="O18" i="11"/>
  <c r="N18" i="11"/>
  <c r="M18" i="11"/>
  <c r="I18" i="11"/>
  <c r="Z17" i="11"/>
  <c r="Y17" i="11"/>
  <c r="W17" i="11"/>
  <c r="V17" i="11"/>
  <c r="P17" i="11"/>
  <c r="O17" i="11"/>
  <c r="N17" i="11"/>
  <c r="I17" i="11"/>
  <c r="M17" i="11" s="1"/>
  <c r="P16" i="11"/>
  <c r="O16" i="11"/>
  <c r="N16" i="11"/>
  <c r="I16" i="11"/>
  <c r="M16" i="11" s="1"/>
  <c r="P15" i="11"/>
  <c r="O15" i="11"/>
  <c r="N15" i="11"/>
  <c r="I15" i="11"/>
  <c r="M15" i="11" s="1"/>
  <c r="P14" i="11"/>
  <c r="O14" i="11"/>
  <c r="N14" i="11"/>
  <c r="M14" i="11"/>
  <c r="I14" i="11"/>
  <c r="AD13" i="11"/>
  <c r="AC13" i="11"/>
  <c r="Z13" i="11"/>
  <c r="Y13" i="11"/>
  <c r="W13" i="11"/>
  <c r="V13" i="11"/>
  <c r="T13" i="11"/>
  <c r="S13" i="11"/>
  <c r="P13" i="11"/>
  <c r="O13" i="11"/>
  <c r="N13" i="11"/>
  <c r="I13" i="11"/>
  <c r="M13" i="11" s="1"/>
  <c r="AD12" i="11"/>
  <c r="AC12" i="11"/>
  <c r="Z12" i="11"/>
  <c r="Y12" i="11"/>
  <c r="W12" i="11"/>
  <c r="V12" i="11"/>
  <c r="T12" i="11"/>
  <c r="S12" i="11"/>
  <c r="P12" i="11"/>
  <c r="O12" i="11"/>
  <c r="N12" i="11"/>
  <c r="M12" i="11"/>
  <c r="I12" i="11"/>
  <c r="AD11" i="11"/>
  <c r="AC11" i="11"/>
  <c r="Z11" i="11"/>
  <c r="Y11" i="11"/>
  <c r="W11" i="11"/>
  <c r="V11" i="11"/>
  <c r="T11" i="11"/>
  <c r="S11" i="11"/>
  <c r="P11" i="11"/>
  <c r="O11" i="11"/>
  <c r="N11" i="11"/>
  <c r="I11" i="11"/>
  <c r="M11" i="11" s="1"/>
  <c r="AD10" i="11"/>
  <c r="AC10" i="11"/>
  <c r="Z10" i="11"/>
  <c r="Y10" i="11"/>
  <c r="W10" i="11"/>
  <c r="V10" i="11"/>
  <c r="T10" i="11"/>
  <c r="S10" i="11"/>
  <c r="P10" i="11"/>
  <c r="O10" i="11"/>
  <c r="N10" i="11"/>
  <c r="I10" i="11"/>
  <c r="M10" i="11" s="1"/>
  <c r="AD9" i="11"/>
  <c r="AC9" i="11"/>
  <c r="Z9" i="11"/>
  <c r="Y9" i="11"/>
  <c r="W9" i="11"/>
  <c r="V9" i="11"/>
  <c r="T9" i="11"/>
  <c r="S9" i="11"/>
  <c r="P9" i="11"/>
  <c r="O9" i="11"/>
  <c r="N9" i="11"/>
  <c r="M9" i="11"/>
  <c r="I9" i="11"/>
  <c r="AD8" i="11"/>
  <c r="AC8" i="11"/>
  <c r="Z8" i="11"/>
  <c r="Y8" i="11"/>
  <c r="W8" i="11"/>
  <c r="V8" i="11"/>
  <c r="T8" i="11"/>
  <c r="S8" i="11"/>
  <c r="P8" i="11"/>
  <c r="O8" i="11"/>
  <c r="N8" i="11"/>
  <c r="I8" i="11"/>
  <c r="M8" i="11" s="1"/>
  <c r="Z7" i="11"/>
  <c r="Y7" i="11"/>
  <c r="W7" i="11"/>
  <c r="V7" i="11"/>
  <c r="P7" i="11"/>
  <c r="O7" i="11"/>
  <c r="N7" i="11"/>
  <c r="I7" i="11"/>
  <c r="M7" i="11" s="1"/>
  <c r="Z6" i="11"/>
  <c r="Y6" i="11"/>
  <c r="W6" i="11"/>
  <c r="V6" i="11"/>
  <c r="P6" i="11"/>
  <c r="O6" i="11"/>
  <c r="N6" i="11"/>
  <c r="I6" i="11"/>
  <c r="M6" i="11" s="1"/>
  <c r="Z5" i="11"/>
  <c r="Y5" i="11"/>
  <c r="W5" i="11"/>
  <c r="V5" i="11"/>
  <c r="P5" i="11"/>
  <c r="O5" i="11"/>
  <c r="N5" i="11"/>
  <c r="M5" i="11"/>
  <c r="I5" i="11"/>
  <c r="Z4" i="11"/>
  <c r="Y4" i="11"/>
  <c r="W4" i="11"/>
  <c r="V4" i="11"/>
  <c r="P4" i="11"/>
  <c r="O4" i="11"/>
  <c r="N4" i="11"/>
  <c r="I4" i="11"/>
  <c r="M4" i="11" s="1"/>
  <c r="P3" i="11"/>
  <c r="O3" i="11"/>
  <c r="N3" i="11"/>
  <c r="M3" i="11"/>
  <c r="I3" i="11"/>
  <c r="P2" i="11"/>
  <c r="O2" i="11"/>
  <c r="N2" i="11"/>
  <c r="I2" i="11"/>
  <c r="M2" i="11" s="1"/>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P97" i="10"/>
  <c r="O97" i="10"/>
  <c r="N97" i="10"/>
  <c r="M97" i="10"/>
  <c r="I97" i="10"/>
  <c r="P96" i="10"/>
  <c r="O96" i="10"/>
  <c r="N96" i="10"/>
  <c r="M96" i="10"/>
  <c r="I96" i="10"/>
  <c r="P95" i="10"/>
  <c r="O95" i="10"/>
  <c r="N95" i="10"/>
  <c r="I95" i="10"/>
  <c r="M95" i="10" s="1"/>
  <c r="P94" i="10"/>
  <c r="O94" i="10"/>
  <c r="N94" i="10"/>
  <c r="M94" i="10"/>
  <c r="I94" i="10"/>
  <c r="P93" i="10"/>
  <c r="O93" i="10"/>
  <c r="N93" i="10"/>
  <c r="I93" i="10"/>
  <c r="M93" i="10" s="1"/>
  <c r="P92" i="10"/>
  <c r="O92" i="10"/>
  <c r="N92" i="10"/>
  <c r="I92" i="10"/>
  <c r="M92" i="10" s="1"/>
  <c r="P91" i="10"/>
  <c r="O91" i="10"/>
  <c r="N91" i="10"/>
  <c r="I91" i="10"/>
  <c r="M91" i="10" s="1"/>
  <c r="P90" i="10"/>
  <c r="O90" i="10"/>
  <c r="N90" i="10"/>
  <c r="I90" i="10"/>
  <c r="M90" i="10" s="1"/>
  <c r="P89" i="10"/>
  <c r="O89" i="10"/>
  <c r="N89" i="10"/>
  <c r="I89" i="10"/>
  <c r="M89" i="10" s="1"/>
  <c r="P88" i="10"/>
  <c r="O88" i="10"/>
  <c r="N88" i="10"/>
  <c r="M88" i="10"/>
  <c r="I88" i="10"/>
  <c r="P87" i="10"/>
  <c r="O87" i="10"/>
  <c r="N87" i="10"/>
  <c r="I87" i="10"/>
  <c r="M87" i="10" s="1"/>
  <c r="P86" i="10"/>
  <c r="O86" i="10"/>
  <c r="N86" i="10"/>
  <c r="I86" i="10"/>
  <c r="M86" i="10" s="1"/>
  <c r="P85" i="10"/>
  <c r="O85" i="10"/>
  <c r="N85" i="10"/>
  <c r="M85" i="10"/>
  <c r="I85" i="10"/>
  <c r="P84" i="10"/>
  <c r="O84" i="10"/>
  <c r="N84" i="10"/>
  <c r="I84" i="10"/>
  <c r="M84" i="10" s="1"/>
  <c r="P83" i="10"/>
  <c r="O83" i="10"/>
  <c r="N83" i="10"/>
  <c r="I83" i="10"/>
  <c r="M83" i="10" s="1"/>
  <c r="P82" i="10"/>
  <c r="O82" i="10"/>
  <c r="N82" i="10"/>
  <c r="M82" i="10"/>
  <c r="I82" i="10"/>
  <c r="P81" i="10"/>
  <c r="O81" i="10"/>
  <c r="N81" i="10"/>
  <c r="I81" i="10"/>
  <c r="M81" i="10" s="1"/>
  <c r="P80" i="10"/>
  <c r="O80" i="10"/>
  <c r="N80" i="10"/>
  <c r="M80" i="10"/>
  <c r="I80" i="10"/>
  <c r="B80" i="10"/>
  <c r="P79" i="10"/>
  <c r="O79" i="10"/>
  <c r="N79" i="10"/>
  <c r="M79" i="10"/>
  <c r="I79" i="10"/>
  <c r="P78" i="10"/>
  <c r="O78" i="10"/>
  <c r="N78" i="10"/>
  <c r="I78" i="10"/>
  <c r="M78" i="10" s="1"/>
  <c r="P77" i="10"/>
  <c r="O77" i="10"/>
  <c r="N77" i="10"/>
  <c r="M77" i="10"/>
  <c r="I77" i="10"/>
  <c r="P76" i="10"/>
  <c r="O76" i="10"/>
  <c r="N76" i="10"/>
  <c r="I76" i="10"/>
  <c r="M76" i="10" s="1"/>
  <c r="P75" i="10"/>
  <c r="O75" i="10"/>
  <c r="N75" i="10"/>
  <c r="M75" i="10"/>
  <c r="I75" i="10"/>
  <c r="P74" i="10"/>
  <c r="O74" i="10"/>
  <c r="N74" i="10"/>
  <c r="I74" i="10"/>
  <c r="M74" i="10" s="1"/>
  <c r="P73" i="10"/>
  <c r="O73" i="10"/>
  <c r="N73" i="10"/>
  <c r="M73" i="10"/>
  <c r="I73" i="10"/>
  <c r="P72" i="10"/>
  <c r="O72" i="10"/>
  <c r="N72" i="10"/>
  <c r="M72" i="10"/>
  <c r="I72" i="10"/>
  <c r="P71" i="10"/>
  <c r="O71" i="10"/>
  <c r="N71" i="10"/>
  <c r="I71" i="10"/>
  <c r="M71" i="10" s="1"/>
  <c r="P70" i="10"/>
  <c r="O70" i="10"/>
  <c r="N70" i="10"/>
  <c r="I70" i="10"/>
  <c r="M70" i="10" s="1"/>
  <c r="P69" i="10"/>
  <c r="O69" i="10"/>
  <c r="N69" i="10"/>
  <c r="M69" i="10"/>
  <c r="I69" i="10"/>
  <c r="P68" i="10"/>
  <c r="O68" i="10"/>
  <c r="N68" i="10"/>
  <c r="I68" i="10"/>
  <c r="M68" i="10" s="1"/>
  <c r="P67" i="10"/>
  <c r="O67" i="10"/>
  <c r="N67" i="10"/>
  <c r="M67" i="10"/>
  <c r="I67" i="10"/>
  <c r="P66" i="10"/>
  <c r="O66" i="10"/>
  <c r="N66" i="10"/>
  <c r="M66" i="10"/>
  <c r="I66" i="10"/>
  <c r="P65" i="10"/>
  <c r="O65" i="10"/>
  <c r="N65" i="10"/>
  <c r="I65" i="10"/>
  <c r="M65" i="10" s="1"/>
  <c r="P64" i="10"/>
  <c r="O64" i="10"/>
  <c r="N64" i="10"/>
  <c r="I64" i="10"/>
  <c r="M64" i="10" s="1"/>
  <c r="P63" i="10"/>
  <c r="O63" i="10"/>
  <c r="N63" i="10"/>
  <c r="I63" i="10"/>
  <c r="M63" i="10" s="1"/>
  <c r="P62" i="10"/>
  <c r="O62" i="10"/>
  <c r="N62" i="10"/>
  <c r="I62" i="10"/>
  <c r="M62" i="10" s="1"/>
  <c r="P61" i="10"/>
  <c r="O61" i="10"/>
  <c r="N61" i="10"/>
  <c r="M61" i="10"/>
  <c r="I61" i="10"/>
  <c r="P60" i="10"/>
  <c r="O60" i="10"/>
  <c r="N60" i="10"/>
  <c r="M60" i="10"/>
  <c r="I60" i="10"/>
  <c r="P59" i="10"/>
  <c r="O59" i="10"/>
  <c r="N59" i="10"/>
  <c r="I59" i="10"/>
  <c r="M59" i="10" s="1"/>
  <c r="P58" i="10"/>
  <c r="O58" i="10"/>
  <c r="N58" i="10"/>
  <c r="M58" i="10"/>
  <c r="I58" i="10"/>
  <c r="P57" i="10"/>
  <c r="O57" i="10"/>
  <c r="N57" i="10"/>
  <c r="I57" i="10"/>
  <c r="M57" i="10" s="1"/>
  <c r="P56" i="10"/>
  <c r="O56" i="10"/>
  <c r="N56" i="10"/>
  <c r="M56" i="10"/>
  <c r="I56" i="10"/>
  <c r="P55" i="10"/>
  <c r="O55" i="10"/>
  <c r="N55" i="10"/>
  <c r="I55" i="10"/>
  <c r="M55" i="10" s="1"/>
  <c r="P54" i="10"/>
  <c r="O54" i="10"/>
  <c r="N54" i="10"/>
  <c r="M54" i="10"/>
  <c r="I54" i="10"/>
  <c r="P53" i="10"/>
  <c r="O53" i="10"/>
  <c r="N53" i="10"/>
  <c r="M53" i="10"/>
  <c r="I53" i="10"/>
  <c r="P52" i="10"/>
  <c r="O52" i="10"/>
  <c r="N52" i="10"/>
  <c r="M52" i="10"/>
  <c r="I52" i="10"/>
  <c r="P51" i="10"/>
  <c r="O51" i="10"/>
  <c r="N51" i="10"/>
  <c r="I51" i="10"/>
  <c r="M51" i="10" s="1"/>
  <c r="P50" i="10"/>
  <c r="O50" i="10"/>
  <c r="N50" i="10"/>
  <c r="I50" i="10"/>
  <c r="M50" i="10" s="1"/>
  <c r="P49" i="10"/>
  <c r="O49" i="10"/>
  <c r="N49" i="10"/>
  <c r="I49" i="10"/>
  <c r="M49" i="10" s="1"/>
  <c r="P48" i="10"/>
  <c r="O48" i="10"/>
  <c r="N48" i="10"/>
  <c r="M48" i="10"/>
  <c r="I48" i="10"/>
  <c r="P47" i="10"/>
  <c r="O47" i="10"/>
  <c r="N47" i="10"/>
  <c r="I47" i="10"/>
  <c r="M47" i="10" s="1"/>
  <c r="P46" i="10"/>
  <c r="O46" i="10"/>
  <c r="N46" i="10"/>
  <c r="M46" i="10"/>
  <c r="I46" i="10"/>
  <c r="P45" i="10"/>
  <c r="O45" i="10"/>
  <c r="N45" i="10"/>
  <c r="I45" i="10"/>
  <c r="M45" i="10" s="1"/>
  <c r="P44" i="10"/>
  <c r="O44" i="10"/>
  <c r="N44" i="10"/>
  <c r="M44" i="10"/>
  <c r="I44" i="10"/>
  <c r="P43" i="10"/>
  <c r="O43" i="10"/>
  <c r="N43" i="10"/>
  <c r="I43" i="10"/>
  <c r="M43" i="10" s="1"/>
  <c r="P42" i="10"/>
  <c r="O42" i="10"/>
  <c r="N42" i="10"/>
  <c r="M42" i="10"/>
  <c r="I42" i="10"/>
  <c r="P41" i="10"/>
  <c r="O41" i="10"/>
  <c r="N41" i="10"/>
  <c r="M41" i="10"/>
  <c r="I41" i="10"/>
  <c r="P40" i="10"/>
  <c r="O40" i="10"/>
  <c r="N40" i="10"/>
  <c r="I40" i="10"/>
  <c r="M40" i="10" s="1"/>
  <c r="P39" i="10"/>
  <c r="O39" i="10"/>
  <c r="N39" i="10"/>
  <c r="I39" i="10"/>
  <c r="M39" i="10" s="1"/>
  <c r="P38" i="10"/>
  <c r="O38" i="10"/>
  <c r="N38" i="10"/>
  <c r="I38" i="10"/>
  <c r="M38" i="10" s="1"/>
  <c r="P37" i="10"/>
  <c r="O37" i="10"/>
  <c r="N37" i="10"/>
  <c r="I37" i="10"/>
  <c r="M37" i="10" s="1"/>
  <c r="P36" i="10"/>
  <c r="O36" i="10"/>
  <c r="N36" i="10"/>
  <c r="M36" i="10"/>
  <c r="I36" i="10"/>
  <c r="P35" i="10"/>
  <c r="O35" i="10"/>
  <c r="N35" i="10"/>
  <c r="I35" i="10"/>
  <c r="M35" i="10" s="1"/>
  <c r="P34" i="10"/>
  <c r="O34" i="10"/>
  <c r="N34" i="10"/>
  <c r="M34" i="10"/>
  <c r="I34" i="10"/>
  <c r="P33" i="10"/>
  <c r="O33" i="10"/>
  <c r="N33" i="10"/>
  <c r="M33" i="10"/>
  <c r="I33" i="10"/>
  <c r="P32" i="10"/>
  <c r="O32" i="10"/>
  <c r="N32" i="10"/>
  <c r="M32" i="10"/>
  <c r="I32" i="10"/>
  <c r="P31" i="10"/>
  <c r="O31" i="10"/>
  <c r="N31" i="10"/>
  <c r="I31" i="10"/>
  <c r="M31" i="10" s="1"/>
  <c r="P30" i="10"/>
  <c r="O30" i="10"/>
  <c r="N30" i="10"/>
  <c r="M30" i="10"/>
  <c r="I30" i="10"/>
  <c r="P29" i="10"/>
  <c r="O29" i="10"/>
  <c r="N29" i="10"/>
  <c r="I29" i="10"/>
  <c r="M29" i="10" s="1"/>
  <c r="P28" i="10"/>
  <c r="O28" i="10"/>
  <c r="N28" i="10"/>
  <c r="M28" i="10"/>
  <c r="I28" i="10"/>
  <c r="P27" i="10"/>
  <c r="O27" i="10"/>
  <c r="N27" i="10"/>
  <c r="I27" i="10"/>
  <c r="M27" i="10" s="1"/>
  <c r="Z26" i="10"/>
  <c r="Y26" i="10"/>
  <c r="W26" i="10"/>
  <c r="V26" i="10"/>
  <c r="P26" i="10"/>
  <c r="O26" i="10"/>
  <c r="N26" i="10"/>
  <c r="I26" i="10"/>
  <c r="M26" i="10" s="1"/>
  <c r="Z25" i="10"/>
  <c r="Y25" i="10"/>
  <c r="W25" i="10"/>
  <c r="V25" i="10"/>
  <c r="P25" i="10"/>
  <c r="O25" i="10"/>
  <c r="N25" i="10"/>
  <c r="M25" i="10"/>
  <c r="I25" i="10"/>
  <c r="Z24" i="10"/>
  <c r="Y24" i="10"/>
  <c r="W24" i="10"/>
  <c r="V24" i="10"/>
  <c r="P24" i="10"/>
  <c r="O24" i="10"/>
  <c r="N24" i="10"/>
  <c r="I24" i="10"/>
  <c r="M24" i="10" s="1"/>
  <c r="Z23" i="10"/>
  <c r="Y23" i="10"/>
  <c r="W23" i="10"/>
  <c r="V23" i="10"/>
  <c r="P23" i="10"/>
  <c r="O23" i="10"/>
  <c r="N23" i="10"/>
  <c r="M23" i="10"/>
  <c r="I23" i="10"/>
  <c r="Z22" i="10"/>
  <c r="Y22" i="10"/>
  <c r="W22" i="10"/>
  <c r="V22" i="10"/>
  <c r="P22" i="10"/>
  <c r="O22" i="10"/>
  <c r="N22" i="10"/>
  <c r="M22" i="10"/>
  <c r="I22" i="10"/>
  <c r="Z21" i="10"/>
  <c r="Y21" i="10"/>
  <c r="W21" i="10"/>
  <c r="V21" i="10"/>
  <c r="P21" i="10"/>
  <c r="O21" i="10"/>
  <c r="N21" i="10"/>
  <c r="I21" i="10"/>
  <c r="M21" i="10" s="1"/>
  <c r="Z20" i="10"/>
  <c r="Y20" i="10"/>
  <c r="W20" i="10"/>
  <c r="V20" i="10"/>
  <c r="P20" i="10"/>
  <c r="O20" i="10"/>
  <c r="N20" i="10"/>
  <c r="M20" i="10"/>
  <c r="I20" i="10"/>
  <c r="Z19" i="10"/>
  <c r="Y19" i="10"/>
  <c r="W19" i="10"/>
  <c r="V19" i="10"/>
  <c r="P19" i="10"/>
  <c r="O19" i="10"/>
  <c r="N19" i="10"/>
  <c r="I19" i="10"/>
  <c r="M19" i="10" s="1"/>
  <c r="Z18" i="10"/>
  <c r="Y18" i="10"/>
  <c r="W18" i="10"/>
  <c r="V18" i="10"/>
  <c r="P18" i="10"/>
  <c r="O18" i="10"/>
  <c r="N18" i="10"/>
  <c r="M18" i="10"/>
  <c r="I18" i="10"/>
  <c r="Z17" i="10"/>
  <c r="Y17" i="10"/>
  <c r="W17" i="10"/>
  <c r="V17" i="10"/>
  <c r="P17" i="10"/>
  <c r="O17" i="10"/>
  <c r="N17" i="10"/>
  <c r="I17" i="10"/>
  <c r="M17" i="10" s="1"/>
  <c r="P16" i="10"/>
  <c r="O16" i="10"/>
  <c r="N16" i="10"/>
  <c r="M16" i="10"/>
  <c r="I16" i="10"/>
  <c r="P15" i="10"/>
  <c r="O15" i="10"/>
  <c r="N15" i="10"/>
  <c r="M15" i="10"/>
  <c r="I15" i="10"/>
  <c r="P14" i="10"/>
  <c r="O14" i="10"/>
  <c r="N14" i="10"/>
  <c r="I14" i="10"/>
  <c r="M14" i="10" s="1"/>
  <c r="AD13" i="10"/>
  <c r="AC13" i="10"/>
  <c r="Z13" i="10"/>
  <c r="Y13" i="10"/>
  <c r="W13" i="10"/>
  <c r="V13" i="10"/>
  <c r="T13" i="10"/>
  <c r="S13" i="10"/>
  <c r="P13" i="10"/>
  <c r="O13" i="10"/>
  <c r="N13" i="10"/>
  <c r="M13" i="10"/>
  <c r="I13" i="10"/>
  <c r="AD12" i="10"/>
  <c r="AC12" i="10"/>
  <c r="Z12" i="10"/>
  <c r="Y12" i="10"/>
  <c r="W12" i="10"/>
  <c r="V12" i="10"/>
  <c r="T12" i="10"/>
  <c r="S12" i="10"/>
  <c r="P12" i="10"/>
  <c r="O12" i="10"/>
  <c r="N12" i="10"/>
  <c r="M12" i="10"/>
  <c r="I12" i="10"/>
  <c r="AD11" i="10"/>
  <c r="AC11" i="10"/>
  <c r="Z11" i="10"/>
  <c r="Y11" i="10"/>
  <c r="W11" i="10"/>
  <c r="V11" i="10"/>
  <c r="T11" i="10"/>
  <c r="S11" i="10"/>
  <c r="P11" i="10"/>
  <c r="O11" i="10"/>
  <c r="N11" i="10"/>
  <c r="I11" i="10"/>
  <c r="M11" i="10" s="1"/>
  <c r="AD10" i="10"/>
  <c r="AC10" i="10"/>
  <c r="Z10" i="10"/>
  <c r="Y10" i="10"/>
  <c r="W10" i="10"/>
  <c r="V10" i="10"/>
  <c r="T10" i="10"/>
  <c r="S10" i="10"/>
  <c r="P10" i="10"/>
  <c r="O10" i="10"/>
  <c r="N10" i="10"/>
  <c r="I10" i="10"/>
  <c r="M10" i="10" s="1"/>
  <c r="AD9" i="10"/>
  <c r="AC9" i="10"/>
  <c r="Z9" i="10"/>
  <c r="Y9" i="10"/>
  <c r="W9" i="10"/>
  <c r="V9" i="10"/>
  <c r="T9" i="10"/>
  <c r="S9" i="10"/>
  <c r="P9" i="10"/>
  <c r="O9" i="10"/>
  <c r="N9" i="10"/>
  <c r="I9" i="10"/>
  <c r="M9" i="10" s="1"/>
  <c r="AD8" i="10"/>
  <c r="AC8" i="10"/>
  <c r="Z8" i="10"/>
  <c r="Y8" i="10"/>
  <c r="W8" i="10"/>
  <c r="V8" i="10"/>
  <c r="T8" i="10"/>
  <c r="S8" i="10"/>
  <c r="P8" i="10"/>
  <c r="O8" i="10"/>
  <c r="N8" i="10"/>
  <c r="M8" i="10"/>
  <c r="I8" i="10"/>
  <c r="Z7" i="10"/>
  <c r="Y7" i="10"/>
  <c r="W7" i="10"/>
  <c r="V7" i="10"/>
  <c r="P7" i="10"/>
  <c r="O7" i="10"/>
  <c r="N7" i="10"/>
  <c r="I7" i="10"/>
  <c r="M7" i="10" s="1"/>
  <c r="Z6" i="10"/>
  <c r="Y6" i="10"/>
  <c r="W6" i="10"/>
  <c r="V6" i="10"/>
  <c r="P6" i="10"/>
  <c r="O6" i="10"/>
  <c r="N6" i="10"/>
  <c r="I6" i="10"/>
  <c r="M6" i="10" s="1"/>
  <c r="Z5" i="10"/>
  <c r="Y5" i="10"/>
  <c r="W5" i="10"/>
  <c r="V5" i="10"/>
  <c r="P5" i="10"/>
  <c r="O5" i="10"/>
  <c r="N5" i="10"/>
  <c r="I5" i="10"/>
  <c r="M5" i="10" s="1"/>
  <c r="Z4" i="10"/>
  <c r="Y4" i="10"/>
  <c r="W4" i="10"/>
  <c r="V4" i="10"/>
  <c r="P4" i="10"/>
  <c r="O4" i="10"/>
  <c r="N4" i="10"/>
  <c r="I4" i="10"/>
  <c r="M4" i="10" s="1"/>
  <c r="P3" i="10"/>
  <c r="O3" i="10"/>
  <c r="N3" i="10"/>
  <c r="I3" i="10"/>
  <c r="M3" i="10" s="1"/>
  <c r="P2" i="10"/>
  <c r="O2" i="10"/>
  <c r="N2" i="10"/>
  <c r="I2" i="10"/>
  <c r="M2" i="10" s="1"/>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4" i="9"/>
  <c r="B133" i="9"/>
  <c r="B132" i="9"/>
  <c r="B131" i="9"/>
  <c r="B130" i="9"/>
  <c r="B129" i="9"/>
  <c r="B128" i="9"/>
  <c r="B127" i="9"/>
  <c r="B126" i="9"/>
  <c r="B125" i="9"/>
  <c r="B124" i="9"/>
  <c r="B123" i="9"/>
  <c r="B122" i="9"/>
  <c r="B121" i="9"/>
  <c r="B120" i="9"/>
  <c r="B119" i="9"/>
  <c r="B118" i="9"/>
  <c r="B117" i="9"/>
  <c r="B116" i="9"/>
  <c r="B115" i="9"/>
  <c r="B114" i="9"/>
  <c r="B113" i="9"/>
  <c r="B112" i="9"/>
  <c r="B111" i="9"/>
  <c r="B110" i="9"/>
  <c r="B109" i="9"/>
  <c r="P97" i="9"/>
  <c r="O97" i="9"/>
  <c r="N97" i="9"/>
  <c r="M97" i="9"/>
  <c r="I97" i="9"/>
  <c r="P96" i="9"/>
  <c r="O96" i="9"/>
  <c r="N96" i="9"/>
  <c r="I96" i="9"/>
  <c r="M96" i="9" s="1"/>
  <c r="P95" i="9"/>
  <c r="O95" i="9"/>
  <c r="N95" i="9"/>
  <c r="M95" i="9"/>
  <c r="I95" i="9"/>
  <c r="P94" i="9"/>
  <c r="O94" i="9"/>
  <c r="N94" i="9"/>
  <c r="I94" i="9"/>
  <c r="M94" i="9" s="1"/>
  <c r="P93" i="9"/>
  <c r="O93" i="9"/>
  <c r="N93" i="9"/>
  <c r="I93" i="9"/>
  <c r="M93" i="9" s="1"/>
  <c r="P92" i="9"/>
  <c r="O92" i="9"/>
  <c r="N92" i="9"/>
  <c r="M92" i="9"/>
  <c r="I92" i="9"/>
  <c r="P91" i="9"/>
  <c r="O91" i="9"/>
  <c r="N91" i="9"/>
  <c r="I91" i="9"/>
  <c r="M91" i="9" s="1"/>
  <c r="P90" i="9"/>
  <c r="O90" i="9"/>
  <c r="N90" i="9"/>
  <c r="M90" i="9"/>
  <c r="I90" i="9"/>
  <c r="P89" i="9"/>
  <c r="O89" i="9"/>
  <c r="N89" i="9"/>
  <c r="M89" i="9"/>
  <c r="I89" i="9"/>
  <c r="P88" i="9"/>
  <c r="O88" i="9"/>
  <c r="N88" i="9"/>
  <c r="I88" i="9"/>
  <c r="M88" i="9" s="1"/>
  <c r="P87" i="9"/>
  <c r="O87" i="9"/>
  <c r="N87" i="9"/>
  <c r="I87" i="9"/>
  <c r="M87" i="9" s="1"/>
  <c r="P86" i="9"/>
  <c r="O86" i="9"/>
  <c r="N86" i="9"/>
  <c r="M86" i="9"/>
  <c r="I86" i="9"/>
  <c r="P85" i="9"/>
  <c r="O85" i="9"/>
  <c r="N85" i="9"/>
  <c r="I85" i="9"/>
  <c r="M85" i="9" s="1"/>
  <c r="B85" i="9"/>
  <c r="P84" i="9"/>
  <c r="O84" i="9"/>
  <c r="N84" i="9"/>
  <c r="M84" i="9"/>
  <c r="I84" i="9"/>
  <c r="P83" i="9"/>
  <c r="O83" i="9"/>
  <c r="N83" i="9"/>
  <c r="M83" i="9"/>
  <c r="I83" i="9"/>
  <c r="P82" i="9"/>
  <c r="O82" i="9"/>
  <c r="N82" i="9"/>
  <c r="I82" i="9"/>
  <c r="M82" i="9" s="1"/>
  <c r="P81" i="9"/>
  <c r="O81" i="9"/>
  <c r="N81" i="9"/>
  <c r="I81" i="9"/>
  <c r="M81" i="9" s="1"/>
  <c r="P80" i="9"/>
  <c r="O80" i="9"/>
  <c r="N80" i="9"/>
  <c r="I80" i="9"/>
  <c r="M80" i="9" s="1"/>
  <c r="P79" i="9"/>
  <c r="O79" i="9"/>
  <c r="N79" i="9"/>
  <c r="M79" i="9"/>
  <c r="I79" i="9"/>
  <c r="P78" i="9"/>
  <c r="O78" i="9"/>
  <c r="N78" i="9"/>
  <c r="I78" i="9"/>
  <c r="M78" i="9" s="1"/>
  <c r="P77" i="9"/>
  <c r="O77" i="9"/>
  <c r="N77" i="9"/>
  <c r="M77" i="9"/>
  <c r="I77" i="9"/>
  <c r="P76" i="9"/>
  <c r="O76" i="9"/>
  <c r="N76" i="9"/>
  <c r="I76" i="9"/>
  <c r="M76" i="9" s="1"/>
  <c r="P75" i="9"/>
  <c r="O75" i="9"/>
  <c r="N75" i="9"/>
  <c r="I75" i="9"/>
  <c r="M75" i="9" s="1"/>
  <c r="P74" i="9"/>
  <c r="O74" i="9"/>
  <c r="N74" i="9"/>
  <c r="M74" i="9"/>
  <c r="I74" i="9"/>
  <c r="P73" i="9"/>
  <c r="O73" i="9"/>
  <c r="N73" i="9"/>
  <c r="I73" i="9"/>
  <c r="M73" i="9" s="1"/>
  <c r="P72" i="9"/>
  <c r="O72" i="9"/>
  <c r="N72" i="9"/>
  <c r="I72" i="9"/>
  <c r="M72" i="9" s="1"/>
  <c r="P71" i="9"/>
  <c r="O71" i="9"/>
  <c r="N71" i="9"/>
  <c r="M71" i="9"/>
  <c r="I71" i="9"/>
  <c r="P70" i="9"/>
  <c r="O70" i="9"/>
  <c r="N70" i="9"/>
  <c r="I70" i="9"/>
  <c r="M70" i="9" s="1"/>
  <c r="P69" i="9"/>
  <c r="O69" i="9"/>
  <c r="N69" i="9"/>
  <c r="M69" i="9"/>
  <c r="I69" i="9"/>
  <c r="P68" i="9"/>
  <c r="O68" i="9"/>
  <c r="N68" i="9"/>
  <c r="M68" i="9"/>
  <c r="I68" i="9"/>
  <c r="P67" i="9"/>
  <c r="O67" i="9"/>
  <c r="N67" i="9"/>
  <c r="I67" i="9"/>
  <c r="M67" i="9" s="1"/>
  <c r="B67" i="9"/>
  <c r="P66" i="9"/>
  <c r="O66" i="9"/>
  <c r="N66" i="9"/>
  <c r="M66" i="9"/>
  <c r="I66" i="9"/>
  <c r="P65" i="9"/>
  <c r="O65" i="9"/>
  <c r="N65" i="9"/>
  <c r="M65" i="9"/>
  <c r="I65" i="9"/>
  <c r="P64" i="9"/>
  <c r="O64" i="9"/>
  <c r="N64" i="9"/>
  <c r="I64" i="9"/>
  <c r="M64" i="9" s="1"/>
  <c r="P63" i="9"/>
  <c r="O63" i="9"/>
  <c r="N63" i="9"/>
  <c r="I63" i="9"/>
  <c r="M63" i="9" s="1"/>
  <c r="B63" i="9"/>
  <c r="P62" i="9"/>
  <c r="O62" i="9"/>
  <c r="N62" i="9"/>
  <c r="M62" i="9"/>
  <c r="I62" i="9"/>
  <c r="P61" i="9"/>
  <c r="O61" i="9"/>
  <c r="N61" i="9"/>
  <c r="M61" i="9"/>
  <c r="I61" i="9"/>
  <c r="P60" i="9"/>
  <c r="O60" i="9"/>
  <c r="N60" i="9"/>
  <c r="M60" i="9"/>
  <c r="I60" i="9"/>
  <c r="P59" i="9"/>
  <c r="O59" i="9"/>
  <c r="N59" i="9"/>
  <c r="I59" i="9"/>
  <c r="M59" i="9" s="1"/>
  <c r="P58" i="9"/>
  <c r="O58" i="9"/>
  <c r="N58" i="9"/>
  <c r="I58" i="9"/>
  <c r="M58" i="9" s="1"/>
  <c r="P57" i="9"/>
  <c r="O57" i="9"/>
  <c r="N57" i="9"/>
  <c r="M57" i="9"/>
  <c r="I57" i="9"/>
  <c r="P56" i="9"/>
  <c r="O56" i="9"/>
  <c r="N56" i="9"/>
  <c r="M56" i="9"/>
  <c r="I56" i="9"/>
  <c r="P55" i="9"/>
  <c r="O55" i="9"/>
  <c r="N55" i="9"/>
  <c r="I55" i="9"/>
  <c r="M55" i="9" s="1"/>
  <c r="P54" i="9"/>
  <c r="O54" i="9"/>
  <c r="N54" i="9"/>
  <c r="I54" i="9"/>
  <c r="M54" i="9" s="1"/>
  <c r="P53" i="9"/>
  <c r="O53" i="9"/>
  <c r="N53" i="9"/>
  <c r="M53" i="9"/>
  <c r="I53" i="9"/>
  <c r="P52" i="9"/>
  <c r="O52" i="9"/>
  <c r="N52" i="9"/>
  <c r="I52" i="9"/>
  <c r="M52" i="9" s="1"/>
  <c r="P51" i="9"/>
  <c r="O51" i="9"/>
  <c r="N51" i="9"/>
  <c r="M51" i="9"/>
  <c r="I51" i="9"/>
  <c r="P50" i="9"/>
  <c r="O50" i="9"/>
  <c r="N50" i="9"/>
  <c r="I50" i="9"/>
  <c r="M50" i="9" s="1"/>
  <c r="P49" i="9"/>
  <c r="O49" i="9"/>
  <c r="N49" i="9"/>
  <c r="M49" i="9"/>
  <c r="I49" i="9"/>
  <c r="P48" i="9"/>
  <c r="O48" i="9"/>
  <c r="N48" i="9"/>
  <c r="I48" i="9"/>
  <c r="M48" i="9" s="1"/>
  <c r="P47" i="9"/>
  <c r="O47" i="9"/>
  <c r="N47" i="9"/>
  <c r="I47" i="9"/>
  <c r="M47" i="9" s="1"/>
  <c r="P46" i="9"/>
  <c r="O46" i="9"/>
  <c r="N46" i="9"/>
  <c r="I46" i="9"/>
  <c r="M46" i="9" s="1"/>
  <c r="P45" i="9"/>
  <c r="O45" i="9"/>
  <c r="N45" i="9"/>
  <c r="M45" i="9"/>
  <c r="I45" i="9"/>
  <c r="P44" i="9"/>
  <c r="O44" i="9"/>
  <c r="N44" i="9"/>
  <c r="M44" i="9"/>
  <c r="I44" i="9"/>
  <c r="P43" i="9"/>
  <c r="O43" i="9"/>
  <c r="N43" i="9"/>
  <c r="M43" i="9"/>
  <c r="I43" i="9"/>
  <c r="P42" i="9"/>
  <c r="O42" i="9"/>
  <c r="N42" i="9"/>
  <c r="I42" i="9"/>
  <c r="M42" i="9" s="1"/>
  <c r="P41" i="9"/>
  <c r="O41" i="9"/>
  <c r="N41" i="9"/>
  <c r="M41" i="9"/>
  <c r="I41" i="9"/>
  <c r="P40" i="9"/>
  <c r="O40" i="9"/>
  <c r="N40" i="9"/>
  <c r="M40" i="9"/>
  <c r="I40" i="9"/>
  <c r="P39" i="9"/>
  <c r="O39" i="9"/>
  <c r="N39" i="9"/>
  <c r="M39" i="9"/>
  <c r="I39" i="9"/>
  <c r="P38" i="9"/>
  <c r="O38" i="9"/>
  <c r="N38" i="9"/>
  <c r="I38" i="9"/>
  <c r="M38" i="9" s="1"/>
  <c r="P37" i="9"/>
  <c r="O37" i="9"/>
  <c r="N37" i="9"/>
  <c r="M37" i="9"/>
  <c r="I37" i="9"/>
  <c r="P36" i="9"/>
  <c r="O36" i="9"/>
  <c r="N36" i="9"/>
  <c r="I36" i="9"/>
  <c r="M36" i="9" s="1"/>
  <c r="P35" i="9"/>
  <c r="O35" i="9"/>
  <c r="N35" i="9"/>
  <c r="M35" i="9"/>
  <c r="I35" i="9"/>
  <c r="P34" i="9"/>
  <c r="O34" i="9"/>
  <c r="N34" i="9"/>
  <c r="I34" i="9"/>
  <c r="M34" i="9" s="1"/>
  <c r="P33" i="9"/>
  <c r="O33" i="9"/>
  <c r="N33" i="9"/>
  <c r="M33" i="9"/>
  <c r="I33" i="9"/>
  <c r="P32" i="9"/>
  <c r="O32" i="9"/>
  <c r="N32" i="9"/>
  <c r="I32" i="9"/>
  <c r="M32" i="9" s="1"/>
  <c r="P31" i="9"/>
  <c r="O31" i="9"/>
  <c r="N31" i="9"/>
  <c r="I31" i="9"/>
  <c r="M31" i="9" s="1"/>
  <c r="P30" i="9"/>
  <c r="O30" i="9"/>
  <c r="N30" i="9"/>
  <c r="I30" i="9"/>
  <c r="M30" i="9" s="1"/>
  <c r="P29" i="9"/>
  <c r="O29" i="9"/>
  <c r="N29" i="9"/>
  <c r="I29" i="9"/>
  <c r="M29" i="9" s="1"/>
  <c r="P28" i="9"/>
  <c r="O28" i="9"/>
  <c r="N28" i="9"/>
  <c r="I28" i="9"/>
  <c r="M28" i="9" s="1"/>
  <c r="P27" i="9"/>
  <c r="O27" i="9"/>
  <c r="N27" i="9"/>
  <c r="M27" i="9"/>
  <c r="I27" i="9"/>
  <c r="Z26" i="9"/>
  <c r="Y26" i="9"/>
  <c r="W26" i="9"/>
  <c r="V26" i="9"/>
  <c r="P26" i="9"/>
  <c r="O26" i="9"/>
  <c r="N26" i="9"/>
  <c r="I26" i="9"/>
  <c r="M26" i="9" s="1"/>
  <c r="Z25" i="9"/>
  <c r="Y25" i="9"/>
  <c r="W25" i="9"/>
  <c r="V25" i="9"/>
  <c r="P25" i="9"/>
  <c r="O25" i="9"/>
  <c r="N25" i="9"/>
  <c r="M25" i="9"/>
  <c r="I25" i="9"/>
  <c r="Z24" i="9"/>
  <c r="Y24" i="9"/>
  <c r="W24" i="9"/>
  <c r="V24" i="9"/>
  <c r="P24" i="9"/>
  <c r="O24" i="9"/>
  <c r="N24" i="9"/>
  <c r="I24" i="9"/>
  <c r="M24" i="9" s="1"/>
  <c r="Z23" i="9"/>
  <c r="Y23" i="9"/>
  <c r="W23" i="9"/>
  <c r="V23" i="9"/>
  <c r="P23" i="9"/>
  <c r="O23" i="9"/>
  <c r="N23" i="9"/>
  <c r="I23" i="9"/>
  <c r="M23" i="9" s="1"/>
  <c r="Z22" i="9"/>
  <c r="Y22" i="9"/>
  <c r="W22" i="9"/>
  <c r="V22" i="9"/>
  <c r="P22" i="9"/>
  <c r="O22" i="9"/>
  <c r="N22" i="9"/>
  <c r="M22" i="9"/>
  <c r="I22" i="9"/>
  <c r="Z21" i="9"/>
  <c r="Y21" i="9"/>
  <c r="W21" i="9"/>
  <c r="V21" i="9"/>
  <c r="P21" i="9"/>
  <c r="O21" i="9"/>
  <c r="N21" i="9"/>
  <c r="M21" i="9"/>
  <c r="I21" i="9"/>
  <c r="Z20" i="9"/>
  <c r="Y20" i="9"/>
  <c r="W20" i="9"/>
  <c r="V20" i="9"/>
  <c r="P20" i="9"/>
  <c r="O20" i="9"/>
  <c r="N20" i="9"/>
  <c r="I20" i="9"/>
  <c r="M20" i="9" s="1"/>
  <c r="Z19" i="9"/>
  <c r="Y19" i="9"/>
  <c r="W19" i="9"/>
  <c r="V19" i="9"/>
  <c r="P19" i="9"/>
  <c r="O19" i="9"/>
  <c r="N19" i="9"/>
  <c r="I19" i="9"/>
  <c r="M19" i="9" s="1"/>
  <c r="Z18" i="9"/>
  <c r="Y18" i="9"/>
  <c r="W18" i="9"/>
  <c r="V18" i="9"/>
  <c r="P18" i="9"/>
  <c r="O18" i="9"/>
  <c r="N18" i="9"/>
  <c r="I18" i="9"/>
  <c r="M18" i="9" s="1"/>
  <c r="Z17" i="9"/>
  <c r="Y17" i="9"/>
  <c r="W17" i="9"/>
  <c r="V17" i="9"/>
  <c r="P17" i="9"/>
  <c r="O17" i="9"/>
  <c r="N17" i="9"/>
  <c r="I17" i="9"/>
  <c r="M17" i="9" s="1"/>
  <c r="P16" i="9"/>
  <c r="O16" i="9"/>
  <c r="N16" i="9"/>
  <c r="M16" i="9"/>
  <c r="I16" i="9"/>
  <c r="P15" i="9"/>
  <c r="O15" i="9"/>
  <c r="N15" i="9"/>
  <c r="M15" i="9"/>
  <c r="I15" i="9"/>
  <c r="P14" i="9"/>
  <c r="O14" i="9"/>
  <c r="N14" i="9"/>
  <c r="I14" i="9"/>
  <c r="M14" i="9" s="1"/>
  <c r="AD13" i="9"/>
  <c r="AC13" i="9"/>
  <c r="Z13" i="9"/>
  <c r="Y13" i="9"/>
  <c r="W13" i="9"/>
  <c r="V13" i="9"/>
  <c r="T13" i="9"/>
  <c r="S13" i="9"/>
  <c r="P13" i="9"/>
  <c r="O13" i="9"/>
  <c r="N13" i="9"/>
  <c r="M13" i="9"/>
  <c r="I13" i="9"/>
  <c r="AD12" i="9"/>
  <c r="AC12" i="9"/>
  <c r="Z12" i="9"/>
  <c r="Y12" i="9"/>
  <c r="W12" i="9"/>
  <c r="V12" i="9"/>
  <c r="T12" i="9"/>
  <c r="S12" i="9"/>
  <c r="P12" i="9"/>
  <c r="O12" i="9"/>
  <c r="N12" i="9"/>
  <c r="M12" i="9"/>
  <c r="I12" i="9"/>
  <c r="AD11" i="9"/>
  <c r="AC11" i="9"/>
  <c r="Z11" i="9"/>
  <c r="Y11" i="9"/>
  <c r="W11" i="9"/>
  <c r="V11" i="9"/>
  <c r="T11" i="9"/>
  <c r="S11" i="9"/>
  <c r="P11" i="9"/>
  <c r="O11" i="9"/>
  <c r="N11" i="9"/>
  <c r="I11" i="9"/>
  <c r="M11" i="9" s="1"/>
  <c r="AD10" i="9"/>
  <c r="AC10" i="9"/>
  <c r="Z10" i="9"/>
  <c r="Y10" i="9"/>
  <c r="W10" i="9"/>
  <c r="V10" i="9"/>
  <c r="T10" i="9"/>
  <c r="S10" i="9"/>
  <c r="P10" i="9"/>
  <c r="O10" i="9"/>
  <c r="N10" i="9"/>
  <c r="I10" i="9"/>
  <c r="M10" i="9" s="1"/>
  <c r="AD9" i="9"/>
  <c r="AC9" i="9"/>
  <c r="Z9" i="9"/>
  <c r="Y9" i="9"/>
  <c r="W9" i="9"/>
  <c r="V9" i="9"/>
  <c r="T9" i="9"/>
  <c r="S9" i="9"/>
  <c r="P9" i="9"/>
  <c r="O9" i="9"/>
  <c r="N9" i="9"/>
  <c r="M9" i="9"/>
  <c r="I9" i="9"/>
  <c r="AD8" i="9"/>
  <c r="AC8" i="9"/>
  <c r="Z8" i="9"/>
  <c r="Y8" i="9"/>
  <c r="W8" i="9"/>
  <c r="V8" i="9"/>
  <c r="T8" i="9"/>
  <c r="S8" i="9"/>
  <c r="P8" i="9"/>
  <c r="O8" i="9"/>
  <c r="N8" i="9"/>
  <c r="M8" i="9"/>
  <c r="I8" i="9"/>
  <c r="Z7" i="9"/>
  <c r="Y7" i="9"/>
  <c r="W7" i="9"/>
  <c r="V7" i="9"/>
  <c r="P7" i="9"/>
  <c r="O7" i="9"/>
  <c r="N7" i="9"/>
  <c r="I7" i="9"/>
  <c r="M7" i="9" s="1"/>
  <c r="Z6" i="9"/>
  <c r="Y6" i="9"/>
  <c r="W6" i="9"/>
  <c r="V6" i="9"/>
  <c r="P6" i="9"/>
  <c r="O6" i="9"/>
  <c r="N6" i="9"/>
  <c r="I6" i="9"/>
  <c r="M6" i="9" s="1"/>
  <c r="Z5" i="9"/>
  <c r="Y5" i="9"/>
  <c r="W5" i="9"/>
  <c r="V5" i="9"/>
  <c r="P5" i="9"/>
  <c r="O5" i="9"/>
  <c r="N5" i="9"/>
  <c r="M5" i="9"/>
  <c r="I5" i="9"/>
  <c r="Z4" i="9"/>
  <c r="Y4" i="9"/>
  <c r="W4" i="9"/>
  <c r="V4" i="9"/>
  <c r="P4" i="9"/>
  <c r="O4" i="9"/>
  <c r="N4" i="9"/>
  <c r="I4" i="9"/>
  <c r="M4" i="9" s="1"/>
  <c r="P3" i="9"/>
  <c r="O3" i="9"/>
  <c r="N3" i="9"/>
  <c r="I3" i="9"/>
  <c r="M3" i="9" s="1"/>
  <c r="P2" i="9"/>
  <c r="O2" i="9"/>
  <c r="N2" i="9"/>
  <c r="I2" i="9"/>
  <c r="M2" i="9" s="1"/>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P97" i="8"/>
  <c r="O97" i="8"/>
  <c r="N97" i="8"/>
  <c r="I97" i="8"/>
  <c r="M97" i="8" s="1"/>
  <c r="B97" i="8"/>
  <c r="P96" i="8"/>
  <c r="O96" i="8"/>
  <c r="N96" i="8"/>
  <c r="M96" i="8"/>
  <c r="I96" i="8"/>
  <c r="P95" i="8"/>
  <c r="O95" i="8"/>
  <c r="N95" i="8"/>
  <c r="I95" i="8"/>
  <c r="M95" i="8" s="1"/>
  <c r="P94" i="8"/>
  <c r="O94" i="8"/>
  <c r="N94" i="8"/>
  <c r="M94" i="8"/>
  <c r="I94" i="8"/>
  <c r="P93" i="8"/>
  <c r="O93" i="8"/>
  <c r="N93" i="8"/>
  <c r="I93" i="8"/>
  <c r="M93" i="8" s="1"/>
  <c r="P92" i="8"/>
  <c r="O92" i="8"/>
  <c r="N92" i="8"/>
  <c r="I92" i="8"/>
  <c r="M92" i="8" s="1"/>
  <c r="B92" i="8"/>
  <c r="P91" i="8"/>
  <c r="O91" i="8"/>
  <c r="N91" i="8"/>
  <c r="I91" i="8"/>
  <c r="M91" i="8" s="1"/>
  <c r="P90" i="8"/>
  <c r="O90" i="8"/>
  <c r="N90" i="8"/>
  <c r="M90" i="8"/>
  <c r="I90" i="8"/>
  <c r="B90" i="8"/>
  <c r="P89" i="8"/>
  <c r="O89" i="8"/>
  <c r="N89" i="8"/>
  <c r="I89" i="8"/>
  <c r="M89" i="8" s="1"/>
  <c r="P88" i="8"/>
  <c r="O88" i="8"/>
  <c r="N88" i="8"/>
  <c r="I88" i="8"/>
  <c r="M88" i="8" s="1"/>
  <c r="P87" i="8"/>
  <c r="O87" i="8"/>
  <c r="N87" i="8"/>
  <c r="I87" i="8"/>
  <c r="M87" i="8" s="1"/>
  <c r="B87" i="8"/>
  <c r="P86" i="8"/>
  <c r="O86" i="8"/>
  <c r="N86" i="8"/>
  <c r="M86" i="8"/>
  <c r="I86" i="8"/>
  <c r="P85" i="8"/>
  <c r="O85" i="8"/>
  <c r="N85" i="8"/>
  <c r="M85" i="8"/>
  <c r="I85" i="8"/>
  <c r="B85" i="8"/>
  <c r="P84" i="8"/>
  <c r="O84" i="8"/>
  <c r="N84" i="8"/>
  <c r="M84" i="8"/>
  <c r="I84" i="8"/>
  <c r="B84" i="8"/>
  <c r="P83" i="8"/>
  <c r="O83" i="8"/>
  <c r="N83" i="8"/>
  <c r="M83" i="8"/>
  <c r="I83" i="8"/>
  <c r="P82" i="8"/>
  <c r="O82" i="8"/>
  <c r="N82" i="8"/>
  <c r="I82" i="8"/>
  <c r="M82" i="8" s="1"/>
  <c r="P81" i="8"/>
  <c r="O81" i="8"/>
  <c r="N81" i="8"/>
  <c r="M81" i="8"/>
  <c r="I81" i="8"/>
  <c r="P80" i="8"/>
  <c r="O80" i="8"/>
  <c r="N80" i="8"/>
  <c r="M80" i="8"/>
  <c r="I80" i="8"/>
  <c r="P79" i="8"/>
  <c r="O79" i="8"/>
  <c r="N79" i="8"/>
  <c r="I79" i="8"/>
  <c r="M79" i="8" s="1"/>
  <c r="P78" i="8"/>
  <c r="O78" i="8"/>
  <c r="N78" i="8"/>
  <c r="M78" i="8"/>
  <c r="I78" i="8"/>
  <c r="P77" i="8"/>
  <c r="O77" i="8"/>
  <c r="N77" i="8"/>
  <c r="I77" i="8"/>
  <c r="M77" i="8" s="1"/>
  <c r="P76" i="8"/>
  <c r="O76" i="8"/>
  <c r="N76" i="8"/>
  <c r="M76" i="8"/>
  <c r="I76" i="8"/>
  <c r="P75" i="8"/>
  <c r="O75" i="8"/>
  <c r="N75" i="8"/>
  <c r="I75" i="8"/>
  <c r="M75" i="8" s="1"/>
  <c r="P74" i="8"/>
  <c r="O74" i="8"/>
  <c r="N74" i="8"/>
  <c r="I74" i="8"/>
  <c r="M74" i="8" s="1"/>
  <c r="P73" i="8"/>
  <c r="O73" i="8"/>
  <c r="N73" i="8"/>
  <c r="M73" i="8"/>
  <c r="I73" i="8"/>
  <c r="P72" i="8"/>
  <c r="O72" i="8"/>
  <c r="N72" i="8"/>
  <c r="M72" i="8"/>
  <c r="I72" i="8"/>
  <c r="B72" i="8"/>
  <c r="P71" i="8"/>
  <c r="O71" i="8"/>
  <c r="N71" i="8"/>
  <c r="M71" i="8"/>
  <c r="I71" i="8"/>
  <c r="P70" i="8"/>
  <c r="O70" i="8"/>
  <c r="N70" i="8"/>
  <c r="I70" i="8"/>
  <c r="M70" i="8" s="1"/>
  <c r="P69" i="8"/>
  <c r="O69" i="8"/>
  <c r="N69" i="8"/>
  <c r="M69" i="8"/>
  <c r="I69" i="8"/>
  <c r="P68" i="8"/>
  <c r="O68" i="8"/>
  <c r="N68" i="8"/>
  <c r="I68" i="8"/>
  <c r="M68" i="8" s="1"/>
  <c r="P67" i="8"/>
  <c r="O67" i="8"/>
  <c r="N67" i="8"/>
  <c r="I67" i="8"/>
  <c r="M67" i="8" s="1"/>
  <c r="P66" i="8"/>
  <c r="O66" i="8"/>
  <c r="N66" i="8"/>
  <c r="M66" i="8"/>
  <c r="I66" i="8"/>
  <c r="P65" i="8"/>
  <c r="O65" i="8"/>
  <c r="N65" i="8"/>
  <c r="M65" i="8"/>
  <c r="I65" i="8"/>
  <c r="P64" i="8"/>
  <c r="O64" i="8"/>
  <c r="N64" i="8"/>
  <c r="I64" i="8"/>
  <c r="M64" i="8" s="1"/>
  <c r="P63" i="8"/>
  <c r="O63" i="8"/>
  <c r="N63" i="8"/>
  <c r="I63" i="8"/>
  <c r="M63" i="8" s="1"/>
  <c r="B63" i="8"/>
  <c r="P62" i="8"/>
  <c r="O62" i="8"/>
  <c r="N62" i="8"/>
  <c r="I62" i="8"/>
  <c r="M62" i="8" s="1"/>
  <c r="P61" i="8"/>
  <c r="O61" i="8"/>
  <c r="N61" i="8"/>
  <c r="M61" i="8"/>
  <c r="I61" i="8"/>
  <c r="B61" i="8"/>
  <c r="P60" i="8"/>
  <c r="O60" i="8"/>
  <c r="N60" i="8"/>
  <c r="M60" i="8"/>
  <c r="I60" i="8"/>
  <c r="P59" i="8"/>
  <c r="O59" i="8"/>
  <c r="N59" i="8"/>
  <c r="I59" i="8"/>
  <c r="M59" i="8" s="1"/>
  <c r="P58" i="8"/>
  <c r="O58" i="8"/>
  <c r="N58" i="8"/>
  <c r="I58" i="8"/>
  <c r="M58" i="8" s="1"/>
  <c r="P57" i="8"/>
  <c r="O57" i="8"/>
  <c r="N57" i="8"/>
  <c r="I57" i="8"/>
  <c r="M57" i="8" s="1"/>
  <c r="P56" i="8"/>
  <c r="O56" i="8"/>
  <c r="N56" i="8"/>
  <c r="M56" i="8"/>
  <c r="I56" i="8"/>
  <c r="P55" i="8"/>
  <c r="O55" i="8"/>
  <c r="N55" i="8"/>
  <c r="I55" i="8"/>
  <c r="M55" i="8" s="1"/>
  <c r="B55" i="8"/>
  <c r="P54" i="8"/>
  <c r="O54" i="8"/>
  <c r="N54" i="8"/>
  <c r="M54" i="8"/>
  <c r="I54" i="8"/>
  <c r="P53" i="8"/>
  <c r="O53" i="8"/>
  <c r="N53" i="8"/>
  <c r="I53" i="8"/>
  <c r="M53" i="8" s="1"/>
  <c r="P52" i="8"/>
  <c r="O52" i="8"/>
  <c r="N52" i="8"/>
  <c r="M52" i="8"/>
  <c r="I52" i="8"/>
  <c r="B52" i="8"/>
  <c r="P51" i="8"/>
  <c r="O51" i="8"/>
  <c r="N51" i="8"/>
  <c r="I51" i="8"/>
  <c r="M51" i="8" s="1"/>
  <c r="P50" i="8"/>
  <c r="O50" i="8"/>
  <c r="N50" i="8"/>
  <c r="M50" i="8"/>
  <c r="I50" i="8"/>
  <c r="P49" i="8"/>
  <c r="O49" i="8"/>
  <c r="N49" i="8"/>
  <c r="M49" i="8"/>
  <c r="I49" i="8"/>
  <c r="P48" i="8"/>
  <c r="O48" i="8"/>
  <c r="N48" i="8"/>
  <c r="M48" i="8"/>
  <c r="I48" i="8"/>
  <c r="P47" i="8"/>
  <c r="O47" i="8"/>
  <c r="N47" i="8"/>
  <c r="M47" i="8"/>
  <c r="I47" i="8"/>
  <c r="P46" i="8"/>
  <c r="O46" i="8"/>
  <c r="N46" i="8"/>
  <c r="I46" i="8"/>
  <c r="M46" i="8" s="1"/>
  <c r="P45" i="8"/>
  <c r="O45" i="8"/>
  <c r="N45" i="8"/>
  <c r="M45" i="8"/>
  <c r="I45" i="8"/>
  <c r="P44" i="8"/>
  <c r="O44" i="8"/>
  <c r="N44" i="8"/>
  <c r="I44" i="8"/>
  <c r="M44" i="8" s="1"/>
  <c r="P43" i="8"/>
  <c r="O43" i="8"/>
  <c r="N43" i="8"/>
  <c r="I43" i="8"/>
  <c r="M43" i="8" s="1"/>
  <c r="P42" i="8"/>
  <c r="O42" i="8"/>
  <c r="N42" i="8"/>
  <c r="M42" i="8"/>
  <c r="I42" i="8"/>
  <c r="P41" i="8"/>
  <c r="O41" i="8"/>
  <c r="N41" i="8"/>
  <c r="M41" i="8"/>
  <c r="I41" i="8"/>
  <c r="P40" i="8"/>
  <c r="O40" i="8"/>
  <c r="N40" i="8"/>
  <c r="I40" i="8"/>
  <c r="M40" i="8" s="1"/>
  <c r="P39" i="8"/>
  <c r="O39" i="8"/>
  <c r="N39" i="8"/>
  <c r="M39" i="8"/>
  <c r="I39" i="8"/>
  <c r="B39" i="8"/>
  <c r="P38" i="8"/>
  <c r="O38" i="8"/>
  <c r="N38" i="8"/>
  <c r="I38" i="8"/>
  <c r="M38" i="8" s="1"/>
  <c r="P37" i="8"/>
  <c r="O37" i="8"/>
  <c r="N37" i="8"/>
  <c r="M37" i="8"/>
  <c r="I37" i="8"/>
  <c r="P36" i="8"/>
  <c r="O36" i="8"/>
  <c r="N36" i="8"/>
  <c r="I36" i="8"/>
  <c r="M36" i="8" s="1"/>
  <c r="P35" i="8"/>
  <c r="O35" i="8"/>
  <c r="N35" i="8"/>
  <c r="M35" i="8"/>
  <c r="I35" i="8"/>
  <c r="P34" i="8"/>
  <c r="O34" i="8"/>
  <c r="N34" i="8"/>
  <c r="I34" i="8"/>
  <c r="M34" i="8" s="1"/>
  <c r="P33" i="8"/>
  <c r="O33" i="8"/>
  <c r="N33" i="8"/>
  <c r="I33" i="8"/>
  <c r="M33" i="8" s="1"/>
  <c r="P32" i="8"/>
  <c r="O32" i="8"/>
  <c r="N32" i="8"/>
  <c r="M32" i="8"/>
  <c r="I32" i="8"/>
  <c r="P31" i="8"/>
  <c r="O31" i="8"/>
  <c r="N31" i="8"/>
  <c r="I31" i="8"/>
  <c r="M31" i="8" s="1"/>
  <c r="P30" i="8"/>
  <c r="O30" i="8"/>
  <c r="N30" i="8"/>
  <c r="I30" i="8"/>
  <c r="M30" i="8" s="1"/>
  <c r="P29" i="8"/>
  <c r="O29" i="8"/>
  <c r="N29" i="8"/>
  <c r="I29" i="8"/>
  <c r="M29" i="8" s="1"/>
  <c r="P28" i="8"/>
  <c r="O28" i="8"/>
  <c r="N28" i="8"/>
  <c r="I28" i="8"/>
  <c r="M28" i="8" s="1"/>
  <c r="P27" i="8"/>
  <c r="O27" i="8"/>
  <c r="N27" i="8"/>
  <c r="I27" i="8"/>
  <c r="M27" i="8" s="1"/>
  <c r="Z26" i="8"/>
  <c r="Y26" i="8"/>
  <c r="W26" i="8"/>
  <c r="V26" i="8"/>
  <c r="P26" i="8"/>
  <c r="O26" i="8"/>
  <c r="N26" i="8"/>
  <c r="M26" i="8"/>
  <c r="I26" i="8"/>
  <c r="Z25" i="8"/>
  <c r="Y25" i="8"/>
  <c r="W25" i="8"/>
  <c r="V25" i="8"/>
  <c r="P25" i="8"/>
  <c r="O25" i="8"/>
  <c r="N25" i="8"/>
  <c r="M25" i="8"/>
  <c r="I25" i="8"/>
  <c r="Z24" i="8"/>
  <c r="Y24" i="8"/>
  <c r="W24" i="8"/>
  <c r="V24" i="8"/>
  <c r="P24" i="8"/>
  <c r="O24" i="8"/>
  <c r="N24" i="8"/>
  <c r="M24" i="8"/>
  <c r="I24" i="8"/>
  <c r="Z23" i="8"/>
  <c r="Y23" i="8"/>
  <c r="W23" i="8"/>
  <c r="V23" i="8"/>
  <c r="P23" i="8"/>
  <c r="O23" i="8"/>
  <c r="N23" i="8"/>
  <c r="I23" i="8"/>
  <c r="M23" i="8" s="1"/>
  <c r="Z22" i="8"/>
  <c r="Y22" i="8"/>
  <c r="W22" i="8"/>
  <c r="V22" i="8"/>
  <c r="P22" i="8"/>
  <c r="O22" i="8"/>
  <c r="N22" i="8"/>
  <c r="I22" i="8"/>
  <c r="M22" i="8" s="1"/>
  <c r="Z21" i="8"/>
  <c r="Y21" i="8"/>
  <c r="W21" i="8"/>
  <c r="V21" i="8"/>
  <c r="P21" i="8"/>
  <c r="O21" i="8"/>
  <c r="N21" i="8"/>
  <c r="M21" i="8"/>
  <c r="I21" i="8"/>
  <c r="B21" i="8"/>
  <c r="Z20" i="8"/>
  <c r="Y20" i="8"/>
  <c r="W20" i="8"/>
  <c r="V20" i="8"/>
  <c r="P20" i="8"/>
  <c r="O20" i="8"/>
  <c r="N20" i="8"/>
  <c r="I20" i="8"/>
  <c r="M20" i="8" s="1"/>
  <c r="Z19" i="8"/>
  <c r="Y19" i="8"/>
  <c r="W19" i="8"/>
  <c r="V19" i="8"/>
  <c r="P19" i="8"/>
  <c r="O19" i="8"/>
  <c r="N19" i="8"/>
  <c r="M19" i="8"/>
  <c r="I19" i="8"/>
  <c r="Z18" i="8"/>
  <c r="Y18" i="8"/>
  <c r="W18" i="8"/>
  <c r="V18" i="8"/>
  <c r="P18" i="8"/>
  <c r="O18" i="8"/>
  <c r="N18" i="8"/>
  <c r="M18" i="8"/>
  <c r="I18" i="8"/>
  <c r="Z17" i="8"/>
  <c r="Y17" i="8"/>
  <c r="W17" i="8"/>
  <c r="V17" i="8"/>
  <c r="P17" i="8"/>
  <c r="O17" i="8"/>
  <c r="N17" i="8"/>
  <c r="I17" i="8"/>
  <c r="M17" i="8" s="1"/>
  <c r="P16" i="8"/>
  <c r="O16" i="8"/>
  <c r="N16" i="8"/>
  <c r="I16" i="8"/>
  <c r="M16" i="8" s="1"/>
  <c r="P15" i="8"/>
  <c r="O15" i="8"/>
  <c r="N15" i="8"/>
  <c r="M15" i="8"/>
  <c r="I15" i="8"/>
  <c r="P14" i="8"/>
  <c r="O14" i="8"/>
  <c r="N14" i="8"/>
  <c r="M14" i="8"/>
  <c r="I14" i="8"/>
  <c r="AD13" i="8"/>
  <c r="AC13" i="8"/>
  <c r="Z13" i="8"/>
  <c r="Y13" i="8"/>
  <c r="W13" i="8"/>
  <c r="V13" i="8"/>
  <c r="T13" i="8"/>
  <c r="S13" i="8"/>
  <c r="P13" i="8"/>
  <c r="O13" i="8"/>
  <c r="N13" i="8"/>
  <c r="M13" i="8"/>
  <c r="I13" i="8"/>
  <c r="AD12" i="8"/>
  <c r="AC12" i="8"/>
  <c r="Z12" i="8"/>
  <c r="Y12" i="8"/>
  <c r="W12" i="8"/>
  <c r="V12" i="8"/>
  <c r="T12" i="8"/>
  <c r="S12" i="8"/>
  <c r="P12" i="8"/>
  <c r="O12" i="8"/>
  <c r="N12" i="8"/>
  <c r="I12" i="8"/>
  <c r="M12" i="8" s="1"/>
  <c r="AD11" i="8"/>
  <c r="AC11" i="8"/>
  <c r="Z11" i="8"/>
  <c r="Y11" i="8"/>
  <c r="W11" i="8"/>
  <c r="V11" i="8"/>
  <c r="T11" i="8"/>
  <c r="S11" i="8"/>
  <c r="P11" i="8"/>
  <c r="O11" i="8"/>
  <c r="N11" i="8"/>
  <c r="I11" i="8"/>
  <c r="M11" i="8" s="1"/>
  <c r="AD10" i="8"/>
  <c r="AC10" i="8"/>
  <c r="Z10" i="8"/>
  <c r="Y10" i="8"/>
  <c r="W10" i="8"/>
  <c r="V10" i="8"/>
  <c r="T10" i="8"/>
  <c r="S10" i="8"/>
  <c r="P10" i="8"/>
  <c r="O10" i="8"/>
  <c r="N10" i="8"/>
  <c r="M10" i="8"/>
  <c r="I10" i="8"/>
  <c r="AD9" i="8"/>
  <c r="AC9" i="8"/>
  <c r="Z9" i="8"/>
  <c r="Y9" i="8"/>
  <c r="W9" i="8"/>
  <c r="V9" i="8"/>
  <c r="T9" i="8"/>
  <c r="S9" i="8"/>
  <c r="P9" i="8"/>
  <c r="O9" i="8"/>
  <c r="N9" i="8"/>
  <c r="M9" i="8"/>
  <c r="I9" i="8"/>
  <c r="AD8" i="8"/>
  <c r="AC8" i="8"/>
  <c r="Z8" i="8"/>
  <c r="Y8" i="8"/>
  <c r="W8" i="8"/>
  <c r="V8" i="8"/>
  <c r="T8" i="8"/>
  <c r="S8" i="8"/>
  <c r="P8" i="8"/>
  <c r="O8" i="8"/>
  <c r="N8" i="8"/>
  <c r="I8" i="8"/>
  <c r="M8" i="8" s="1"/>
  <c r="Z7" i="8"/>
  <c r="Y7" i="8"/>
  <c r="W7" i="8"/>
  <c r="V7" i="8"/>
  <c r="P7" i="8"/>
  <c r="O7" i="8"/>
  <c r="N7" i="8"/>
  <c r="I7" i="8"/>
  <c r="M7" i="8" s="1"/>
  <c r="Z6" i="8"/>
  <c r="Y6" i="8"/>
  <c r="W6" i="8"/>
  <c r="V6" i="8"/>
  <c r="P6" i="8"/>
  <c r="O6" i="8"/>
  <c r="N6" i="8"/>
  <c r="M6" i="8"/>
  <c r="I6" i="8"/>
  <c r="Z5" i="8"/>
  <c r="Y5" i="8"/>
  <c r="W5" i="8"/>
  <c r="V5" i="8"/>
  <c r="P5" i="8"/>
  <c r="O5" i="8"/>
  <c r="N5" i="8"/>
  <c r="M5" i="8"/>
  <c r="I5" i="8"/>
  <c r="Z4" i="8"/>
  <c r="Y4" i="8"/>
  <c r="W4" i="8"/>
  <c r="V4" i="8"/>
  <c r="P4" i="8"/>
  <c r="O4" i="8"/>
  <c r="N4" i="8"/>
  <c r="M4" i="8"/>
  <c r="I4" i="8"/>
  <c r="P3" i="8"/>
  <c r="O3" i="8"/>
  <c r="N3" i="8"/>
  <c r="I3" i="8"/>
  <c r="M3" i="8" s="1"/>
  <c r="P2" i="8"/>
  <c r="O2" i="8"/>
  <c r="N2" i="8"/>
  <c r="M2" i="8"/>
  <c r="I2" i="8"/>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P94" i="7"/>
  <c r="O94" i="7"/>
  <c r="N94" i="7"/>
  <c r="I94" i="7"/>
  <c r="M94" i="7" s="1"/>
  <c r="P93" i="7"/>
  <c r="O93" i="7"/>
  <c r="N93" i="7"/>
  <c r="M93" i="7"/>
  <c r="I93" i="7"/>
  <c r="P92" i="7"/>
  <c r="O92" i="7"/>
  <c r="N92" i="7"/>
  <c r="M92" i="7"/>
  <c r="I92" i="7"/>
  <c r="P91" i="7"/>
  <c r="O91" i="7"/>
  <c r="N91" i="7"/>
  <c r="M91" i="7"/>
  <c r="I91" i="7"/>
  <c r="P90" i="7"/>
  <c r="O90" i="7"/>
  <c r="N90" i="7"/>
  <c r="M90" i="7"/>
  <c r="I90" i="7"/>
  <c r="P89" i="7"/>
  <c r="O89" i="7"/>
  <c r="N89" i="7"/>
  <c r="M89" i="7"/>
  <c r="I89" i="7"/>
  <c r="P88" i="7"/>
  <c r="O88" i="7"/>
  <c r="N88" i="7"/>
  <c r="I88" i="7"/>
  <c r="M88" i="7" s="1"/>
  <c r="P87" i="7"/>
  <c r="O87" i="7"/>
  <c r="N87" i="7"/>
  <c r="M87" i="7"/>
  <c r="I87" i="7"/>
  <c r="P86" i="7"/>
  <c r="O86" i="7"/>
  <c r="N86" i="7"/>
  <c r="I86" i="7"/>
  <c r="M86" i="7" s="1"/>
  <c r="P85" i="7"/>
  <c r="O85" i="7"/>
  <c r="N85" i="7"/>
  <c r="I85" i="7"/>
  <c r="M85" i="7" s="1"/>
  <c r="P84" i="7"/>
  <c r="O84" i="7"/>
  <c r="N84" i="7"/>
  <c r="M84" i="7"/>
  <c r="I84" i="7"/>
  <c r="P83" i="7"/>
  <c r="O83" i="7"/>
  <c r="N83" i="7"/>
  <c r="M83" i="7"/>
  <c r="I83" i="7"/>
  <c r="P82" i="7"/>
  <c r="O82" i="7"/>
  <c r="N82" i="7"/>
  <c r="M82" i="7"/>
  <c r="I82" i="7"/>
  <c r="P81" i="7"/>
  <c r="O81" i="7"/>
  <c r="N81" i="7"/>
  <c r="I81" i="7"/>
  <c r="M81" i="7" s="1"/>
  <c r="P80" i="7"/>
  <c r="O80" i="7"/>
  <c r="N80" i="7"/>
  <c r="M80" i="7"/>
  <c r="I80" i="7"/>
  <c r="P79" i="7"/>
  <c r="O79" i="7"/>
  <c r="N79" i="7"/>
  <c r="M79" i="7"/>
  <c r="I79" i="7"/>
  <c r="P78" i="7"/>
  <c r="O78" i="7"/>
  <c r="N78" i="7"/>
  <c r="I78" i="7"/>
  <c r="M78" i="7" s="1"/>
  <c r="P77" i="7"/>
  <c r="O77" i="7"/>
  <c r="N77" i="7"/>
  <c r="M77" i="7"/>
  <c r="I77" i="7"/>
  <c r="P76" i="7"/>
  <c r="O76" i="7"/>
  <c r="N76" i="7"/>
  <c r="M76" i="7"/>
  <c r="I76" i="7"/>
  <c r="P75" i="7"/>
  <c r="O75" i="7"/>
  <c r="N75" i="7"/>
  <c r="I75" i="7"/>
  <c r="P74" i="7"/>
  <c r="O74" i="7"/>
  <c r="N74" i="7"/>
  <c r="M74" i="7"/>
  <c r="I74" i="7"/>
  <c r="P73" i="7"/>
  <c r="O73" i="7"/>
  <c r="N73" i="7"/>
  <c r="I73" i="7"/>
  <c r="M73" i="7" s="1"/>
  <c r="P72" i="7"/>
  <c r="O72" i="7"/>
  <c r="N72" i="7"/>
  <c r="M72" i="7"/>
  <c r="I72" i="7"/>
  <c r="P71" i="7"/>
  <c r="O71" i="7"/>
  <c r="N71" i="7"/>
  <c r="I71" i="7"/>
  <c r="P70" i="7"/>
  <c r="O70" i="7"/>
  <c r="N70" i="7"/>
  <c r="M70" i="7"/>
  <c r="I70" i="7"/>
  <c r="P69" i="7"/>
  <c r="O69" i="7"/>
  <c r="N69" i="7"/>
  <c r="M69" i="7"/>
  <c r="I69" i="7"/>
  <c r="P68" i="7"/>
  <c r="O68" i="7"/>
  <c r="N68" i="7"/>
  <c r="M68" i="7"/>
  <c r="I68" i="7"/>
  <c r="M57" i="7" s="1"/>
  <c r="P67" i="7"/>
  <c r="O67" i="7"/>
  <c r="N67" i="7"/>
  <c r="I67" i="7"/>
  <c r="M67" i="7" s="1"/>
  <c r="P66" i="7"/>
  <c r="O66" i="7"/>
  <c r="N66" i="7"/>
  <c r="M66" i="7"/>
  <c r="I66" i="7"/>
  <c r="P65" i="7"/>
  <c r="O65" i="7"/>
  <c r="N65" i="7"/>
  <c r="I65" i="7"/>
  <c r="M65" i="7" s="1"/>
  <c r="P64" i="7"/>
  <c r="O64" i="7"/>
  <c r="N64" i="7"/>
  <c r="M64" i="7"/>
  <c r="I64" i="7"/>
  <c r="P63" i="7"/>
  <c r="O63" i="7"/>
  <c r="N63" i="7"/>
  <c r="M63" i="7"/>
  <c r="I63" i="7"/>
  <c r="P62" i="7"/>
  <c r="O62" i="7"/>
  <c r="N62" i="7"/>
  <c r="M62" i="7"/>
  <c r="I62" i="7"/>
  <c r="M51" i="7" s="1"/>
  <c r="P61" i="7"/>
  <c r="O61" i="7"/>
  <c r="N61" i="7"/>
  <c r="M61" i="7"/>
  <c r="I61" i="7"/>
  <c r="P60" i="7"/>
  <c r="O60" i="7"/>
  <c r="N60" i="7"/>
  <c r="I60" i="7"/>
  <c r="P59" i="7"/>
  <c r="O59" i="7"/>
  <c r="N59" i="7"/>
  <c r="I59" i="7"/>
  <c r="M59" i="7" s="1"/>
  <c r="P58" i="7"/>
  <c r="O58" i="7"/>
  <c r="N58" i="7"/>
  <c r="M58" i="7"/>
  <c r="I58" i="7"/>
  <c r="P57" i="7"/>
  <c r="O57" i="7"/>
  <c r="N57" i="7"/>
  <c r="I57" i="7"/>
  <c r="P56" i="7"/>
  <c r="O56" i="7"/>
  <c r="N56" i="7"/>
  <c r="M56" i="7"/>
  <c r="I56" i="7"/>
  <c r="P55" i="7"/>
  <c r="O55" i="7"/>
  <c r="N55" i="7"/>
  <c r="M55" i="7"/>
  <c r="I55" i="7"/>
  <c r="P54" i="7"/>
  <c r="O54" i="7"/>
  <c r="N54" i="7"/>
  <c r="M54" i="7"/>
  <c r="I54" i="7"/>
  <c r="M43" i="7" s="1"/>
  <c r="P53" i="7"/>
  <c r="O53" i="7"/>
  <c r="N53" i="7"/>
  <c r="I53" i="7"/>
  <c r="M53" i="7" s="1"/>
  <c r="P52" i="7"/>
  <c r="O52" i="7"/>
  <c r="N52" i="7"/>
  <c r="M52" i="7"/>
  <c r="I52" i="7"/>
  <c r="P51" i="7"/>
  <c r="O51" i="7"/>
  <c r="N51" i="7"/>
  <c r="I51" i="7"/>
  <c r="M40" i="7" s="1"/>
  <c r="P50" i="7"/>
  <c r="O50" i="7"/>
  <c r="N50" i="7"/>
  <c r="I50" i="7"/>
  <c r="M50" i="7" s="1"/>
  <c r="P49" i="7"/>
  <c r="O49" i="7"/>
  <c r="N49" i="7"/>
  <c r="I49" i="7"/>
  <c r="P48" i="7"/>
  <c r="O48" i="7"/>
  <c r="N48" i="7"/>
  <c r="I48" i="7"/>
  <c r="M37" i="7" s="1"/>
  <c r="P47" i="7"/>
  <c r="O47" i="7"/>
  <c r="N47" i="7"/>
  <c r="M47" i="7"/>
  <c r="I47" i="7"/>
  <c r="M36" i="7" s="1"/>
  <c r="P46" i="7"/>
  <c r="O46" i="7"/>
  <c r="N46" i="7"/>
  <c r="M46" i="7"/>
  <c r="I46" i="7"/>
  <c r="P45" i="7"/>
  <c r="O45" i="7"/>
  <c r="N45" i="7"/>
  <c r="I45" i="7"/>
  <c r="M45" i="7" s="1"/>
  <c r="P44" i="7"/>
  <c r="O44" i="7"/>
  <c r="N44" i="7"/>
  <c r="M44" i="7"/>
  <c r="I44" i="7"/>
  <c r="P43" i="7"/>
  <c r="O43" i="7"/>
  <c r="N43" i="7"/>
  <c r="I43" i="7"/>
  <c r="P42" i="7"/>
  <c r="O42" i="7"/>
  <c r="N42" i="7"/>
  <c r="M42" i="7"/>
  <c r="I42" i="7"/>
  <c r="P41" i="7"/>
  <c r="O41" i="7"/>
  <c r="N41" i="7"/>
  <c r="M41" i="7"/>
  <c r="I41" i="7"/>
  <c r="P40" i="7"/>
  <c r="O40" i="7"/>
  <c r="N40" i="7"/>
  <c r="I40" i="7"/>
  <c r="M29" i="7" s="1"/>
  <c r="P39" i="7"/>
  <c r="O39" i="7"/>
  <c r="N39" i="7"/>
  <c r="M39" i="7"/>
  <c r="I39" i="7"/>
  <c r="P38" i="7"/>
  <c r="O38" i="7"/>
  <c r="N38" i="7"/>
  <c r="I38" i="7"/>
  <c r="P37" i="7"/>
  <c r="O37" i="7"/>
  <c r="N37" i="7"/>
  <c r="I37" i="7"/>
  <c r="P36" i="7"/>
  <c r="O36" i="7"/>
  <c r="N36" i="7"/>
  <c r="I36" i="7"/>
  <c r="P35" i="7"/>
  <c r="O35" i="7"/>
  <c r="N35" i="7"/>
  <c r="M35" i="7"/>
  <c r="I35" i="7"/>
  <c r="P34" i="7"/>
  <c r="O34" i="7"/>
  <c r="N34" i="7"/>
  <c r="M34" i="7"/>
  <c r="I34" i="7"/>
  <c r="P33" i="7"/>
  <c r="O33" i="7"/>
  <c r="N33" i="7"/>
  <c r="M33" i="7"/>
  <c r="I33" i="7"/>
  <c r="P32" i="7"/>
  <c r="O32" i="7"/>
  <c r="N32" i="7"/>
  <c r="M32" i="7"/>
  <c r="I32" i="7"/>
  <c r="P31" i="7"/>
  <c r="O31" i="7"/>
  <c r="N31" i="7"/>
  <c r="I31" i="7"/>
  <c r="M31" i="7" s="1"/>
  <c r="P30" i="7"/>
  <c r="O30" i="7"/>
  <c r="N30" i="7"/>
  <c r="M30" i="7"/>
  <c r="I30" i="7"/>
  <c r="P29" i="7"/>
  <c r="O29" i="7"/>
  <c r="N29" i="7"/>
  <c r="I29" i="7"/>
  <c r="P28" i="7"/>
  <c r="O28" i="7"/>
  <c r="N28" i="7"/>
  <c r="I28" i="7"/>
  <c r="M28" i="7" s="1"/>
  <c r="P27" i="7"/>
  <c r="O27" i="7"/>
  <c r="N27" i="7"/>
  <c r="M27" i="7"/>
  <c r="I27" i="7"/>
  <c r="Z26" i="7"/>
  <c r="Y26" i="7"/>
  <c r="W26" i="7"/>
  <c r="V26" i="7"/>
  <c r="P26" i="7"/>
  <c r="O26" i="7"/>
  <c r="N26" i="7"/>
  <c r="M26" i="7"/>
  <c r="I26" i="7"/>
  <c r="Z25" i="7"/>
  <c r="Y25" i="7"/>
  <c r="W25" i="7"/>
  <c r="V25" i="7"/>
  <c r="P25" i="7"/>
  <c r="O25" i="7"/>
  <c r="N25" i="7"/>
  <c r="I25" i="7"/>
  <c r="Z24" i="7"/>
  <c r="Y24" i="7"/>
  <c r="W24" i="7"/>
  <c r="V24" i="7"/>
  <c r="P24" i="7"/>
  <c r="O24" i="7"/>
  <c r="N24" i="7"/>
  <c r="M24" i="7"/>
  <c r="I24" i="7"/>
  <c r="Z23" i="7"/>
  <c r="Y23" i="7"/>
  <c r="W23" i="7"/>
  <c r="V23" i="7"/>
  <c r="P23" i="7"/>
  <c r="O23" i="7"/>
  <c r="N23" i="7"/>
  <c r="I23" i="7"/>
  <c r="M23" i="7" s="1"/>
  <c r="Z22" i="7"/>
  <c r="Y22" i="7"/>
  <c r="W22" i="7"/>
  <c r="V22" i="7"/>
  <c r="P22" i="7"/>
  <c r="O22" i="7"/>
  <c r="N22" i="7"/>
  <c r="I22" i="7"/>
  <c r="M22" i="7" s="1"/>
  <c r="Z21" i="7"/>
  <c r="Y21" i="7"/>
  <c r="W21" i="7"/>
  <c r="V21" i="7"/>
  <c r="P21" i="7"/>
  <c r="O21" i="7"/>
  <c r="N21" i="7"/>
  <c r="I21" i="7"/>
  <c r="M21" i="7" s="1"/>
  <c r="Z20" i="7"/>
  <c r="Y20" i="7"/>
  <c r="W20" i="7"/>
  <c r="V20" i="7"/>
  <c r="P20" i="7"/>
  <c r="O20" i="7"/>
  <c r="N20" i="7"/>
  <c r="I20" i="7"/>
  <c r="M20" i="7" s="1"/>
  <c r="Z19" i="7"/>
  <c r="Y19" i="7"/>
  <c r="W19" i="7"/>
  <c r="V19" i="7"/>
  <c r="P19" i="7"/>
  <c r="O19" i="7"/>
  <c r="N19" i="7"/>
  <c r="I19" i="7"/>
  <c r="M19" i="7" s="1"/>
  <c r="Z18" i="7"/>
  <c r="Y18" i="7"/>
  <c r="W18" i="7"/>
  <c r="V18" i="7"/>
  <c r="P18" i="7"/>
  <c r="O18" i="7"/>
  <c r="N18" i="7"/>
  <c r="I18" i="7"/>
  <c r="M18" i="7" s="1"/>
  <c r="Z17" i="7"/>
  <c r="Y17" i="7"/>
  <c r="W17" i="7"/>
  <c r="V17" i="7"/>
  <c r="P17" i="7"/>
  <c r="O17" i="7"/>
  <c r="N17" i="7"/>
  <c r="M17" i="7"/>
  <c r="I17" i="7"/>
  <c r="P16" i="7"/>
  <c r="O16" i="7"/>
  <c r="N16" i="7"/>
  <c r="M16" i="7"/>
  <c r="I16" i="7"/>
  <c r="P15" i="7"/>
  <c r="O15" i="7"/>
  <c r="N15" i="7"/>
  <c r="I15" i="7"/>
  <c r="M15" i="7" s="1"/>
  <c r="P14" i="7"/>
  <c r="O14" i="7"/>
  <c r="N14" i="7"/>
  <c r="I14" i="7"/>
  <c r="AD13" i="7"/>
  <c r="AC13" i="7"/>
  <c r="Z13" i="7"/>
  <c r="Y13" i="7"/>
  <c r="W13" i="7"/>
  <c r="V13" i="7"/>
  <c r="T13" i="7"/>
  <c r="S13" i="7"/>
  <c r="P13" i="7"/>
  <c r="O13" i="7"/>
  <c r="N13" i="7"/>
  <c r="I13" i="7"/>
  <c r="M13" i="7" s="1"/>
  <c r="AD12" i="7"/>
  <c r="AC12" i="7"/>
  <c r="Z12" i="7"/>
  <c r="Y12" i="7"/>
  <c r="W12" i="7"/>
  <c r="V12" i="7"/>
  <c r="T12" i="7"/>
  <c r="S12" i="7"/>
  <c r="P12" i="7"/>
  <c r="O12" i="7"/>
  <c r="N12" i="7"/>
  <c r="M12" i="7"/>
  <c r="I12" i="7"/>
  <c r="M10" i="7" s="1"/>
  <c r="AD11" i="7"/>
  <c r="AC11" i="7"/>
  <c r="Z11" i="7"/>
  <c r="Y11" i="7"/>
  <c r="W11" i="7"/>
  <c r="V11" i="7"/>
  <c r="T11" i="7"/>
  <c r="S11" i="7"/>
  <c r="P11" i="7"/>
  <c r="O11" i="7"/>
  <c r="N11" i="7"/>
  <c r="M11" i="7"/>
  <c r="I11" i="7"/>
  <c r="AD10" i="7"/>
  <c r="AC10" i="7"/>
  <c r="Z10" i="7"/>
  <c r="Y10" i="7"/>
  <c r="W10" i="7"/>
  <c r="V10" i="7"/>
  <c r="T10" i="7"/>
  <c r="S10" i="7"/>
  <c r="P10" i="7"/>
  <c r="O10" i="7"/>
  <c r="N10" i="7"/>
  <c r="I10" i="7"/>
  <c r="AD9" i="7"/>
  <c r="AC9" i="7"/>
  <c r="Z9" i="7"/>
  <c r="Y9" i="7"/>
  <c r="W9" i="7"/>
  <c r="V9" i="7"/>
  <c r="T9" i="7"/>
  <c r="S9" i="7"/>
  <c r="P9" i="7"/>
  <c r="O9" i="7"/>
  <c r="N9" i="7"/>
  <c r="I9" i="7"/>
  <c r="M9" i="7" s="1"/>
  <c r="AD8" i="7"/>
  <c r="AC8" i="7"/>
  <c r="Z8" i="7"/>
  <c r="Y8" i="7"/>
  <c r="W8" i="7"/>
  <c r="V8" i="7"/>
  <c r="T8" i="7"/>
  <c r="S8" i="7"/>
  <c r="P8" i="7"/>
  <c r="O8" i="7"/>
  <c r="N8" i="7"/>
  <c r="M8" i="7"/>
  <c r="I8" i="7"/>
  <c r="Z7" i="7"/>
  <c r="Y7" i="7"/>
  <c r="W7" i="7"/>
  <c r="V7" i="7"/>
  <c r="P7" i="7"/>
  <c r="O7" i="7"/>
  <c r="N7" i="7"/>
  <c r="M7" i="7"/>
  <c r="I7" i="7"/>
  <c r="Z6" i="7"/>
  <c r="Y6" i="7"/>
  <c r="W6" i="7"/>
  <c r="V6" i="7"/>
  <c r="P6" i="7"/>
  <c r="O6" i="7"/>
  <c r="N6" i="7"/>
  <c r="I6" i="7"/>
  <c r="M6" i="7" s="1"/>
  <c r="Z5" i="7"/>
  <c r="Y5" i="7"/>
  <c r="W5" i="7"/>
  <c r="V5" i="7"/>
  <c r="P5" i="7"/>
  <c r="O5" i="7"/>
  <c r="N5" i="7"/>
  <c r="I5" i="7"/>
  <c r="M5" i="7" s="1"/>
  <c r="Z4" i="7"/>
  <c r="Y4" i="7"/>
  <c r="W4" i="7"/>
  <c r="V4" i="7"/>
  <c r="P4" i="7"/>
  <c r="O4" i="7"/>
  <c r="N4" i="7"/>
  <c r="M4" i="7"/>
  <c r="I4" i="7"/>
  <c r="P3" i="7"/>
  <c r="O3" i="7"/>
  <c r="N3" i="7"/>
  <c r="I3" i="7"/>
  <c r="M3" i="7" s="1"/>
  <c r="P2" i="7"/>
  <c r="O2" i="7"/>
  <c r="N2" i="7"/>
  <c r="I2" i="7"/>
  <c r="M2" i="7" s="1"/>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P97" i="6"/>
  <c r="O97" i="6"/>
  <c r="N97" i="6"/>
  <c r="M97" i="6"/>
  <c r="I97" i="6"/>
  <c r="P96" i="6"/>
  <c r="O96" i="6"/>
  <c r="N96" i="6"/>
  <c r="M96" i="6"/>
  <c r="I96" i="6"/>
  <c r="P95" i="6"/>
  <c r="O95" i="6"/>
  <c r="N95" i="6"/>
  <c r="I95" i="6"/>
  <c r="M95" i="6" s="1"/>
  <c r="P94" i="6"/>
  <c r="O94" i="6"/>
  <c r="N94" i="6"/>
  <c r="M94" i="6"/>
  <c r="I94" i="6"/>
  <c r="P93" i="6"/>
  <c r="O93" i="6"/>
  <c r="N93" i="6"/>
  <c r="M93" i="6"/>
  <c r="I93" i="6"/>
  <c r="P92" i="6"/>
  <c r="O92" i="6"/>
  <c r="N92" i="6"/>
  <c r="I92" i="6"/>
  <c r="M92" i="6" s="1"/>
  <c r="P91" i="6"/>
  <c r="O91" i="6"/>
  <c r="N91" i="6"/>
  <c r="I91" i="6"/>
  <c r="M91" i="6" s="1"/>
  <c r="P90" i="6"/>
  <c r="O90" i="6"/>
  <c r="N90" i="6"/>
  <c r="M90" i="6"/>
  <c r="I90" i="6"/>
  <c r="P89" i="6"/>
  <c r="O89" i="6"/>
  <c r="N89" i="6"/>
  <c r="M89" i="6"/>
  <c r="I89" i="6"/>
  <c r="P88" i="6"/>
  <c r="O88" i="6"/>
  <c r="N88" i="6"/>
  <c r="I88" i="6"/>
  <c r="M88" i="6" s="1"/>
  <c r="P87" i="6"/>
  <c r="O87" i="6"/>
  <c r="N87" i="6"/>
  <c r="I87" i="6"/>
  <c r="M87" i="6" s="1"/>
  <c r="P86" i="6"/>
  <c r="O86" i="6"/>
  <c r="N86" i="6"/>
  <c r="I86" i="6"/>
  <c r="M86" i="6" s="1"/>
  <c r="P85" i="6"/>
  <c r="O85" i="6"/>
  <c r="N85" i="6"/>
  <c r="M85" i="6"/>
  <c r="I85" i="6"/>
  <c r="P84" i="6"/>
  <c r="O84" i="6"/>
  <c r="N84" i="6"/>
  <c r="I84" i="6"/>
  <c r="M84" i="6" s="1"/>
  <c r="P83" i="6"/>
  <c r="O83" i="6"/>
  <c r="N83" i="6"/>
  <c r="M83" i="6"/>
  <c r="I83" i="6"/>
  <c r="P82" i="6"/>
  <c r="O82" i="6"/>
  <c r="N82" i="6"/>
  <c r="I82" i="6"/>
  <c r="M82" i="6" s="1"/>
  <c r="P81" i="6"/>
  <c r="O81" i="6"/>
  <c r="N81" i="6"/>
  <c r="M81" i="6"/>
  <c r="I81" i="6"/>
  <c r="P80" i="6"/>
  <c r="O80" i="6"/>
  <c r="N80" i="6"/>
  <c r="I80" i="6"/>
  <c r="M80" i="6" s="1"/>
  <c r="P79" i="6"/>
  <c r="O79" i="6"/>
  <c r="N79" i="6"/>
  <c r="I79" i="6"/>
  <c r="M79" i="6" s="1"/>
  <c r="P78" i="6"/>
  <c r="O78" i="6"/>
  <c r="N78" i="6"/>
  <c r="I78" i="6"/>
  <c r="M78" i="6" s="1"/>
  <c r="P77" i="6"/>
  <c r="O77" i="6"/>
  <c r="N77" i="6"/>
  <c r="M77" i="6"/>
  <c r="I77" i="6"/>
  <c r="P76" i="6"/>
  <c r="O76" i="6"/>
  <c r="N76" i="6"/>
  <c r="I76" i="6"/>
  <c r="M76" i="6" s="1"/>
  <c r="P75" i="6"/>
  <c r="O75" i="6"/>
  <c r="N75" i="6"/>
  <c r="I75" i="6"/>
  <c r="M75" i="6" s="1"/>
  <c r="P74" i="6"/>
  <c r="O74" i="6"/>
  <c r="N74" i="6"/>
  <c r="M74" i="6"/>
  <c r="I74" i="6"/>
  <c r="P73" i="6"/>
  <c r="O73" i="6"/>
  <c r="N73" i="6"/>
  <c r="M73" i="6"/>
  <c r="I73" i="6"/>
  <c r="P72" i="6"/>
  <c r="O72" i="6"/>
  <c r="N72" i="6"/>
  <c r="I72" i="6"/>
  <c r="M72" i="6" s="1"/>
  <c r="P71" i="6"/>
  <c r="O71" i="6"/>
  <c r="N71" i="6"/>
  <c r="M71" i="6"/>
  <c r="I71" i="6"/>
  <c r="P70" i="6"/>
  <c r="O70" i="6"/>
  <c r="N70" i="6"/>
  <c r="I70" i="6"/>
  <c r="M70" i="6" s="1"/>
  <c r="P69" i="6"/>
  <c r="O69" i="6"/>
  <c r="N69" i="6"/>
  <c r="M69" i="6"/>
  <c r="I69" i="6"/>
  <c r="P68" i="6"/>
  <c r="O68" i="6"/>
  <c r="N68" i="6"/>
  <c r="I68" i="6"/>
  <c r="M68" i="6" s="1"/>
  <c r="P67" i="6"/>
  <c r="O67" i="6"/>
  <c r="N67" i="6"/>
  <c r="I67" i="6"/>
  <c r="M67" i="6" s="1"/>
  <c r="P66" i="6"/>
  <c r="O66" i="6"/>
  <c r="N66" i="6"/>
  <c r="M66" i="6"/>
  <c r="I66" i="6"/>
  <c r="P65" i="6"/>
  <c r="O65" i="6"/>
  <c r="N65" i="6"/>
  <c r="M65" i="6"/>
  <c r="I65" i="6"/>
  <c r="P64" i="6"/>
  <c r="O64" i="6"/>
  <c r="N64" i="6"/>
  <c r="M64" i="6"/>
  <c r="I64" i="6"/>
  <c r="P63" i="6"/>
  <c r="O63" i="6"/>
  <c r="N63" i="6"/>
  <c r="I63" i="6"/>
  <c r="M63" i="6" s="1"/>
  <c r="P62" i="6"/>
  <c r="O62" i="6"/>
  <c r="N62" i="6"/>
  <c r="I62" i="6"/>
  <c r="M62" i="6" s="1"/>
  <c r="P61" i="6"/>
  <c r="O61" i="6"/>
  <c r="N61" i="6"/>
  <c r="M61" i="6"/>
  <c r="I61" i="6"/>
  <c r="P60" i="6"/>
  <c r="O60" i="6"/>
  <c r="N60" i="6"/>
  <c r="M60" i="6"/>
  <c r="I60" i="6"/>
  <c r="P59" i="6"/>
  <c r="O59" i="6"/>
  <c r="N59" i="6"/>
  <c r="I59" i="6"/>
  <c r="M59" i="6" s="1"/>
  <c r="P58" i="6"/>
  <c r="O58" i="6"/>
  <c r="N58" i="6"/>
  <c r="M58" i="6"/>
  <c r="I58" i="6"/>
  <c r="P57" i="6"/>
  <c r="O57" i="6"/>
  <c r="N57" i="6"/>
  <c r="M57" i="6"/>
  <c r="I57" i="6"/>
  <c r="P56" i="6"/>
  <c r="O56" i="6"/>
  <c r="N56" i="6"/>
  <c r="I56" i="6"/>
  <c r="M56" i="6" s="1"/>
  <c r="P55" i="6"/>
  <c r="O55" i="6"/>
  <c r="N55" i="6"/>
  <c r="M55" i="6"/>
  <c r="I55" i="6"/>
  <c r="P54" i="6"/>
  <c r="O54" i="6"/>
  <c r="N54" i="6"/>
  <c r="I54" i="6"/>
  <c r="M54" i="6" s="1"/>
  <c r="P53" i="6"/>
  <c r="O53" i="6"/>
  <c r="N53" i="6"/>
  <c r="I53" i="6"/>
  <c r="M53" i="6" s="1"/>
  <c r="P52" i="6"/>
  <c r="O52" i="6"/>
  <c r="N52" i="6"/>
  <c r="M52" i="6"/>
  <c r="I52" i="6"/>
  <c r="P51" i="6"/>
  <c r="O51" i="6"/>
  <c r="N51" i="6"/>
  <c r="M51" i="6"/>
  <c r="I51" i="6"/>
  <c r="P50" i="6"/>
  <c r="O50" i="6"/>
  <c r="N50" i="6"/>
  <c r="M50" i="6"/>
  <c r="I50" i="6"/>
  <c r="P49" i="6"/>
  <c r="O49" i="6"/>
  <c r="N49" i="6"/>
  <c r="I49" i="6"/>
  <c r="M49" i="6" s="1"/>
  <c r="P48" i="6"/>
  <c r="O48" i="6"/>
  <c r="N48" i="6"/>
  <c r="I48" i="6"/>
  <c r="M48" i="6" s="1"/>
  <c r="P47" i="6"/>
  <c r="O47" i="6"/>
  <c r="N47" i="6"/>
  <c r="M47" i="6"/>
  <c r="I47" i="6"/>
  <c r="P46" i="6"/>
  <c r="O46" i="6"/>
  <c r="N46" i="6"/>
  <c r="I46" i="6"/>
  <c r="M46" i="6" s="1"/>
  <c r="P45" i="6"/>
  <c r="O45" i="6"/>
  <c r="N45" i="6"/>
  <c r="I45" i="6"/>
  <c r="M45" i="6" s="1"/>
  <c r="P44" i="6"/>
  <c r="O44" i="6"/>
  <c r="N44" i="6"/>
  <c r="M44" i="6"/>
  <c r="I44" i="6"/>
  <c r="P43" i="6"/>
  <c r="O43" i="6"/>
  <c r="N43" i="6"/>
  <c r="M43" i="6"/>
  <c r="I43" i="6"/>
  <c r="P42" i="6"/>
  <c r="O42" i="6"/>
  <c r="N42" i="6"/>
  <c r="I42" i="6"/>
  <c r="M42" i="6" s="1"/>
  <c r="P41" i="6"/>
  <c r="O41" i="6"/>
  <c r="N41" i="6"/>
  <c r="M41" i="6"/>
  <c r="I41" i="6"/>
  <c r="P40" i="6"/>
  <c r="O40" i="6"/>
  <c r="N40" i="6"/>
  <c r="I40" i="6"/>
  <c r="M40" i="6" s="1"/>
  <c r="P39" i="6"/>
  <c r="O39" i="6"/>
  <c r="N39" i="6"/>
  <c r="I39" i="6"/>
  <c r="M39" i="6" s="1"/>
  <c r="P38" i="6"/>
  <c r="O38" i="6"/>
  <c r="N38" i="6"/>
  <c r="M38" i="6"/>
  <c r="I38" i="6"/>
  <c r="P37" i="6"/>
  <c r="O37" i="6"/>
  <c r="N37" i="6"/>
  <c r="M37" i="6"/>
  <c r="I37" i="6"/>
  <c r="P36" i="6"/>
  <c r="O36" i="6"/>
  <c r="N36" i="6"/>
  <c r="I36" i="6"/>
  <c r="M36" i="6" s="1"/>
  <c r="P35" i="6"/>
  <c r="O35" i="6"/>
  <c r="N35" i="6"/>
  <c r="M35" i="6"/>
  <c r="I35" i="6"/>
  <c r="P34" i="6"/>
  <c r="O34" i="6"/>
  <c r="N34" i="6"/>
  <c r="I34" i="6"/>
  <c r="M34" i="6" s="1"/>
  <c r="P33" i="6"/>
  <c r="O33" i="6"/>
  <c r="N33" i="6"/>
  <c r="I33" i="6"/>
  <c r="M33" i="6" s="1"/>
  <c r="P32" i="6"/>
  <c r="O32" i="6"/>
  <c r="N32" i="6"/>
  <c r="M32" i="6"/>
  <c r="I32" i="6"/>
  <c r="P31" i="6"/>
  <c r="O31" i="6"/>
  <c r="N31" i="6"/>
  <c r="M31" i="6"/>
  <c r="I31" i="6"/>
  <c r="P30" i="6"/>
  <c r="O30" i="6"/>
  <c r="N30" i="6"/>
  <c r="I30" i="6"/>
  <c r="M30" i="6" s="1"/>
  <c r="P29" i="6"/>
  <c r="O29" i="6"/>
  <c r="N29" i="6"/>
  <c r="M29" i="6"/>
  <c r="I29" i="6"/>
  <c r="P28" i="6"/>
  <c r="O28" i="6"/>
  <c r="N28" i="6"/>
  <c r="M28" i="6"/>
  <c r="I28" i="6"/>
  <c r="P27" i="6"/>
  <c r="O27" i="6"/>
  <c r="N27" i="6"/>
  <c r="I27" i="6"/>
  <c r="M27" i="6" s="1"/>
  <c r="Z26" i="6"/>
  <c r="Y26" i="6"/>
  <c r="W26" i="6"/>
  <c r="V26" i="6"/>
  <c r="P26" i="6"/>
  <c r="O26" i="6"/>
  <c r="N26" i="6"/>
  <c r="M26" i="6"/>
  <c r="I26" i="6"/>
  <c r="Z25" i="6"/>
  <c r="Y25" i="6"/>
  <c r="W25" i="6"/>
  <c r="V25" i="6"/>
  <c r="P25" i="6"/>
  <c r="O25" i="6"/>
  <c r="N25" i="6"/>
  <c r="M25" i="6"/>
  <c r="I25" i="6"/>
  <c r="Z24" i="6"/>
  <c r="Y24" i="6"/>
  <c r="W24" i="6"/>
  <c r="V24" i="6"/>
  <c r="P24" i="6"/>
  <c r="O24" i="6"/>
  <c r="N24" i="6"/>
  <c r="M24" i="6"/>
  <c r="I24" i="6"/>
  <c r="Z23" i="6"/>
  <c r="Y23" i="6"/>
  <c r="W23" i="6"/>
  <c r="V23" i="6"/>
  <c r="P23" i="6"/>
  <c r="O23" i="6"/>
  <c r="N23" i="6"/>
  <c r="M23" i="6"/>
  <c r="I23" i="6"/>
  <c r="Z22" i="6"/>
  <c r="Y22" i="6"/>
  <c r="W22" i="6"/>
  <c r="V22" i="6"/>
  <c r="P22" i="6"/>
  <c r="O22" i="6"/>
  <c r="N22" i="6"/>
  <c r="M22" i="6"/>
  <c r="I22" i="6"/>
  <c r="Z21" i="6"/>
  <c r="Y21" i="6"/>
  <c r="W21" i="6"/>
  <c r="V21" i="6"/>
  <c r="P21" i="6"/>
  <c r="O21" i="6"/>
  <c r="N21" i="6"/>
  <c r="M21" i="6"/>
  <c r="I21" i="6"/>
  <c r="Z20" i="6"/>
  <c r="Y20" i="6"/>
  <c r="W20" i="6"/>
  <c r="V20" i="6"/>
  <c r="P20" i="6"/>
  <c r="O20" i="6"/>
  <c r="N20" i="6"/>
  <c r="M20" i="6"/>
  <c r="I20" i="6"/>
  <c r="Z19" i="6"/>
  <c r="Y19" i="6"/>
  <c r="W19" i="6"/>
  <c r="V19" i="6"/>
  <c r="P19" i="6"/>
  <c r="O19" i="6"/>
  <c r="N19" i="6"/>
  <c r="M19" i="6"/>
  <c r="I19" i="6"/>
  <c r="Z18" i="6"/>
  <c r="Y18" i="6"/>
  <c r="W18" i="6"/>
  <c r="V18" i="6"/>
  <c r="P18" i="6"/>
  <c r="O18" i="6"/>
  <c r="N18" i="6"/>
  <c r="M18" i="6"/>
  <c r="I18" i="6"/>
  <c r="Z17" i="6"/>
  <c r="Y17" i="6"/>
  <c r="W17" i="6"/>
  <c r="V17" i="6"/>
  <c r="P17" i="6"/>
  <c r="O17" i="6"/>
  <c r="N17" i="6"/>
  <c r="M17" i="6"/>
  <c r="I17" i="6"/>
  <c r="P16" i="6"/>
  <c r="O16" i="6"/>
  <c r="N16" i="6"/>
  <c r="I16" i="6"/>
  <c r="M16" i="6" s="1"/>
  <c r="P15" i="6"/>
  <c r="O15" i="6"/>
  <c r="N15" i="6"/>
  <c r="M15" i="6"/>
  <c r="I15" i="6"/>
  <c r="P14" i="6"/>
  <c r="O14" i="6"/>
  <c r="N14" i="6"/>
  <c r="M14" i="6"/>
  <c r="I14" i="6"/>
  <c r="AD13" i="6"/>
  <c r="AC13" i="6"/>
  <c r="Z13" i="6"/>
  <c r="Y13" i="6"/>
  <c r="W13" i="6"/>
  <c r="V13" i="6"/>
  <c r="T13" i="6"/>
  <c r="S13" i="6"/>
  <c r="P13" i="6"/>
  <c r="O13" i="6"/>
  <c r="N13" i="6"/>
  <c r="M13" i="6"/>
  <c r="I13" i="6"/>
  <c r="AD12" i="6"/>
  <c r="AC12" i="6"/>
  <c r="Z12" i="6"/>
  <c r="Y12" i="6"/>
  <c r="W12" i="6"/>
  <c r="V12" i="6"/>
  <c r="T12" i="6"/>
  <c r="S12" i="6"/>
  <c r="P12" i="6"/>
  <c r="O12" i="6"/>
  <c r="N12" i="6"/>
  <c r="I12" i="6"/>
  <c r="M12" i="6" s="1"/>
  <c r="AD11" i="6"/>
  <c r="AC11" i="6"/>
  <c r="Z11" i="6"/>
  <c r="Y11" i="6"/>
  <c r="W11" i="6"/>
  <c r="V11" i="6"/>
  <c r="T11" i="6"/>
  <c r="S11" i="6"/>
  <c r="P11" i="6"/>
  <c r="O11" i="6"/>
  <c r="N11" i="6"/>
  <c r="M11" i="6"/>
  <c r="I11" i="6"/>
  <c r="AD10" i="6"/>
  <c r="AC10" i="6"/>
  <c r="Z10" i="6"/>
  <c r="Y10" i="6"/>
  <c r="W10" i="6"/>
  <c r="V10" i="6"/>
  <c r="T10" i="6"/>
  <c r="S10" i="6"/>
  <c r="P10" i="6"/>
  <c r="O10" i="6"/>
  <c r="N10" i="6"/>
  <c r="I10" i="6"/>
  <c r="M10" i="6" s="1"/>
  <c r="AD9" i="6"/>
  <c r="AC9" i="6"/>
  <c r="Z9" i="6"/>
  <c r="Y9" i="6"/>
  <c r="W9" i="6"/>
  <c r="V9" i="6"/>
  <c r="T9" i="6"/>
  <c r="S9" i="6"/>
  <c r="P9" i="6"/>
  <c r="O9" i="6"/>
  <c r="N9" i="6"/>
  <c r="M9" i="6"/>
  <c r="I9" i="6"/>
  <c r="AD8" i="6"/>
  <c r="AC8" i="6"/>
  <c r="Z8" i="6"/>
  <c r="Y8" i="6"/>
  <c r="W8" i="6"/>
  <c r="V8" i="6"/>
  <c r="T8" i="6"/>
  <c r="S8" i="6"/>
  <c r="P8" i="6"/>
  <c r="O8" i="6"/>
  <c r="N8" i="6"/>
  <c r="I8" i="6"/>
  <c r="M8" i="6" s="1"/>
  <c r="Z7" i="6"/>
  <c r="Y7" i="6"/>
  <c r="W7" i="6"/>
  <c r="V7" i="6"/>
  <c r="P7" i="6"/>
  <c r="O7" i="6"/>
  <c r="N7" i="6"/>
  <c r="M7" i="6"/>
  <c r="I7" i="6"/>
  <c r="Z6" i="6"/>
  <c r="Y6" i="6"/>
  <c r="W6" i="6"/>
  <c r="V6" i="6"/>
  <c r="P6" i="6"/>
  <c r="O6" i="6"/>
  <c r="N6" i="6"/>
  <c r="I6" i="6"/>
  <c r="M6" i="6" s="1"/>
  <c r="Z5" i="6"/>
  <c r="Y5" i="6"/>
  <c r="W5" i="6"/>
  <c r="V5" i="6"/>
  <c r="P5" i="6"/>
  <c r="O5" i="6"/>
  <c r="N5" i="6"/>
  <c r="M5" i="6"/>
  <c r="I5" i="6"/>
  <c r="Z4" i="6"/>
  <c r="Y4" i="6"/>
  <c r="W4" i="6"/>
  <c r="V4" i="6"/>
  <c r="P4" i="6"/>
  <c r="O4" i="6"/>
  <c r="N4" i="6"/>
  <c r="I4" i="6"/>
  <c r="M4" i="6" s="1"/>
  <c r="P3" i="6"/>
  <c r="O3" i="6"/>
  <c r="N3" i="6"/>
  <c r="M3" i="6"/>
  <c r="I3" i="6"/>
  <c r="P2" i="6"/>
  <c r="O2" i="6"/>
  <c r="N2" i="6"/>
  <c r="I2" i="6"/>
  <c r="M2" i="6" s="1"/>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P97" i="5"/>
  <c r="O97" i="5"/>
  <c r="N97" i="5"/>
  <c r="M97" i="5"/>
  <c r="I97" i="5"/>
  <c r="P96" i="5"/>
  <c r="O96" i="5"/>
  <c r="N96" i="5"/>
  <c r="M96" i="5"/>
  <c r="I96" i="5"/>
  <c r="P95" i="5"/>
  <c r="O95" i="5"/>
  <c r="N95" i="5"/>
  <c r="M95" i="5"/>
  <c r="I95" i="5"/>
  <c r="P94" i="5"/>
  <c r="O94" i="5"/>
  <c r="N94" i="5"/>
  <c r="M94" i="5"/>
  <c r="I94" i="5"/>
  <c r="P93" i="5"/>
  <c r="O93" i="5"/>
  <c r="N93" i="5"/>
  <c r="I93" i="5"/>
  <c r="M93" i="5" s="1"/>
  <c r="P92" i="5"/>
  <c r="O92" i="5"/>
  <c r="N92" i="5"/>
  <c r="M92" i="5"/>
  <c r="I92" i="5"/>
  <c r="P91" i="5"/>
  <c r="O91" i="5"/>
  <c r="N91" i="5"/>
  <c r="M91" i="5"/>
  <c r="I91" i="5"/>
  <c r="P90" i="5"/>
  <c r="O90" i="5"/>
  <c r="N90" i="5"/>
  <c r="I90" i="5"/>
  <c r="M90" i="5" s="1"/>
  <c r="P89" i="5"/>
  <c r="O89" i="5"/>
  <c r="N89" i="5"/>
  <c r="I89" i="5"/>
  <c r="M89" i="5" s="1"/>
  <c r="P88" i="5"/>
  <c r="O88" i="5"/>
  <c r="N88" i="5"/>
  <c r="M88" i="5"/>
  <c r="I88" i="5"/>
  <c r="P87" i="5"/>
  <c r="O87" i="5"/>
  <c r="N87" i="5"/>
  <c r="I87" i="5"/>
  <c r="M87" i="5" s="1"/>
  <c r="P86" i="5"/>
  <c r="O86" i="5"/>
  <c r="N86" i="5"/>
  <c r="M86" i="5"/>
  <c r="I86" i="5"/>
  <c r="P85" i="5"/>
  <c r="O85" i="5"/>
  <c r="N85" i="5"/>
  <c r="M85" i="5"/>
  <c r="I85" i="5"/>
  <c r="P84" i="5"/>
  <c r="O84" i="5"/>
  <c r="N84" i="5"/>
  <c r="M84" i="5"/>
  <c r="I84" i="5"/>
  <c r="P83" i="5"/>
  <c r="O83" i="5"/>
  <c r="N83" i="5"/>
  <c r="I83" i="5"/>
  <c r="M83" i="5" s="1"/>
  <c r="P82" i="5"/>
  <c r="O82" i="5"/>
  <c r="N82" i="5"/>
  <c r="M82" i="5"/>
  <c r="I82" i="5"/>
  <c r="P81" i="5"/>
  <c r="O81" i="5"/>
  <c r="N81" i="5"/>
  <c r="I81" i="5"/>
  <c r="M81" i="5" s="1"/>
  <c r="P80" i="5"/>
  <c r="O80" i="5"/>
  <c r="N80" i="5"/>
  <c r="M80" i="5"/>
  <c r="I80" i="5"/>
  <c r="P79" i="5"/>
  <c r="O79" i="5"/>
  <c r="N79" i="5"/>
  <c r="M79" i="5"/>
  <c r="I79" i="5"/>
  <c r="P78" i="5"/>
  <c r="O78" i="5"/>
  <c r="N78" i="5"/>
  <c r="M78" i="5"/>
  <c r="I78" i="5"/>
  <c r="P77" i="5"/>
  <c r="O77" i="5"/>
  <c r="N77" i="5"/>
  <c r="I77" i="5"/>
  <c r="M77" i="5" s="1"/>
  <c r="P76" i="5"/>
  <c r="O76" i="5"/>
  <c r="N76" i="5"/>
  <c r="M76" i="5"/>
  <c r="I76" i="5"/>
  <c r="P75" i="5"/>
  <c r="O75" i="5"/>
  <c r="N75" i="5"/>
  <c r="M75" i="5"/>
  <c r="I75" i="5"/>
  <c r="P74" i="5"/>
  <c r="O74" i="5"/>
  <c r="N74" i="5"/>
  <c r="I74" i="5"/>
  <c r="M74" i="5" s="1"/>
  <c r="P73" i="5"/>
  <c r="O73" i="5"/>
  <c r="N73" i="5"/>
  <c r="I73" i="5"/>
  <c r="M73" i="5" s="1"/>
  <c r="P72" i="5"/>
  <c r="O72" i="5"/>
  <c r="N72" i="5"/>
  <c r="M72" i="5"/>
  <c r="I72" i="5"/>
  <c r="P71" i="5"/>
  <c r="O71" i="5"/>
  <c r="N71" i="5"/>
  <c r="M71" i="5"/>
  <c r="I71" i="5"/>
  <c r="P70" i="5"/>
  <c r="O70" i="5"/>
  <c r="N70" i="5"/>
  <c r="M70" i="5"/>
  <c r="I70" i="5"/>
  <c r="P69" i="5"/>
  <c r="O69" i="5"/>
  <c r="N69" i="5"/>
  <c r="I69" i="5"/>
  <c r="M69" i="5" s="1"/>
  <c r="P68" i="5"/>
  <c r="O68" i="5"/>
  <c r="N68" i="5"/>
  <c r="M68" i="5"/>
  <c r="I68" i="5"/>
  <c r="P67" i="5"/>
  <c r="O67" i="5"/>
  <c r="N67" i="5"/>
  <c r="I67" i="5"/>
  <c r="M67" i="5" s="1"/>
  <c r="P66" i="5"/>
  <c r="O66" i="5"/>
  <c r="N66" i="5"/>
  <c r="M66" i="5"/>
  <c r="I66" i="5"/>
  <c r="P65" i="5"/>
  <c r="O65" i="5"/>
  <c r="N65" i="5"/>
  <c r="M65" i="5"/>
  <c r="I65" i="5"/>
  <c r="P64" i="5"/>
  <c r="O64" i="5"/>
  <c r="N64" i="5"/>
  <c r="M64" i="5"/>
  <c r="I64" i="5"/>
  <c r="P63" i="5"/>
  <c r="O63" i="5"/>
  <c r="N63" i="5"/>
  <c r="I63" i="5"/>
  <c r="M63" i="5" s="1"/>
  <c r="P62" i="5"/>
  <c r="O62" i="5"/>
  <c r="N62" i="5"/>
  <c r="I62" i="5"/>
  <c r="M62" i="5" s="1"/>
  <c r="P61" i="5"/>
  <c r="O61" i="5"/>
  <c r="N61" i="5"/>
  <c r="M61" i="5"/>
  <c r="I61" i="5"/>
  <c r="P60" i="5"/>
  <c r="O60" i="5"/>
  <c r="N60" i="5"/>
  <c r="I60" i="5"/>
  <c r="M60" i="5" s="1"/>
  <c r="P59" i="5"/>
  <c r="O59" i="5"/>
  <c r="N59" i="5"/>
  <c r="I59" i="5"/>
  <c r="M59" i="5" s="1"/>
  <c r="P58" i="5"/>
  <c r="O58" i="5"/>
  <c r="N58" i="5"/>
  <c r="M58" i="5"/>
  <c r="I58" i="5"/>
  <c r="P57" i="5"/>
  <c r="O57" i="5"/>
  <c r="N57" i="5"/>
  <c r="M57" i="5"/>
  <c r="I57" i="5"/>
  <c r="P56" i="5"/>
  <c r="O56" i="5"/>
  <c r="N56" i="5"/>
  <c r="I56" i="5"/>
  <c r="M56" i="5" s="1"/>
  <c r="P55" i="5"/>
  <c r="O55" i="5"/>
  <c r="N55" i="5"/>
  <c r="M55" i="5"/>
  <c r="I55" i="5"/>
  <c r="P54" i="5"/>
  <c r="O54" i="5"/>
  <c r="N54" i="5"/>
  <c r="I54" i="5"/>
  <c r="M54" i="5" s="1"/>
  <c r="P53" i="5"/>
  <c r="O53" i="5"/>
  <c r="N53" i="5"/>
  <c r="M53" i="5"/>
  <c r="I53" i="5"/>
  <c r="P52" i="5"/>
  <c r="O52" i="5"/>
  <c r="N52" i="5"/>
  <c r="M52" i="5"/>
  <c r="I52" i="5"/>
  <c r="P51" i="5"/>
  <c r="O51" i="5"/>
  <c r="N51" i="5"/>
  <c r="M51" i="5"/>
  <c r="I51" i="5"/>
  <c r="P50" i="5"/>
  <c r="O50" i="5"/>
  <c r="N50" i="5"/>
  <c r="M50" i="5"/>
  <c r="I50" i="5"/>
  <c r="P49" i="5"/>
  <c r="O49" i="5"/>
  <c r="N49" i="5"/>
  <c r="M49" i="5"/>
  <c r="I49" i="5"/>
  <c r="P48" i="5"/>
  <c r="O48" i="5"/>
  <c r="N48" i="5"/>
  <c r="M48" i="5"/>
  <c r="I48" i="5"/>
  <c r="P47" i="5"/>
  <c r="O47" i="5"/>
  <c r="N47" i="5"/>
  <c r="M47" i="5"/>
  <c r="I47" i="5"/>
  <c r="P46" i="5"/>
  <c r="O46" i="5"/>
  <c r="N46" i="5"/>
  <c r="I46" i="5"/>
  <c r="M46" i="5" s="1"/>
  <c r="P45" i="5"/>
  <c r="O45" i="5"/>
  <c r="N45" i="5"/>
  <c r="M45" i="5"/>
  <c r="I45" i="5"/>
  <c r="P44" i="5"/>
  <c r="O44" i="5"/>
  <c r="N44" i="5"/>
  <c r="M44" i="5"/>
  <c r="I44" i="5"/>
  <c r="P43" i="5"/>
  <c r="O43" i="5"/>
  <c r="N43" i="5"/>
  <c r="M43" i="5"/>
  <c r="I43" i="5"/>
  <c r="P42" i="5"/>
  <c r="O42" i="5"/>
  <c r="N42" i="5"/>
  <c r="I42" i="5"/>
  <c r="M42" i="5" s="1"/>
  <c r="P41" i="5"/>
  <c r="O41" i="5"/>
  <c r="N41" i="5"/>
  <c r="M41" i="5"/>
  <c r="I41" i="5"/>
  <c r="P40" i="5"/>
  <c r="O40" i="5"/>
  <c r="N40" i="5"/>
  <c r="M40" i="5"/>
  <c r="I40" i="5"/>
  <c r="P39" i="5"/>
  <c r="O39" i="5"/>
  <c r="N39" i="5"/>
  <c r="I39" i="5"/>
  <c r="M39" i="5" s="1"/>
  <c r="P38" i="5"/>
  <c r="O38" i="5"/>
  <c r="N38" i="5"/>
  <c r="M38" i="5"/>
  <c r="I38" i="5"/>
  <c r="P37" i="5"/>
  <c r="O37" i="5"/>
  <c r="N37" i="5"/>
  <c r="M37" i="5"/>
  <c r="I37" i="5"/>
  <c r="P36" i="5"/>
  <c r="O36" i="5"/>
  <c r="N36" i="5"/>
  <c r="I36" i="5"/>
  <c r="M36" i="5" s="1"/>
  <c r="P35" i="5"/>
  <c r="O35" i="5"/>
  <c r="N35" i="5"/>
  <c r="M35" i="5"/>
  <c r="I35" i="5"/>
  <c r="P34" i="5"/>
  <c r="O34" i="5"/>
  <c r="N34" i="5"/>
  <c r="I34" i="5"/>
  <c r="M34" i="5" s="1"/>
  <c r="P33" i="5"/>
  <c r="O33" i="5"/>
  <c r="N33" i="5"/>
  <c r="M33" i="5"/>
  <c r="I33" i="5"/>
  <c r="P32" i="5"/>
  <c r="O32" i="5"/>
  <c r="N32" i="5"/>
  <c r="M32" i="5"/>
  <c r="I32" i="5"/>
  <c r="P31" i="5"/>
  <c r="O31" i="5"/>
  <c r="N31" i="5"/>
  <c r="M31" i="5"/>
  <c r="I31" i="5"/>
  <c r="P30" i="5"/>
  <c r="O30" i="5"/>
  <c r="N30" i="5"/>
  <c r="I30" i="5"/>
  <c r="M30" i="5" s="1"/>
  <c r="P29" i="5"/>
  <c r="O29" i="5"/>
  <c r="N29" i="5"/>
  <c r="M29" i="5"/>
  <c r="I29" i="5"/>
  <c r="P28" i="5"/>
  <c r="O28" i="5"/>
  <c r="N28" i="5"/>
  <c r="M28" i="5"/>
  <c r="I28" i="5"/>
  <c r="P27" i="5"/>
  <c r="O27" i="5"/>
  <c r="N27" i="5"/>
  <c r="I27" i="5"/>
  <c r="M27" i="5" s="1"/>
  <c r="Z26" i="5"/>
  <c r="Y26" i="5"/>
  <c r="W26" i="5"/>
  <c r="V26" i="5"/>
  <c r="P26" i="5"/>
  <c r="O26" i="5"/>
  <c r="N26" i="5"/>
  <c r="M26" i="5"/>
  <c r="I26" i="5"/>
  <c r="B26" i="5"/>
  <c r="Z25" i="5"/>
  <c r="Y25" i="5"/>
  <c r="W25" i="5"/>
  <c r="V25" i="5"/>
  <c r="P25" i="5"/>
  <c r="O25" i="5"/>
  <c r="N25" i="5"/>
  <c r="I25" i="5"/>
  <c r="M25" i="5" s="1"/>
  <c r="Z24" i="5"/>
  <c r="Y24" i="5"/>
  <c r="W24" i="5"/>
  <c r="V24" i="5"/>
  <c r="P24" i="5"/>
  <c r="O24" i="5"/>
  <c r="N24" i="5"/>
  <c r="I24" i="5"/>
  <c r="M24" i="5" s="1"/>
  <c r="Z23" i="5"/>
  <c r="Y23" i="5"/>
  <c r="W23" i="5"/>
  <c r="V23" i="5"/>
  <c r="P23" i="5"/>
  <c r="O23" i="5"/>
  <c r="N23" i="5"/>
  <c r="I23" i="5"/>
  <c r="M23" i="5" s="1"/>
  <c r="Z22" i="5"/>
  <c r="Y22" i="5"/>
  <c r="W22" i="5"/>
  <c r="V22" i="5"/>
  <c r="P22" i="5"/>
  <c r="O22" i="5"/>
  <c r="N22" i="5"/>
  <c r="M22" i="5"/>
  <c r="I22" i="5"/>
  <c r="Z21" i="5"/>
  <c r="Y21" i="5"/>
  <c r="W21" i="5"/>
  <c r="V21" i="5"/>
  <c r="P21" i="5"/>
  <c r="O21" i="5"/>
  <c r="N21" i="5"/>
  <c r="I21" i="5"/>
  <c r="M21" i="5" s="1"/>
  <c r="Z20" i="5"/>
  <c r="Y20" i="5"/>
  <c r="W20" i="5"/>
  <c r="V20" i="5"/>
  <c r="P20" i="5"/>
  <c r="O20" i="5"/>
  <c r="N20" i="5"/>
  <c r="M20" i="5"/>
  <c r="I20" i="5"/>
  <c r="B20" i="5"/>
  <c r="Z19" i="5"/>
  <c r="Y19" i="5"/>
  <c r="W19" i="5"/>
  <c r="V19" i="5"/>
  <c r="P19" i="5"/>
  <c r="O19" i="5"/>
  <c r="N19" i="5"/>
  <c r="M19" i="5"/>
  <c r="I19" i="5"/>
  <c r="Z18" i="5"/>
  <c r="Y18" i="5"/>
  <c r="W18" i="5"/>
  <c r="V18" i="5"/>
  <c r="P18" i="5"/>
  <c r="O18" i="5"/>
  <c r="N18" i="5"/>
  <c r="I18" i="5"/>
  <c r="M18" i="5" s="1"/>
  <c r="Z17" i="5"/>
  <c r="Y17" i="5"/>
  <c r="W17" i="5"/>
  <c r="V17" i="5"/>
  <c r="P17" i="5"/>
  <c r="O17" i="5"/>
  <c r="N17" i="5"/>
  <c r="I17" i="5"/>
  <c r="M17" i="5" s="1"/>
  <c r="P16" i="5"/>
  <c r="O16" i="5"/>
  <c r="N16" i="5"/>
  <c r="I16" i="5"/>
  <c r="M16" i="5" s="1"/>
  <c r="P15" i="5"/>
  <c r="O15" i="5"/>
  <c r="N15" i="5"/>
  <c r="M15" i="5"/>
  <c r="I15" i="5"/>
  <c r="B15" i="5"/>
  <c r="P14" i="5"/>
  <c r="O14" i="5"/>
  <c r="N14" i="5"/>
  <c r="M14" i="5"/>
  <c r="I14" i="5"/>
  <c r="B14" i="5"/>
  <c r="AD13" i="5"/>
  <c r="AC13" i="5"/>
  <c r="Z13" i="5"/>
  <c r="Y13" i="5"/>
  <c r="W13" i="5"/>
  <c r="V13" i="5"/>
  <c r="T13" i="5"/>
  <c r="S13" i="5"/>
  <c r="P13" i="5"/>
  <c r="O13" i="5"/>
  <c r="N13" i="5"/>
  <c r="I13" i="5"/>
  <c r="M13" i="5" s="1"/>
  <c r="C13" i="5"/>
  <c r="B13" i="5" s="1"/>
  <c r="AD12" i="5"/>
  <c r="AC12" i="5"/>
  <c r="Z12" i="5"/>
  <c r="Y12" i="5"/>
  <c r="W12" i="5"/>
  <c r="V12" i="5"/>
  <c r="T12" i="5"/>
  <c r="S12" i="5"/>
  <c r="P12" i="5"/>
  <c r="O12" i="5"/>
  <c r="N12" i="5"/>
  <c r="I12" i="5"/>
  <c r="M12" i="5" s="1"/>
  <c r="AD11" i="5"/>
  <c r="AC11" i="5"/>
  <c r="Z11" i="5"/>
  <c r="Y11" i="5"/>
  <c r="W11" i="5"/>
  <c r="V11" i="5"/>
  <c r="T11" i="5"/>
  <c r="S11" i="5"/>
  <c r="P11" i="5"/>
  <c r="O11" i="5"/>
  <c r="N11" i="5"/>
  <c r="I11" i="5"/>
  <c r="M11" i="5" s="1"/>
  <c r="AD10" i="5"/>
  <c r="AC10" i="5"/>
  <c r="Z10" i="5"/>
  <c r="Y10" i="5"/>
  <c r="W10" i="5"/>
  <c r="V10" i="5"/>
  <c r="T10" i="5"/>
  <c r="S10" i="5"/>
  <c r="P10" i="5"/>
  <c r="O10" i="5"/>
  <c r="N10" i="5"/>
  <c r="I10" i="5"/>
  <c r="M10" i="5" s="1"/>
  <c r="B10" i="5"/>
  <c r="AD9" i="5"/>
  <c r="AC9" i="5"/>
  <c r="Z9" i="5"/>
  <c r="Y9" i="5"/>
  <c r="W9" i="5"/>
  <c r="V9" i="5"/>
  <c r="T9" i="5"/>
  <c r="S9" i="5"/>
  <c r="P9" i="5"/>
  <c r="O9" i="5"/>
  <c r="N9" i="5"/>
  <c r="M9" i="5"/>
  <c r="I9" i="5"/>
  <c r="AD8" i="5"/>
  <c r="AC8" i="5"/>
  <c r="Z8" i="5"/>
  <c r="Y8" i="5"/>
  <c r="W8" i="5"/>
  <c r="V8" i="5"/>
  <c r="T8" i="5"/>
  <c r="S8" i="5"/>
  <c r="P8" i="5"/>
  <c r="O8" i="5"/>
  <c r="N8" i="5"/>
  <c r="M8" i="5"/>
  <c r="I8" i="5"/>
  <c r="Z7" i="5"/>
  <c r="Y7" i="5"/>
  <c r="W7" i="5"/>
  <c r="V7" i="5"/>
  <c r="P7" i="5"/>
  <c r="O7" i="5"/>
  <c r="N7" i="5"/>
  <c r="M7" i="5"/>
  <c r="I7" i="5"/>
  <c r="Z6" i="5"/>
  <c r="Y6" i="5"/>
  <c r="W6" i="5"/>
  <c r="V6" i="5"/>
  <c r="P6" i="5"/>
  <c r="O6" i="5"/>
  <c r="N6" i="5"/>
  <c r="M6" i="5"/>
  <c r="I6" i="5"/>
  <c r="Z5" i="5"/>
  <c r="Y5" i="5"/>
  <c r="W5" i="5"/>
  <c r="V5" i="5"/>
  <c r="P5" i="5"/>
  <c r="O5" i="5"/>
  <c r="N5" i="5"/>
  <c r="M5" i="5"/>
  <c r="I5" i="5"/>
  <c r="Z4" i="5"/>
  <c r="Y4" i="5"/>
  <c r="W4" i="5"/>
  <c r="V4" i="5"/>
  <c r="P4" i="5"/>
  <c r="O4" i="5"/>
  <c r="N4" i="5"/>
  <c r="M4" i="5"/>
  <c r="I4" i="5"/>
  <c r="B4" i="5"/>
  <c r="P3" i="5"/>
  <c r="O3" i="5"/>
  <c r="N3" i="5"/>
  <c r="I3" i="5"/>
  <c r="M3" i="5" s="1"/>
  <c r="P2" i="5"/>
  <c r="O2" i="5"/>
  <c r="N2" i="5"/>
  <c r="I2" i="5"/>
  <c r="M2" i="5" s="1"/>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P97" i="4"/>
  <c r="O97" i="4"/>
  <c r="N97" i="4"/>
  <c r="M97" i="4"/>
  <c r="I97" i="4"/>
  <c r="P96" i="4"/>
  <c r="O96" i="4"/>
  <c r="N96" i="4"/>
  <c r="I96" i="4"/>
  <c r="M96" i="4" s="1"/>
  <c r="P95" i="4"/>
  <c r="O95" i="4"/>
  <c r="N95" i="4"/>
  <c r="I95" i="4"/>
  <c r="M95" i="4" s="1"/>
  <c r="C95" i="4"/>
  <c r="B95" i="4" s="1"/>
  <c r="P94" i="4"/>
  <c r="O94" i="4"/>
  <c r="N94" i="4"/>
  <c r="M94" i="4"/>
  <c r="I94" i="4"/>
  <c r="P93" i="4"/>
  <c r="O93" i="4"/>
  <c r="N93" i="4"/>
  <c r="M93" i="4"/>
  <c r="I93" i="4"/>
  <c r="P92" i="4"/>
  <c r="O92" i="4"/>
  <c r="N92" i="4"/>
  <c r="I92" i="4"/>
  <c r="M92" i="4" s="1"/>
  <c r="P91" i="4"/>
  <c r="O91" i="4"/>
  <c r="N91" i="4"/>
  <c r="M91" i="4"/>
  <c r="I91" i="4"/>
  <c r="P90" i="4"/>
  <c r="O90" i="4"/>
  <c r="N90" i="4"/>
  <c r="I90" i="4"/>
  <c r="M90" i="4" s="1"/>
  <c r="P89" i="4"/>
  <c r="O89" i="4"/>
  <c r="N89" i="4"/>
  <c r="M89" i="4"/>
  <c r="I89" i="4"/>
  <c r="P88" i="4"/>
  <c r="O88" i="4"/>
  <c r="N88" i="4"/>
  <c r="I88" i="4"/>
  <c r="M88" i="4" s="1"/>
  <c r="P87" i="4"/>
  <c r="O87" i="4"/>
  <c r="N87" i="4"/>
  <c r="I87" i="4"/>
  <c r="M87" i="4" s="1"/>
  <c r="P86" i="4"/>
  <c r="O86" i="4"/>
  <c r="N86" i="4"/>
  <c r="I86" i="4"/>
  <c r="M86" i="4" s="1"/>
  <c r="P85" i="4"/>
  <c r="O85" i="4"/>
  <c r="N85" i="4"/>
  <c r="M85" i="4"/>
  <c r="I85" i="4"/>
  <c r="P84" i="4"/>
  <c r="O84" i="4"/>
  <c r="N84" i="4"/>
  <c r="M84" i="4"/>
  <c r="I84" i="4"/>
  <c r="P83" i="4"/>
  <c r="O83" i="4"/>
  <c r="N83" i="4"/>
  <c r="I83" i="4"/>
  <c r="M83" i="4" s="1"/>
  <c r="P82" i="4"/>
  <c r="O82" i="4"/>
  <c r="N82" i="4"/>
  <c r="M82" i="4"/>
  <c r="I82" i="4"/>
  <c r="P81" i="4"/>
  <c r="O81" i="4"/>
  <c r="N81" i="4"/>
  <c r="I81" i="4"/>
  <c r="M81" i="4" s="1"/>
  <c r="P80" i="4"/>
  <c r="O80" i="4"/>
  <c r="N80" i="4"/>
  <c r="I80" i="4"/>
  <c r="M80" i="4" s="1"/>
  <c r="P79" i="4"/>
  <c r="O79" i="4"/>
  <c r="N79" i="4"/>
  <c r="M79" i="4"/>
  <c r="I79" i="4"/>
  <c r="P78" i="4"/>
  <c r="O78" i="4"/>
  <c r="N78" i="4"/>
  <c r="M78" i="4"/>
  <c r="I78" i="4"/>
  <c r="P77" i="4"/>
  <c r="O77" i="4"/>
  <c r="N77" i="4"/>
  <c r="I77" i="4"/>
  <c r="M77" i="4" s="1"/>
  <c r="P76" i="4"/>
  <c r="O76" i="4"/>
  <c r="N76" i="4"/>
  <c r="I76" i="4"/>
  <c r="M76" i="4" s="1"/>
  <c r="P75" i="4"/>
  <c r="O75" i="4"/>
  <c r="N75" i="4"/>
  <c r="I75" i="4"/>
  <c r="M75" i="4" s="1"/>
  <c r="P74" i="4"/>
  <c r="O74" i="4"/>
  <c r="N74" i="4"/>
  <c r="M74" i="4"/>
  <c r="I74" i="4"/>
  <c r="P73" i="4"/>
  <c r="O73" i="4"/>
  <c r="N73" i="4"/>
  <c r="I73" i="4"/>
  <c r="M73" i="4" s="1"/>
  <c r="P72" i="4"/>
  <c r="O72" i="4"/>
  <c r="N72" i="4"/>
  <c r="M72" i="4"/>
  <c r="I72" i="4"/>
  <c r="P71" i="4"/>
  <c r="O71" i="4"/>
  <c r="N71" i="4"/>
  <c r="I71" i="4"/>
  <c r="M71" i="4" s="1"/>
  <c r="P70" i="4"/>
  <c r="O70" i="4"/>
  <c r="N70" i="4"/>
  <c r="M70" i="4"/>
  <c r="I70" i="4"/>
  <c r="P69" i="4"/>
  <c r="O69" i="4"/>
  <c r="N69" i="4"/>
  <c r="I69" i="4"/>
  <c r="M69" i="4" s="1"/>
  <c r="P68" i="4"/>
  <c r="O68" i="4"/>
  <c r="N68" i="4"/>
  <c r="I68" i="4"/>
  <c r="M68" i="4" s="1"/>
  <c r="P67" i="4"/>
  <c r="O67" i="4"/>
  <c r="N67" i="4"/>
  <c r="M67" i="4"/>
  <c r="I67" i="4"/>
  <c r="P66" i="4"/>
  <c r="O66" i="4"/>
  <c r="N66" i="4"/>
  <c r="M66" i="4"/>
  <c r="I66" i="4"/>
  <c r="P65" i="4"/>
  <c r="O65" i="4"/>
  <c r="N65" i="4"/>
  <c r="I65" i="4"/>
  <c r="M65" i="4" s="1"/>
  <c r="P64" i="4"/>
  <c r="O64" i="4"/>
  <c r="N64" i="4"/>
  <c r="M64" i="4"/>
  <c r="I64" i="4"/>
  <c r="P63" i="4"/>
  <c r="O63" i="4"/>
  <c r="N63" i="4"/>
  <c r="M63" i="4"/>
  <c r="I63" i="4"/>
  <c r="P62" i="4"/>
  <c r="O62" i="4"/>
  <c r="N62" i="4"/>
  <c r="M62" i="4"/>
  <c r="I62" i="4"/>
  <c r="P61" i="4"/>
  <c r="O61" i="4"/>
  <c r="N61" i="4"/>
  <c r="I61" i="4"/>
  <c r="M61" i="4" s="1"/>
  <c r="P60" i="4"/>
  <c r="O60" i="4"/>
  <c r="N60" i="4"/>
  <c r="I60" i="4"/>
  <c r="M60" i="4" s="1"/>
  <c r="P59" i="4"/>
  <c r="O59" i="4"/>
  <c r="N59" i="4"/>
  <c r="M59" i="4"/>
  <c r="I59" i="4"/>
  <c r="P58" i="4"/>
  <c r="O58" i="4"/>
  <c r="N58" i="4"/>
  <c r="M58" i="4"/>
  <c r="I58" i="4"/>
  <c r="P57" i="4"/>
  <c r="O57" i="4"/>
  <c r="N57" i="4"/>
  <c r="I57" i="4"/>
  <c r="M57" i="4" s="1"/>
  <c r="P56" i="4"/>
  <c r="O56" i="4"/>
  <c r="N56" i="4"/>
  <c r="I56" i="4"/>
  <c r="M56" i="4" s="1"/>
  <c r="P55" i="4"/>
  <c r="O55" i="4"/>
  <c r="N55" i="4"/>
  <c r="I55" i="4"/>
  <c r="M55" i="4" s="1"/>
  <c r="P54" i="4"/>
  <c r="O54" i="4"/>
  <c r="N54" i="4"/>
  <c r="M54" i="4"/>
  <c r="I54" i="4"/>
  <c r="P53" i="4"/>
  <c r="O53" i="4"/>
  <c r="N53" i="4"/>
  <c r="I53" i="4"/>
  <c r="M53" i="4" s="1"/>
  <c r="P52" i="4"/>
  <c r="O52" i="4"/>
  <c r="N52" i="4"/>
  <c r="M52" i="4"/>
  <c r="I52" i="4"/>
  <c r="P51" i="4"/>
  <c r="O51" i="4"/>
  <c r="N51" i="4"/>
  <c r="I51" i="4"/>
  <c r="M51" i="4" s="1"/>
  <c r="P50" i="4"/>
  <c r="O50" i="4"/>
  <c r="N50" i="4"/>
  <c r="M50" i="4"/>
  <c r="I50" i="4"/>
  <c r="P49" i="4"/>
  <c r="O49" i="4"/>
  <c r="N49" i="4"/>
  <c r="I49" i="4"/>
  <c r="M49" i="4" s="1"/>
  <c r="P48" i="4"/>
  <c r="O48" i="4"/>
  <c r="N48" i="4"/>
  <c r="I48" i="4"/>
  <c r="M48" i="4" s="1"/>
  <c r="P47" i="4"/>
  <c r="O47" i="4"/>
  <c r="N47" i="4"/>
  <c r="I47" i="4"/>
  <c r="M47" i="4" s="1"/>
  <c r="P46" i="4"/>
  <c r="O46" i="4"/>
  <c r="N46" i="4"/>
  <c r="M46" i="4"/>
  <c r="I46" i="4"/>
  <c r="P45" i="4"/>
  <c r="O45" i="4"/>
  <c r="N45" i="4"/>
  <c r="I45" i="4"/>
  <c r="M45" i="4" s="1"/>
  <c r="P44" i="4"/>
  <c r="O44" i="4"/>
  <c r="N44" i="4"/>
  <c r="M44" i="4"/>
  <c r="I44" i="4"/>
  <c r="P43" i="4"/>
  <c r="O43" i="4"/>
  <c r="N43" i="4"/>
  <c r="I43" i="4"/>
  <c r="M43" i="4" s="1"/>
  <c r="P42" i="4"/>
  <c r="O42" i="4"/>
  <c r="N42" i="4"/>
  <c r="M42" i="4"/>
  <c r="I42" i="4"/>
  <c r="P41" i="4"/>
  <c r="O41" i="4"/>
  <c r="N41" i="4"/>
  <c r="I41" i="4"/>
  <c r="M41" i="4" s="1"/>
  <c r="P40" i="4"/>
  <c r="O40" i="4"/>
  <c r="N40" i="4"/>
  <c r="I40" i="4"/>
  <c r="M40" i="4" s="1"/>
  <c r="P39" i="4"/>
  <c r="O39" i="4"/>
  <c r="N39" i="4"/>
  <c r="M39" i="4"/>
  <c r="I39" i="4"/>
  <c r="P38" i="4"/>
  <c r="O38" i="4"/>
  <c r="N38" i="4"/>
  <c r="M38" i="4"/>
  <c r="I38" i="4"/>
  <c r="P37" i="4"/>
  <c r="O37" i="4"/>
  <c r="N37" i="4"/>
  <c r="I37" i="4"/>
  <c r="M37" i="4" s="1"/>
  <c r="P36" i="4"/>
  <c r="O36" i="4"/>
  <c r="N36" i="4"/>
  <c r="I36" i="4"/>
  <c r="M36" i="4" s="1"/>
  <c r="P35" i="4"/>
  <c r="O35" i="4"/>
  <c r="N35" i="4"/>
  <c r="I35" i="4"/>
  <c r="M35" i="4" s="1"/>
  <c r="P34" i="4"/>
  <c r="O34" i="4"/>
  <c r="N34" i="4"/>
  <c r="M34" i="4"/>
  <c r="I34" i="4"/>
  <c r="P33" i="4"/>
  <c r="O33" i="4"/>
  <c r="N33" i="4"/>
  <c r="I33" i="4"/>
  <c r="M33" i="4" s="1"/>
  <c r="P32" i="4"/>
  <c r="O32" i="4"/>
  <c r="N32" i="4"/>
  <c r="M32" i="4"/>
  <c r="I32" i="4"/>
  <c r="P31" i="4"/>
  <c r="O31" i="4"/>
  <c r="N31" i="4"/>
  <c r="I31" i="4"/>
  <c r="M31" i="4" s="1"/>
  <c r="P30" i="4"/>
  <c r="O30" i="4"/>
  <c r="N30" i="4"/>
  <c r="M30" i="4"/>
  <c r="I30" i="4"/>
  <c r="P29" i="4"/>
  <c r="O29" i="4"/>
  <c r="N29" i="4"/>
  <c r="I29" i="4"/>
  <c r="M29" i="4" s="1"/>
  <c r="P28" i="4"/>
  <c r="O28" i="4"/>
  <c r="N28" i="4"/>
  <c r="M28" i="4"/>
  <c r="I28" i="4"/>
  <c r="B28" i="4"/>
  <c r="P27" i="4"/>
  <c r="O27" i="4"/>
  <c r="N27" i="4"/>
  <c r="M27" i="4"/>
  <c r="I27" i="4"/>
  <c r="Z26" i="4"/>
  <c r="Y26" i="4"/>
  <c r="W26" i="4"/>
  <c r="V26" i="4"/>
  <c r="P26" i="4"/>
  <c r="O26" i="4"/>
  <c r="N26" i="4"/>
  <c r="I26" i="4"/>
  <c r="M26" i="4" s="1"/>
  <c r="Z25" i="4"/>
  <c r="Y25" i="4"/>
  <c r="W25" i="4"/>
  <c r="V25" i="4"/>
  <c r="P25" i="4"/>
  <c r="O25" i="4"/>
  <c r="N25" i="4"/>
  <c r="I25" i="4"/>
  <c r="M25" i="4" s="1"/>
  <c r="Z24" i="4"/>
  <c r="Y24" i="4"/>
  <c r="W24" i="4"/>
  <c r="V24" i="4"/>
  <c r="P24" i="4"/>
  <c r="O24" i="4"/>
  <c r="N24" i="4"/>
  <c r="I24" i="4"/>
  <c r="M24" i="4" s="1"/>
  <c r="Z23" i="4"/>
  <c r="Y23" i="4"/>
  <c r="W23" i="4"/>
  <c r="V23" i="4"/>
  <c r="P23" i="4"/>
  <c r="O23" i="4"/>
  <c r="N23" i="4"/>
  <c r="M23" i="4"/>
  <c r="I23" i="4"/>
  <c r="Z22" i="4"/>
  <c r="Y22" i="4"/>
  <c r="W22" i="4"/>
  <c r="V22" i="4"/>
  <c r="P22" i="4"/>
  <c r="O22" i="4"/>
  <c r="N22" i="4"/>
  <c r="I22" i="4"/>
  <c r="M22" i="4" s="1"/>
  <c r="Z21" i="4"/>
  <c r="Y21" i="4"/>
  <c r="W21" i="4"/>
  <c r="V21" i="4"/>
  <c r="P21" i="4"/>
  <c r="O21" i="4"/>
  <c r="N21" i="4"/>
  <c r="I21" i="4"/>
  <c r="M21" i="4" s="1"/>
  <c r="Z20" i="4"/>
  <c r="Y20" i="4"/>
  <c r="W20" i="4"/>
  <c r="V20" i="4"/>
  <c r="P20" i="4"/>
  <c r="O20" i="4"/>
  <c r="N20" i="4"/>
  <c r="I20" i="4"/>
  <c r="M20" i="4" s="1"/>
  <c r="B20" i="4"/>
  <c r="Z19" i="4"/>
  <c r="Y19" i="4"/>
  <c r="W19" i="4"/>
  <c r="V19" i="4"/>
  <c r="P19" i="4"/>
  <c r="O19" i="4"/>
  <c r="N19" i="4"/>
  <c r="I19" i="4"/>
  <c r="M19" i="4" s="1"/>
  <c r="Z18" i="4"/>
  <c r="Y18" i="4"/>
  <c r="W18" i="4"/>
  <c r="V18" i="4"/>
  <c r="P18" i="4"/>
  <c r="O18" i="4"/>
  <c r="N18" i="4"/>
  <c r="I18" i="4"/>
  <c r="M18" i="4" s="1"/>
  <c r="Z17" i="4"/>
  <c r="Y17" i="4"/>
  <c r="W17" i="4"/>
  <c r="V17" i="4"/>
  <c r="P17" i="4"/>
  <c r="O17" i="4"/>
  <c r="N17" i="4"/>
  <c r="M17" i="4"/>
  <c r="I17" i="4"/>
  <c r="B17" i="4"/>
  <c r="P16" i="4"/>
  <c r="O16" i="4"/>
  <c r="N16" i="4"/>
  <c r="I16" i="4"/>
  <c r="M16" i="4" s="1"/>
  <c r="P15" i="4"/>
  <c r="O15" i="4"/>
  <c r="N15" i="4"/>
  <c r="I15" i="4"/>
  <c r="M15" i="4" s="1"/>
  <c r="P14" i="4"/>
  <c r="O14" i="4"/>
  <c r="N14" i="4"/>
  <c r="I14" i="4"/>
  <c r="M14" i="4" s="1"/>
  <c r="AD13" i="4"/>
  <c r="AC13" i="4"/>
  <c r="Z13" i="4"/>
  <c r="Y13" i="4"/>
  <c r="W13" i="4"/>
  <c r="V13" i="4"/>
  <c r="T13" i="4"/>
  <c r="S13" i="4"/>
  <c r="P13" i="4"/>
  <c r="O13" i="4"/>
  <c r="N13" i="4"/>
  <c r="I13" i="4"/>
  <c r="M13" i="4" s="1"/>
  <c r="AD12" i="4"/>
  <c r="AC12" i="4"/>
  <c r="Z12" i="4"/>
  <c r="Y12" i="4"/>
  <c r="W12" i="4"/>
  <c r="V12" i="4"/>
  <c r="T12" i="4"/>
  <c r="S12" i="4"/>
  <c r="P12" i="4"/>
  <c r="O12" i="4"/>
  <c r="N12" i="4"/>
  <c r="I12" i="4"/>
  <c r="M12" i="4" s="1"/>
  <c r="AD11" i="4"/>
  <c r="AC11" i="4"/>
  <c r="Z11" i="4"/>
  <c r="Y11" i="4"/>
  <c r="W11" i="4"/>
  <c r="V11" i="4"/>
  <c r="T11" i="4"/>
  <c r="S11" i="4"/>
  <c r="P11" i="4"/>
  <c r="O11" i="4"/>
  <c r="N11" i="4"/>
  <c r="M11" i="4"/>
  <c r="I11" i="4"/>
  <c r="AD10" i="4"/>
  <c r="AC10" i="4"/>
  <c r="Z10" i="4"/>
  <c r="Y10" i="4"/>
  <c r="W10" i="4"/>
  <c r="V10" i="4"/>
  <c r="T10" i="4"/>
  <c r="S10" i="4"/>
  <c r="P10" i="4"/>
  <c r="O10" i="4"/>
  <c r="N10" i="4"/>
  <c r="I10" i="4"/>
  <c r="M10" i="4" s="1"/>
  <c r="AD9" i="4"/>
  <c r="AC9" i="4"/>
  <c r="Z9" i="4"/>
  <c r="Y9" i="4"/>
  <c r="W9" i="4"/>
  <c r="V9" i="4"/>
  <c r="T9" i="4"/>
  <c r="S9" i="4"/>
  <c r="P9" i="4"/>
  <c r="O9" i="4"/>
  <c r="N9" i="4"/>
  <c r="I9" i="4"/>
  <c r="M9" i="4" s="1"/>
  <c r="B9" i="4"/>
  <c r="AD8" i="4"/>
  <c r="AC8" i="4"/>
  <c r="Z8" i="4"/>
  <c r="Y8" i="4"/>
  <c r="W8" i="4"/>
  <c r="V8" i="4"/>
  <c r="T8" i="4"/>
  <c r="S8" i="4"/>
  <c r="P8" i="4"/>
  <c r="O8" i="4"/>
  <c r="N8" i="4"/>
  <c r="M8" i="4"/>
  <c r="I8" i="4"/>
  <c r="Z7" i="4"/>
  <c r="Y7" i="4"/>
  <c r="W7" i="4"/>
  <c r="V7" i="4"/>
  <c r="P7" i="4"/>
  <c r="O7" i="4"/>
  <c r="N7" i="4"/>
  <c r="I7" i="4"/>
  <c r="M7" i="4" s="1"/>
  <c r="Z6" i="4"/>
  <c r="Y6" i="4"/>
  <c r="W6" i="4"/>
  <c r="V6" i="4"/>
  <c r="P6" i="4"/>
  <c r="O6" i="4"/>
  <c r="N6" i="4"/>
  <c r="I6" i="4"/>
  <c r="M6" i="4" s="1"/>
  <c r="Z5" i="4"/>
  <c r="Y5" i="4"/>
  <c r="W5" i="4"/>
  <c r="V5" i="4"/>
  <c r="P5" i="4"/>
  <c r="O5" i="4"/>
  <c r="N5" i="4"/>
  <c r="M5" i="4"/>
  <c r="I5" i="4"/>
  <c r="Z4" i="4"/>
  <c r="Y4" i="4"/>
  <c r="W4" i="4"/>
  <c r="V4" i="4"/>
  <c r="P4" i="4"/>
  <c r="O4" i="4"/>
  <c r="N4" i="4"/>
  <c r="M4" i="4"/>
  <c r="I4" i="4"/>
  <c r="P3" i="4"/>
  <c r="O3" i="4"/>
  <c r="N3" i="4"/>
  <c r="I3" i="4"/>
  <c r="M3" i="4" s="1"/>
  <c r="P2" i="4"/>
  <c r="O2" i="4"/>
  <c r="N2" i="4"/>
  <c r="M2" i="4"/>
  <c r="I2" i="4"/>
  <c r="B2" i="4"/>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P97" i="3"/>
  <c r="O97" i="3"/>
  <c r="N97" i="3"/>
  <c r="I97" i="3"/>
  <c r="M97" i="3" s="1"/>
  <c r="P96" i="3"/>
  <c r="O96" i="3"/>
  <c r="N96" i="3"/>
  <c r="I96" i="3"/>
  <c r="M96" i="3" s="1"/>
  <c r="P95" i="3"/>
  <c r="O95" i="3"/>
  <c r="N95" i="3"/>
  <c r="I95" i="3"/>
  <c r="M95" i="3" s="1"/>
  <c r="P94" i="3"/>
  <c r="O94" i="3"/>
  <c r="N94" i="3"/>
  <c r="M94" i="3"/>
  <c r="I94" i="3"/>
  <c r="P93" i="3"/>
  <c r="O93" i="3"/>
  <c r="N93" i="3"/>
  <c r="I93" i="3"/>
  <c r="M93" i="3" s="1"/>
  <c r="P92" i="3"/>
  <c r="O92" i="3"/>
  <c r="N92" i="3"/>
  <c r="M92" i="3"/>
  <c r="I92" i="3"/>
  <c r="P91" i="3"/>
  <c r="O91" i="3"/>
  <c r="N91" i="3"/>
  <c r="M91" i="3"/>
  <c r="I91" i="3"/>
  <c r="P90" i="3"/>
  <c r="O90" i="3"/>
  <c r="N90" i="3"/>
  <c r="M90" i="3"/>
  <c r="I90" i="3"/>
  <c r="P89" i="3"/>
  <c r="O89" i="3"/>
  <c r="N89" i="3"/>
  <c r="I89" i="3"/>
  <c r="M89" i="3" s="1"/>
  <c r="P88" i="3"/>
  <c r="O88" i="3"/>
  <c r="N88" i="3"/>
  <c r="I88" i="3"/>
  <c r="M88" i="3" s="1"/>
  <c r="P87" i="3"/>
  <c r="O87" i="3"/>
  <c r="N87" i="3"/>
  <c r="I87" i="3"/>
  <c r="M87" i="3" s="1"/>
  <c r="P86" i="3"/>
  <c r="O86" i="3"/>
  <c r="N86" i="3"/>
  <c r="M86" i="3"/>
  <c r="I86" i="3"/>
  <c r="P85" i="3"/>
  <c r="O85" i="3"/>
  <c r="N85" i="3"/>
  <c r="I85" i="3"/>
  <c r="M85" i="3" s="1"/>
  <c r="P84" i="3"/>
  <c r="O84" i="3"/>
  <c r="N84" i="3"/>
  <c r="M84" i="3"/>
  <c r="I84" i="3"/>
  <c r="P83" i="3"/>
  <c r="O83" i="3"/>
  <c r="N83" i="3"/>
  <c r="I83" i="3"/>
  <c r="M83" i="3" s="1"/>
  <c r="P82" i="3"/>
  <c r="O82" i="3"/>
  <c r="N82" i="3"/>
  <c r="M82" i="3"/>
  <c r="I82" i="3"/>
  <c r="P81" i="3"/>
  <c r="O81" i="3"/>
  <c r="N81" i="3"/>
  <c r="M81" i="3"/>
  <c r="I81" i="3"/>
  <c r="P80" i="3"/>
  <c r="O80" i="3"/>
  <c r="N80" i="3"/>
  <c r="I80" i="3"/>
  <c r="M80" i="3" s="1"/>
  <c r="P79" i="3"/>
  <c r="O79" i="3"/>
  <c r="N79" i="3"/>
  <c r="M79" i="3"/>
  <c r="I79" i="3"/>
  <c r="P78" i="3"/>
  <c r="O78" i="3"/>
  <c r="N78" i="3"/>
  <c r="M78" i="3"/>
  <c r="I78" i="3"/>
  <c r="P77" i="3"/>
  <c r="O77" i="3"/>
  <c r="N77" i="3"/>
  <c r="I77" i="3"/>
  <c r="M77" i="3" s="1"/>
  <c r="P76" i="3"/>
  <c r="O76" i="3"/>
  <c r="N76" i="3"/>
  <c r="M76" i="3"/>
  <c r="I76" i="3"/>
  <c r="P75" i="3"/>
  <c r="O75" i="3"/>
  <c r="N75" i="3"/>
  <c r="M75" i="3"/>
  <c r="I75" i="3"/>
  <c r="P74" i="3"/>
  <c r="O74" i="3"/>
  <c r="N74" i="3"/>
  <c r="M74" i="3"/>
  <c r="I74" i="3"/>
  <c r="P73" i="3"/>
  <c r="O73" i="3"/>
  <c r="N73" i="3"/>
  <c r="I73" i="3"/>
  <c r="M73" i="3" s="1"/>
  <c r="P72" i="3"/>
  <c r="O72" i="3"/>
  <c r="N72" i="3"/>
  <c r="I72" i="3"/>
  <c r="M72" i="3" s="1"/>
  <c r="P71" i="3"/>
  <c r="O71" i="3"/>
  <c r="N71" i="3"/>
  <c r="M71" i="3"/>
  <c r="I71" i="3"/>
  <c r="B71" i="3"/>
  <c r="P70" i="3"/>
  <c r="O70" i="3"/>
  <c r="N70" i="3"/>
  <c r="I70" i="3"/>
  <c r="M70" i="3" s="1"/>
  <c r="P69" i="3"/>
  <c r="O69" i="3"/>
  <c r="N69" i="3"/>
  <c r="I69" i="3"/>
  <c r="M69" i="3" s="1"/>
  <c r="P68" i="3"/>
  <c r="O68" i="3"/>
  <c r="N68" i="3"/>
  <c r="I68" i="3"/>
  <c r="M68" i="3" s="1"/>
  <c r="P67" i="3"/>
  <c r="O67" i="3"/>
  <c r="N67" i="3"/>
  <c r="M67" i="3"/>
  <c r="I67" i="3"/>
  <c r="P66" i="3"/>
  <c r="O66" i="3"/>
  <c r="N66" i="3"/>
  <c r="I66" i="3"/>
  <c r="M66" i="3" s="1"/>
  <c r="P65" i="3"/>
  <c r="O65" i="3"/>
  <c r="N65" i="3"/>
  <c r="M65" i="3"/>
  <c r="I65" i="3"/>
  <c r="P64" i="3"/>
  <c r="O64" i="3"/>
  <c r="N64" i="3"/>
  <c r="M64" i="3"/>
  <c r="I64" i="3"/>
  <c r="P63" i="3"/>
  <c r="O63" i="3"/>
  <c r="N63" i="3"/>
  <c r="M63" i="3"/>
  <c r="I63" i="3"/>
  <c r="P62" i="3"/>
  <c r="O62" i="3"/>
  <c r="N62" i="3"/>
  <c r="M62" i="3"/>
  <c r="I62" i="3"/>
  <c r="P61" i="3"/>
  <c r="O61" i="3"/>
  <c r="N61" i="3"/>
  <c r="I61" i="3"/>
  <c r="M61" i="3" s="1"/>
  <c r="P60" i="3"/>
  <c r="O60" i="3"/>
  <c r="N60" i="3"/>
  <c r="I60" i="3"/>
  <c r="M60" i="3" s="1"/>
  <c r="P59" i="3"/>
  <c r="O59" i="3"/>
  <c r="N59" i="3"/>
  <c r="M59" i="3"/>
  <c r="I59" i="3"/>
  <c r="P58" i="3"/>
  <c r="O58" i="3"/>
  <c r="N58" i="3"/>
  <c r="I58" i="3"/>
  <c r="M58" i="3" s="1"/>
  <c r="P57" i="3"/>
  <c r="O57" i="3"/>
  <c r="N57" i="3"/>
  <c r="M57" i="3"/>
  <c r="I57" i="3"/>
  <c r="C57" i="3"/>
  <c r="B57" i="3" s="1"/>
  <c r="P56" i="3"/>
  <c r="O56" i="3"/>
  <c r="N56" i="3"/>
  <c r="I56" i="3"/>
  <c r="M56" i="3" s="1"/>
  <c r="P55" i="3"/>
  <c r="O55" i="3"/>
  <c r="N55" i="3"/>
  <c r="M55" i="3"/>
  <c r="I55" i="3"/>
  <c r="P54" i="3"/>
  <c r="O54" i="3"/>
  <c r="N54" i="3"/>
  <c r="I54" i="3"/>
  <c r="M54" i="3" s="1"/>
  <c r="P53" i="3"/>
  <c r="O53" i="3"/>
  <c r="N53" i="3"/>
  <c r="I53" i="3"/>
  <c r="M53" i="3" s="1"/>
  <c r="P52" i="3"/>
  <c r="O52" i="3"/>
  <c r="N52" i="3"/>
  <c r="M52" i="3"/>
  <c r="I52" i="3"/>
  <c r="P51" i="3"/>
  <c r="O51" i="3"/>
  <c r="N51" i="3"/>
  <c r="M51" i="3"/>
  <c r="I51" i="3"/>
  <c r="P50" i="3"/>
  <c r="O50" i="3"/>
  <c r="N50" i="3"/>
  <c r="I50" i="3"/>
  <c r="M50" i="3" s="1"/>
  <c r="P49" i="3"/>
  <c r="O49" i="3"/>
  <c r="N49" i="3"/>
  <c r="I49" i="3"/>
  <c r="M49" i="3" s="1"/>
  <c r="P48" i="3"/>
  <c r="O48" i="3"/>
  <c r="N48" i="3"/>
  <c r="I48" i="3"/>
  <c r="M48" i="3" s="1"/>
  <c r="P47" i="3"/>
  <c r="O47" i="3"/>
  <c r="N47" i="3"/>
  <c r="M47" i="3"/>
  <c r="I47" i="3"/>
  <c r="P46" i="3"/>
  <c r="O46" i="3"/>
  <c r="N46" i="3"/>
  <c r="I46" i="3"/>
  <c r="M46" i="3" s="1"/>
  <c r="P45" i="3"/>
  <c r="O45" i="3"/>
  <c r="N45" i="3"/>
  <c r="I45" i="3"/>
  <c r="M45" i="3" s="1"/>
  <c r="P44" i="3"/>
  <c r="O44" i="3"/>
  <c r="N44" i="3"/>
  <c r="M44" i="3"/>
  <c r="I44" i="3"/>
  <c r="P43" i="3"/>
  <c r="O43" i="3"/>
  <c r="N43" i="3"/>
  <c r="M43" i="3"/>
  <c r="I43" i="3"/>
  <c r="P42" i="3"/>
  <c r="O42" i="3"/>
  <c r="N42" i="3"/>
  <c r="I42" i="3"/>
  <c r="M42" i="3" s="1"/>
  <c r="P41" i="3"/>
  <c r="O41" i="3"/>
  <c r="N41" i="3"/>
  <c r="I41" i="3"/>
  <c r="M41" i="3" s="1"/>
  <c r="P40" i="3"/>
  <c r="O40" i="3"/>
  <c r="N40" i="3"/>
  <c r="I40" i="3"/>
  <c r="M40" i="3" s="1"/>
  <c r="B40" i="3"/>
  <c r="P39" i="3"/>
  <c r="O39" i="3"/>
  <c r="N39" i="3"/>
  <c r="I39" i="3"/>
  <c r="M39" i="3" s="1"/>
  <c r="B39" i="3"/>
  <c r="P38" i="3"/>
  <c r="O38" i="3"/>
  <c r="N38" i="3"/>
  <c r="I38" i="3"/>
  <c r="M38" i="3" s="1"/>
  <c r="P37" i="3"/>
  <c r="O37" i="3"/>
  <c r="N37" i="3"/>
  <c r="M37" i="3"/>
  <c r="I37" i="3"/>
  <c r="P36" i="3"/>
  <c r="O36" i="3"/>
  <c r="N36" i="3"/>
  <c r="M36" i="3"/>
  <c r="I36" i="3"/>
  <c r="P35" i="3"/>
  <c r="O35" i="3"/>
  <c r="N35" i="3"/>
  <c r="I35" i="3"/>
  <c r="M35" i="3" s="1"/>
  <c r="P34" i="3"/>
  <c r="O34" i="3"/>
  <c r="N34" i="3"/>
  <c r="M34" i="3"/>
  <c r="I34" i="3"/>
  <c r="P33" i="3"/>
  <c r="O33" i="3"/>
  <c r="N33" i="3"/>
  <c r="M33" i="3"/>
  <c r="I33" i="3"/>
  <c r="P32" i="3"/>
  <c r="O32" i="3"/>
  <c r="N32" i="3"/>
  <c r="I32" i="3"/>
  <c r="M32" i="3" s="1"/>
  <c r="P31" i="3"/>
  <c r="O31" i="3"/>
  <c r="N31" i="3"/>
  <c r="I31" i="3"/>
  <c r="M31" i="3" s="1"/>
  <c r="P30" i="3"/>
  <c r="O30" i="3"/>
  <c r="N30" i="3"/>
  <c r="I30" i="3"/>
  <c r="M30" i="3" s="1"/>
  <c r="P29" i="3"/>
  <c r="O29" i="3"/>
  <c r="N29" i="3"/>
  <c r="M29" i="3"/>
  <c r="I29" i="3"/>
  <c r="P28" i="3"/>
  <c r="O28" i="3"/>
  <c r="N28" i="3"/>
  <c r="I28" i="3"/>
  <c r="M28" i="3" s="1"/>
  <c r="P27" i="3"/>
  <c r="O27" i="3"/>
  <c r="N27" i="3"/>
  <c r="M27" i="3"/>
  <c r="I27" i="3"/>
  <c r="Z26" i="3"/>
  <c r="Y26" i="3"/>
  <c r="W26" i="3"/>
  <c r="V26" i="3"/>
  <c r="P26" i="3"/>
  <c r="O26" i="3"/>
  <c r="N26" i="3"/>
  <c r="I26" i="3"/>
  <c r="M26" i="3" s="1"/>
  <c r="Z25" i="3"/>
  <c r="Y25" i="3"/>
  <c r="W25" i="3"/>
  <c r="V25" i="3"/>
  <c r="P25" i="3"/>
  <c r="O25" i="3"/>
  <c r="N25" i="3"/>
  <c r="M25" i="3"/>
  <c r="I25" i="3"/>
  <c r="Z24" i="3"/>
  <c r="Y24" i="3"/>
  <c r="W24" i="3"/>
  <c r="V24" i="3"/>
  <c r="P24" i="3"/>
  <c r="O24" i="3"/>
  <c r="N24" i="3"/>
  <c r="I24" i="3"/>
  <c r="M24" i="3" s="1"/>
  <c r="Z23" i="3"/>
  <c r="Y23" i="3"/>
  <c r="W23" i="3"/>
  <c r="V23" i="3"/>
  <c r="P23" i="3"/>
  <c r="O23" i="3"/>
  <c r="N23" i="3"/>
  <c r="I23" i="3"/>
  <c r="M23" i="3" s="1"/>
  <c r="Z22" i="3"/>
  <c r="Y22" i="3"/>
  <c r="W22" i="3"/>
  <c r="V22" i="3"/>
  <c r="P22" i="3"/>
  <c r="O22" i="3"/>
  <c r="N22" i="3"/>
  <c r="I22" i="3"/>
  <c r="M22" i="3" s="1"/>
  <c r="Z21" i="3"/>
  <c r="Y21" i="3"/>
  <c r="W21" i="3"/>
  <c r="V21" i="3"/>
  <c r="P21" i="3"/>
  <c r="O21" i="3"/>
  <c r="N21" i="3"/>
  <c r="M21" i="3"/>
  <c r="I21" i="3"/>
  <c r="Z20" i="3"/>
  <c r="Y20" i="3"/>
  <c r="W20" i="3"/>
  <c r="V20" i="3"/>
  <c r="P20" i="3"/>
  <c r="O20" i="3"/>
  <c r="N20" i="3"/>
  <c r="I20" i="3"/>
  <c r="M20" i="3" s="1"/>
  <c r="Z19" i="3"/>
  <c r="Y19" i="3"/>
  <c r="W19" i="3"/>
  <c r="V19" i="3"/>
  <c r="P19" i="3"/>
  <c r="O19" i="3"/>
  <c r="N19" i="3"/>
  <c r="I19" i="3"/>
  <c r="M19" i="3" s="1"/>
  <c r="C19" i="3"/>
  <c r="B19" i="3" s="1"/>
  <c r="Z18" i="3"/>
  <c r="Y18" i="3"/>
  <c r="W18" i="3"/>
  <c r="V18" i="3"/>
  <c r="P18" i="3"/>
  <c r="O18" i="3"/>
  <c r="N18" i="3"/>
  <c r="I18" i="3"/>
  <c r="M18" i="3" s="1"/>
  <c r="Z17" i="3"/>
  <c r="Y17" i="3"/>
  <c r="W17" i="3"/>
  <c r="V17" i="3"/>
  <c r="P17" i="3"/>
  <c r="O17" i="3"/>
  <c r="N17" i="3"/>
  <c r="M17" i="3"/>
  <c r="I17" i="3"/>
  <c r="P16" i="3"/>
  <c r="O16" i="3"/>
  <c r="N16" i="3"/>
  <c r="M16" i="3"/>
  <c r="I16" i="3"/>
  <c r="P15" i="3"/>
  <c r="O15" i="3"/>
  <c r="N15" i="3"/>
  <c r="I15" i="3"/>
  <c r="M15" i="3" s="1"/>
  <c r="P14" i="3"/>
  <c r="O14" i="3"/>
  <c r="N14" i="3"/>
  <c r="I14" i="3"/>
  <c r="M14" i="3" s="1"/>
  <c r="AD13" i="3"/>
  <c r="AC13" i="3"/>
  <c r="Z13" i="3"/>
  <c r="Y13" i="3"/>
  <c r="W13" i="3"/>
  <c r="V13" i="3"/>
  <c r="T13" i="3"/>
  <c r="S13" i="3"/>
  <c r="P13" i="3"/>
  <c r="O13" i="3"/>
  <c r="N13" i="3"/>
  <c r="I13" i="3"/>
  <c r="M13" i="3" s="1"/>
  <c r="AD12" i="3"/>
  <c r="AC12" i="3"/>
  <c r="Z12" i="3"/>
  <c r="Y12" i="3"/>
  <c r="W12" i="3"/>
  <c r="V12" i="3"/>
  <c r="T12" i="3"/>
  <c r="S12" i="3"/>
  <c r="P12" i="3"/>
  <c r="O12" i="3"/>
  <c r="N12" i="3"/>
  <c r="M12" i="3"/>
  <c r="I12" i="3"/>
  <c r="C12" i="3"/>
  <c r="B12" i="3" s="1"/>
  <c r="AD11" i="3"/>
  <c r="AC11" i="3"/>
  <c r="Z11" i="3"/>
  <c r="Y11" i="3"/>
  <c r="W11" i="3"/>
  <c r="V11" i="3"/>
  <c r="T11" i="3"/>
  <c r="S11" i="3"/>
  <c r="P11" i="3"/>
  <c r="O11" i="3"/>
  <c r="N11" i="3"/>
  <c r="M11" i="3"/>
  <c r="I11" i="3"/>
  <c r="AD10" i="3"/>
  <c r="AC10" i="3"/>
  <c r="Z10" i="3"/>
  <c r="Y10" i="3"/>
  <c r="W10" i="3"/>
  <c r="V10" i="3"/>
  <c r="T10" i="3"/>
  <c r="S10" i="3"/>
  <c r="P10" i="3"/>
  <c r="O10" i="3"/>
  <c r="N10" i="3"/>
  <c r="I10" i="3"/>
  <c r="M10" i="3" s="1"/>
  <c r="AD9" i="3"/>
  <c r="AC9" i="3"/>
  <c r="Z9" i="3"/>
  <c r="Y9" i="3"/>
  <c r="W9" i="3"/>
  <c r="V9" i="3"/>
  <c r="T9" i="3"/>
  <c r="S9" i="3"/>
  <c r="P9" i="3"/>
  <c r="O9" i="3"/>
  <c r="N9" i="3"/>
  <c r="I9" i="3"/>
  <c r="M9" i="3" s="1"/>
  <c r="AD8" i="3"/>
  <c r="AC8" i="3"/>
  <c r="Z8" i="3"/>
  <c r="Y8" i="3"/>
  <c r="W8" i="3"/>
  <c r="V8" i="3"/>
  <c r="T8" i="3"/>
  <c r="S8" i="3"/>
  <c r="P8" i="3"/>
  <c r="O8" i="3"/>
  <c r="N8" i="3"/>
  <c r="M8" i="3"/>
  <c r="I8" i="3"/>
  <c r="Z7" i="3"/>
  <c r="Y7" i="3"/>
  <c r="W7" i="3"/>
  <c r="V7" i="3"/>
  <c r="P7" i="3"/>
  <c r="O7" i="3"/>
  <c r="N7" i="3"/>
  <c r="M7" i="3"/>
  <c r="I7" i="3"/>
  <c r="Z6" i="3"/>
  <c r="Y6" i="3"/>
  <c r="W6" i="3"/>
  <c r="V6" i="3"/>
  <c r="P6" i="3"/>
  <c r="O6" i="3"/>
  <c r="N6" i="3"/>
  <c r="I6" i="3"/>
  <c r="M6" i="3" s="1"/>
  <c r="Z5" i="3"/>
  <c r="Y5" i="3"/>
  <c r="W5" i="3"/>
  <c r="V5" i="3"/>
  <c r="P5" i="3"/>
  <c r="O5" i="3"/>
  <c r="N5" i="3"/>
  <c r="I5" i="3"/>
  <c r="M5" i="3" s="1"/>
  <c r="Z4" i="3"/>
  <c r="Y4" i="3"/>
  <c r="W4" i="3"/>
  <c r="V4" i="3"/>
  <c r="P4" i="3"/>
  <c r="O4" i="3"/>
  <c r="N4" i="3"/>
  <c r="M4" i="3"/>
  <c r="I4" i="3"/>
  <c r="P3" i="3"/>
  <c r="O3" i="3"/>
  <c r="N3" i="3"/>
  <c r="M3" i="3"/>
  <c r="I3" i="3"/>
  <c r="P2" i="3"/>
  <c r="O2" i="3"/>
  <c r="N2" i="3"/>
  <c r="M2" i="3"/>
  <c r="I2" i="3"/>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P97" i="2"/>
  <c r="O97" i="2"/>
  <c r="N97" i="2"/>
  <c r="M97" i="2"/>
  <c r="P96" i="2"/>
  <c r="O96" i="2"/>
  <c r="N96" i="2"/>
  <c r="M96" i="2"/>
  <c r="P95" i="2"/>
  <c r="O95" i="2"/>
  <c r="N95" i="2"/>
  <c r="M95" i="2"/>
  <c r="P94" i="2"/>
  <c r="O94" i="2"/>
  <c r="N94" i="2"/>
  <c r="M94" i="2"/>
  <c r="P93" i="2"/>
  <c r="O93" i="2"/>
  <c r="N93" i="2"/>
  <c r="M93" i="2"/>
  <c r="P92" i="2"/>
  <c r="O92" i="2"/>
  <c r="N92" i="2"/>
  <c r="M92" i="2"/>
  <c r="P91" i="2"/>
  <c r="O91" i="2"/>
  <c r="N91" i="2"/>
  <c r="M91" i="2"/>
  <c r="P90" i="2"/>
  <c r="O90" i="2"/>
  <c r="N90" i="2"/>
  <c r="M90" i="2"/>
  <c r="P89" i="2"/>
  <c r="O89" i="2"/>
  <c r="N89" i="2"/>
  <c r="M89" i="2"/>
  <c r="P88" i="2"/>
  <c r="O88" i="2"/>
  <c r="N88" i="2"/>
  <c r="M88" i="2"/>
  <c r="P87" i="2"/>
  <c r="O87" i="2"/>
  <c r="N87" i="2"/>
  <c r="M87" i="2"/>
  <c r="C87" i="2"/>
  <c r="B87" i="2" s="1"/>
  <c r="P86" i="2"/>
  <c r="O86" i="2"/>
  <c r="N86" i="2"/>
  <c r="M86" i="2"/>
  <c r="P85" i="2"/>
  <c r="O85" i="2"/>
  <c r="N85" i="2"/>
  <c r="M85" i="2"/>
  <c r="P84" i="2"/>
  <c r="O84" i="2"/>
  <c r="N84" i="2"/>
  <c r="M84" i="2"/>
  <c r="P83" i="2"/>
  <c r="O83" i="2"/>
  <c r="N83" i="2"/>
  <c r="M83" i="2"/>
  <c r="P82" i="2"/>
  <c r="O82" i="2"/>
  <c r="N82" i="2"/>
  <c r="M82" i="2"/>
  <c r="P81" i="2"/>
  <c r="O81" i="2"/>
  <c r="N81" i="2"/>
  <c r="M81" i="2"/>
  <c r="P80" i="2"/>
  <c r="O80" i="2"/>
  <c r="N80" i="2"/>
  <c r="M80" i="2"/>
  <c r="P79" i="2"/>
  <c r="O79" i="2"/>
  <c r="N79" i="2"/>
  <c r="M79" i="2"/>
  <c r="P78" i="2"/>
  <c r="O78" i="2"/>
  <c r="N78" i="2"/>
  <c r="M78" i="2"/>
  <c r="P77" i="2"/>
  <c r="O77" i="2"/>
  <c r="N77" i="2"/>
  <c r="M77" i="2"/>
  <c r="P76" i="2"/>
  <c r="O76" i="2"/>
  <c r="N76" i="2"/>
  <c r="M76" i="2"/>
  <c r="P75" i="2"/>
  <c r="O75" i="2"/>
  <c r="N75" i="2"/>
  <c r="M75" i="2"/>
  <c r="P74" i="2"/>
  <c r="O74" i="2"/>
  <c r="N74" i="2"/>
  <c r="M74" i="2"/>
  <c r="P73" i="2"/>
  <c r="O73" i="2"/>
  <c r="N73" i="2"/>
  <c r="M73" i="2"/>
  <c r="P72" i="2"/>
  <c r="O72" i="2"/>
  <c r="N72" i="2"/>
  <c r="M72" i="2"/>
  <c r="P71" i="2"/>
  <c r="O71" i="2"/>
  <c r="N71" i="2"/>
  <c r="M71" i="2"/>
  <c r="P70" i="2"/>
  <c r="O70" i="2"/>
  <c r="N70" i="2"/>
  <c r="M70" i="2"/>
  <c r="P69" i="2"/>
  <c r="O69" i="2"/>
  <c r="N69" i="2"/>
  <c r="M69" i="2"/>
  <c r="P68" i="2"/>
  <c r="O68" i="2"/>
  <c r="N68" i="2"/>
  <c r="M68" i="2"/>
  <c r="B68" i="2"/>
  <c r="P67" i="2"/>
  <c r="O67" i="2"/>
  <c r="N67" i="2"/>
  <c r="M67" i="2"/>
  <c r="P66" i="2"/>
  <c r="O66" i="2"/>
  <c r="N66" i="2"/>
  <c r="M66" i="2"/>
  <c r="P65" i="2"/>
  <c r="O65" i="2"/>
  <c r="N65" i="2"/>
  <c r="M65" i="2"/>
  <c r="P64" i="2"/>
  <c r="O64" i="2"/>
  <c r="N64" i="2"/>
  <c r="M64" i="2"/>
  <c r="P63" i="2"/>
  <c r="O63" i="2"/>
  <c r="N63" i="2"/>
  <c r="M63" i="2"/>
  <c r="P62" i="2"/>
  <c r="O62" i="2"/>
  <c r="N62" i="2"/>
  <c r="M62" i="2"/>
  <c r="P61" i="2"/>
  <c r="O61" i="2"/>
  <c r="N61" i="2"/>
  <c r="M61" i="2"/>
  <c r="P60" i="2"/>
  <c r="O60" i="2"/>
  <c r="N60" i="2"/>
  <c r="M60" i="2"/>
  <c r="P59" i="2"/>
  <c r="O59" i="2"/>
  <c r="N59" i="2"/>
  <c r="M59" i="2"/>
  <c r="P58" i="2"/>
  <c r="O58" i="2"/>
  <c r="N58" i="2"/>
  <c r="M58" i="2"/>
  <c r="P57" i="2"/>
  <c r="O57" i="2"/>
  <c r="N57" i="2"/>
  <c r="M57" i="2"/>
  <c r="P56" i="2"/>
  <c r="O56" i="2"/>
  <c r="N56" i="2"/>
  <c r="M56" i="2"/>
  <c r="B56" i="2"/>
  <c r="P55" i="2"/>
  <c r="O55" i="2"/>
  <c r="N55" i="2"/>
  <c r="M55" i="2"/>
  <c r="P54" i="2"/>
  <c r="O54" i="2"/>
  <c r="N54" i="2"/>
  <c r="M54" i="2"/>
  <c r="C54" i="2"/>
  <c r="B54" i="2" s="1"/>
  <c r="P53" i="2"/>
  <c r="O53" i="2"/>
  <c r="N53" i="2"/>
  <c r="M53" i="2"/>
  <c r="P52" i="2"/>
  <c r="O52" i="2"/>
  <c r="N52" i="2"/>
  <c r="M52" i="2"/>
  <c r="P51" i="2"/>
  <c r="O51" i="2"/>
  <c r="N51" i="2"/>
  <c r="M51" i="2"/>
  <c r="P50" i="2"/>
  <c r="O50" i="2"/>
  <c r="N50" i="2"/>
  <c r="M50" i="2"/>
  <c r="C50" i="2"/>
  <c r="B50" i="2"/>
  <c r="P49" i="2"/>
  <c r="O49" i="2"/>
  <c r="N49" i="2"/>
  <c r="M49" i="2"/>
  <c r="P48" i="2"/>
  <c r="O48" i="2"/>
  <c r="N48" i="2"/>
  <c r="M48" i="2"/>
  <c r="P47" i="2"/>
  <c r="O47" i="2"/>
  <c r="N47" i="2"/>
  <c r="M47" i="2"/>
  <c r="P46" i="2"/>
  <c r="O46" i="2"/>
  <c r="N46" i="2"/>
  <c r="M46" i="2"/>
  <c r="P45" i="2"/>
  <c r="O45" i="2"/>
  <c r="N45" i="2"/>
  <c r="M45" i="2"/>
  <c r="P44" i="2"/>
  <c r="O44" i="2"/>
  <c r="N44" i="2"/>
  <c r="M44" i="2"/>
  <c r="P43" i="2"/>
  <c r="O43" i="2"/>
  <c r="N43" i="2"/>
  <c r="M43" i="2"/>
  <c r="P42" i="2"/>
  <c r="O42" i="2"/>
  <c r="N42" i="2"/>
  <c r="M42" i="2"/>
  <c r="P41" i="2"/>
  <c r="O41" i="2"/>
  <c r="N41" i="2"/>
  <c r="M41" i="2"/>
  <c r="P40" i="2"/>
  <c r="O40" i="2"/>
  <c r="N40" i="2"/>
  <c r="M40" i="2"/>
  <c r="P39" i="2"/>
  <c r="O39" i="2"/>
  <c r="N39" i="2"/>
  <c r="M39" i="2"/>
  <c r="P38" i="2"/>
  <c r="O38" i="2"/>
  <c r="N38" i="2"/>
  <c r="M38" i="2"/>
  <c r="P37" i="2"/>
  <c r="O37" i="2"/>
  <c r="N37" i="2"/>
  <c r="M37" i="2"/>
  <c r="P36" i="2"/>
  <c r="O36" i="2"/>
  <c r="N36" i="2"/>
  <c r="M36" i="2"/>
  <c r="P35" i="2"/>
  <c r="O35" i="2"/>
  <c r="N35" i="2"/>
  <c r="M35" i="2"/>
  <c r="P34" i="2"/>
  <c r="O34" i="2"/>
  <c r="N34" i="2"/>
  <c r="M34" i="2"/>
  <c r="P33" i="2"/>
  <c r="O33" i="2"/>
  <c r="N33" i="2"/>
  <c r="M33" i="2"/>
  <c r="P32" i="2"/>
  <c r="O32" i="2"/>
  <c r="N32" i="2"/>
  <c r="M32" i="2"/>
  <c r="P31" i="2"/>
  <c r="O31" i="2"/>
  <c r="N31" i="2"/>
  <c r="M31" i="2"/>
  <c r="P30" i="2"/>
  <c r="O30" i="2"/>
  <c r="N30" i="2"/>
  <c r="M30" i="2"/>
  <c r="P29" i="2"/>
  <c r="O29" i="2"/>
  <c r="N29" i="2"/>
  <c r="M29" i="2"/>
  <c r="P28" i="2"/>
  <c r="O28" i="2"/>
  <c r="N28" i="2"/>
  <c r="M28" i="2"/>
  <c r="P27" i="2"/>
  <c r="O27" i="2"/>
  <c r="N27" i="2"/>
  <c r="M27" i="2"/>
  <c r="C27" i="2"/>
  <c r="B27" i="2" s="1"/>
  <c r="Z26" i="2"/>
  <c r="Y26" i="2"/>
  <c r="W26" i="2"/>
  <c r="V26" i="2"/>
  <c r="P26" i="2"/>
  <c r="O26" i="2"/>
  <c r="N26" i="2"/>
  <c r="M26" i="2"/>
  <c r="Z25" i="2"/>
  <c r="Y25" i="2"/>
  <c r="W25" i="2"/>
  <c r="V25" i="2"/>
  <c r="P25" i="2"/>
  <c r="O25" i="2"/>
  <c r="N25" i="2"/>
  <c r="M25" i="2"/>
  <c r="Z24" i="2"/>
  <c r="Y24" i="2"/>
  <c r="W24" i="2"/>
  <c r="V24" i="2"/>
  <c r="P24" i="2"/>
  <c r="O24" i="2"/>
  <c r="N24" i="2"/>
  <c r="M24" i="2"/>
  <c r="Z23" i="2"/>
  <c r="Y23" i="2"/>
  <c r="W23" i="2"/>
  <c r="V23" i="2"/>
  <c r="P23" i="2"/>
  <c r="O23" i="2"/>
  <c r="N23" i="2"/>
  <c r="M23" i="2"/>
  <c r="Z22" i="2"/>
  <c r="Y22" i="2"/>
  <c r="W22" i="2"/>
  <c r="V22" i="2"/>
  <c r="P22" i="2"/>
  <c r="O22" i="2"/>
  <c r="N22" i="2"/>
  <c r="M22" i="2"/>
  <c r="Z21" i="2"/>
  <c r="Y21" i="2"/>
  <c r="W21" i="2"/>
  <c r="V21" i="2"/>
  <c r="P21" i="2"/>
  <c r="O21" i="2"/>
  <c r="N21" i="2"/>
  <c r="M21" i="2"/>
  <c r="Z20" i="2"/>
  <c r="Y20" i="2"/>
  <c r="W20" i="2"/>
  <c r="V20" i="2"/>
  <c r="P20" i="2"/>
  <c r="O20" i="2"/>
  <c r="N20" i="2"/>
  <c r="M20" i="2"/>
  <c r="Z19" i="2"/>
  <c r="Y19" i="2"/>
  <c r="W19" i="2"/>
  <c r="V19" i="2"/>
  <c r="P19" i="2"/>
  <c r="O19" i="2"/>
  <c r="N19" i="2"/>
  <c r="M19" i="2"/>
  <c r="Z18" i="2"/>
  <c r="Y18" i="2"/>
  <c r="W18" i="2"/>
  <c r="V18" i="2"/>
  <c r="P18" i="2"/>
  <c r="O18" i="2"/>
  <c r="N18" i="2"/>
  <c r="M18" i="2"/>
  <c r="Z17" i="2"/>
  <c r="Y17" i="2"/>
  <c r="W17" i="2"/>
  <c r="V17" i="2"/>
  <c r="P17" i="2"/>
  <c r="O17" i="2"/>
  <c r="N17" i="2"/>
  <c r="M17" i="2"/>
  <c r="C17" i="2"/>
  <c r="B17" i="2" s="1"/>
  <c r="P16" i="2"/>
  <c r="O16" i="2"/>
  <c r="N16" i="2"/>
  <c r="M16" i="2"/>
  <c r="P15" i="2"/>
  <c r="O15" i="2"/>
  <c r="N15" i="2"/>
  <c r="M15" i="2"/>
  <c r="P14" i="2"/>
  <c r="O14" i="2"/>
  <c r="N14" i="2"/>
  <c r="M14" i="2"/>
  <c r="AD13" i="2"/>
  <c r="AC13" i="2"/>
  <c r="Z13" i="2"/>
  <c r="Y13" i="2"/>
  <c r="W13" i="2"/>
  <c r="V13" i="2"/>
  <c r="T13" i="2"/>
  <c r="S13" i="2"/>
  <c r="P13" i="2"/>
  <c r="O13" i="2"/>
  <c r="N13" i="2"/>
  <c r="M13" i="2"/>
  <c r="AD12" i="2"/>
  <c r="AC12" i="2"/>
  <c r="Z12" i="2"/>
  <c r="Y12" i="2"/>
  <c r="W12" i="2"/>
  <c r="V12" i="2"/>
  <c r="T12" i="2"/>
  <c r="S12" i="2"/>
  <c r="P12" i="2"/>
  <c r="O12" i="2"/>
  <c r="N12" i="2"/>
  <c r="M12" i="2"/>
  <c r="AD11" i="2"/>
  <c r="AC11" i="2"/>
  <c r="Z11" i="2"/>
  <c r="Y11" i="2"/>
  <c r="W11" i="2"/>
  <c r="V11" i="2"/>
  <c r="T11" i="2"/>
  <c r="S11" i="2"/>
  <c r="P11" i="2"/>
  <c r="O11" i="2"/>
  <c r="N11" i="2"/>
  <c r="M11" i="2"/>
  <c r="AD10" i="2"/>
  <c r="AC10" i="2"/>
  <c r="Z10" i="2"/>
  <c r="Y10" i="2"/>
  <c r="W10" i="2"/>
  <c r="V10" i="2"/>
  <c r="T10" i="2"/>
  <c r="S10" i="2"/>
  <c r="P10" i="2"/>
  <c r="O10" i="2"/>
  <c r="N10" i="2"/>
  <c r="M10" i="2"/>
  <c r="AD9" i="2"/>
  <c r="AC9" i="2"/>
  <c r="Z9" i="2"/>
  <c r="Y9" i="2"/>
  <c r="W9" i="2"/>
  <c r="V9" i="2"/>
  <c r="T9" i="2"/>
  <c r="S9" i="2"/>
  <c r="P9" i="2"/>
  <c r="O9" i="2"/>
  <c r="N9" i="2"/>
  <c r="M9" i="2"/>
  <c r="AD8" i="2"/>
  <c r="AC8" i="2"/>
  <c r="Z8" i="2"/>
  <c r="Y8" i="2"/>
  <c r="W8" i="2"/>
  <c r="V8" i="2"/>
  <c r="T8" i="2"/>
  <c r="S8" i="2"/>
  <c r="P8" i="2"/>
  <c r="O8" i="2"/>
  <c r="N8" i="2"/>
  <c r="M8" i="2"/>
  <c r="Z7" i="2"/>
  <c r="Y7" i="2"/>
  <c r="W7" i="2"/>
  <c r="V7" i="2"/>
  <c r="P7" i="2"/>
  <c r="O7" i="2"/>
  <c r="N7" i="2"/>
  <c r="M7" i="2"/>
  <c r="Z6" i="2"/>
  <c r="Y6" i="2"/>
  <c r="W6" i="2"/>
  <c r="V6" i="2"/>
  <c r="P6" i="2"/>
  <c r="O6" i="2"/>
  <c r="N6" i="2"/>
  <c r="M6" i="2"/>
  <c r="C6" i="2"/>
  <c r="B6" i="2" s="1"/>
  <c r="Z5" i="2"/>
  <c r="Y5" i="2"/>
  <c r="W5" i="2"/>
  <c r="V5" i="2"/>
  <c r="P5" i="2"/>
  <c r="O5" i="2"/>
  <c r="N5" i="2"/>
  <c r="M5" i="2"/>
  <c r="Z4" i="2"/>
  <c r="Y4" i="2"/>
  <c r="W4" i="2"/>
  <c r="V4" i="2"/>
  <c r="P4" i="2"/>
  <c r="O4" i="2"/>
  <c r="N4" i="2"/>
  <c r="M4" i="2"/>
  <c r="P3" i="2"/>
  <c r="O3" i="2"/>
  <c r="N3" i="2"/>
  <c r="M3" i="2"/>
  <c r="P2" i="2"/>
  <c r="O2" i="2"/>
  <c r="N2" i="2"/>
  <c r="M2" i="2"/>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79" i="2" s="1"/>
  <c r="B79" i="2" s="1"/>
  <c r="C99" i="1"/>
  <c r="AC84" i="4" l="1"/>
  <c r="AD83" i="4"/>
  <c r="C21" i="4"/>
  <c r="B21" i="4" s="1"/>
  <c r="AC82" i="6"/>
  <c r="C48" i="2"/>
  <c r="B48" i="2" s="1"/>
  <c r="C23" i="3"/>
  <c r="B23" i="3" s="1"/>
  <c r="C49" i="3"/>
  <c r="B49" i="3" s="1"/>
  <c r="C53" i="3"/>
  <c r="B53" i="3" s="1"/>
  <c r="C76" i="3"/>
  <c r="B76" i="3" s="1"/>
  <c r="C84" i="3"/>
  <c r="B84" i="3" s="1"/>
  <c r="C91" i="3"/>
  <c r="B91" i="3" s="1"/>
  <c r="C25" i="4"/>
  <c r="B25" i="4" s="1"/>
  <c r="C64" i="3"/>
  <c r="B64" i="3" s="1"/>
  <c r="C72" i="3"/>
  <c r="B72" i="3" s="1"/>
  <c r="C96" i="3"/>
  <c r="B96" i="3" s="1"/>
  <c r="C15" i="4"/>
  <c r="B15" i="4" s="1"/>
  <c r="C40" i="4"/>
  <c r="B40" i="4" s="1"/>
  <c r="C60" i="4"/>
  <c r="B60" i="4" s="1"/>
  <c r="C15" i="2"/>
  <c r="B15" i="2" s="1"/>
  <c r="C25" i="2"/>
  <c r="B25" i="2" s="1"/>
  <c r="C35" i="2"/>
  <c r="B35" i="2" s="1"/>
  <c r="C81" i="2"/>
  <c r="B81" i="2" s="1"/>
  <c r="C35" i="3"/>
  <c r="B35" i="3" s="1"/>
  <c r="C80" i="3"/>
  <c r="B80" i="3" s="1"/>
  <c r="C48" i="4"/>
  <c r="B48" i="4" s="1"/>
  <c r="C4" i="3"/>
  <c r="B4" i="3" s="1"/>
  <c r="C69" i="2"/>
  <c r="B69" i="2" s="1"/>
  <c r="C27" i="3"/>
  <c r="B27" i="3" s="1"/>
  <c r="C45" i="3"/>
  <c r="B45" i="3" s="1"/>
  <c r="C85" i="2"/>
  <c r="B85" i="2" s="1"/>
  <c r="C50" i="9"/>
  <c r="B50" i="9" s="1"/>
  <c r="C8" i="2"/>
  <c r="B8" i="2" s="1"/>
  <c r="C33" i="2"/>
  <c r="B33" i="2" s="1"/>
  <c r="C44" i="2"/>
  <c r="B44" i="2" s="1"/>
  <c r="C63" i="2"/>
  <c r="B63" i="2" s="1"/>
  <c r="C34" i="2"/>
  <c r="B34" i="2" s="1"/>
  <c r="C7" i="2"/>
  <c r="B7" i="2" s="1"/>
  <c r="C5" i="7"/>
  <c r="B5" i="7" s="1"/>
  <c r="C52" i="4"/>
  <c r="B52" i="4" s="1"/>
  <c r="C65" i="2"/>
  <c r="B65" i="2" s="1"/>
  <c r="C61" i="2"/>
  <c r="B61" i="2" s="1"/>
  <c r="C24" i="2"/>
  <c r="B24" i="2" s="1"/>
  <c r="C18" i="2"/>
  <c r="B18" i="2" s="1"/>
  <c r="C13" i="2"/>
  <c r="B13" i="2" s="1"/>
  <c r="C3" i="2"/>
  <c r="B3" i="2" s="1"/>
  <c r="C67" i="6"/>
  <c r="B67" i="6" s="1"/>
  <c r="C22" i="6"/>
  <c r="B22" i="6" s="1"/>
  <c r="C80" i="5"/>
  <c r="B80" i="5" s="1"/>
  <c r="C59" i="5"/>
  <c r="B59" i="5" s="1"/>
  <c r="C17" i="5"/>
  <c r="B17" i="5" s="1"/>
  <c r="C64" i="4"/>
  <c r="B64" i="4" s="1"/>
  <c r="C31" i="7"/>
  <c r="B31" i="7" s="1"/>
  <c r="C63" i="6"/>
  <c r="B63" i="6" s="1"/>
  <c r="C82" i="4"/>
  <c r="B82" i="4" s="1"/>
  <c r="C72" i="4"/>
  <c r="B72" i="4" s="1"/>
  <c r="C44" i="4"/>
  <c r="B44" i="4" s="1"/>
  <c r="C11" i="2"/>
  <c r="B11" i="2" s="1"/>
  <c r="C94" i="2"/>
  <c r="B94" i="2" s="1"/>
  <c r="C10" i="2"/>
  <c r="B10" i="2" s="1"/>
  <c r="C4" i="2"/>
  <c r="B4" i="2" s="1"/>
  <c r="C5" i="4"/>
  <c r="B5" i="4" s="1"/>
  <c r="C28" i="2"/>
  <c r="B28" i="2" s="1"/>
  <c r="C22" i="2"/>
  <c r="B22" i="2" s="1"/>
  <c r="C5" i="2"/>
  <c r="B5" i="2" s="1"/>
  <c r="C96" i="2"/>
  <c r="B96" i="2" s="1"/>
  <c r="C90" i="2"/>
  <c r="B90" i="2" s="1"/>
  <c r="C62" i="2"/>
  <c r="B62" i="2" s="1"/>
  <c r="C37" i="2"/>
  <c r="B37" i="2" s="1"/>
  <c r="C31" i="2"/>
  <c r="B31" i="2" s="1"/>
  <c r="C9" i="3"/>
  <c r="B9" i="3" s="1"/>
  <c r="C5" i="3"/>
  <c r="B5" i="3" s="1"/>
  <c r="C92" i="2"/>
  <c r="B92" i="2" s="1"/>
  <c r="C83" i="2"/>
  <c r="B83" i="2" s="1"/>
  <c r="C64" i="2"/>
  <c r="B64" i="2" s="1"/>
  <c r="C58" i="2"/>
  <c r="B58" i="2" s="1"/>
  <c r="C21" i="2"/>
  <c r="B21" i="2" s="1"/>
  <c r="C2" i="2"/>
  <c r="C26" i="6"/>
  <c r="B26" i="6" s="1"/>
  <c r="C33" i="5"/>
  <c r="B33" i="5" s="1"/>
  <c r="C5" i="5"/>
  <c r="B5" i="5" s="1"/>
  <c r="C67" i="4"/>
  <c r="B67" i="4" s="1"/>
  <c r="C59" i="4"/>
  <c r="B59" i="4" s="1"/>
  <c r="C6" i="5"/>
  <c r="B6" i="5" s="1"/>
  <c r="C63" i="4"/>
  <c r="B63" i="4" s="1"/>
  <c r="C39" i="4"/>
  <c r="B39" i="4" s="1"/>
  <c r="C8" i="3"/>
  <c r="B8" i="3" s="1"/>
  <c r="C52" i="3"/>
  <c r="B52" i="3" s="1"/>
  <c r="C96" i="5"/>
  <c r="B96" i="5" s="1"/>
  <c r="C96" i="10"/>
  <c r="B96" i="10" s="1"/>
  <c r="C75" i="3"/>
  <c r="B75" i="3" s="1"/>
  <c r="C92" i="3"/>
  <c r="B92" i="3" s="1"/>
  <c r="C68" i="4"/>
  <c r="B68" i="4" s="1"/>
  <c r="AC83" i="4"/>
  <c r="AD84" i="5"/>
  <c r="AC83" i="5"/>
  <c r="AC84" i="5"/>
  <c r="AD83" i="5"/>
  <c r="AD82" i="5"/>
  <c r="AC82" i="5"/>
  <c r="C72" i="6"/>
  <c r="B72" i="6" s="1"/>
  <c r="C23" i="2"/>
  <c r="B23" i="2" s="1"/>
  <c r="C34" i="3"/>
  <c r="B34" i="3" s="1"/>
  <c r="C65" i="3"/>
  <c r="B65" i="3" s="1"/>
  <c r="C79" i="3"/>
  <c r="B79" i="3" s="1"/>
  <c r="AD84" i="4"/>
  <c r="C32" i="4"/>
  <c r="B32" i="4" s="1"/>
  <c r="C19" i="2"/>
  <c r="B19" i="2" s="1"/>
  <c r="C12" i="2"/>
  <c r="B12" i="2" s="1"/>
  <c r="C29" i="2"/>
  <c r="B29" i="2" s="1"/>
  <c r="C60" i="2"/>
  <c r="B60" i="2" s="1"/>
  <c r="C14" i="2"/>
  <c r="B14" i="2" s="1"/>
  <c r="C66" i="2"/>
  <c r="B66" i="2" s="1"/>
  <c r="C44" i="3"/>
  <c r="B44" i="3" s="1"/>
  <c r="C13" i="4"/>
  <c r="B13" i="4" s="1"/>
  <c r="C9" i="2"/>
  <c r="B9" i="2" s="1"/>
  <c r="C16" i="2"/>
  <c r="B16" i="2" s="1"/>
  <c r="C20" i="2"/>
  <c r="B20" i="2" s="1"/>
  <c r="C26" i="2"/>
  <c r="B26" i="2" s="1"/>
  <c r="C32" i="2"/>
  <c r="B32" i="2" s="1"/>
  <c r="C38" i="2"/>
  <c r="B38" i="2" s="1"/>
  <c r="C59" i="2"/>
  <c r="B59" i="2" s="1"/>
  <c r="C84" i="2"/>
  <c r="B84" i="2" s="1"/>
  <c r="C33" i="3"/>
  <c r="B33" i="3" s="1"/>
  <c r="C43" i="3"/>
  <c r="B43" i="3" s="1"/>
  <c r="C51" i="3"/>
  <c r="B51" i="3" s="1"/>
  <c r="C78" i="3"/>
  <c r="B78" i="3" s="1"/>
  <c r="C86" i="3"/>
  <c r="B86" i="3" s="1"/>
  <c r="C27" i="4"/>
  <c r="B27" i="4" s="1"/>
  <c r="C38" i="4"/>
  <c r="B38" i="4" s="1"/>
  <c r="C50" i="4"/>
  <c r="B50" i="4" s="1"/>
  <c r="C58" i="4"/>
  <c r="B58" i="4" s="1"/>
  <c r="C66" i="4"/>
  <c r="B66" i="4" s="1"/>
  <c r="C74" i="4"/>
  <c r="B74" i="4" s="1"/>
  <c r="C8" i="5"/>
  <c r="B8" i="5" s="1"/>
  <c r="C58" i="5"/>
  <c r="B58" i="5" s="1"/>
  <c r="C66" i="6"/>
  <c r="B66" i="6" s="1"/>
  <c r="AD84" i="6"/>
  <c r="C37" i="7"/>
  <c r="B37" i="7" s="1"/>
  <c r="C74" i="9"/>
  <c r="B74" i="9" s="1"/>
  <c r="C43" i="2"/>
  <c r="B43" i="2" s="1"/>
  <c r="C53" i="2"/>
  <c r="B53" i="2" s="1"/>
  <c r="C78" i="2"/>
  <c r="B78" i="2" s="1"/>
  <c r="C20" i="3"/>
  <c r="B20" i="3" s="1"/>
  <c r="C24" i="3"/>
  <c r="B24" i="3" s="1"/>
  <c r="C28" i="3"/>
  <c r="B28" i="3" s="1"/>
  <c r="C32" i="3"/>
  <c r="B32" i="3" s="1"/>
  <c r="C42" i="3"/>
  <c r="B42" i="3" s="1"/>
  <c r="C70" i="3"/>
  <c r="B70" i="3" s="1"/>
  <c r="C77" i="3"/>
  <c r="B77" i="3" s="1"/>
  <c r="C93" i="3"/>
  <c r="B93" i="3" s="1"/>
  <c r="C3" i="4"/>
  <c r="C10" i="4"/>
  <c r="B10" i="4" s="1"/>
  <c r="C14" i="4"/>
  <c r="B14" i="4" s="1"/>
  <c r="C22" i="4"/>
  <c r="B22" i="4" s="1"/>
  <c r="C26" i="4"/>
  <c r="B26" i="4" s="1"/>
  <c r="C29" i="4"/>
  <c r="B29" i="4" s="1"/>
  <c r="C37" i="4"/>
  <c r="B37" i="4" s="1"/>
  <c r="C57" i="4"/>
  <c r="B57" i="4" s="1"/>
  <c r="C65" i="4"/>
  <c r="B65" i="4" s="1"/>
  <c r="C80" i="4"/>
  <c r="B80" i="4" s="1"/>
  <c r="C16" i="5"/>
  <c r="B16" i="5" s="1"/>
  <c r="C27" i="5"/>
  <c r="B27" i="5" s="1"/>
  <c r="C18" i="6"/>
  <c r="B18" i="6" s="1"/>
  <c r="C50" i="6"/>
  <c r="B50" i="6" s="1"/>
  <c r="C42" i="7"/>
  <c r="B42" i="7" s="1"/>
  <c r="C75" i="8"/>
  <c r="B75" i="8" s="1"/>
  <c r="C66" i="11"/>
  <c r="B66" i="11" s="1"/>
  <c r="C13" i="3"/>
  <c r="B13" i="3" s="1"/>
  <c r="C15" i="3"/>
  <c r="B15" i="3" s="1"/>
  <c r="C31" i="3"/>
  <c r="B31" i="3" s="1"/>
  <c r="C41" i="3"/>
  <c r="B41" i="3" s="1"/>
  <c r="C61" i="3"/>
  <c r="B61" i="3" s="1"/>
  <c r="C69" i="3"/>
  <c r="B69" i="3" s="1"/>
  <c r="C88" i="3"/>
  <c r="B88" i="3" s="1"/>
  <c r="C6" i="4"/>
  <c r="B6" i="4" s="1"/>
  <c r="C18" i="4"/>
  <c r="B18" i="4" s="1"/>
  <c r="C36" i="4"/>
  <c r="B36" i="4" s="1"/>
  <c r="C56" i="4"/>
  <c r="B56" i="4" s="1"/>
  <c r="C76" i="4"/>
  <c r="B76" i="4" s="1"/>
  <c r="AC82" i="4"/>
  <c r="C88" i="4"/>
  <c r="B88" i="4" s="1"/>
  <c r="C45" i="5"/>
  <c r="B45" i="5" s="1"/>
  <c r="C49" i="5"/>
  <c r="B49" i="5" s="1"/>
  <c r="C81" i="6"/>
  <c r="B81" i="6" s="1"/>
  <c r="C12" i="7"/>
  <c r="B12" i="7" s="1"/>
  <c r="C8" i="10"/>
  <c r="B8" i="10" s="1"/>
  <c r="C42" i="2"/>
  <c r="B42" i="2" s="1"/>
  <c r="C52" i="2"/>
  <c r="B52" i="2" s="1"/>
  <c r="C73" i="2"/>
  <c r="B73" i="2" s="1"/>
  <c r="C75" i="2"/>
  <c r="B75" i="2" s="1"/>
  <c r="C77" i="2"/>
  <c r="B77" i="2" s="1"/>
  <c r="C88" i="2"/>
  <c r="C30" i="3"/>
  <c r="B30" i="3" s="1"/>
  <c r="C48" i="3"/>
  <c r="B48" i="3" s="1"/>
  <c r="C60" i="3"/>
  <c r="B60" i="3" s="1"/>
  <c r="C68" i="3"/>
  <c r="B68" i="3" s="1"/>
  <c r="C95" i="3"/>
  <c r="B95" i="3" s="1"/>
  <c r="C35" i="4"/>
  <c r="B35" i="4" s="1"/>
  <c r="C47" i="4"/>
  <c r="B47" i="4" s="1"/>
  <c r="C55" i="4"/>
  <c r="B55" i="4" s="1"/>
  <c r="C83" i="4"/>
  <c r="B83" i="4" s="1"/>
  <c r="C90" i="4"/>
  <c r="B90" i="4" s="1"/>
  <c r="C94" i="4"/>
  <c r="B94" i="4" s="1"/>
  <c r="C96" i="4"/>
  <c r="B96" i="4" s="1"/>
  <c r="C3" i="5"/>
  <c r="B3" i="5" s="1"/>
  <c r="C9" i="5"/>
  <c r="B9" i="5" s="1"/>
  <c r="C39" i="5"/>
  <c r="B39" i="5" s="1"/>
  <c r="C53" i="5"/>
  <c r="B53" i="5" s="1"/>
  <c r="C63" i="5"/>
  <c r="B63" i="5" s="1"/>
  <c r="C85" i="5"/>
  <c r="B85" i="5" s="1"/>
  <c r="C90" i="5"/>
  <c r="B90" i="5" s="1"/>
  <c r="C38" i="6"/>
  <c r="B38" i="6" s="1"/>
  <c r="C58" i="6"/>
  <c r="B58" i="6" s="1"/>
  <c r="C75" i="6"/>
  <c r="B75" i="6" s="1"/>
  <c r="C73" i="10"/>
  <c r="B73" i="10" s="1"/>
  <c r="C30" i="2"/>
  <c r="B30" i="2" s="1"/>
  <c r="C36" i="2"/>
  <c r="B36" i="2" s="1"/>
  <c r="C57" i="2"/>
  <c r="B57" i="2" s="1"/>
  <c r="C67" i="2"/>
  <c r="B67" i="2" s="1"/>
  <c r="C82" i="2"/>
  <c r="B82" i="2" s="1"/>
  <c r="C86" i="2"/>
  <c r="B86" i="2" s="1"/>
  <c r="C3" i="3"/>
  <c r="B3" i="3" s="1"/>
  <c r="C17" i="3"/>
  <c r="B17" i="3" s="1"/>
  <c r="C21" i="3"/>
  <c r="B21" i="3" s="1"/>
  <c r="C25" i="3"/>
  <c r="B25" i="3" s="1"/>
  <c r="C59" i="3"/>
  <c r="B59" i="3" s="1"/>
  <c r="C63" i="3"/>
  <c r="B63" i="3" s="1"/>
  <c r="C67" i="3"/>
  <c r="B67" i="3" s="1"/>
  <c r="C74" i="3"/>
  <c r="B74" i="3" s="1"/>
  <c r="C90" i="3"/>
  <c r="B90" i="3" s="1"/>
  <c r="C11" i="4"/>
  <c r="B11" i="4" s="1"/>
  <c r="C23" i="4"/>
  <c r="B23" i="4" s="1"/>
  <c r="C34" i="4"/>
  <c r="B34" i="4" s="1"/>
  <c r="C46" i="4"/>
  <c r="B46" i="4" s="1"/>
  <c r="C54" i="4"/>
  <c r="B54" i="4" s="1"/>
  <c r="C62" i="4"/>
  <c r="B62" i="4" s="1"/>
  <c r="C79" i="4"/>
  <c r="B79" i="4" s="1"/>
  <c r="C91" i="6"/>
  <c r="B91" i="6" s="1"/>
  <c r="C6" i="7"/>
  <c r="B6" i="7" s="1"/>
  <c r="C41" i="2"/>
  <c r="B41" i="2" s="1"/>
  <c r="C47" i="2"/>
  <c r="B47" i="2" s="1"/>
  <c r="C49" i="2"/>
  <c r="B49" i="2" s="1"/>
  <c r="C51" i="2"/>
  <c r="B51" i="2" s="1"/>
  <c r="C72" i="2"/>
  <c r="B72" i="2" s="1"/>
  <c r="C6" i="3"/>
  <c r="B6" i="3" s="1"/>
  <c r="C10" i="3"/>
  <c r="B10" i="3" s="1"/>
  <c r="C14" i="3"/>
  <c r="B14" i="3" s="1"/>
  <c r="C50" i="3"/>
  <c r="B50" i="3" s="1"/>
  <c r="C58" i="3"/>
  <c r="B58" i="3" s="1"/>
  <c r="C66" i="3"/>
  <c r="B66" i="3" s="1"/>
  <c r="C85" i="3"/>
  <c r="B85" i="3" s="1"/>
  <c r="C97" i="3"/>
  <c r="B97" i="3" s="1"/>
  <c r="C7" i="4"/>
  <c r="B7" i="4" s="1"/>
  <c r="C16" i="4"/>
  <c r="B16" i="4" s="1"/>
  <c r="C19" i="4"/>
  <c r="B19" i="4" s="1"/>
  <c r="C33" i="4"/>
  <c r="B33" i="4" s="1"/>
  <c r="C45" i="4"/>
  <c r="B45" i="4" s="1"/>
  <c r="C49" i="4"/>
  <c r="B49" i="4" s="1"/>
  <c r="C53" i="4"/>
  <c r="B53" i="4" s="1"/>
  <c r="C73" i="4"/>
  <c r="B73" i="4" s="1"/>
  <c r="C97" i="5"/>
  <c r="B97" i="5" s="1"/>
  <c r="M14" i="7"/>
  <c r="AD82" i="7" s="1"/>
  <c r="M25" i="7"/>
  <c r="C40" i="2"/>
  <c r="B40" i="2" s="1"/>
  <c r="C46" i="2"/>
  <c r="B46" i="2" s="1"/>
  <c r="C71" i="2"/>
  <c r="B71" i="2" s="1"/>
  <c r="C18" i="3"/>
  <c r="B18" i="3" s="1"/>
  <c r="C22" i="3"/>
  <c r="B22" i="3" s="1"/>
  <c r="C26" i="3"/>
  <c r="B26" i="3" s="1"/>
  <c r="C38" i="3"/>
  <c r="B38" i="3" s="1"/>
  <c r="C56" i="3"/>
  <c r="B56" i="3" s="1"/>
  <c r="C83" i="3"/>
  <c r="B83" i="3" s="1"/>
  <c r="C87" i="3"/>
  <c r="B87" i="3" s="1"/>
  <c r="C12" i="4"/>
  <c r="B12" i="4" s="1"/>
  <c r="C24" i="4"/>
  <c r="B24" i="4" s="1"/>
  <c r="C31" i="4"/>
  <c r="B31" i="4" s="1"/>
  <c r="C43" i="4"/>
  <c r="B43" i="4" s="1"/>
  <c r="C51" i="4"/>
  <c r="B51" i="4" s="1"/>
  <c r="C71" i="4"/>
  <c r="B71" i="4" s="1"/>
  <c r="C75" i="4"/>
  <c r="B75" i="4" s="1"/>
  <c r="C19" i="5"/>
  <c r="B19" i="5" s="1"/>
  <c r="C33" i="6"/>
  <c r="B33" i="6" s="1"/>
  <c r="C49" i="6"/>
  <c r="B49" i="6" s="1"/>
  <c r="C53" i="6"/>
  <c r="B53" i="6" s="1"/>
  <c r="AD82" i="6"/>
  <c r="AC84" i="6"/>
  <c r="AD83" i="6"/>
  <c r="AC83" i="6"/>
  <c r="C80" i="2"/>
  <c r="C89" i="2"/>
  <c r="C91" i="2"/>
  <c r="B91" i="2" s="1"/>
  <c r="C93" i="2"/>
  <c r="B93" i="2" s="1"/>
  <c r="C95" i="2"/>
  <c r="B95" i="2" s="1"/>
  <c r="C97" i="2"/>
  <c r="B97" i="2" s="1"/>
  <c r="C7" i="3"/>
  <c r="B7" i="3" s="1"/>
  <c r="C11" i="3"/>
  <c r="B11" i="3" s="1"/>
  <c r="C29" i="3"/>
  <c r="B29" i="3" s="1"/>
  <c r="C37" i="3"/>
  <c r="B37" i="3" s="1"/>
  <c r="C47" i="3"/>
  <c r="B47" i="3" s="1"/>
  <c r="C55" i="3"/>
  <c r="B55" i="3" s="1"/>
  <c r="C82" i="3"/>
  <c r="B82" i="3" s="1"/>
  <c r="C94" i="3"/>
  <c r="B94" i="3" s="1"/>
  <c r="AD82" i="4"/>
  <c r="C4" i="4"/>
  <c r="B4" i="4" s="1"/>
  <c r="C8" i="4"/>
  <c r="B8" i="4" s="1"/>
  <c r="C30" i="4"/>
  <c r="B30" i="4" s="1"/>
  <c r="C42" i="4"/>
  <c r="B42" i="4" s="1"/>
  <c r="C70" i="4"/>
  <c r="B70" i="4" s="1"/>
  <c r="C87" i="4"/>
  <c r="B87" i="4" s="1"/>
  <c r="C93" i="4"/>
  <c r="B93" i="4" s="1"/>
  <c r="C11" i="5"/>
  <c r="B11" i="5" s="1"/>
  <c r="C72" i="5"/>
  <c r="B72" i="5" s="1"/>
  <c r="C74" i="5"/>
  <c r="B74" i="5" s="1"/>
  <c r="C45" i="6"/>
  <c r="B45" i="6" s="1"/>
  <c r="C76" i="6"/>
  <c r="B76" i="6" s="1"/>
  <c r="C78" i="6"/>
  <c r="B78" i="6" s="1"/>
  <c r="C103" i="14"/>
  <c r="B103" i="14" s="1"/>
  <c r="C96" i="14"/>
  <c r="B96" i="14" s="1"/>
  <c r="C81" i="14"/>
  <c r="B81" i="14" s="1"/>
  <c r="C73" i="14"/>
  <c r="B73" i="14" s="1"/>
  <c r="C55" i="14"/>
  <c r="B55" i="14" s="1"/>
  <c r="C108" i="14"/>
  <c r="B108" i="14" s="1"/>
  <c r="C101" i="14"/>
  <c r="B101" i="14" s="1"/>
  <c r="C87" i="14"/>
  <c r="B87" i="14" s="1"/>
  <c r="C83" i="14"/>
  <c r="B83" i="14" s="1"/>
  <c r="C65" i="14"/>
  <c r="B65" i="14" s="1"/>
  <c r="C57" i="14"/>
  <c r="B57" i="14" s="1"/>
  <c r="C104" i="14"/>
  <c r="B104" i="14" s="1"/>
  <c r="C97" i="14"/>
  <c r="B97" i="14" s="1"/>
  <c r="C74" i="14"/>
  <c r="B74" i="14" s="1"/>
  <c r="C68" i="14"/>
  <c r="B68" i="14" s="1"/>
  <c r="C60" i="14"/>
  <c r="B60" i="14" s="1"/>
  <c r="C41" i="14"/>
  <c r="B41" i="14" s="1"/>
  <c r="C109" i="14"/>
  <c r="B109" i="14" s="1"/>
  <c r="C102" i="14"/>
  <c r="B102" i="14" s="1"/>
  <c r="C95" i="14"/>
  <c r="B95" i="14" s="1"/>
  <c r="C88" i="14"/>
  <c r="B88" i="14" s="1"/>
  <c r="C70" i="14"/>
  <c r="B70" i="14" s="1"/>
  <c r="C85" i="14"/>
  <c r="B85" i="14" s="1"/>
  <c r="C64" i="14"/>
  <c r="B64" i="14" s="1"/>
  <c r="C62" i="14"/>
  <c r="B62" i="14" s="1"/>
  <c r="C58" i="14"/>
  <c r="B58" i="14" s="1"/>
  <c r="C46" i="14"/>
  <c r="B46" i="14" s="1"/>
  <c r="C39" i="14"/>
  <c r="B39" i="14" s="1"/>
  <c r="C9" i="14"/>
  <c r="B9" i="14" s="1"/>
  <c r="C5" i="14"/>
  <c r="B5" i="14" s="1"/>
  <c r="C86" i="13"/>
  <c r="B86" i="13" s="1"/>
  <c r="C105" i="14"/>
  <c r="B105" i="14" s="1"/>
  <c r="C52" i="14"/>
  <c r="B52" i="14" s="1"/>
  <c r="C43" i="14"/>
  <c r="B43" i="14" s="1"/>
  <c r="C23" i="14"/>
  <c r="B23" i="14" s="1"/>
  <c r="C19" i="14"/>
  <c r="B19" i="14" s="1"/>
  <c r="C87" i="13"/>
  <c r="B87" i="13" s="1"/>
  <c r="C83" i="13"/>
  <c r="B83" i="13" s="1"/>
  <c r="C57" i="13"/>
  <c r="B57" i="13" s="1"/>
  <c r="C86" i="14"/>
  <c r="B86" i="14" s="1"/>
  <c r="C80" i="14"/>
  <c r="B80" i="14" s="1"/>
  <c r="C63" i="14"/>
  <c r="B63" i="14" s="1"/>
  <c r="C61" i="14"/>
  <c r="B61" i="14" s="1"/>
  <c r="C56" i="14"/>
  <c r="B56" i="14" s="1"/>
  <c r="C16" i="14"/>
  <c r="B16" i="14" s="1"/>
  <c r="C72" i="14"/>
  <c r="B72" i="14" s="1"/>
  <c r="C44" i="14"/>
  <c r="B44" i="14" s="1"/>
  <c r="C78" i="14"/>
  <c r="B78" i="14" s="1"/>
  <c r="C66" i="14"/>
  <c r="B66" i="14" s="1"/>
  <c r="C54" i="14"/>
  <c r="B54" i="14" s="1"/>
  <c r="C38" i="14"/>
  <c r="C25" i="14"/>
  <c r="B25" i="14" s="1"/>
  <c r="C21" i="14"/>
  <c r="B21" i="14" s="1"/>
  <c r="C17" i="14"/>
  <c r="B17" i="14" s="1"/>
  <c r="C93" i="13"/>
  <c r="B93" i="13" s="1"/>
  <c r="C95" i="13"/>
  <c r="B95" i="13" s="1"/>
  <c r="C91" i="13"/>
  <c r="B91" i="13" s="1"/>
  <c r="C79" i="13"/>
  <c r="B79" i="13" s="1"/>
  <c r="C73" i="13"/>
  <c r="B73" i="13" s="1"/>
  <c r="C66" i="13"/>
  <c r="B66" i="13" s="1"/>
  <c r="C52" i="13"/>
  <c r="B52" i="13" s="1"/>
  <c r="C45" i="13"/>
  <c r="B45" i="13" s="1"/>
  <c r="C33" i="13"/>
  <c r="B33" i="13" s="1"/>
  <c r="C12" i="13"/>
  <c r="B12" i="13" s="1"/>
  <c r="C8" i="13"/>
  <c r="B8" i="13" s="1"/>
  <c r="C84" i="14"/>
  <c r="B84" i="14" s="1"/>
  <c r="C10" i="14"/>
  <c r="C53" i="14"/>
  <c r="B53" i="14" s="1"/>
  <c r="C35" i="14"/>
  <c r="B35" i="14" s="1"/>
  <c r="C31" i="14"/>
  <c r="B31" i="14" s="1"/>
  <c r="C89" i="13"/>
  <c r="B89" i="13" s="1"/>
  <c r="C85" i="13"/>
  <c r="B85" i="13" s="1"/>
  <c r="C67" i="13"/>
  <c r="B67" i="13" s="1"/>
  <c r="C61" i="13"/>
  <c r="B61" i="13" s="1"/>
  <c r="C35" i="13"/>
  <c r="B35" i="13" s="1"/>
  <c r="C51" i="14"/>
  <c r="B51" i="14" s="1"/>
  <c r="C99" i="14"/>
  <c r="B99" i="14" s="1"/>
  <c r="C92" i="14"/>
  <c r="B92" i="14" s="1"/>
  <c r="C90" i="14"/>
  <c r="B90" i="14" s="1"/>
  <c r="C76" i="14"/>
  <c r="B76" i="14" s="1"/>
  <c r="C29" i="14"/>
  <c r="C27" i="14"/>
  <c r="B27" i="14" s="1"/>
  <c r="C22" i="14"/>
  <c r="B22" i="14" s="1"/>
  <c r="C8" i="14"/>
  <c r="B8" i="14" s="1"/>
  <c r="C96" i="13"/>
  <c r="B96" i="13" s="1"/>
  <c r="C81" i="13"/>
  <c r="B81" i="13" s="1"/>
  <c r="C74" i="13"/>
  <c r="B74" i="13" s="1"/>
  <c r="C70" i="13"/>
  <c r="B70" i="13" s="1"/>
  <c r="C55" i="13"/>
  <c r="B55" i="13" s="1"/>
  <c r="C38" i="13"/>
  <c r="B38" i="13" s="1"/>
  <c r="C18" i="14"/>
  <c r="B18" i="14" s="1"/>
  <c r="C15" i="14"/>
  <c r="B15" i="14" s="1"/>
  <c r="C6" i="14"/>
  <c r="B6" i="14" s="1"/>
  <c r="C94" i="13"/>
  <c r="B94" i="13" s="1"/>
  <c r="C90" i="13"/>
  <c r="B90" i="13" s="1"/>
  <c r="C82" i="13"/>
  <c r="B82" i="13" s="1"/>
  <c r="C71" i="13"/>
  <c r="B71" i="13" s="1"/>
  <c r="C62" i="13"/>
  <c r="B62" i="13" s="1"/>
  <c r="C56" i="13"/>
  <c r="B56" i="13" s="1"/>
  <c r="C40" i="13"/>
  <c r="B40" i="13" s="1"/>
  <c r="C17" i="13"/>
  <c r="B17" i="13" s="1"/>
  <c r="C79" i="14"/>
  <c r="B79" i="14" s="1"/>
  <c r="C77" i="14"/>
  <c r="B77" i="14" s="1"/>
  <c r="C69" i="14"/>
  <c r="B69" i="14" s="1"/>
  <c r="C59" i="14"/>
  <c r="B59" i="14" s="1"/>
  <c r="C48" i="14"/>
  <c r="B48" i="14" s="1"/>
  <c r="C33" i="14"/>
  <c r="B33" i="14" s="1"/>
  <c r="C12" i="14"/>
  <c r="B12" i="14" s="1"/>
  <c r="C4" i="14"/>
  <c r="C36" i="14"/>
  <c r="B36" i="14" s="1"/>
  <c r="C28" i="14"/>
  <c r="B28" i="14" s="1"/>
  <c r="C3" i="14"/>
  <c r="B3" i="14" s="1"/>
  <c r="C69" i="13"/>
  <c r="B69" i="13" s="1"/>
  <c r="C53" i="13"/>
  <c r="B53" i="13" s="1"/>
  <c r="C42" i="13"/>
  <c r="B42" i="13" s="1"/>
  <c r="C28" i="13"/>
  <c r="B28" i="13" s="1"/>
  <c r="C95" i="12"/>
  <c r="B95" i="12" s="1"/>
  <c r="C77" i="13"/>
  <c r="B77" i="13" s="1"/>
  <c r="C21" i="13"/>
  <c r="B21" i="13" s="1"/>
  <c r="C16" i="13"/>
  <c r="B16" i="13" s="1"/>
  <c r="C6" i="13"/>
  <c r="B6" i="13" s="1"/>
  <c r="C3" i="13"/>
  <c r="B3" i="13" s="1"/>
  <c r="C88" i="12"/>
  <c r="B88" i="12" s="1"/>
  <c r="C77" i="12"/>
  <c r="B77" i="12" s="1"/>
  <c r="C69" i="12"/>
  <c r="B69" i="12" s="1"/>
  <c r="C61" i="12"/>
  <c r="B61" i="12" s="1"/>
  <c r="C41" i="12"/>
  <c r="B41" i="12" s="1"/>
  <c r="C30" i="12"/>
  <c r="B30" i="12" s="1"/>
  <c r="C15" i="12"/>
  <c r="B15" i="12" s="1"/>
  <c r="C12" i="12"/>
  <c r="B12" i="12" s="1"/>
  <c r="C8" i="12"/>
  <c r="B8" i="12" s="1"/>
  <c r="C106" i="14"/>
  <c r="B106" i="14" s="1"/>
  <c r="C47" i="14"/>
  <c r="B47" i="14" s="1"/>
  <c r="C45" i="14"/>
  <c r="B45" i="14" s="1"/>
  <c r="C32" i="14"/>
  <c r="B32" i="14" s="1"/>
  <c r="C24" i="14"/>
  <c r="B24" i="14" s="1"/>
  <c r="C80" i="13"/>
  <c r="B80" i="13" s="1"/>
  <c r="C64" i="13"/>
  <c r="B64" i="13" s="1"/>
  <c r="C60" i="13"/>
  <c r="B60" i="13" s="1"/>
  <c r="C46" i="13"/>
  <c r="B46" i="13" s="1"/>
  <c r="C10" i="13"/>
  <c r="B10" i="13" s="1"/>
  <c r="C93" i="12"/>
  <c r="B93" i="12" s="1"/>
  <c r="C78" i="12"/>
  <c r="B78" i="12" s="1"/>
  <c r="C70" i="12"/>
  <c r="B70" i="12" s="1"/>
  <c r="C42" i="12"/>
  <c r="B42" i="12" s="1"/>
  <c r="C31" i="12"/>
  <c r="B31" i="12" s="1"/>
  <c r="C49" i="14"/>
  <c r="B49" i="14" s="1"/>
  <c r="C26" i="14"/>
  <c r="B26" i="14" s="1"/>
  <c r="C14" i="14"/>
  <c r="B14" i="14" s="1"/>
  <c r="C54" i="13"/>
  <c r="B54" i="13" s="1"/>
  <c r="C43" i="13"/>
  <c r="B43" i="13" s="1"/>
  <c r="C26" i="13"/>
  <c r="B26" i="13" s="1"/>
  <c r="C20" i="13"/>
  <c r="C19" i="13"/>
  <c r="B19" i="13" s="1"/>
  <c r="C5" i="13"/>
  <c r="C91" i="12"/>
  <c r="B91" i="12" s="1"/>
  <c r="C80" i="12"/>
  <c r="B80" i="12" s="1"/>
  <c r="C72" i="12"/>
  <c r="B72" i="12" s="1"/>
  <c r="C64" i="12"/>
  <c r="B64" i="12" s="1"/>
  <c r="C98" i="14"/>
  <c r="B98" i="14" s="1"/>
  <c r="C93" i="14"/>
  <c r="B93" i="14" s="1"/>
  <c r="C78" i="13"/>
  <c r="B78" i="13" s="1"/>
  <c r="C51" i="13"/>
  <c r="B51" i="13" s="1"/>
  <c r="C49" i="13"/>
  <c r="B49" i="13" s="1"/>
  <c r="C29" i="13"/>
  <c r="B29" i="13" s="1"/>
  <c r="C25" i="13"/>
  <c r="B25" i="13" s="1"/>
  <c r="C9" i="13"/>
  <c r="B9" i="13" s="1"/>
  <c r="C96" i="12"/>
  <c r="B96" i="12" s="1"/>
  <c r="C81" i="12"/>
  <c r="B81" i="12" s="1"/>
  <c r="C73" i="12"/>
  <c r="B73" i="12" s="1"/>
  <c r="C20" i="14"/>
  <c r="B20" i="14" s="1"/>
  <c r="C11" i="14"/>
  <c r="B11" i="14" s="1"/>
  <c r="C2" i="14"/>
  <c r="C58" i="13"/>
  <c r="B58" i="13" s="1"/>
  <c r="C44" i="13"/>
  <c r="B44" i="13" s="1"/>
  <c r="C18" i="13"/>
  <c r="B18" i="13" s="1"/>
  <c r="C15" i="13"/>
  <c r="B15" i="13" s="1"/>
  <c r="C94" i="12"/>
  <c r="B94" i="12" s="1"/>
  <c r="C83" i="12"/>
  <c r="B83" i="12" s="1"/>
  <c r="C50" i="13"/>
  <c r="B50" i="13" s="1"/>
  <c r="C7" i="13"/>
  <c r="B7" i="13" s="1"/>
  <c r="C84" i="12"/>
  <c r="B84" i="12" s="1"/>
  <c r="C71" i="12"/>
  <c r="B71" i="12" s="1"/>
  <c r="C68" i="12"/>
  <c r="B68" i="12" s="1"/>
  <c r="C65" i="12"/>
  <c r="B65" i="12" s="1"/>
  <c r="C53" i="12"/>
  <c r="B53" i="12" s="1"/>
  <c r="C90" i="11"/>
  <c r="B90" i="11" s="1"/>
  <c r="C68" i="11"/>
  <c r="B68" i="11" s="1"/>
  <c r="C60" i="11"/>
  <c r="B60" i="11" s="1"/>
  <c r="C41" i="11"/>
  <c r="B41" i="11" s="1"/>
  <c r="C15" i="11"/>
  <c r="B15" i="11" s="1"/>
  <c r="C13" i="11"/>
  <c r="B13" i="11" s="1"/>
  <c r="C91" i="10"/>
  <c r="B91" i="10" s="1"/>
  <c r="C72" i="10"/>
  <c r="B72" i="10" s="1"/>
  <c r="C64" i="10"/>
  <c r="B64" i="10" s="1"/>
  <c r="C53" i="10"/>
  <c r="B53" i="10" s="1"/>
  <c r="C49" i="10"/>
  <c r="B49" i="10" s="1"/>
  <c r="C45" i="10"/>
  <c r="B45" i="10" s="1"/>
  <c r="C33" i="10"/>
  <c r="B33" i="10" s="1"/>
  <c r="C19" i="10"/>
  <c r="B19" i="10" s="1"/>
  <c r="C2" i="10"/>
  <c r="C37" i="14"/>
  <c r="B37" i="14" s="1"/>
  <c r="C68" i="13"/>
  <c r="B68" i="13" s="1"/>
  <c r="C31" i="13"/>
  <c r="B31" i="13" s="1"/>
  <c r="C14" i="13"/>
  <c r="B14" i="13" s="1"/>
  <c r="C90" i="12"/>
  <c r="B90" i="12" s="1"/>
  <c r="C76" i="12"/>
  <c r="B76" i="12" s="1"/>
  <c r="C74" i="12"/>
  <c r="B74" i="12" s="1"/>
  <c r="C54" i="12"/>
  <c r="B54" i="12" s="1"/>
  <c r="C37" i="12"/>
  <c r="B37" i="12" s="1"/>
  <c r="C28" i="12"/>
  <c r="B28" i="12" s="1"/>
  <c r="C23" i="12"/>
  <c r="B23" i="12" s="1"/>
  <c r="C11" i="12"/>
  <c r="B11" i="12" s="1"/>
  <c r="C95" i="11"/>
  <c r="B95" i="11" s="1"/>
  <c r="C91" i="14"/>
  <c r="B91" i="14" s="1"/>
  <c r="C84" i="13"/>
  <c r="B84" i="13" s="1"/>
  <c r="C59" i="13"/>
  <c r="B59" i="13" s="1"/>
  <c r="C13" i="13"/>
  <c r="B13" i="13" s="1"/>
  <c r="C92" i="12"/>
  <c r="B92" i="12" s="1"/>
  <c r="C17" i="12"/>
  <c r="C6" i="12"/>
  <c r="B6" i="12" s="1"/>
  <c r="C88" i="11"/>
  <c r="B88" i="11" s="1"/>
  <c r="C78" i="11"/>
  <c r="B78" i="11" s="1"/>
  <c r="C70" i="11"/>
  <c r="B70" i="11" s="1"/>
  <c r="C51" i="11"/>
  <c r="B51" i="11" s="1"/>
  <c r="C43" i="11"/>
  <c r="B43" i="11" s="1"/>
  <c r="C31" i="11"/>
  <c r="B31" i="11" s="1"/>
  <c r="C24" i="11"/>
  <c r="B24" i="11" s="1"/>
  <c r="C20" i="11"/>
  <c r="B20" i="11" s="1"/>
  <c r="C8" i="11"/>
  <c r="B8" i="11" s="1"/>
  <c r="C4" i="11"/>
  <c r="B4" i="11" s="1"/>
  <c r="C89" i="10"/>
  <c r="B89" i="10" s="1"/>
  <c r="C81" i="10"/>
  <c r="B81" i="10" s="1"/>
  <c r="C62" i="10"/>
  <c r="B62" i="10" s="1"/>
  <c r="C55" i="10"/>
  <c r="B55" i="10" s="1"/>
  <c r="C47" i="10"/>
  <c r="B47" i="10" s="1"/>
  <c r="C35" i="10"/>
  <c r="B35" i="10" s="1"/>
  <c r="C11" i="10"/>
  <c r="B11" i="10" s="1"/>
  <c r="C7" i="10"/>
  <c r="B7" i="10" s="1"/>
  <c r="C97" i="9"/>
  <c r="B97" i="9" s="1"/>
  <c r="C61" i="9"/>
  <c r="B61" i="9" s="1"/>
  <c r="C43" i="9"/>
  <c r="B43" i="9" s="1"/>
  <c r="C30" i="14"/>
  <c r="B30" i="14" s="1"/>
  <c r="C76" i="13"/>
  <c r="B76" i="13" s="1"/>
  <c r="C66" i="12"/>
  <c r="B66" i="12" s="1"/>
  <c r="C59" i="12"/>
  <c r="B59" i="12" s="1"/>
  <c r="C55" i="12"/>
  <c r="B55" i="12" s="1"/>
  <c r="C50" i="12"/>
  <c r="B50" i="12" s="1"/>
  <c r="C22" i="12"/>
  <c r="B22" i="12" s="1"/>
  <c r="C3" i="12"/>
  <c r="B3" i="12" s="1"/>
  <c r="C93" i="11"/>
  <c r="B93" i="11" s="1"/>
  <c r="C79" i="11"/>
  <c r="B79" i="11" s="1"/>
  <c r="C75" i="11"/>
  <c r="B75" i="11" s="1"/>
  <c r="C71" i="11"/>
  <c r="B71" i="11" s="1"/>
  <c r="C52" i="11"/>
  <c r="B52" i="11" s="1"/>
  <c r="C44" i="11"/>
  <c r="B44" i="11" s="1"/>
  <c r="C32" i="11"/>
  <c r="B32" i="11" s="1"/>
  <c r="C28" i="11"/>
  <c r="B28" i="11" s="1"/>
  <c r="C12" i="11"/>
  <c r="C94" i="10"/>
  <c r="B94" i="10" s="1"/>
  <c r="C82" i="10"/>
  <c r="B82" i="10" s="1"/>
  <c r="C56" i="10"/>
  <c r="B56" i="10" s="1"/>
  <c r="C36" i="10"/>
  <c r="B36" i="10" s="1"/>
  <c r="C22" i="10"/>
  <c r="B22" i="10" s="1"/>
  <c r="C18" i="10"/>
  <c r="B18" i="10" s="1"/>
  <c r="C90" i="9"/>
  <c r="B90" i="9" s="1"/>
  <c r="C68" i="9"/>
  <c r="B68" i="9" s="1"/>
  <c r="C51" i="9"/>
  <c r="C44" i="9"/>
  <c r="B44" i="9" s="1"/>
  <c r="C32" i="9"/>
  <c r="B32" i="9" s="1"/>
  <c r="C28" i="9"/>
  <c r="B28" i="9" s="1"/>
  <c r="C24" i="9"/>
  <c r="B24" i="9" s="1"/>
  <c r="C98" i="13"/>
  <c r="C63" i="13"/>
  <c r="C47" i="13"/>
  <c r="C41" i="13"/>
  <c r="B41" i="13" s="1"/>
  <c r="C34" i="13"/>
  <c r="B34" i="13" s="1"/>
  <c r="C24" i="13"/>
  <c r="B24" i="13" s="1"/>
  <c r="C23" i="13"/>
  <c r="B23" i="13" s="1"/>
  <c r="C11" i="13"/>
  <c r="B11" i="13" s="1"/>
  <c r="C87" i="12"/>
  <c r="B87" i="12" s="1"/>
  <c r="C79" i="12"/>
  <c r="B79" i="12" s="1"/>
  <c r="C62" i="12"/>
  <c r="B62" i="12" s="1"/>
  <c r="C56" i="12"/>
  <c r="B56" i="12" s="1"/>
  <c r="C48" i="12"/>
  <c r="B48" i="12" s="1"/>
  <c r="C43" i="12"/>
  <c r="B43" i="12" s="1"/>
  <c r="C32" i="12"/>
  <c r="B32" i="12" s="1"/>
  <c r="C5" i="12"/>
  <c r="B5" i="12" s="1"/>
  <c r="C91" i="11"/>
  <c r="B91" i="11" s="1"/>
  <c r="C75" i="14"/>
  <c r="B75" i="14" s="1"/>
  <c r="C39" i="13"/>
  <c r="B39" i="13" s="1"/>
  <c r="C37" i="13"/>
  <c r="B37" i="13" s="1"/>
  <c r="C2" i="13"/>
  <c r="C57" i="12"/>
  <c r="B57" i="12" s="1"/>
  <c r="C51" i="12"/>
  <c r="B51" i="12" s="1"/>
  <c r="C27" i="12"/>
  <c r="B27" i="12" s="1"/>
  <c r="C16" i="12"/>
  <c r="B16" i="12" s="1"/>
  <c r="C14" i="12"/>
  <c r="C4" i="12"/>
  <c r="B4" i="12" s="1"/>
  <c r="C94" i="11"/>
  <c r="B94" i="11" s="1"/>
  <c r="C83" i="11"/>
  <c r="B83" i="11" s="1"/>
  <c r="C76" i="11"/>
  <c r="B76" i="11" s="1"/>
  <c r="C57" i="11"/>
  <c r="B57" i="11" s="1"/>
  <c r="C37" i="11"/>
  <c r="B37" i="11" s="1"/>
  <c r="C29" i="11"/>
  <c r="B29" i="11" s="1"/>
  <c r="C26" i="11"/>
  <c r="B26" i="11" s="1"/>
  <c r="C22" i="11"/>
  <c r="B22" i="11" s="1"/>
  <c r="C18" i="11"/>
  <c r="B18" i="11" s="1"/>
  <c r="C10" i="11"/>
  <c r="B10" i="11" s="1"/>
  <c r="C6" i="11"/>
  <c r="B6" i="11" s="1"/>
  <c r="C95" i="10"/>
  <c r="B95" i="10" s="1"/>
  <c r="C68" i="10"/>
  <c r="B68" i="10" s="1"/>
  <c r="C60" i="10"/>
  <c r="B60" i="10" s="1"/>
  <c r="C41" i="10"/>
  <c r="B41" i="10" s="1"/>
  <c r="C15" i="10"/>
  <c r="B15" i="10" s="1"/>
  <c r="C13" i="10"/>
  <c r="B13" i="10" s="1"/>
  <c r="C67" i="14"/>
  <c r="B67" i="14" s="1"/>
  <c r="C48" i="13"/>
  <c r="B48" i="13" s="1"/>
  <c r="C86" i="12"/>
  <c r="B86" i="12" s="1"/>
  <c r="C63" i="12"/>
  <c r="B63" i="12" s="1"/>
  <c r="C58" i="12"/>
  <c r="B58" i="12" s="1"/>
  <c r="C47" i="12"/>
  <c r="B47" i="12" s="1"/>
  <c r="C40" i="12"/>
  <c r="C36" i="12"/>
  <c r="B36" i="12" s="1"/>
  <c r="C18" i="12"/>
  <c r="B18" i="12" s="1"/>
  <c r="C7" i="12"/>
  <c r="B7" i="12" s="1"/>
  <c r="C97" i="11"/>
  <c r="B97" i="11" s="1"/>
  <c r="C85" i="11"/>
  <c r="B85" i="11" s="1"/>
  <c r="C97" i="12"/>
  <c r="B97" i="12" s="1"/>
  <c r="C64" i="11"/>
  <c r="B64" i="11" s="1"/>
  <c r="C40" i="11"/>
  <c r="B40" i="11" s="1"/>
  <c r="C33" i="11"/>
  <c r="B33" i="11" s="1"/>
  <c r="C17" i="11"/>
  <c r="B17" i="11" s="1"/>
  <c r="C3" i="11"/>
  <c r="B3" i="11" s="1"/>
  <c r="C46" i="10"/>
  <c r="B46" i="10" s="1"/>
  <c r="C43" i="10"/>
  <c r="B43" i="10" s="1"/>
  <c r="C23" i="10"/>
  <c r="C21" i="10"/>
  <c r="B21" i="10" s="1"/>
  <c r="C20" i="10"/>
  <c r="B20" i="10" s="1"/>
  <c r="C5" i="10"/>
  <c r="B5" i="10" s="1"/>
  <c r="C64" i="9"/>
  <c r="B64" i="9" s="1"/>
  <c r="C41" i="9"/>
  <c r="B41" i="9" s="1"/>
  <c r="C33" i="9"/>
  <c r="B33" i="9" s="1"/>
  <c r="C22" i="9"/>
  <c r="B22" i="9" s="1"/>
  <c r="C18" i="9"/>
  <c r="B18" i="9" s="1"/>
  <c r="C95" i="8"/>
  <c r="B95" i="8" s="1"/>
  <c r="C86" i="8"/>
  <c r="B86" i="8" s="1"/>
  <c r="C80" i="8"/>
  <c r="B80" i="8" s="1"/>
  <c r="C62" i="8"/>
  <c r="B62" i="8" s="1"/>
  <c r="C25" i="8"/>
  <c r="B25" i="8" s="1"/>
  <c r="C88" i="7"/>
  <c r="B88" i="7" s="1"/>
  <c r="C32" i="13"/>
  <c r="B32" i="13" s="1"/>
  <c r="C27" i="13"/>
  <c r="B27" i="13" s="1"/>
  <c r="C60" i="12"/>
  <c r="B60" i="12" s="1"/>
  <c r="C29" i="12"/>
  <c r="B29" i="12" s="1"/>
  <c r="C74" i="11"/>
  <c r="B74" i="11" s="1"/>
  <c r="C53" i="11"/>
  <c r="B53" i="11" s="1"/>
  <c r="C48" i="11"/>
  <c r="B48" i="11" s="1"/>
  <c r="C45" i="11"/>
  <c r="B45" i="11" s="1"/>
  <c r="C9" i="11"/>
  <c r="B9" i="11" s="1"/>
  <c r="C77" i="10"/>
  <c r="B77" i="10" s="1"/>
  <c r="C58" i="10"/>
  <c r="B58" i="10" s="1"/>
  <c r="C30" i="10"/>
  <c r="B30" i="10" s="1"/>
  <c r="C10" i="10"/>
  <c r="B10" i="10" s="1"/>
  <c r="C95" i="9"/>
  <c r="B95" i="9" s="1"/>
  <c r="C86" i="9"/>
  <c r="B86" i="9" s="1"/>
  <c r="C77" i="9"/>
  <c r="B77" i="9" s="1"/>
  <c r="C48" i="9"/>
  <c r="B48" i="9" s="1"/>
  <c r="C36" i="9"/>
  <c r="B36" i="9" s="1"/>
  <c r="C89" i="8"/>
  <c r="B89" i="8" s="1"/>
  <c r="C76" i="8"/>
  <c r="B76" i="8" s="1"/>
  <c r="C65" i="8"/>
  <c r="B65" i="8" s="1"/>
  <c r="C59" i="8"/>
  <c r="B59" i="8" s="1"/>
  <c r="C28" i="8"/>
  <c r="B28" i="8" s="1"/>
  <c r="C12" i="8"/>
  <c r="B12" i="8" s="1"/>
  <c r="C8" i="8"/>
  <c r="B8" i="8" s="1"/>
  <c r="C4" i="8"/>
  <c r="B4" i="8" s="1"/>
  <c r="C20" i="12"/>
  <c r="B20" i="12" s="1"/>
  <c r="C19" i="12"/>
  <c r="B19" i="12" s="1"/>
  <c r="C13" i="12"/>
  <c r="B13" i="12" s="1"/>
  <c r="C92" i="11"/>
  <c r="B92" i="11" s="1"/>
  <c r="C82" i="11"/>
  <c r="B82" i="11" s="1"/>
  <c r="C7" i="11"/>
  <c r="B7" i="11" s="1"/>
  <c r="C84" i="10"/>
  <c r="B84" i="10" s="1"/>
  <c r="C75" i="10"/>
  <c r="B75" i="10" s="1"/>
  <c r="C66" i="10"/>
  <c r="B66" i="10" s="1"/>
  <c r="C44" i="10"/>
  <c r="B44" i="10" s="1"/>
  <c r="C37" i="10"/>
  <c r="B37" i="10" s="1"/>
  <c r="C28" i="10"/>
  <c r="B28" i="10" s="1"/>
  <c r="C83" i="9"/>
  <c r="B83" i="9" s="1"/>
  <c r="C78" i="9"/>
  <c r="B78" i="9" s="1"/>
  <c r="C71" i="9"/>
  <c r="B71" i="9" s="1"/>
  <c r="C65" i="9"/>
  <c r="B65" i="9" s="1"/>
  <c r="C60" i="9"/>
  <c r="B60" i="9" s="1"/>
  <c r="C56" i="9"/>
  <c r="B56" i="9" s="1"/>
  <c r="C37" i="9"/>
  <c r="B37" i="9" s="1"/>
  <c r="C25" i="9"/>
  <c r="B25" i="9" s="1"/>
  <c r="C15" i="9"/>
  <c r="B15" i="9" s="1"/>
  <c r="C13" i="9"/>
  <c r="B13" i="9" s="1"/>
  <c r="C9" i="9"/>
  <c r="B9" i="9" s="1"/>
  <c r="C5" i="9"/>
  <c r="C22" i="13"/>
  <c r="B22" i="13" s="1"/>
  <c r="C52" i="12"/>
  <c r="B52" i="12" s="1"/>
  <c r="C34" i="12"/>
  <c r="B34" i="12" s="1"/>
  <c r="C21" i="12"/>
  <c r="B21" i="12" s="1"/>
  <c r="C10" i="12"/>
  <c r="B10" i="12" s="1"/>
  <c r="C87" i="11"/>
  <c r="B87" i="11" s="1"/>
  <c r="C72" i="11"/>
  <c r="B72" i="11" s="1"/>
  <c r="C63" i="11"/>
  <c r="B63" i="11" s="1"/>
  <c r="C54" i="11"/>
  <c r="B54" i="11" s="1"/>
  <c r="C46" i="11"/>
  <c r="B46" i="11" s="1"/>
  <c r="C42" i="11"/>
  <c r="B42" i="11" s="1"/>
  <c r="C39" i="11"/>
  <c r="B39" i="11" s="1"/>
  <c r="C23" i="11"/>
  <c r="B23" i="11" s="1"/>
  <c r="C87" i="10"/>
  <c r="B87" i="10" s="1"/>
  <c r="C59" i="10"/>
  <c r="B59" i="10" s="1"/>
  <c r="C9" i="10"/>
  <c r="B9" i="10" s="1"/>
  <c r="C91" i="9"/>
  <c r="B91" i="9" s="1"/>
  <c r="C73" i="9"/>
  <c r="B73" i="9" s="1"/>
  <c r="C30" i="9"/>
  <c r="B30" i="9" s="1"/>
  <c r="C4" i="9"/>
  <c r="B4" i="9" s="1"/>
  <c r="C94" i="8"/>
  <c r="B94" i="8" s="1"/>
  <c r="C68" i="8"/>
  <c r="B68" i="8" s="1"/>
  <c r="C44" i="8"/>
  <c r="B44" i="8" s="1"/>
  <c r="C34" i="8"/>
  <c r="B34" i="8" s="1"/>
  <c r="C11" i="8"/>
  <c r="B11" i="8" s="1"/>
  <c r="C7" i="8"/>
  <c r="B7" i="8" s="1"/>
  <c r="C87" i="7"/>
  <c r="B87" i="7" s="1"/>
  <c r="C83" i="7"/>
  <c r="B83" i="7" s="1"/>
  <c r="C88" i="13"/>
  <c r="B88" i="13" s="1"/>
  <c r="C36" i="13"/>
  <c r="B36" i="13" s="1"/>
  <c r="C45" i="12"/>
  <c r="B45" i="12" s="1"/>
  <c r="C9" i="12"/>
  <c r="B9" i="12" s="1"/>
  <c r="C61" i="11"/>
  <c r="B61" i="11" s="1"/>
  <c r="C58" i="11"/>
  <c r="C27" i="11"/>
  <c r="C25" i="11"/>
  <c r="B25" i="11" s="1"/>
  <c r="C5" i="11"/>
  <c r="B5" i="11" s="1"/>
  <c r="C97" i="10"/>
  <c r="B97" i="10" s="1"/>
  <c r="C93" i="10"/>
  <c r="B93" i="10" s="1"/>
  <c r="C85" i="10"/>
  <c r="B85" i="10" s="1"/>
  <c r="C78" i="10"/>
  <c r="B78" i="10" s="1"/>
  <c r="C67" i="10"/>
  <c r="B67" i="10" s="1"/>
  <c r="C52" i="10"/>
  <c r="B52" i="10" s="1"/>
  <c r="C42" i="10"/>
  <c r="B42" i="10" s="1"/>
  <c r="C38" i="10"/>
  <c r="B38" i="10" s="1"/>
  <c r="C34" i="10"/>
  <c r="B34" i="10" s="1"/>
  <c r="C31" i="10"/>
  <c r="B31" i="10" s="1"/>
  <c r="C26" i="10"/>
  <c r="B26" i="10" s="1"/>
  <c r="C3" i="10"/>
  <c r="B3" i="10" s="1"/>
  <c r="C89" i="9"/>
  <c r="B89" i="9" s="1"/>
  <c r="C84" i="9"/>
  <c r="B84" i="9" s="1"/>
  <c r="C79" i="9"/>
  <c r="C66" i="9"/>
  <c r="B66" i="9" s="1"/>
  <c r="C57" i="9"/>
  <c r="B57" i="9" s="1"/>
  <c r="C45" i="9"/>
  <c r="B45" i="9" s="1"/>
  <c r="C39" i="9"/>
  <c r="B39" i="9" s="1"/>
  <c r="C12" i="9"/>
  <c r="B12" i="9" s="1"/>
  <c r="C8" i="9"/>
  <c r="B8" i="9" s="1"/>
  <c r="C69" i="8"/>
  <c r="B69" i="8" s="1"/>
  <c r="C49" i="8"/>
  <c r="B49" i="8" s="1"/>
  <c r="C45" i="8"/>
  <c r="B45" i="8" s="1"/>
  <c r="C35" i="8"/>
  <c r="B35" i="8" s="1"/>
  <c r="C18" i="8"/>
  <c r="B18" i="8" s="1"/>
  <c r="C92" i="7"/>
  <c r="B92" i="7" s="1"/>
  <c r="C84" i="7"/>
  <c r="B84" i="7" s="1"/>
  <c r="C76" i="7"/>
  <c r="B76" i="7" s="1"/>
  <c r="C24" i="12"/>
  <c r="B24" i="12" s="1"/>
  <c r="C89" i="11"/>
  <c r="B89" i="11" s="1"/>
  <c r="C49" i="11"/>
  <c r="B49" i="11" s="1"/>
  <c r="C36" i="11"/>
  <c r="B36" i="11" s="1"/>
  <c r="C19" i="11"/>
  <c r="B19" i="11" s="1"/>
  <c r="C50" i="10"/>
  <c r="B50" i="10" s="1"/>
  <c r="C16" i="10"/>
  <c r="B16" i="10" s="1"/>
  <c r="C96" i="9"/>
  <c r="B96" i="9" s="1"/>
  <c r="C87" i="9"/>
  <c r="B87" i="9" s="1"/>
  <c r="C80" i="9"/>
  <c r="B80" i="9" s="1"/>
  <c r="C49" i="9"/>
  <c r="B49" i="9" s="1"/>
  <c r="C46" i="9"/>
  <c r="B46" i="9" s="1"/>
  <c r="C31" i="9"/>
  <c r="B31" i="9" s="1"/>
  <c r="C23" i="9"/>
  <c r="B23" i="9" s="1"/>
  <c r="C19" i="9"/>
  <c r="B19" i="9" s="1"/>
  <c r="C2" i="9"/>
  <c r="C77" i="8"/>
  <c r="B77" i="8" s="1"/>
  <c r="C70" i="8"/>
  <c r="B70" i="8" s="1"/>
  <c r="C53" i="8"/>
  <c r="B53" i="8" s="1"/>
  <c r="C46" i="8"/>
  <c r="B46" i="8" s="1"/>
  <c r="C36" i="8"/>
  <c r="B36" i="8" s="1"/>
  <c r="C29" i="8"/>
  <c r="B29" i="8" s="1"/>
  <c r="C22" i="8"/>
  <c r="B22" i="8" s="1"/>
  <c r="C85" i="7"/>
  <c r="B85" i="7" s="1"/>
  <c r="C65" i="7"/>
  <c r="B65" i="7" s="1"/>
  <c r="C57" i="7"/>
  <c r="B57" i="7" s="1"/>
  <c r="C7" i="14"/>
  <c r="B7" i="14" s="1"/>
  <c r="C97" i="13"/>
  <c r="B97" i="13" s="1"/>
  <c r="C75" i="12"/>
  <c r="B75" i="12" s="1"/>
  <c r="C33" i="12"/>
  <c r="B33" i="12" s="1"/>
  <c r="C86" i="11"/>
  <c r="B86" i="11" s="1"/>
  <c r="C56" i="11"/>
  <c r="B56" i="11" s="1"/>
  <c r="C35" i="11"/>
  <c r="B35" i="11" s="1"/>
  <c r="C21" i="11"/>
  <c r="B21" i="11" s="1"/>
  <c r="C11" i="11"/>
  <c r="B11" i="11" s="1"/>
  <c r="C32" i="10"/>
  <c r="B32" i="10" s="1"/>
  <c r="C25" i="10"/>
  <c r="B25" i="10" s="1"/>
  <c r="C81" i="9"/>
  <c r="B81" i="9" s="1"/>
  <c r="C52" i="9"/>
  <c r="C26" i="9"/>
  <c r="B26" i="9" s="1"/>
  <c r="C3" i="9"/>
  <c r="B3" i="9" s="1"/>
  <c r="C96" i="8"/>
  <c r="B96" i="8" s="1"/>
  <c r="C58" i="8"/>
  <c r="B58" i="8" s="1"/>
  <c r="C51" i="8"/>
  <c r="B51" i="8" s="1"/>
  <c r="C47" i="8"/>
  <c r="B47" i="8" s="1"/>
  <c r="C32" i="8"/>
  <c r="C16" i="8"/>
  <c r="B16" i="8" s="1"/>
  <c r="C89" i="7"/>
  <c r="B89" i="7" s="1"/>
  <c r="C74" i="7"/>
  <c r="B74" i="7" s="1"/>
  <c r="C69" i="7"/>
  <c r="B69" i="7" s="1"/>
  <c r="C53" i="7"/>
  <c r="B53" i="7" s="1"/>
  <c r="C49" i="7"/>
  <c r="B49" i="7" s="1"/>
  <c r="C45" i="7"/>
  <c r="B45" i="7" s="1"/>
  <c r="C33" i="7"/>
  <c r="B33" i="7" s="1"/>
  <c r="C40" i="14"/>
  <c r="B40" i="14" s="1"/>
  <c r="C89" i="12"/>
  <c r="B89" i="12" s="1"/>
  <c r="C82" i="12"/>
  <c r="B82" i="12" s="1"/>
  <c r="C49" i="12"/>
  <c r="B49" i="12" s="1"/>
  <c r="C35" i="12"/>
  <c r="B35" i="12" s="1"/>
  <c r="C73" i="11"/>
  <c r="B73" i="11" s="1"/>
  <c r="C70" i="10"/>
  <c r="B70" i="10" s="1"/>
  <c r="C55" i="9"/>
  <c r="B55" i="9" s="1"/>
  <c r="C38" i="9"/>
  <c r="B38" i="9" s="1"/>
  <c r="C74" i="8"/>
  <c r="B74" i="8" s="1"/>
  <c r="C30" i="8"/>
  <c r="B30" i="8" s="1"/>
  <c r="C14" i="8"/>
  <c r="B14" i="8" s="1"/>
  <c r="C9" i="8"/>
  <c r="B9" i="8" s="1"/>
  <c r="C71" i="7"/>
  <c r="B71" i="7" s="1"/>
  <c r="C55" i="7"/>
  <c r="B55" i="7" s="1"/>
  <c r="C47" i="7"/>
  <c r="B47" i="7" s="1"/>
  <c r="C35" i="7"/>
  <c r="B35" i="7" s="1"/>
  <c r="C23" i="7"/>
  <c r="B23" i="7" s="1"/>
  <c r="C46" i="12"/>
  <c r="B46" i="12" s="1"/>
  <c r="C25" i="12"/>
  <c r="B25" i="12" s="1"/>
  <c r="C50" i="11"/>
  <c r="B50" i="11" s="1"/>
  <c r="C88" i="10"/>
  <c r="B88" i="10" s="1"/>
  <c r="C74" i="10"/>
  <c r="B74" i="10" s="1"/>
  <c r="C75" i="9"/>
  <c r="B75" i="9" s="1"/>
  <c r="C27" i="9"/>
  <c r="B27" i="9" s="1"/>
  <c r="C71" i="8"/>
  <c r="B71" i="8" s="1"/>
  <c r="C80" i="7"/>
  <c r="B80" i="7" s="1"/>
  <c r="C62" i="7"/>
  <c r="B62" i="7" s="1"/>
  <c r="C56" i="7"/>
  <c r="B56" i="7" s="1"/>
  <c r="C36" i="7"/>
  <c r="B36" i="7" s="1"/>
  <c r="C16" i="7"/>
  <c r="B16" i="7" s="1"/>
  <c r="C2" i="7"/>
  <c r="C42" i="14"/>
  <c r="B42" i="14" s="1"/>
  <c r="C65" i="13"/>
  <c r="B65" i="13" s="1"/>
  <c r="C30" i="13"/>
  <c r="B30" i="13" s="1"/>
  <c r="C39" i="12"/>
  <c r="B39" i="12" s="1"/>
  <c r="C26" i="12"/>
  <c r="B26" i="12" s="1"/>
  <c r="C81" i="11"/>
  <c r="B81" i="11" s="1"/>
  <c r="C38" i="11"/>
  <c r="B38" i="11" s="1"/>
  <c r="C76" i="10"/>
  <c r="B76" i="10" s="1"/>
  <c r="C27" i="10"/>
  <c r="C93" i="9"/>
  <c r="B93" i="9" s="1"/>
  <c r="C62" i="9"/>
  <c r="B62" i="9" s="1"/>
  <c r="C53" i="9"/>
  <c r="B53" i="9" s="1"/>
  <c r="C29" i="9"/>
  <c r="B29" i="9" s="1"/>
  <c r="C79" i="8"/>
  <c r="B79" i="8" s="1"/>
  <c r="C56" i="8"/>
  <c r="B56" i="8" s="1"/>
  <c r="C42" i="8"/>
  <c r="C33" i="8"/>
  <c r="B33" i="8" s="1"/>
  <c r="C6" i="8"/>
  <c r="B6" i="8" s="1"/>
  <c r="C72" i="7"/>
  <c r="B72" i="7" s="1"/>
  <c r="C4" i="13"/>
  <c r="B4" i="13" s="1"/>
  <c r="C67" i="12"/>
  <c r="B67" i="12" s="1"/>
  <c r="C59" i="11"/>
  <c r="B59" i="11" s="1"/>
  <c r="C2" i="11"/>
  <c r="C90" i="10"/>
  <c r="B90" i="10" s="1"/>
  <c r="C48" i="10"/>
  <c r="B48" i="10" s="1"/>
  <c r="C29" i="10"/>
  <c r="B29" i="10" s="1"/>
  <c r="C69" i="9"/>
  <c r="B69" i="9" s="1"/>
  <c r="C58" i="9"/>
  <c r="B58" i="9" s="1"/>
  <c r="C34" i="9"/>
  <c r="B34" i="9" s="1"/>
  <c r="C93" i="8"/>
  <c r="B93" i="8" s="1"/>
  <c r="C91" i="8"/>
  <c r="B91" i="8" s="1"/>
  <c r="C26" i="8"/>
  <c r="C20" i="8"/>
  <c r="B20" i="8" s="1"/>
  <c r="C13" i="8"/>
  <c r="B13" i="8" s="1"/>
  <c r="C5" i="8"/>
  <c r="B5" i="8" s="1"/>
  <c r="C2" i="8"/>
  <c r="C94" i="7"/>
  <c r="B94" i="7" s="1"/>
  <c r="C90" i="7"/>
  <c r="B90" i="7" s="1"/>
  <c r="C86" i="7"/>
  <c r="B86" i="7" s="1"/>
  <c r="C77" i="7"/>
  <c r="B77" i="7" s="1"/>
  <c r="C75" i="7"/>
  <c r="B75" i="7" s="1"/>
  <c r="C50" i="7"/>
  <c r="B50" i="7" s="1"/>
  <c r="C38" i="7"/>
  <c r="B38" i="7" s="1"/>
  <c r="C26" i="7"/>
  <c r="B26" i="7" s="1"/>
  <c r="C22" i="7"/>
  <c r="B22" i="7" s="1"/>
  <c r="C18" i="7"/>
  <c r="B18" i="7" s="1"/>
  <c r="C97" i="6"/>
  <c r="B97" i="6" s="1"/>
  <c r="C85" i="6"/>
  <c r="B85" i="6" s="1"/>
  <c r="C75" i="13"/>
  <c r="B75" i="13" s="1"/>
  <c r="C77" i="11"/>
  <c r="B77" i="11" s="1"/>
  <c r="C69" i="11"/>
  <c r="B69" i="11" s="1"/>
  <c r="C67" i="11"/>
  <c r="B67" i="11" s="1"/>
  <c r="C65" i="11"/>
  <c r="B65" i="11" s="1"/>
  <c r="C34" i="11"/>
  <c r="B34" i="11" s="1"/>
  <c r="C92" i="10"/>
  <c r="B92" i="10" s="1"/>
  <c r="C83" i="10"/>
  <c r="B83" i="10" s="1"/>
  <c r="C54" i="10"/>
  <c r="B54" i="10" s="1"/>
  <c r="C14" i="10"/>
  <c r="B14" i="10" s="1"/>
  <c r="C88" i="9"/>
  <c r="B88" i="9" s="1"/>
  <c r="C82" i="9"/>
  <c r="B82" i="9" s="1"/>
  <c r="C47" i="9"/>
  <c r="B47" i="9" s="1"/>
  <c r="C11" i="9"/>
  <c r="B11" i="9" s="1"/>
  <c r="C83" i="8"/>
  <c r="B83" i="8" s="1"/>
  <c r="C50" i="8"/>
  <c r="B50" i="8" s="1"/>
  <c r="C48" i="8"/>
  <c r="B48" i="8" s="1"/>
  <c r="C40" i="8"/>
  <c r="B40" i="8" s="1"/>
  <c r="C24" i="8"/>
  <c r="B24" i="8" s="1"/>
  <c r="C23" i="8"/>
  <c r="B23" i="8" s="1"/>
  <c r="C15" i="8"/>
  <c r="B15" i="8" s="1"/>
  <c r="C58" i="7"/>
  <c r="B58" i="7" s="1"/>
  <c r="C39" i="7"/>
  <c r="B39" i="7" s="1"/>
  <c r="C47" i="11"/>
  <c r="B47" i="11" s="1"/>
  <c r="C61" i="10"/>
  <c r="B61" i="10" s="1"/>
  <c r="C40" i="10"/>
  <c r="B40" i="10" s="1"/>
  <c r="C42" i="9"/>
  <c r="B42" i="9" s="1"/>
  <c r="C17" i="9"/>
  <c r="B17" i="9" s="1"/>
  <c r="C10" i="9"/>
  <c r="B10" i="9" s="1"/>
  <c r="C66" i="8"/>
  <c r="B66" i="8" s="1"/>
  <c r="C57" i="8"/>
  <c r="B57" i="8" s="1"/>
  <c r="C31" i="8"/>
  <c r="B31" i="8" s="1"/>
  <c r="C27" i="8"/>
  <c r="B27" i="8" s="1"/>
  <c r="C19" i="8"/>
  <c r="B19" i="8" s="1"/>
  <c r="C17" i="8"/>
  <c r="B17" i="8" s="1"/>
  <c r="C81" i="7"/>
  <c r="B81" i="7" s="1"/>
  <c r="C78" i="7"/>
  <c r="B78" i="7" s="1"/>
  <c r="C73" i="7"/>
  <c r="B73" i="7" s="1"/>
  <c r="C59" i="7"/>
  <c r="B59" i="7" s="1"/>
  <c r="C48" i="7"/>
  <c r="B48" i="7" s="1"/>
  <c r="C40" i="7"/>
  <c r="B40" i="7" s="1"/>
  <c r="C2" i="12"/>
  <c r="C55" i="11"/>
  <c r="B55" i="11" s="1"/>
  <c r="C71" i="10"/>
  <c r="B71" i="10" s="1"/>
  <c r="C69" i="10"/>
  <c r="B69" i="10" s="1"/>
  <c r="C72" i="9"/>
  <c r="B72" i="9" s="1"/>
  <c r="C54" i="9"/>
  <c r="B54" i="9" s="1"/>
  <c r="C20" i="9"/>
  <c r="B20" i="9" s="1"/>
  <c r="C73" i="8"/>
  <c r="B73" i="8" s="1"/>
  <c r="C64" i="8"/>
  <c r="B64" i="8" s="1"/>
  <c r="C43" i="8"/>
  <c r="B43" i="8" s="1"/>
  <c r="C37" i="8"/>
  <c r="B37" i="8" s="1"/>
  <c r="C66" i="7"/>
  <c r="B66" i="7" s="1"/>
  <c r="C63" i="7"/>
  <c r="B63" i="7" s="1"/>
  <c r="C41" i="7"/>
  <c r="B41" i="7" s="1"/>
  <c r="C25" i="7"/>
  <c r="B25" i="7" s="1"/>
  <c r="C21" i="7"/>
  <c r="B21" i="7" s="1"/>
  <c r="C17" i="7"/>
  <c r="B17" i="7" s="1"/>
  <c r="C3" i="7"/>
  <c r="B3" i="7" s="1"/>
  <c r="C88" i="6"/>
  <c r="B88" i="6" s="1"/>
  <c r="C38" i="12"/>
  <c r="B38" i="12" s="1"/>
  <c r="C14" i="11"/>
  <c r="B14" i="11" s="1"/>
  <c r="C65" i="10"/>
  <c r="B65" i="10" s="1"/>
  <c r="C24" i="10"/>
  <c r="B24" i="10" s="1"/>
  <c r="C4" i="10"/>
  <c r="C92" i="9"/>
  <c r="B92" i="9" s="1"/>
  <c r="C76" i="9"/>
  <c r="B76" i="9" s="1"/>
  <c r="C70" i="9"/>
  <c r="B70" i="9" s="1"/>
  <c r="C7" i="9"/>
  <c r="B7" i="9" s="1"/>
  <c r="C88" i="8"/>
  <c r="B88" i="8" s="1"/>
  <c r="C81" i="8"/>
  <c r="B81" i="8" s="1"/>
  <c r="C61" i="7"/>
  <c r="B61" i="7" s="1"/>
  <c r="C51" i="7"/>
  <c r="B51" i="7" s="1"/>
  <c r="C43" i="7"/>
  <c r="B43" i="7" s="1"/>
  <c r="C63" i="10"/>
  <c r="B63" i="10" s="1"/>
  <c r="C51" i="10"/>
  <c r="B51" i="10" s="1"/>
  <c r="C41" i="8"/>
  <c r="B41" i="8" s="1"/>
  <c r="C52" i="7"/>
  <c r="B52" i="7" s="1"/>
  <c r="C34" i="7"/>
  <c r="B34" i="7" s="1"/>
  <c r="C29" i="7"/>
  <c r="B29" i="7" s="1"/>
  <c r="C27" i="7"/>
  <c r="B27" i="7" s="1"/>
  <c r="C24" i="7"/>
  <c r="B24" i="7" s="1"/>
  <c r="C20" i="7"/>
  <c r="B20" i="7" s="1"/>
  <c r="C19" i="7"/>
  <c r="B19" i="7" s="1"/>
  <c r="C15" i="7"/>
  <c r="B15" i="7" s="1"/>
  <c r="C90" i="6"/>
  <c r="B90" i="6" s="1"/>
  <c r="C82" i="6"/>
  <c r="B82" i="6" s="1"/>
  <c r="C74" i="6"/>
  <c r="B74" i="6" s="1"/>
  <c r="C68" i="6"/>
  <c r="B68" i="6" s="1"/>
  <c r="C60" i="6"/>
  <c r="B60" i="6" s="1"/>
  <c r="C48" i="6"/>
  <c r="B48" i="6" s="1"/>
  <c r="C40" i="6"/>
  <c r="B40" i="6" s="1"/>
  <c r="C14" i="6"/>
  <c r="B14" i="6" s="1"/>
  <c r="C10" i="6"/>
  <c r="B10" i="6" s="1"/>
  <c r="C6" i="6"/>
  <c r="B6" i="6" s="1"/>
  <c r="C95" i="5"/>
  <c r="B95" i="5" s="1"/>
  <c r="C67" i="5"/>
  <c r="C60" i="5"/>
  <c r="B60" i="5" s="1"/>
  <c r="C48" i="5"/>
  <c r="B48" i="5" s="1"/>
  <c r="C40" i="5"/>
  <c r="B40" i="5" s="1"/>
  <c r="C25" i="5"/>
  <c r="B25" i="5" s="1"/>
  <c r="C21" i="5"/>
  <c r="B21" i="5" s="1"/>
  <c r="C89" i="4"/>
  <c r="B89" i="4" s="1"/>
  <c r="C81" i="4"/>
  <c r="B81" i="4" s="1"/>
  <c r="C96" i="11"/>
  <c r="B96" i="11" s="1"/>
  <c r="C17" i="10"/>
  <c r="B17" i="10" s="1"/>
  <c r="C10" i="8"/>
  <c r="B10" i="8" s="1"/>
  <c r="C67" i="7"/>
  <c r="B67" i="7" s="1"/>
  <c r="C4" i="7"/>
  <c r="B4" i="7" s="1"/>
  <c r="C69" i="6"/>
  <c r="B69" i="6" s="1"/>
  <c r="C61" i="6"/>
  <c r="B61" i="6" s="1"/>
  <c r="C41" i="6"/>
  <c r="B41" i="6" s="1"/>
  <c r="C25" i="6"/>
  <c r="B25" i="6" s="1"/>
  <c r="C21" i="6"/>
  <c r="B21" i="6" s="1"/>
  <c r="C17" i="6"/>
  <c r="B17" i="6" s="1"/>
  <c r="C3" i="6"/>
  <c r="B3" i="6" s="1"/>
  <c r="C88" i="5"/>
  <c r="B88" i="5" s="1"/>
  <c r="C68" i="5"/>
  <c r="B68" i="5" s="1"/>
  <c r="C61" i="5"/>
  <c r="B61" i="5" s="1"/>
  <c r="C41" i="5"/>
  <c r="B41" i="5" s="1"/>
  <c r="C40" i="9"/>
  <c r="B40" i="9" s="1"/>
  <c r="C21" i="9"/>
  <c r="B21" i="9" s="1"/>
  <c r="C11" i="7"/>
  <c r="B11" i="7" s="1"/>
  <c r="C86" i="6"/>
  <c r="B86" i="6" s="1"/>
  <c r="C70" i="6"/>
  <c r="B70" i="6" s="1"/>
  <c r="C42" i="6"/>
  <c r="B42" i="6" s="1"/>
  <c r="C30" i="6"/>
  <c r="B30" i="6" s="1"/>
  <c r="C93" i="5"/>
  <c r="B93" i="5" s="1"/>
  <c r="C77" i="5"/>
  <c r="B77" i="5" s="1"/>
  <c r="C69" i="5"/>
  <c r="B69" i="5" s="1"/>
  <c r="C42" i="5"/>
  <c r="B42" i="5" s="1"/>
  <c r="C30" i="5"/>
  <c r="B30" i="5" s="1"/>
  <c r="C59" i="9"/>
  <c r="B59" i="9" s="1"/>
  <c r="C54" i="8"/>
  <c r="B54" i="8" s="1"/>
  <c r="C82" i="7"/>
  <c r="B82" i="7" s="1"/>
  <c r="C32" i="7"/>
  <c r="B32" i="7" s="1"/>
  <c r="C10" i="7"/>
  <c r="B10" i="7" s="1"/>
  <c r="C95" i="6"/>
  <c r="B95" i="6" s="1"/>
  <c r="C83" i="6"/>
  <c r="B83" i="6" s="1"/>
  <c r="C71" i="6"/>
  <c r="B71" i="6" s="1"/>
  <c r="C51" i="6"/>
  <c r="B51" i="6" s="1"/>
  <c r="C43" i="6"/>
  <c r="B43" i="6" s="1"/>
  <c r="C31" i="6"/>
  <c r="B31" i="6" s="1"/>
  <c r="C15" i="6"/>
  <c r="B15" i="6" s="1"/>
  <c r="C13" i="6"/>
  <c r="B13" i="6" s="1"/>
  <c r="C9" i="6"/>
  <c r="B9" i="6" s="1"/>
  <c r="C5" i="6"/>
  <c r="B5" i="6" s="1"/>
  <c r="C86" i="5"/>
  <c r="B86" i="5" s="1"/>
  <c r="C78" i="5"/>
  <c r="B78" i="5" s="1"/>
  <c r="C70" i="5"/>
  <c r="B70" i="5" s="1"/>
  <c r="C51" i="5"/>
  <c r="B51" i="5" s="1"/>
  <c r="C43" i="5"/>
  <c r="B43" i="5" s="1"/>
  <c r="C31" i="5"/>
  <c r="B31" i="5" s="1"/>
  <c r="C24" i="5"/>
  <c r="B24" i="5" s="1"/>
  <c r="C92" i="4"/>
  <c r="B92" i="4" s="1"/>
  <c r="C84" i="4"/>
  <c r="B84" i="4" s="1"/>
  <c r="C6" i="10"/>
  <c r="B6" i="10" s="1"/>
  <c r="C6" i="9"/>
  <c r="B6" i="9" s="1"/>
  <c r="C91" i="7"/>
  <c r="B91" i="7" s="1"/>
  <c r="C9" i="7"/>
  <c r="B9" i="7" s="1"/>
  <c r="C93" i="6"/>
  <c r="B93" i="6" s="1"/>
  <c r="C77" i="6"/>
  <c r="B77" i="6" s="1"/>
  <c r="C64" i="6"/>
  <c r="B64" i="6" s="1"/>
  <c r="C52" i="6"/>
  <c r="B52" i="6" s="1"/>
  <c r="C44" i="6"/>
  <c r="B44" i="6" s="1"/>
  <c r="C32" i="6"/>
  <c r="B32" i="6" s="1"/>
  <c r="C28" i="6"/>
  <c r="B28" i="6" s="1"/>
  <c r="C24" i="6"/>
  <c r="B24" i="6" s="1"/>
  <c r="C20" i="6"/>
  <c r="B20" i="6" s="1"/>
  <c r="C91" i="5"/>
  <c r="B91" i="5" s="1"/>
  <c r="C79" i="5"/>
  <c r="B79" i="5" s="1"/>
  <c r="C75" i="5"/>
  <c r="B75" i="5" s="1"/>
  <c r="C71" i="5"/>
  <c r="B71" i="5" s="1"/>
  <c r="C64" i="5"/>
  <c r="B64" i="5" s="1"/>
  <c r="C52" i="5"/>
  <c r="B52" i="5" s="1"/>
  <c r="C44" i="5"/>
  <c r="B44" i="5" s="1"/>
  <c r="C32" i="5"/>
  <c r="B32" i="5" s="1"/>
  <c r="C28" i="5"/>
  <c r="B28" i="5" s="1"/>
  <c r="C7" i="5"/>
  <c r="B7" i="5" s="1"/>
  <c r="C97" i="4"/>
  <c r="B97" i="4" s="1"/>
  <c r="C85" i="4"/>
  <c r="B85" i="4" s="1"/>
  <c r="C57" i="10"/>
  <c r="C35" i="9"/>
  <c r="B35" i="9" s="1"/>
  <c r="C14" i="9"/>
  <c r="B14" i="9" s="1"/>
  <c r="C38" i="8"/>
  <c r="B38" i="8" s="1"/>
  <c r="C93" i="7"/>
  <c r="B93" i="7" s="1"/>
  <c r="C92" i="13"/>
  <c r="B92" i="13" s="1"/>
  <c r="C62" i="11"/>
  <c r="B62" i="11" s="1"/>
  <c r="C86" i="10"/>
  <c r="B86" i="10" s="1"/>
  <c r="C79" i="10"/>
  <c r="B79" i="10" s="1"/>
  <c r="C30" i="7"/>
  <c r="B30" i="7" s="1"/>
  <c r="C28" i="7"/>
  <c r="B28" i="7" s="1"/>
  <c r="C84" i="6"/>
  <c r="B84" i="6" s="1"/>
  <c r="C79" i="6"/>
  <c r="B79" i="6" s="1"/>
  <c r="C62" i="6"/>
  <c r="B62" i="6" s="1"/>
  <c r="C54" i="6"/>
  <c r="B54" i="6" s="1"/>
  <c r="C46" i="6"/>
  <c r="B46" i="6" s="1"/>
  <c r="C34" i="6"/>
  <c r="B34" i="6" s="1"/>
  <c r="C12" i="6"/>
  <c r="B12" i="6" s="1"/>
  <c r="C8" i="6"/>
  <c r="B8" i="6" s="1"/>
  <c r="C4" i="6"/>
  <c r="B4" i="6" s="1"/>
  <c r="C89" i="5"/>
  <c r="B89" i="5" s="1"/>
  <c r="C81" i="5"/>
  <c r="B81" i="5" s="1"/>
  <c r="C73" i="5"/>
  <c r="B73" i="5" s="1"/>
  <c r="C62" i="5"/>
  <c r="B62" i="5" s="1"/>
  <c r="C54" i="5"/>
  <c r="B54" i="5" s="1"/>
  <c r="C46" i="5"/>
  <c r="B46" i="5" s="1"/>
  <c r="C34" i="5"/>
  <c r="B34" i="5" s="1"/>
  <c r="C23" i="5"/>
  <c r="B23" i="5" s="1"/>
  <c r="C16" i="9"/>
  <c r="B16" i="9" s="1"/>
  <c r="C67" i="8"/>
  <c r="B67" i="8" s="1"/>
  <c r="C70" i="7"/>
  <c r="B70" i="7" s="1"/>
  <c r="C68" i="7"/>
  <c r="B68" i="7" s="1"/>
  <c r="C14" i="7"/>
  <c r="B14" i="7" s="1"/>
  <c r="C8" i="7"/>
  <c r="B8" i="7" s="1"/>
  <c r="C89" i="6"/>
  <c r="B89" i="6" s="1"/>
  <c r="C73" i="6"/>
  <c r="B73" i="6" s="1"/>
  <c r="C55" i="6"/>
  <c r="B55" i="6" s="1"/>
  <c r="C47" i="6"/>
  <c r="B47" i="6" s="1"/>
  <c r="C35" i="6"/>
  <c r="B35" i="6" s="1"/>
  <c r="C23" i="6"/>
  <c r="B23" i="6" s="1"/>
  <c r="C19" i="6"/>
  <c r="B19" i="6" s="1"/>
  <c r="C94" i="5"/>
  <c r="B94" i="5" s="1"/>
  <c r="C82" i="5"/>
  <c r="B82" i="5" s="1"/>
  <c r="C55" i="5"/>
  <c r="B55" i="5" s="1"/>
  <c r="C47" i="5"/>
  <c r="B47" i="5" s="1"/>
  <c r="C35" i="5"/>
  <c r="B35" i="5" s="1"/>
  <c r="C13" i="14"/>
  <c r="B13" i="14" s="1"/>
  <c r="C44" i="12"/>
  <c r="B44" i="12" s="1"/>
  <c r="C12" i="10"/>
  <c r="B12" i="10" s="1"/>
  <c r="C60" i="8"/>
  <c r="B60" i="8" s="1"/>
  <c r="C3" i="8"/>
  <c r="C79" i="7"/>
  <c r="B79" i="7" s="1"/>
  <c r="C46" i="7"/>
  <c r="B46" i="7" s="1"/>
  <c r="C13" i="7"/>
  <c r="B13" i="7" s="1"/>
  <c r="C87" i="6"/>
  <c r="B87" i="6" s="1"/>
  <c r="C80" i="6"/>
  <c r="B80" i="6" s="1"/>
  <c r="C56" i="6"/>
  <c r="B56" i="6" s="1"/>
  <c r="C36" i="6"/>
  <c r="B36" i="6" s="1"/>
  <c r="C16" i="6"/>
  <c r="B16" i="6" s="1"/>
  <c r="C2" i="6"/>
  <c r="C87" i="5"/>
  <c r="B87" i="5" s="1"/>
  <c r="C83" i="5"/>
  <c r="B83" i="5" s="1"/>
  <c r="C56" i="5"/>
  <c r="B56" i="5" s="1"/>
  <c r="C36" i="5"/>
  <c r="B36" i="5" s="1"/>
  <c r="C18" i="5"/>
  <c r="B18" i="5" s="1"/>
  <c r="C30" i="11"/>
  <c r="B30" i="11" s="1"/>
  <c r="C16" i="11"/>
  <c r="C39" i="10"/>
  <c r="B39" i="10" s="1"/>
  <c r="C94" i="9"/>
  <c r="B94" i="9" s="1"/>
  <c r="C82" i="8"/>
  <c r="B82" i="8" s="1"/>
  <c r="C78" i="8"/>
  <c r="B78" i="8" s="1"/>
  <c r="C64" i="7"/>
  <c r="B64" i="7" s="1"/>
  <c r="C60" i="7"/>
  <c r="B60" i="7" s="1"/>
  <c r="C44" i="7"/>
  <c r="B44" i="7" s="1"/>
  <c r="C7" i="7"/>
  <c r="B7" i="7" s="1"/>
  <c r="C96" i="6"/>
  <c r="B96" i="6" s="1"/>
  <c r="C94" i="6"/>
  <c r="B94" i="6" s="1"/>
  <c r="C65" i="6"/>
  <c r="B65" i="6" s="1"/>
  <c r="C57" i="6"/>
  <c r="B57" i="6" s="1"/>
  <c r="C37" i="6"/>
  <c r="B37" i="6" s="1"/>
  <c r="C29" i="6"/>
  <c r="B29" i="6" s="1"/>
  <c r="C11" i="6"/>
  <c r="B11" i="6" s="1"/>
  <c r="C7" i="6"/>
  <c r="B7" i="6" s="1"/>
  <c r="C92" i="5"/>
  <c r="B92" i="5" s="1"/>
  <c r="C84" i="5"/>
  <c r="B84" i="5" s="1"/>
  <c r="C76" i="5"/>
  <c r="B76" i="5" s="1"/>
  <c r="C65" i="5"/>
  <c r="B65" i="5" s="1"/>
  <c r="C57" i="5"/>
  <c r="B57" i="5" s="1"/>
  <c r="C37" i="5"/>
  <c r="B37" i="5" s="1"/>
  <c r="C29" i="5"/>
  <c r="B29" i="5" s="1"/>
  <c r="C22" i="5"/>
  <c r="B22" i="5" s="1"/>
  <c r="C86" i="4"/>
  <c r="B86" i="4" s="1"/>
  <c r="C78" i="4"/>
  <c r="B78" i="4" s="1"/>
  <c r="C39" i="2"/>
  <c r="C45" i="2"/>
  <c r="B45" i="2" s="1"/>
  <c r="C55" i="2"/>
  <c r="B55" i="2" s="1"/>
  <c r="C70" i="2"/>
  <c r="B70" i="2" s="1"/>
  <c r="C74" i="2"/>
  <c r="B74" i="2" s="1"/>
  <c r="C76" i="2"/>
  <c r="B76" i="2" s="1"/>
  <c r="C2" i="3"/>
  <c r="C16" i="3"/>
  <c r="B16" i="3" s="1"/>
  <c r="C36" i="3"/>
  <c r="B36" i="3" s="1"/>
  <c r="C46" i="3"/>
  <c r="B46" i="3" s="1"/>
  <c r="C54" i="3"/>
  <c r="B54" i="3" s="1"/>
  <c r="C62" i="3"/>
  <c r="B62" i="3" s="1"/>
  <c r="C73" i="3"/>
  <c r="B73" i="3" s="1"/>
  <c r="C81" i="3"/>
  <c r="B81" i="3" s="1"/>
  <c r="C89" i="3"/>
  <c r="B89" i="3" s="1"/>
  <c r="C41" i="4"/>
  <c r="B41" i="4" s="1"/>
  <c r="C61" i="4"/>
  <c r="B61" i="4" s="1"/>
  <c r="C69" i="4"/>
  <c r="B69" i="4" s="1"/>
  <c r="C77" i="4"/>
  <c r="B77" i="4" s="1"/>
  <c r="C91" i="4"/>
  <c r="B91" i="4" s="1"/>
  <c r="C2" i="5"/>
  <c r="C12" i="5"/>
  <c r="B12" i="5" s="1"/>
  <c r="C38" i="5"/>
  <c r="B38" i="5" s="1"/>
  <c r="C50" i="5"/>
  <c r="B50" i="5" s="1"/>
  <c r="C66" i="5"/>
  <c r="B66" i="5" s="1"/>
  <c r="C27" i="6"/>
  <c r="B27" i="6" s="1"/>
  <c r="C39" i="6"/>
  <c r="B39" i="6" s="1"/>
  <c r="C59" i="6"/>
  <c r="B59" i="6" s="1"/>
  <c r="C92" i="6"/>
  <c r="B92" i="6" s="1"/>
  <c r="C54" i="7"/>
  <c r="B54" i="7" s="1"/>
  <c r="M38" i="7"/>
  <c r="AD84" i="7" s="1"/>
  <c r="M49" i="7"/>
  <c r="M71" i="7"/>
  <c r="M60" i="7"/>
  <c r="AD82" i="12"/>
  <c r="B62" i="16"/>
  <c r="S56" i="16"/>
  <c r="M48" i="7"/>
  <c r="M75" i="7"/>
  <c r="AC83" i="13"/>
  <c r="AC84" i="13"/>
  <c r="AD84" i="13"/>
  <c r="AD82" i="13"/>
  <c r="AD83" i="13"/>
  <c r="AC82" i="13"/>
  <c r="AD84" i="15"/>
  <c r="AC84" i="12"/>
  <c r="AD83" i="12"/>
  <c r="AC83" i="12"/>
  <c r="AD83" i="16"/>
  <c r="AC82" i="16"/>
  <c r="AC84" i="16"/>
  <c r="AD82" i="16"/>
  <c r="AC83" i="16"/>
  <c r="AD84" i="16"/>
  <c r="B17" i="20"/>
  <c r="S36" i="20"/>
  <c r="S70" i="15"/>
  <c r="B11" i="16"/>
  <c r="T82" i="16"/>
  <c r="AD71" i="16"/>
  <c r="AD46" i="16"/>
  <c r="AD39" i="16"/>
  <c r="S36" i="16"/>
  <c r="AC71" i="16"/>
  <c r="S59" i="16"/>
  <c r="AC46" i="16"/>
  <c r="AC39" i="16"/>
  <c r="S71" i="16"/>
  <c r="S39" i="16"/>
  <c r="AD44" i="16"/>
  <c r="AD37" i="16"/>
  <c r="AD24" i="16"/>
  <c r="AD23" i="16"/>
  <c r="AD58" i="16"/>
  <c r="T45" i="16"/>
  <c r="S23" i="16"/>
  <c r="S22" i="16"/>
  <c r="S84" i="16"/>
  <c r="S45" i="16"/>
  <c r="T43" i="16"/>
  <c r="S35" i="16"/>
  <c r="T22" i="16"/>
  <c r="B42" i="15"/>
  <c r="T23" i="15"/>
  <c r="S43" i="15"/>
  <c r="T60" i="16"/>
  <c r="AD23" i="17"/>
  <c r="T42" i="16"/>
  <c r="S83" i="16"/>
  <c r="S24" i="16"/>
  <c r="AD24" i="17"/>
  <c r="AD22" i="17"/>
  <c r="B3" i="15"/>
  <c r="AD71" i="15"/>
  <c r="AC60" i="15"/>
  <c r="S57" i="15"/>
  <c r="S45" i="15"/>
  <c r="T42" i="15"/>
  <c r="AD39" i="15"/>
  <c r="AC35" i="15"/>
  <c r="T58" i="15"/>
  <c r="AC37" i="15"/>
  <c r="S44" i="15"/>
  <c r="AC72" i="15"/>
  <c r="T40" i="15"/>
  <c r="AD70" i="15"/>
  <c r="AC38" i="15"/>
  <c r="AC70" i="15"/>
  <c r="AD45" i="15"/>
  <c r="T38" i="15"/>
  <c r="T84" i="15"/>
  <c r="AD57" i="15"/>
  <c r="S36" i="15"/>
  <c r="AC23" i="15"/>
  <c r="T45" i="15"/>
  <c r="T45" i="17"/>
  <c r="B39" i="21"/>
  <c r="AC56" i="21"/>
  <c r="S22" i="21"/>
  <c r="S23" i="21"/>
  <c r="S58" i="21"/>
  <c r="AD83" i="14"/>
  <c r="AC82" i="14"/>
  <c r="AC84" i="14"/>
  <c r="AD82" i="14"/>
  <c r="AC83" i="14"/>
  <c r="AD84" i="14"/>
  <c r="AC25" i="17"/>
  <c r="AD42" i="17"/>
  <c r="S24" i="19"/>
  <c r="S46" i="15"/>
  <c r="AC60" i="17"/>
  <c r="T59" i="17"/>
  <c r="AD71" i="17"/>
  <c r="AC70" i="17"/>
  <c r="S72" i="17"/>
  <c r="T58" i="17"/>
  <c r="S57" i="17"/>
  <c r="AC43" i="17"/>
  <c r="T42" i="17"/>
  <c r="S41" i="17"/>
  <c r="S25" i="17"/>
  <c r="AD59" i="17"/>
  <c r="AD45" i="17"/>
  <c r="AC44" i="17"/>
  <c r="S43" i="17"/>
  <c r="T24" i="17"/>
  <c r="AC22" i="17"/>
  <c r="AC59" i="17"/>
  <c r="AC45" i="17"/>
  <c r="T44" i="17"/>
  <c r="AD35" i="17"/>
  <c r="S24" i="17"/>
  <c r="AD60" i="17"/>
  <c r="S59" i="17"/>
  <c r="AD70" i="17"/>
  <c r="T60" i="17"/>
  <c r="AC46" i="17"/>
  <c r="S45" i="17"/>
  <c r="AD37" i="17"/>
  <c r="AC36" i="17"/>
  <c r="T35" i="17"/>
  <c r="AD25" i="17"/>
  <c r="S23" i="17"/>
  <c r="S70" i="17"/>
  <c r="S46" i="17"/>
  <c r="AD39" i="17"/>
  <c r="AC38" i="17"/>
  <c r="T37" i="17"/>
  <c r="S36" i="17"/>
  <c r="T22" i="17"/>
  <c r="T41" i="17"/>
  <c r="S37" i="17"/>
  <c r="AC71" i="17"/>
  <c r="AC56" i="17"/>
  <c r="AD43" i="17"/>
  <c r="S35" i="17"/>
  <c r="T71" i="17"/>
  <c r="T56" i="17"/>
  <c r="AD46" i="17"/>
  <c r="T43" i="17"/>
  <c r="AC39" i="17"/>
  <c r="S71" i="17"/>
  <c r="AD57" i="17"/>
  <c r="S56" i="17"/>
  <c r="T46" i="17"/>
  <c r="T39" i="17"/>
  <c r="AD72" i="17"/>
  <c r="AC57" i="17"/>
  <c r="AD40" i="17"/>
  <c r="S39" i="17"/>
  <c r="AD36" i="17"/>
  <c r="S58" i="17"/>
  <c r="AC41" i="17"/>
  <c r="AC37" i="17"/>
  <c r="AC72" i="17"/>
  <c r="AC40" i="17"/>
  <c r="AC24" i="17"/>
  <c r="T72" i="17"/>
  <c r="T40" i="17"/>
  <c r="AC35" i="17"/>
  <c r="T70" i="17"/>
  <c r="T57" i="17"/>
  <c r="S40" i="17"/>
  <c r="AD38" i="17"/>
  <c r="T38" i="17"/>
  <c r="S22" i="17"/>
  <c r="S38" i="17"/>
  <c r="T25" i="17"/>
  <c r="T23" i="17"/>
  <c r="AD41" i="17"/>
  <c r="S60" i="17"/>
  <c r="AD58" i="17"/>
  <c r="AD44" i="17"/>
  <c r="T36" i="17"/>
  <c r="AC58" i="17"/>
  <c r="S44" i="17"/>
  <c r="AD56" i="17"/>
  <c r="AC42" i="17"/>
  <c r="B2" i="17"/>
  <c r="AC23" i="17"/>
  <c r="AC38" i="18"/>
  <c r="T40" i="18"/>
  <c r="AD57" i="18"/>
  <c r="S22" i="19"/>
  <c r="T23" i="19"/>
  <c r="S71" i="21"/>
  <c r="AC35" i="16"/>
  <c r="AD42" i="18"/>
  <c r="T44" i="18"/>
  <c r="B3" i="18"/>
  <c r="AD59" i="18"/>
  <c r="T36" i="18"/>
  <c r="AD23" i="18"/>
  <c r="S71" i="18"/>
  <c r="AD58" i="18"/>
  <c r="AD46" i="18"/>
  <c r="AC41" i="18"/>
  <c r="AC56" i="18"/>
  <c r="AC42" i="18"/>
  <c r="S25" i="18"/>
  <c r="S24" i="18"/>
  <c r="S23" i="18"/>
  <c r="T56" i="18"/>
  <c r="S56" i="18"/>
  <c r="AD45" i="18"/>
  <c r="AC70" i="18"/>
  <c r="AC57" i="18"/>
  <c r="AC71" i="18"/>
  <c r="AC60" i="18"/>
  <c r="AD41" i="18"/>
  <c r="AD22" i="18"/>
  <c r="S38" i="19"/>
  <c r="AC42" i="19"/>
  <c r="B15" i="20"/>
  <c r="T41" i="20"/>
  <c r="T59" i="20"/>
  <c r="AD71" i="20"/>
  <c r="AC46" i="20"/>
  <c r="T23" i="20"/>
  <c r="S41" i="20"/>
  <c r="AC59" i="15"/>
  <c r="AC24" i="16"/>
  <c r="AD25" i="16"/>
  <c r="AC37" i="16"/>
  <c r="AD60" i="16"/>
  <c r="T35" i="18"/>
  <c r="T70" i="18"/>
  <c r="AD57" i="19"/>
  <c r="T56" i="19"/>
  <c r="AD44" i="19"/>
  <c r="T43" i="19"/>
  <c r="AD36" i="19"/>
  <c r="AC35" i="19"/>
  <c r="AD23" i="19"/>
  <c r="AC58" i="19"/>
  <c r="T57" i="19"/>
  <c r="AD45" i="19"/>
  <c r="T44" i="19"/>
  <c r="AD37" i="19"/>
  <c r="T36" i="19"/>
  <c r="S35" i="19"/>
  <c r="S25" i="19"/>
  <c r="AC71" i="19"/>
  <c r="S70" i="19"/>
  <c r="AC72" i="19"/>
  <c r="S71" i="19"/>
  <c r="AD59" i="19"/>
  <c r="S57" i="19"/>
  <c r="S43" i="19"/>
  <c r="AD39" i="19"/>
  <c r="T38" i="19"/>
  <c r="T22" i="19"/>
  <c r="B2" i="19"/>
  <c r="AD70" i="19"/>
  <c r="T58" i="19"/>
  <c r="AC44" i="19"/>
  <c r="AD40" i="19"/>
  <c r="T39" i="19"/>
  <c r="AC25" i="19"/>
  <c r="AC70" i="19"/>
  <c r="S58" i="19"/>
  <c r="S44" i="19"/>
  <c r="AC40" i="19"/>
  <c r="S39" i="19"/>
  <c r="AD35" i="19"/>
  <c r="AD24" i="19"/>
  <c r="T59" i="19"/>
  <c r="AC45" i="19"/>
  <c r="S40" i="19"/>
  <c r="AC23" i="19"/>
  <c r="S72" i="19"/>
  <c r="AC57" i="19"/>
  <c r="AC43" i="19"/>
  <c r="S60" i="19"/>
  <c r="AD42" i="19"/>
  <c r="S41" i="19"/>
  <c r="AC39" i="19"/>
  <c r="AC36" i="19"/>
  <c r="T25" i="19"/>
  <c r="T24" i="19"/>
  <c r="S23" i="19"/>
  <c r="AD72" i="19"/>
  <c r="AD58" i="19"/>
  <c r="T42" i="19"/>
  <c r="T72" i="19"/>
  <c r="T45" i="19"/>
  <c r="S42" i="19"/>
  <c r="AD56" i="19"/>
  <c r="AD46" i="19"/>
  <c r="S45" i="19"/>
  <c r="AC37" i="19"/>
  <c r="T70" i="19"/>
  <c r="AC56" i="19"/>
  <c r="AC46" i="19"/>
  <c r="AD43" i="19"/>
  <c r="T40" i="19"/>
  <c r="T37" i="19"/>
  <c r="S59" i="19"/>
  <c r="S46" i="19"/>
  <c r="AD38" i="19"/>
  <c r="AD25" i="19"/>
  <c r="AC24" i="19"/>
  <c r="AD22" i="19"/>
  <c r="AD60" i="19"/>
  <c r="S56" i="19"/>
  <c r="T41" i="19"/>
  <c r="S37" i="19"/>
  <c r="AD71" i="19"/>
  <c r="T35" i="19"/>
  <c r="T71" i="19"/>
  <c r="T46" i="19"/>
  <c r="AC38" i="19"/>
  <c r="S36" i="19"/>
  <c r="AC22" i="19"/>
  <c r="S22" i="20"/>
  <c r="AD45" i="21"/>
  <c r="AD82" i="15"/>
  <c r="AC37" i="18"/>
  <c r="S41" i="18"/>
  <c r="AD70" i="18"/>
  <c r="AC59" i="19"/>
  <c r="T41" i="18"/>
  <c r="AD60" i="18"/>
  <c r="S56" i="20"/>
  <c r="AC45" i="18"/>
  <c r="AD72" i="18"/>
  <c r="AC41" i="19"/>
  <c r="AD38" i="20"/>
  <c r="T36" i="16"/>
  <c r="AD41" i="16"/>
  <c r="AD41" i="19"/>
  <c r="S25" i="15"/>
  <c r="T37" i="15"/>
  <c r="AD41" i="15"/>
  <c r="AC83" i="15"/>
  <c r="AD40" i="16"/>
  <c r="T46" i="16"/>
  <c r="AC57" i="16"/>
  <c r="S60" i="16"/>
  <c r="AD72" i="16"/>
  <c r="AD72" i="15"/>
  <c r="AC71" i="15"/>
  <c r="T70" i="15"/>
  <c r="AD56" i="15"/>
  <c r="AC40" i="15"/>
  <c r="T39" i="15"/>
  <c r="T25" i="15"/>
  <c r="AD23" i="15"/>
  <c r="T72" i="15"/>
  <c r="S71" i="15"/>
  <c r="AD58" i="15"/>
  <c r="AC57" i="15"/>
  <c r="T56" i="15"/>
  <c r="AD42" i="15"/>
  <c r="AC41" i="15"/>
  <c r="S40" i="15"/>
  <c r="AD22" i="15"/>
  <c r="S72" i="15"/>
  <c r="AD59" i="15"/>
  <c r="AC58" i="15"/>
  <c r="T57" i="15"/>
  <c r="S56" i="15"/>
  <c r="AD43" i="15"/>
  <c r="AC42" i="15"/>
  <c r="T41" i="15"/>
  <c r="T24" i="15"/>
  <c r="AC22" i="15"/>
  <c r="AD60" i="15"/>
  <c r="T59" i="15"/>
  <c r="S58" i="15"/>
  <c r="AD44" i="15"/>
  <c r="T43" i="15"/>
  <c r="S42" i="15"/>
  <c r="AD35" i="15"/>
  <c r="T83" i="15"/>
  <c r="S82" i="15"/>
  <c r="T60" i="15"/>
  <c r="AD46" i="15"/>
  <c r="AC45" i="15"/>
  <c r="T44" i="15"/>
  <c r="AD37" i="15"/>
  <c r="AC36" i="15"/>
  <c r="T35" i="15"/>
  <c r="AC25" i="15"/>
  <c r="S23" i="15"/>
  <c r="B2" i="15"/>
  <c r="AC24" i="15"/>
  <c r="T36" i="15"/>
  <c r="AD40" i="15"/>
  <c r="AC43" i="15"/>
  <c r="T46" i="15"/>
  <c r="S25" i="16"/>
  <c r="T38" i="16"/>
  <c r="AC45" i="16"/>
  <c r="AD56" i="16"/>
  <c r="AC59" i="16"/>
  <c r="T70" i="16"/>
  <c r="T84" i="16"/>
  <c r="T22" i="21"/>
  <c r="AD24" i="15"/>
  <c r="AD25" i="15"/>
  <c r="AD36" i="15"/>
  <c r="S39" i="15"/>
  <c r="AC46" i="15"/>
  <c r="AC38" i="16"/>
  <c r="AC70" i="16"/>
  <c r="B8" i="21"/>
  <c r="AD39" i="21"/>
  <c r="AD37" i="21"/>
  <c r="AC72" i="21"/>
  <c r="T39" i="21"/>
  <c r="AD35" i="21"/>
  <c r="AD83" i="15"/>
  <c r="AC82" i="15"/>
  <c r="AC84" i="15"/>
  <c r="S35" i="15"/>
  <c r="AC39" i="15"/>
  <c r="S60" i="15"/>
  <c r="T71" i="15"/>
  <c r="S37" i="16"/>
  <c r="AD38" i="16"/>
  <c r="S44" i="16"/>
  <c r="AD70" i="16"/>
  <c r="AC72" i="16"/>
  <c r="T71" i="16"/>
  <c r="S70" i="16"/>
  <c r="AC40" i="16"/>
  <c r="T39" i="16"/>
  <c r="S38" i="16"/>
  <c r="T25" i="16"/>
  <c r="AC23" i="16"/>
  <c r="B2" i="16"/>
  <c r="S72" i="16"/>
  <c r="AC56" i="16"/>
  <c r="AD42" i="16"/>
  <c r="AC41" i="16"/>
  <c r="S40" i="16"/>
  <c r="AD22" i="16"/>
  <c r="AD57" i="16"/>
  <c r="T56" i="16"/>
  <c r="AC42" i="16"/>
  <c r="T41" i="16"/>
  <c r="T24" i="16"/>
  <c r="AC22" i="16"/>
  <c r="AD59" i="16"/>
  <c r="AC58" i="16"/>
  <c r="T57" i="16"/>
  <c r="AC43" i="16"/>
  <c r="S42" i="16"/>
  <c r="AD35" i="16"/>
  <c r="T23" i="16"/>
  <c r="T83" i="16"/>
  <c r="S82" i="16"/>
  <c r="AC60" i="16"/>
  <c r="T59" i="16"/>
  <c r="S58" i="16"/>
  <c r="AD45" i="16"/>
  <c r="AC44" i="16"/>
  <c r="S43" i="16"/>
  <c r="AD36" i="16"/>
  <c r="T35" i="16"/>
  <c r="AC25" i="16"/>
  <c r="T37" i="16"/>
  <c r="S41" i="16"/>
  <c r="T44" i="16"/>
  <c r="T58" i="16"/>
  <c r="T22" i="15"/>
  <c r="S24" i="15"/>
  <c r="S37" i="15"/>
  <c r="AD38" i="15"/>
  <c r="S41" i="15"/>
  <c r="AC44" i="15"/>
  <c r="AC56" i="15"/>
  <c r="S59" i="15"/>
  <c r="S83" i="15"/>
  <c r="AC36" i="16"/>
  <c r="T40" i="16"/>
  <c r="AD43" i="16"/>
  <c r="S46" i="16"/>
  <c r="S57" i="16"/>
  <c r="T72" i="16"/>
  <c r="AD59" i="20"/>
  <c r="AC58" i="20"/>
  <c r="T57" i="20"/>
  <c r="AD41" i="20"/>
  <c r="AC40" i="20"/>
  <c r="T39" i="20"/>
  <c r="S38" i="20"/>
  <c r="T25" i="20"/>
  <c r="AD23" i="20"/>
  <c r="AC71" i="20"/>
  <c r="T70" i="20"/>
  <c r="AC59" i="20"/>
  <c r="S58" i="20"/>
  <c r="AD46" i="20"/>
  <c r="T45" i="20"/>
  <c r="S44" i="20"/>
  <c r="AC38" i="20"/>
  <c r="S37" i="20"/>
  <c r="S24" i="20"/>
  <c r="AC72" i="20"/>
  <c r="S71" i="20"/>
  <c r="AC60" i="20"/>
  <c r="S59" i="20"/>
  <c r="T46" i="20"/>
  <c r="AC39" i="20"/>
  <c r="S23" i="20"/>
  <c r="AC57" i="20"/>
  <c r="AD44" i="20"/>
  <c r="T43" i="20"/>
  <c r="AD35" i="20"/>
  <c r="T22" i="20"/>
  <c r="AD70" i="20"/>
  <c r="AC70" i="20"/>
  <c r="AD45" i="20"/>
  <c r="T44" i="20"/>
  <c r="S39" i="20"/>
  <c r="T35" i="20"/>
  <c r="AD25" i="20"/>
  <c r="S70" i="20"/>
  <c r="AD58" i="20"/>
  <c r="AC45" i="20"/>
  <c r="AD36" i="20"/>
  <c r="S35" i="20"/>
  <c r="AC25" i="20"/>
  <c r="S72" i="20"/>
  <c r="AD60" i="20"/>
  <c r="S57" i="20"/>
  <c r="S43" i="20"/>
  <c r="AD39" i="20"/>
  <c r="T36" i="20"/>
  <c r="S60" i="20"/>
  <c r="AC44" i="20"/>
  <c r="AD24" i="20"/>
  <c r="AD22" i="20"/>
  <c r="AD40" i="20"/>
  <c r="AC24" i="20"/>
  <c r="AC23" i="20"/>
  <c r="AC22" i="20"/>
  <c r="S40" i="20"/>
  <c r="AC37" i="20"/>
  <c r="AD56" i="20"/>
  <c r="S45" i="20"/>
  <c r="AC41" i="20"/>
  <c r="T37" i="20"/>
  <c r="S25" i="20"/>
  <c r="T72" i="20"/>
  <c r="AD57" i="20"/>
  <c r="S46" i="20"/>
  <c r="AC43" i="20"/>
  <c r="AC36" i="20"/>
  <c r="AD42" i="20"/>
  <c r="AD72" i="20"/>
  <c r="S24" i="21"/>
  <c r="AC22" i="18"/>
  <c r="T25" i="18"/>
  <c r="S37" i="18"/>
  <c r="S40" i="18"/>
  <c r="T38" i="20"/>
  <c r="T71" i="20"/>
  <c r="T58" i="21"/>
  <c r="S57" i="21"/>
  <c r="S44" i="21"/>
  <c r="S40" i="21"/>
  <c r="AD36" i="21"/>
  <c r="AC35" i="21"/>
  <c r="AC25" i="21"/>
  <c r="AD70" i="21"/>
  <c r="T59" i="21"/>
  <c r="S45" i="21"/>
  <c r="T41" i="21"/>
  <c r="AC37" i="21"/>
  <c r="S36" i="21"/>
  <c r="AD23" i="21"/>
  <c r="B3" i="21"/>
  <c r="T70" i="21"/>
  <c r="AD60" i="21"/>
  <c r="AD46" i="21"/>
  <c r="AD42" i="21"/>
  <c r="AD38" i="21"/>
  <c r="T37" i="21"/>
  <c r="AD22" i="21"/>
  <c r="AD71" i="21"/>
  <c r="S70" i="21"/>
  <c r="T60" i="21"/>
  <c r="T46" i="21"/>
  <c r="AC42" i="21"/>
  <c r="AC38" i="21"/>
  <c r="S37" i="21"/>
  <c r="T25" i="21"/>
  <c r="AC22" i="21"/>
  <c r="AC71" i="21"/>
  <c r="AD56" i="21"/>
  <c r="S42" i="21"/>
  <c r="T38" i="21"/>
  <c r="T24" i="21"/>
  <c r="T72" i="21"/>
  <c r="AD57" i="21"/>
  <c r="S56" i="21"/>
  <c r="AD59" i="21"/>
  <c r="AD43" i="21"/>
  <c r="AC40" i="21"/>
  <c r="S43" i="21"/>
  <c r="T35" i="21"/>
  <c r="AD24" i="21"/>
  <c r="S35" i="21"/>
  <c r="AC24" i="21"/>
  <c r="T57" i="21"/>
  <c r="AC44" i="21"/>
  <c r="T36" i="21"/>
  <c r="T71" i="21"/>
  <c r="AD58" i="21"/>
  <c r="T44" i="21"/>
  <c r="S72" i="21"/>
  <c r="T56" i="21"/>
  <c r="S22" i="22"/>
  <c r="T60" i="18"/>
  <c r="S59" i="18"/>
  <c r="AC46" i="18"/>
  <c r="T45" i="18"/>
  <c r="S44" i="18"/>
  <c r="AD38" i="18"/>
  <c r="T37" i="18"/>
  <c r="AD25" i="18"/>
  <c r="S46" i="18"/>
  <c r="AD39" i="18"/>
  <c r="T38" i="18"/>
  <c r="AD24" i="18"/>
  <c r="S22" i="18"/>
  <c r="T72" i="18"/>
  <c r="AC58" i="18"/>
  <c r="T57" i="18"/>
  <c r="AC43" i="18"/>
  <c r="S42" i="18"/>
  <c r="B2" i="18"/>
  <c r="AC59" i="18"/>
  <c r="S58" i="18"/>
  <c r="AC44" i="18"/>
  <c r="S43" i="18"/>
  <c r="S38" i="18"/>
  <c r="AC25" i="18"/>
  <c r="S60" i="18"/>
  <c r="S45" i="18"/>
  <c r="AD40" i="18"/>
  <c r="T39" i="18"/>
  <c r="AC35" i="18"/>
  <c r="AC23" i="18"/>
  <c r="S36" i="18"/>
  <c r="AD37" i="18"/>
  <c r="AC40" i="18"/>
  <c r="AD44" i="18"/>
  <c r="T59" i="18"/>
  <c r="T56" i="20"/>
  <c r="AC58" i="21"/>
  <c r="T41" i="22"/>
  <c r="T43" i="22"/>
  <c r="T40" i="20"/>
  <c r="AD43" i="20"/>
  <c r="AC56" i="20"/>
  <c r="T58" i="20"/>
  <c r="T59" i="22"/>
  <c r="T70" i="22"/>
  <c r="B8" i="24"/>
  <c r="S26" i="24"/>
  <c r="S62" i="24"/>
  <c r="AC24" i="18"/>
  <c r="AC36" i="18"/>
  <c r="S39" i="18"/>
  <c r="T43" i="18"/>
  <c r="S72" i="18"/>
  <c r="AD72" i="21"/>
  <c r="S72" i="22"/>
  <c r="T24" i="23"/>
  <c r="S35" i="18"/>
  <c r="AD36" i="18"/>
  <c r="AC39" i="18"/>
  <c r="AD43" i="18"/>
  <c r="T46" i="18"/>
  <c r="T58" i="18"/>
  <c r="AC72" i="18"/>
  <c r="S42" i="20"/>
  <c r="T60" i="20"/>
  <c r="AD37" i="20"/>
  <c r="T42" i="20"/>
  <c r="AC41" i="21"/>
  <c r="AC57" i="21"/>
  <c r="T22" i="18"/>
  <c r="AD35" i="18"/>
  <c r="T42" i="18"/>
  <c r="S57" i="18"/>
  <c r="S70" i="18"/>
  <c r="T71" i="18"/>
  <c r="B2" i="20"/>
  <c r="T24" i="20"/>
  <c r="AC35" i="20"/>
  <c r="AC42" i="20"/>
  <c r="S46" i="21"/>
  <c r="T43" i="21"/>
  <c r="AC45" i="21"/>
  <c r="AC59" i="21"/>
  <c r="B6" i="22"/>
  <c r="S40" i="22"/>
  <c r="T22" i="22"/>
  <c r="S36" i="22"/>
  <c r="T38" i="22"/>
  <c r="T56" i="22"/>
  <c r="S58" i="22"/>
  <c r="M14" i="20"/>
  <c r="M26" i="20"/>
  <c r="M2" i="21"/>
  <c r="M7" i="21"/>
  <c r="M8" i="21"/>
  <c r="M14" i="21"/>
  <c r="M25" i="21"/>
  <c r="T57" i="22"/>
  <c r="T37" i="22"/>
  <c r="S70" i="22"/>
  <c r="S57" i="22"/>
  <c r="S45" i="22"/>
  <c r="T42" i="22"/>
  <c r="S42" i="22"/>
  <c r="T36" i="22"/>
  <c r="S71" i="22"/>
  <c r="T58" i="22"/>
  <c r="S46" i="22"/>
  <c r="S39" i="22"/>
  <c r="S43" i="22"/>
  <c r="B2" i="22"/>
  <c r="S59" i="22"/>
  <c r="S56" i="22"/>
  <c r="S23" i="22"/>
  <c r="T44" i="22"/>
  <c r="T60" i="22"/>
  <c r="S44" i="22"/>
  <c r="T72" i="22"/>
  <c r="S60" i="22"/>
  <c r="T39" i="22"/>
  <c r="T45" i="22"/>
  <c r="T40" i="22"/>
  <c r="T35" i="22"/>
  <c r="S41" i="22"/>
  <c r="M64" i="22"/>
  <c r="M76" i="22"/>
  <c r="M36" i="23"/>
  <c r="T32" i="27"/>
  <c r="S55" i="27"/>
  <c r="S31" i="27"/>
  <c r="S17" i="27"/>
  <c r="S69" i="27"/>
  <c r="T4" i="27"/>
  <c r="T54" i="27"/>
  <c r="S5" i="27"/>
  <c r="S68" i="27"/>
  <c r="T33" i="27"/>
  <c r="T19" i="27"/>
  <c r="T67" i="27"/>
  <c r="S19" i="27"/>
  <c r="T65" i="27"/>
  <c r="S7" i="27"/>
  <c r="S65" i="27"/>
  <c r="S21" i="27"/>
  <c r="S54" i="27"/>
  <c r="T53" i="27"/>
  <c r="S51" i="27"/>
  <c r="T51" i="27"/>
  <c r="M82" i="23"/>
  <c r="M78" i="23"/>
  <c r="M76" i="23"/>
  <c r="M74" i="23"/>
  <c r="M102" i="23"/>
  <c r="M97" i="23"/>
  <c r="M40" i="23"/>
  <c r="M68" i="23"/>
  <c r="M43" i="23"/>
  <c r="M46" i="23"/>
  <c r="M96" i="23"/>
  <c r="M67" i="23"/>
  <c r="M66" i="23"/>
  <c r="M57" i="23"/>
  <c r="M47" i="21"/>
  <c r="M47" i="23"/>
  <c r="M42" i="23"/>
  <c r="M35" i="23"/>
  <c r="M77" i="22"/>
  <c r="M12" i="21"/>
  <c r="M49" i="20"/>
  <c r="M89" i="23"/>
  <c r="M59" i="23"/>
  <c r="M84" i="22"/>
  <c r="M68" i="22"/>
  <c r="M30" i="22"/>
  <c r="M34" i="21"/>
  <c r="M21" i="21"/>
  <c r="M5" i="21"/>
  <c r="M70" i="23"/>
  <c r="M65" i="23"/>
  <c r="M44" i="23"/>
  <c r="M39" i="23"/>
  <c r="M86" i="22"/>
  <c r="M52" i="20"/>
  <c r="M17" i="20"/>
  <c r="M81" i="22"/>
  <c r="M26" i="22"/>
  <c r="M25" i="22"/>
  <c r="M50" i="21"/>
  <c r="M15" i="20"/>
  <c r="M13" i="20"/>
  <c r="M38" i="23"/>
  <c r="M69" i="22"/>
  <c r="M88" i="23"/>
  <c r="M77" i="23"/>
  <c r="T39" i="23"/>
  <c r="M83" i="23"/>
  <c r="M91" i="23"/>
  <c r="M61" i="19"/>
  <c r="M65" i="19"/>
  <c r="M69" i="19"/>
  <c r="M110" i="19"/>
  <c r="M5" i="20"/>
  <c r="M37" i="22"/>
  <c r="M75" i="22"/>
  <c r="T70" i="23"/>
  <c r="M72" i="19"/>
  <c r="M108" i="19"/>
  <c r="M46" i="20"/>
  <c r="M62" i="20"/>
  <c r="M56" i="21"/>
  <c r="M72" i="21"/>
  <c r="T46" i="22"/>
  <c r="M78" i="22"/>
  <c r="T43" i="23"/>
  <c r="M24" i="19"/>
  <c r="M33" i="19"/>
  <c r="M42" i="19"/>
  <c r="M60" i="19"/>
  <c r="M80" i="19"/>
  <c r="M92" i="19"/>
  <c r="M98" i="19"/>
  <c r="M106" i="19"/>
  <c r="M18" i="20"/>
  <c r="M32" i="20"/>
  <c r="M74" i="20"/>
  <c r="M13" i="21"/>
  <c r="M18" i="21"/>
  <c r="M80" i="21"/>
  <c r="S35" i="22"/>
  <c r="M45" i="22"/>
  <c r="M70" i="22"/>
  <c r="M103" i="23"/>
  <c r="T35" i="23"/>
  <c r="M41" i="19"/>
  <c r="M102" i="19"/>
  <c r="M104" i="19"/>
  <c r="M23" i="20"/>
  <c r="M41" i="20"/>
  <c r="M50" i="20"/>
  <c r="M71" i="20"/>
  <c r="M39" i="21"/>
  <c r="M23" i="22"/>
  <c r="M28" i="22"/>
  <c r="M36" i="22"/>
  <c r="M89" i="22"/>
  <c r="M41" i="23"/>
  <c r="S71" i="23"/>
  <c r="M93" i="23"/>
  <c r="T74" i="24"/>
  <c r="S74" i="24"/>
  <c r="T60" i="24"/>
  <c r="T44" i="24"/>
  <c r="T40" i="24"/>
  <c r="T36" i="24"/>
  <c r="T61" i="24"/>
  <c r="S58" i="24"/>
  <c r="T48" i="24"/>
  <c r="S38" i="24"/>
  <c r="S46" i="24"/>
  <c r="S43" i="24"/>
  <c r="S24" i="24"/>
  <c r="T23" i="24"/>
  <c r="S40" i="24"/>
  <c r="S23" i="24"/>
  <c r="T62" i="24"/>
  <c r="T46" i="24"/>
  <c r="S44" i="24"/>
  <c r="T42" i="24"/>
  <c r="S37" i="24"/>
  <c r="T24" i="24"/>
  <c r="S60" i="24"/>
  <c r="T26" i="24"/>
  <c r="T73" i="24"/>
  <c r="S73" i="24"/>
  <c r="T47" i="24"/>
  <c r="T45" i="24"/>
  <c r="S61" i="24"/>
  <c r="S47" i="24"/>
  <c r="S45" i="24"/>
  <c r="T43" i="24"/>
  <c r="S36" i="24"/>
  <c r="T72" i="24"/>
  <c r="S59" i="24"/>
  <c r="S48" i="24"/>
  <c r="S41" i="24"/>
  <c r="B2" i="24"/>
  <c r="T58" i="24"/>
  <c r="T41" i="24"/>
  <c r="T38" i="24"/>
  <c r="T25" i="24"/>
  <c r="S25" i="24"/>
  <c r="T37" i="24"/>
  <c r="T59" i="24"/>
  <c r="S42" i="24"/>
  <c r="T39" i="24"/>
  <c r="S39" i="24"/>
  <c r="B4" i="23"/>
  <c r="T25" i="23"/>
  <c r="O72" i="23"/>
  <c r="O103" i="23"/>
  <c r="O101" i="23"/>
  <c r="O99" i="23"/>
  <c r="O97" i="23"/>
  <c r="O95" i="23"/>
  <c r="O93" i="23"/>
  <c r="O91" i="23"/>
  <c r="O69" i="23"/>
  <c r="O66" i="23"/>
  <c r="O76" i="23"/>
  <c r="O67" i="23"/>
  <c r="O42" i="23"/>
  <c r="O102" i="23"/>
  <c r="O40" i="23"/>
  <c r="O92" i="23"/>
  <c r="O75" i="23"/>
  <c r="O56" i="23"/>
  <c r="O46" i="23"/>
  <c r="O86" i="22"/>
  <c r="O84" i="22"/>
  <c r="O82" i="22"/>
  <c r="O81" i="21"/>
  <c r="O50" i="21"/>
  <c r="O39" i="21"/>
  <c r="O3" i="21"/>
  <c r="O80" i="20"/>
  <c r="O62" i="20"/>
  <c r="O55" i="20"/>
  <c r="O26" i="20"/>
  <c r="O77" i="23"/>
  <c r="O59" i="23"/>
  <c r="O53" i="23"/>
  <c r="O38" i="23"/>
  <c r="O35" i="23"/>
  <c r="O78" i="22"/>
  <c r="O76" i="22"/>
  <c r="O94" i="23"/>
  <c r="O87" i="23"/>
  <c r="O85" i="23"/>
  <c r="O81" i="23"/>
  <c r="O79" i="23"/>
  <c r="O41" i="23"/>
  <c r="O96" i="23"/>
  <c r="O62" i="23"/>
  <c r="O57" i="23"/>
  <c r="O47" i="23"/>
  <c r="O95" i="22"/>
  <c r="O93" i="22"/>
  <c r="O91" i="22"/>
  <c r="O82" i="23"/>
  <c r="O89" i="23"/>
  <c r="O50" i="23"/>
  <c r="O45" i="23"/>
  <c r="O43" i="23"/>
  <c r="O81" i="22"/>
  <c r="O77" i="22"/>
  <c r="O67" i="22"/>
  <c r="O98" i="23"/>
  <c r="O73" i="23"/>
  <c r="O94" i="22"/>
  <c r="O83" i="22"/>
  <c r="O79" i="22"/>
  <c r="O53" i="22"/>
  <c r="O38" i="22"/>
  <c r="O75" i="21"/>
  <c r="O57" i="21"/>
  <c r="O11" i="21"/>
  <c r="O74" i="20"/>
  <c r="O36" i="20"/>
  <c r="O20" i="20"/>
  <c r="O90" i="19"/>
  <c r="O61" i="19"/>
  <c r="O54" i="19"/>
  <c r="O41" i="19"/>
  <c r="O33" i="19"/>
  <c r="O22" i="19"/>
  <c r="O83" i="18"/>
  <c r="O81" i="18"/>
  <c r="O36" i="23"/>
  <c r="O96" i="22"/>
  <c r="O89" i="22"/>
  <c r="O80" i="21"/>
  <c r="O59" i="21"/>
  <c r="O28" i="21"/>
  <c r="O81" i="20"/>
  <c r="O79" i="20"/>
  <c r="O69" i="20"/>
  <c r="O58" i="20"/>
  <c r="O37" i="20"/>
  <c r="O8" i="20"/>
  <c r="O97" i="19"/>
  <c r="O29" i="19"/>
  <c r="O26" i="19"/>
  <c r="O30" i="18"/>
  <c r="O28" i="18"/>
  <c r="S45" i="23"/>
  <c r="O48" i="23"/>
  <c r="M69" i="23"/>
  <c r="M85" i="23"/>
  <c r="M86" i="24"/>
  <c r="M94" i="24"/>
  <c r="T19" i="25"/>
  <c r="S5" i="25"/>
  <c r="S67" i="25"/>
  <c r="T30" i="25"/>
  <c r="M27" i="22"/>
  <c r="M83" i="22"/>
  <c r="O85" i="22"/>
  <c r="S43" i="23"/>
  <c r="T45" i="23"/>
  <c r="O64" i="23"/>
  <c r="O74" i="23"/>
  <c r="M94" i="23"/>
  <c r="O97" i="24"/>
  <c r="O95" i="24"/>
  <c r="O83" i="24"/>
  <c r="O88" i="24"/>
  <c r="O76" i="24"/>
  <c r="O96" i="24"/>
  <c r="O85" i="24"/>
  <c r="O75" i="24"/>
  <c r="O63" i="24"/>
  <c r="O86" i="24"/>
  <c r="O84" i="24"/>
  <c r="O82" i="24"/>
  <c r="O74" i="24"/>
  <c r="O50" i="24"/>
  <c r="O39" i="24"/>
  <c r="O35" i="24"/>
  <c r="O94" i="24"/>
  <c r="O52" i="24"/>
  <c r="O72" i="24"/>
  <c r="O53" i="24"/>
  <c r="O79" i="24"/>
  <c r="O62" i="24"/>
  <c r="O49" i="24"/>
  <c r="O36" i="24"/>
  <c r="O44" i="24"/>
  <c r="O58" i="24"/>
  <c r="O42" i="24"/>
  <c r="O90" i="24"/>
  <c r="O87" i="24"/>
  <c r="O64" i="24"/>
  <c r="O56" i="24"/>
  <c r="O54" i="24"/>
  <c r="O66" i="24"/>
  <c r="O33" i="24"/>
  <c r="O38" i="24"/>
  <c r="O89" i="24"/>
  <c r="O47" i="24"/>
  <c r="O61" i="24"/>
  <c r="O55" i="24"/>
  <c r="O45" i="24"/>
  <c r="M48" i="24"/>
  <c r="M81" i="24"/>
  <c r="B102" i="25"/>
  <c r="S30" i="25" s="1"/>
  <c r="T39" i="25"/>
  <c r="T70" i="25"/>
  <c r="S57" i="25"/>
  <c r="S45" i="25"/>
  <c r="T36" i="25"/>
  <c r="S24" i="25"/>
  <c r="T56" i="25"/>
  <c r="T44" i="25"/>
  <c r="S35" i="25"/>
  <c r="S56" i="25"/>
  <c r="T43" i="25"/>
  <c r="S43" i="25"/>
  <c r="S72" i="25"/>
  <c r="S25" i="25"/>
  <c r="T60" i="25"/>
  <c r="T40" i="25"/>
  <c r="T24" i="25"/>
  <c r="S60" i="25"/>
  <c r="S40" i="25"/>
  <c r="S58" i="25"/>
  <c r="S39" i="25"/>
  <c r="T72" i="25"/>
  <c r="S41" i="25"/>
  <c r="S23" i="25"/>
  <c r="S38" i="25"/>
  <c r="S37" i="25"/>
  <c r="T57" i="25"/>
  <c r="T22" i="25"/>
  <c r="S22" i="25"/>
  <c r="T46" i="25"/>
  <c r="S41" i="27"/>
  <c r="M22" i="22"/>
  <c r="M53" i="22"/>
  <c r="M79" i="22"/>
  <c r="M88" i="22"/>
  <c r="M72" i="23"/>
  <c r="M75" i="23"/>
  <c r="M25" i="24"/>
  <c r="O40" i="24"/>
  <c r="M82" i="24"/>
  <c r="M95" i="24"/>
  <c r="M56" i="20"/>
  <c r="M21" i="22"/>
  <c r="M38" i="22"/>
  <c r="O62" i="22"/>
  <c r="S23" i="23"/>
  <c r="T46" i="23"/>
  <c r="O78" i="23"/>
  <c r="M81" i="23"/>
  <c r="M21" i="24"/>
  <c r="M78" i="24"/>
  <c r="M88" i="24"/>
  <c r="S59" i="27"/>
  <c r="T43" i="27"/>
  <c r="S25" i="27"/>
  <c r="S57" i="27"/>
  <c r="S43" i="27"/>
  <c r="S42" i="27"/>
  <c r="T70" i="27"/>
  <c r="T41" i="27"/>
  <c r="T44" i="27"/>
  <c r="T60" i="27"/>
  <c r="S36" i="27"/>
  <c r="T59" i="27"/>
  <c r="T35" i="27"/>
  <c r="S35" i="27"/>
  <c r="S39" i="27"/>
  <c r="T23" i="27"/>
  <c r="S44" i="27"/>
  <c r="T38" i="27"/>
  <c r="M11" i="21"/>
  <c r="M20" i="22"/>
  <c r="T22" i="23"/>
  <c r="S72" i="23"/>
  <c r="M99" i="23"/>
  <c r="N87" i="24"/>
  <c r="N90" i="24"/>
  <c r="N97" i="24"/>
  <c r="N95" i="24"/>
  <c r="N83" i="24"/>
  <c r="N81" i="24"/>
  <c r="N72" i="24"/>
  <c r="N88" i="24"/>
  <c r="N86" i="24"/>
  <c r="N84" i="24"/>
  <c r="N82" i="24"/>
  <c r="N76" i="24"/>
  <c r="N67" i="24"/>
  <c r="N65" i="24"/>
  <c r="N63" i="24"/>
  <c r="N47" i="24"/>
  <c r="N44" i="24"/>
  <c r="N37" i="24"/>
  <c r="N96" i="24"/>
  <c r="N91" i="24"/>
  <c r="N64" i="24"/>
  <c r="N56" i="24"/>
  <c r="N39" i="24"/>
  <c r="N85" i="24"/>
  <c r="N53" i="24"/>
  <c r="N94" i="24"/>
  <c r="N50" i="24"/>
  <c r="N62" i="24"/>
  <c r="N52" i="24"/>
  <c r="N35" i="24"/>
  <c r="N58" i="24"/>
  <c r="N54" i="24"/>
  <c r="N49" i="24"/>
  <c r="N40" i="24"/>
  <c r="N66" i="24"/>
  <c r="N33" i="24"/>
  <c r="N79" i="24"/>
  <c r="N38" i="24"/>
  <c r="N75" i="24"/>
  <c r="N61" i="24"/>
  <c r="N45" i="24"/>
  <c r="N74" i="24"/>
  <c r="M53" i="24"/>
  <c r="M82" i="20"/>
  <c r="M57" i="21"/>
  <c r="M75" i="21"/>
  <c r="M19" i="22"/>
  <c r="O21" i="22"/>
  <c r="O39" i="23"/>
  <c r="O44" i="23"/>
  <c r="O65" i="23"/>
  <c r="O70" i="23"/>
  <c r="M15" i="24"/>
  <c r="M29" i="24"/>
  <c r="T38" i="25"/>
  <c r="S59" i="23"/>
  <c r="O68" i="23"/>
  <c r="M73" i="23"/>
  <c r="M100" i="23"/>
  <c r="M92" i="24"/>
  <c r="M30" i="24"/>
  <c r="M8" i="24"/>
  <c r="M16" i="24"/>
  <c r="N41" i="24"/>
  <c r="N57" i="24"/>
  <c r="T45" i="25"/>
  <c r="S23" i="27"/>
  <c r="B101" i="26"/>
  <c r="S43" i="26"/>
  <c r="S42" i="26"/>
  <c r="S35" i="26"/>
  <c r="T22" i="26"/>
  <c r="T58" i="26"/>
  <c r="T37" i="23"/>
  <c r="O100" i="23"/>
  <c r="M85" i="24"/>
  <c r="M72" i="24"/>
  <c r="M91" i="24"/>
  <c r="M74" i="24"/>
  <c r="M66" i="24"/>
  <c r="M45" i="24"/>
  <c r="M42" i="24"/>
  <c r="M67" i="24"/>
  <c r="M62" i="24"/>
  <c r="M83" i="24"/>
  <c r="M58" i="24"/>
  <c r="M40" i="24"/>
  <c r="M33" i="24"/>
  <c r="M89" i="24"/>
  <c r="M84" i="24"/>
  <c r="M38" i="24"/>
  <c r="M75" i="24"/>
  <c r="M35" i="24"/>
  <c r="M79" i="24"/>
  <c r="M39" i="24"/>
  <c r="O67" i="24"/>
  <c r="T53" i="25"/>
  <c r="AD25" i="21"/>
  <c r="S39" i="21"/>
  <c r="T40" i="21"/>
  <c r="AD41" i="21"/>
  <c r="M94" i="22"/>
  <c r="S70" i="23"/>
  <c r="S58" i="23"/>
  <c r="T40" i="23"/>
  <c r="S37" i="23"/>
  <c r="B3" i="23"/>
  <c r="T67" i="23" s="1"/>
  <c r="T71" i="23"/>
  <c r="S56" i="23"/>
  <c r="S46" i="23"/>
  <c r="S25" i="23"/>
  <c r="S24" i="23"/>
  <c r="T23" i="23"/>
  <c r="T41" i="23"/>
  <c r="S38" i="23"/>
  <c r="S22" i="23"/>
  <c r="S57" i="23"/>
  <c r="S44" i="23"/>
  <c r="T72" i="23"/>
  <c r="S60" i="23"/>
  <c r="T42" i="23"/>
  <c r="S39" i="23"/>
  <c r="S36" i="23"/>
  <c r="M20" i="23"/>
  <c r="M25" i="23"/>
  <c r="S42" i="23"/>
  <c r="M58" i="23"/>
  <c r="M95" i="23"/>
  <c r="M101" i="23"/>
  <c r="M9" i="24"/>
  <c r="O92" i="24"/>
  <c r="O73" i="24"/>
  <c r="O69" i="24"/>
  <c r="O59" i="24"/>
  <c r="O80" i="24"/>
  <c r="O68" i="24"/>
  <c r="O71" i="24"/>
  <c r="O43" i="24"/>
  <c r="O31" i="24"/>
  <c r="O21" i="24"/>
  <c r="O78" i="24"/>
  <c r="O34" i="24"/>
  <c r="O16" i="24"/>
  <c r="O51" i="24"/>
  <c r="O27" i="24"/>
  <c r="O9" i="24"/>
  <c r="O26" i="24"/>
  <c r="O25" i="24"/>
  <c r="O15" i="24"/>
  <c r="O8" i="24"/>
  <c r="O23" i="24"/>
  <c r="O77" i="24"/>
  <c r="O93" i="24"/>
  <c r="O60" i="24"/>
  <c r="O20" i="24"/>
  <c r="O6" i="24"/>
  <c r="O7" i="24"/>
  <c r="O28" i="24"/>
  <c r="O24" i="24"/>
  <c r="O29" i="24"/>
  <c r="M32" i="24"/>
  <c r="AC70" i="21"/>
  <c r="S60" i="21"/>
  <c r="AD44" i="21"/>
  <c r="AC43" i="21"/>
  <c r="T42" i="21"/>
  <c r="S41" i="21"/>
  <c r="S25" i="21"/>
  <c r="AC23" i="21"/>
  <c r="B2" i="21"/>
  <c r="T23" i="21"/>
  <c r="S38" i="21"/>
  <c r="AC39" i="21"/>
  <c r="AD40" i="21"/>
  <c r="T45" i="21"/>
  <c r="AC46" i="21"/>
  <c r="S59" i="21"/>
  <c r="AC60" i="21"/>
  <c r="M92" i="22"/>
  <c r="T36" i="23"/>
  <c r="M50" i="23"/>
  <c r="M54" i="23"/>
  <c r="M56" i="23"/>
  <c r="T58" i="23"/>
  <c r="T60" i="23"/>
  <c r="M79" i="23"/>
  <c r="M92" i="23"/>
  <c r="P73" i="24"/>
  <c r="P69" i="24"/>
  <c r="P93" i="24"/>
  <c r="P77" i="24"/>
  <c r="P80" i="24"/>
  <c r="P68" i="24"/>
  <c r="P71" i="24"/>
  <c r="P92" i="24"/>
  <c r="P78" i="24"/>
  <c r="P60" i="24"/>
  <c r="P29" i="24"/>
  <c r="P59" i="24"/>
  <c r="P26" i="24"/>
  <c r="P25" i="24"/>
  <c r="P15" i="24"/>
  <c r="P8" i="24"/>
  <c r="P46" i="24"/>
  <c r="P43" i="24"/>
  <c r="P30" i="24"/>
  <c r="P28" i="24"/>
  <c r="P24" i="24"/>
  <c r="P20" i="24"/>
  <c r="P7" i="24"/>
  <c r="P32" i="24"/>
  <c r="P14" i="24"/>
  <c r="P13" i="24"/>
  <c r="P11" i="24"/>
  <c r="P10" i="24"/>
  <c r="P19" i="24"/>
  <c r="P18" i="24"/>
  <c r="P5" i="24"/>
  <c r="P4" i="24"/>
  <c r="P2" i="24"/>
  <c r="P6" i="24"/>
  <c r="P31" i="24"/>
  <c r="P27" i="24"/>
  <c r="P70" i="24"/>
  <c r="P51" i="24"/>
  <c r="P21" i="24"/>
  <c r="P22" i="24"/>
  <c r="P17" i="24"/>
  <c r="P16" i="24"/>
  <c r="P48" i="24"/>
  <c r="M18" i="23"/>
  <c r="T38" i="23"/>
  <c r="S40" i="23"/>
  <c r="M87" i="23"/>
  <c r="M5" i="24"/>
  <c r="M14" i="24"/>
  <c r="M43" i="24"/>
  <c r="T40" i="26"/>
  <c r="T71" i="30"/>
  <c r="T45" i="30"/>
  <c r="T40" i="30"/>
  <c r="S25" i="30"/>
  <c r="T24" i="30"/>
  <c r="S46" i="30"/>
  <c r="S71" i="30"/>
  <c r="T41" i="30"/>
  <c r="T70" i="30"/>
  <c r="S41" i="30"/>
  <c r="S44" i="30"/>
  <c r="B3" i="30"/>
  <c r="T46" i="30"/>
  <c r="T39" i="30"/>
  <c r="T22" i="30"/>
  <c r="T43" i="30"/>
  <c r="S39" i="30"/>
  <c r="S24" i="30"/>
  <c r="T23" i="30"/>
  <c r="S22" i="30"/>
  <c r="S23" i="30"/>
  <c r="T60" i="30"/>
  <c r="T57" i="30"/>
  <c r="S70" i="30"/>
  <c r="T44" i="30"/>
  <c r="T38" i="30"/>
  <c r="T36" i="30"/>
  <c r="T72" i="30"/>
  <c r="S56" i="30"/>
  <c r="S35" i="30"/>
  <c r="S60" i="30"/>
  <c r="S45" i="30"/>
  <c r="T59" i="30"/>
  <c r="T37" i="30"/>
  <c r="T58" i="30"/>
  <c r="S40" i="30"/>
  <c r="S37" i="30"/>
  <c r="S57" i="30"/>
  <c r="O20" i="30"/>
  <c r="O2" i="30"/>
  <c r="O10" i="30"/>
  <c r="O39" i="30"/>
  <c r="O32" i="30"/>
  <c r="O15" i="30"/>
  <c r="O9" i="30"/>
  <c r="O3" i="30"/>
  <c r="O40" i="30"/>
  <c r="O13" i="30"/>
  <c r="O36" i="30"/>
  <c r="O56" i="30"/>
  <c r="O44" i="30"/>
  <c r="O17" i="30"/>
  <c r="O12" i="30"/>
  <c r="O87" i="30"/>
  <c r="O67" i="30"/>
  <c r="O31" i="30"/>
  <c r="O7" i="30"/>
  <c r="O5" i="30"/>
  <c r="O41" i="30"/>
  <c r="O21" i="30"/>
  <c r="O16" i="30"/>
  <c r="O4" i="30"/>
  <c r="O8" i="30"/>
  <c r="O26" i="30"/>
  <c r="O78" i="30"/>
  <c r="O6" i="30"/>
  <c r="O19" i="30"/>
  <c r="O11" i="30"/>
  <c r="O27" i="30"/>
  <c r="O81" i="30"/>
  <c r="O53" i="30"/>
  <c r="O25" i="30"/>
  <c r="M90" i="23"/>
  <c r="M17" i="23"/>
  <c r="M24" i="23"/>
  <c r="M31" i="23"/>
  <c r="M33" i="23"/>
  <c r="M48" i="23"/>
  <c r="T56" i="23"/>
  <c r="M41" i="24"/>
  <c r="M49" i="24"/>
  <c r="T55" i="27"/>
  <c r="T42" i="30"/>
  <c r="T4" i="23"/>
  <c r="S5" i="23"/>
  <c r="M22" i="23"/>
  <c r="S30" i="23"/>
  <c r="N78" i="24"/>
  <c r="N80" i="24"/>
  <c r="N68" i="24"/>
  <c r="N22" i="24"/>
  <c r="N93" i="24"/>
  <c r="N32" i="24"/>
  <c r="N17" i="24"/>
  <c r="N10" i="24"/>
  <c r="N3" i="24"/>
  <c r="N59" i="24"/>
  <c r="N51" i="24"/>
  <c r="N27" i="24"/>
  <c r="N9" i="24"/>
  <c r="P85" i="24"/>
  <c r="P88" i="24"/>
  <c r="P76" i="24"/>
  <c r="P81" i="24"/>
  <c r="P66" i="24"/>
  <c r="P89" i="24"/>
  <c r="P87" i="24"/>
  <c r="P83" i="24"/>
  <c r="P79" i="24"/>
  <c r="P86" i="24"/>
  <c r="P84" i="24"/>
  <c r="P82" i="24"/>
  <c r="P97" i="24"/>
  <c r="P74" i="24"/>
  <c r="P90" i="24"/>
  <c r="P56" i="24"/>
  <c r="P47" i="24"/>
  <c r="P75" i="24"/>
  <c r="P50" i="24"/>
  <c r="P41" i="24"/>
  <c r="P62" i="24"/>
  <c r="P49" i="24"/>
  <c r="P36" i="24"/>
  <c r="P95" i="24"/>
  <c r="P55" i="24"/>
  <c r="P57" i="24"/>
  <c r="M63" i="24"/>
  <c r="N70" i="24"/>
  <c r="P19" i="30"/>
  <c r="P13" i="30"/>
  <c r="P39" i="30"/>
  <c r="P32" i="30"/>
  <c r="P15" i="30"/>
  <c r="P9" i="30"/>
  <c r="P3" i="30"/>
  <c r="P53" i="30"/>
  <c r="P36" i="30"/>
  <c r="P26" i="30"/>
  <c r="P8" i="30"/>
  <c r="P12" i="30"/>
  <c r="P11" i="30"/>
  <c r="P27" i="30"/>
  <c r="P41" i="30"/>
  <c r="P21" i="30"/>
  <c r="P20" i="30"/>
  <c r="P16" i="30"/>
  <c r="P4" i="30"/>
  <c r="P23" i="30"/>
  <c r="P56" i="30"/>
  <c r="P40" i="30"/>
  <c r="P10" i="30"/>
  <c r="P7" i="30"/>
  <c r="P87" i="30"/>
  <c r="P2" i="30"/>
  <c r="P81" i="30"/>
  <c r="P67" i="30"/>
  <c r="P17" i="30"/>
  <c r="P44" i="30"/>
  <c r="O84" i="30"/>
  <c r="O46" i="30"/>
  <c r="O14" i="30"/>
  <c r="O47" i="30"/>
  <c r="O43" i="30"/>
  <c r="O96" i="30"/>
  <c r="O90" i="30"/>
  <c r="O58" i="30"/>
  <c r="O50" i="30"/>
  <c r="O38" i="30"/>
  <c r="O42" i="30"/>
  <c r="O52" i="30"/>
  <c r="O29" i="30"/>
  <c r="O37" i="30"/>
  <c r="O35" i="30"/>
  <c r="O94" i="30"/>
  <c r="O24" i="30"/>
  <c r="O22" i="30"/>
  <c r="O59" i="30"/>
  <c r="O64" i="30"/>
  <c r="O18" i="30"/>
  <c r="O83" i="30"/>
  <c r="O33" i="30"/>
  <c r="O61" i="30"/>
  <c r="O30" i="30"/>
  <c r="O54" i="30"/>
  <c r="S71" i="32"/>
  <c r="S45" i="32"/>
  <c r="S39" i="32"/>
  <c r="S59" i="32"/>
  <c r="S43" i="32"/>
  <c r="S37" i="32"/>
  <c r="S25" i="32"/>
  <c r="S23" i="32"/>
  <c r="T70" i="32"/>
  <c r="T59" i="32"/>
  <c r="S41" i="32"/>
  <c r="S57" i="32"/>
  <c r="S46" i="32"/>
  <c r="T38" i="32"/>
  <c r="T56" i="32"/>
  <c r="T45" i="32"/>
  <c r="S38" i="32"/>
  <c r="T41" i="32"/>
  <c r="T39" i="32"/>
  <c r="T24" i="32"/>
  <c r="S22" i="32"/>
  <c r="T37" i="32"/>
  <c r="S24" i="32"/>
  <c r="T58" i="32"/>
  <c r="T42" i="32"/>
  <c r="B98" i="32"/>
  <c r="T57" i="32"/>
  <c r="T40" i="32"/>
  <c r="T71" i="32"/>
  <c r="S36" i="32"/>
  <c r="T23" i="32"/>
  <c r="S70" i="32"/>
  <c r="T35" i="32"/>
  <c r="S35" i="32"/>
  <c r="T46" i="32"/>
  <c r="T25" i="32"/>
  <c r="S60" i="32"/>
  <c r="T43" i="32"/>
  <c r="S72" i="32"/>
  <c r="T60" i="32"/>
  <c r="S58" i="32"/>
  <c r="T44" i="32"/>
  <c r="S44" i="32"/>
  <c r="S42" i="32"/>
  <c r="S40" i="32"/>
  <c r="T22" i="32"/>
  <c r="T72" i="32"/>
  <c r="S52" i="23"/>
  <c r="S18" i="23"/>
  <c r="T17" i="23"/>
  <c r="T6" i="23"/>
  <c r="S7" i="23"/>
  <c r="T33" i="23"/>
  <c r="T51" i="23"/>
  <c r="S54" i="23"/>
  <c r="T69" i="23"/>
  <c r="T43" i="28"/>
  <c r="T57" i="28"/>
  <c r="T41" i="28"/>
  <c r="T35" i="28"/>
  <c r="S71" i="28"/>
  <c r="S45" i="28"/>
  <c r="S39" i="28"/>
  <c r="T56" i="28"/>
  <c r="S44" i="28"/>
  <c r="T36" i="28"/>
  <c r="B100" i="28"/>
  <c r="T65" i="28" s="1"/>
  <c r="T42" i="28"/>
  <c r="S42" i="28"/>
  <c r="T59" i="28"/>
  <c r="S46" i="28"/>
  <c r="S35" i="28"/>
  <c r="S70" i="28"/>
  <c r="S56" i="28"/>
  <c r="T40" i="28"/>
  <c r="S40" i="28"/>
  <c r="T38" i="28"/>
  <c r="S38" i="28"/>
  <c r="T72" i="28"/>
  <c r="T46" i="28"/>
  <c r="S60" i="28"/>
  <c r="T37" i="28"/>
  <c r="S59" i="28"/>
  <c r="S37" i="28"/>
  <c r="T58" i="28"/>
  <c r="S36" i="28"/>
  <c r="T59" i="23"/>
  <c r="S35" i="23"/>
  <c r="T7" i="23"/>
  <c r="N58" i="23"/>
  <c r="N51" i="23"/>
  <c r="N21" i="23"/>
  <c r="P31" i="23"/>
  <c r="P19" i="23"/>
  <c r="P10" i="23"/>
  <c r="O11" i="23"/>
  <c r="N12" i="23"/>
  <c r="P15" i="23"/>
  <c r="O17" i="23"/>
  <c r="O18" i="23"/>
  <c r="O19" i="23"/>
  <c r="P20" i="23"/>
  <c r="P21" i="23"/>
  <c r="P22" i="23"/>
  <c r="O23" i="23"/>
  <c r="N24" i="23"/>
  <c r="N25" i="23"/>
  <c r="O27" i="23"/>
  <c r="N29" i="23"/>
  <c r="O32" i="23"/>
  <c r="S41" i="23"/>
  <c r="T44" i="23"/>
  <c r="N46" i="23"/>
  <c r="T54" i="23"/>
  <c r="N56" i="23"/>
  <c r="T57" i="23"/>
  <c r="S66" i="23"/>
  <c r="N75" i="23"/>
  <c r="P79" i="23"/>
  <c r="P81" i="23"/>
  <c r="P85" i="23"/>
  <c r="N92" i="23"/>
  <c r="N99" i="23"/>
  <c r="M18" i="24"/>
  <c r="M19" i="24"/>
  <c r="N20" i="24"/>
  <c r="M54" i="24"/>
  <c r="N73" i="24"/>
  <c r="P96" i="24"/>
  <c r="S40" i="26"/>
  <c r="T44" i="28"/>
  <c r="P25" i="30"/>
  <c r="P103" i="23"/>
  <c r="P101" i="23"/>
  <c r="P99" i="23"/>
  <c r="P97" i="23"/>
  <c r="P95" i="23"/>
  <c r="P93" i="23"/>
  <c r="P91" i="23"/>
  <c r="P69" i="23"/>
  <c r="P66" i="23"/>
  <c r="P89" i="23"/>
  <c r="P87" i="23"/>
  <c r="P47" i="23"/>
  <c r="P44" i="23"/>
  <c r="P41" i="23"/>
  <c r="P38" i="23"/>
  <c r="O58" i="23"/>
  <c r="O55" i="23"/>
  <c r="O49" i="23"/>
  <c r="O28" i="23"/>
  <c r="O20" i="23"/>
  <c r="O12" i="23"/>
  <c r="M14" i="23"/>
  <c r="S19" i="23"/>
  <c r="S20" i="23"/>
  <c r="S21" i="23"/>
  <c r="O24" i="23"/>
  <c r="O25" i="23"/>
  <c r="O29" i="23"/>
  <c r="P35" i="23"/>
  <c r="N43" i="23"/>
  <c r="N48" i="23"/>
  <c r="N50" i="23"/>
  <c r="P53" i="23"/>
  <c r="P59" i="23"/>
  <c r="T66" i="23"/>
  <c r="N68" i="23"/>
  <c r="N73" i="23"/>
  <c r="P77" i="23"/>
  <c r="N2" i="24"/>
  <c r="N4" i="24"/>
  <c r="N5" i="24"/>
  <c r="N18" i="24"/>
  <c r="N19" i="24"/>
  <c r="N26" i="24"/>
  <c r="N29" i="24"/>
  <c r="P38" i="24"/>
  <c r="M56" i="24"/>
  <c r="M60" i="24"/>
  <c r="M64" i="24"/>
  <c r="M71" i="24"/>
  <c r="M87" i="24"/>
  <c r="M90" i="24"/>
  <c r="S5" i="28"/>
  <c r="S7" i="28"/>
  <c r="S18" i="28"/>
  <c r="S20" i="28"/>
  <c r="S22" i="28"/>
  <c r="S24" i="28"/>
  <c r="S51" i="28"/>
  <c r="M52" i="24"/>
  <c r="N60" i="24"/>
  <c r="N71" i="24"/>
  <c r="S71" i="26"/>
  <c r="S60" i="26"/>
  <c r="S41" i="26"/>
  <c r="S69" i="26"/>
  <c r="S58" i="26"/>
  <c r="T46" i="26"/>
  <c r="T39" i="26"/>
  <c r="T23" i="26"/>
  <c r="S57" i="26"/>
  <c r="S46" i="26"/>
  <c r="S39" i="26"/>
  <c r="S25" i="26"/>
  <c r="S23" i="26"/>
  <c r="S70" i="26"/>
  <c r="T42" i="26"/>
  <c r="B100" i="26"/>
  <c r="T32" i="26" s="1"/>
  <c r="S38" i="26"/>
  <c r="S24" i="26"/>
  <c r="S37" i="26"/>
  <c r="T60" i="26"/>
  <c r="T45" i="26"/>
  <c r="T36" i="26"/>
  <c r="S59" i="26"/>
  <c r="S45" i="26"/>
  <c r="S36" i="26"/>
  <c r="T56" i="26"/>
  <c r="T38" i="26"/>
  <c r="T71" i="26"/>
  <c r="S22" i="26"/>
  <c r="T70" i="26"/>
  <c r="T44" i="26"/>
  <c r="S44" i="26"/>
  <c r="T24" i="26"/>
  <c r="T7" i="28"/>
  <c r="T18" i="28"/>
  <c r="T20" i="28"/>
  <c r="T22" i="28"/>
  <c r="T24" i="28"/>
  <c r="S52" i="28"/>
  <c r="M61" i="23"/>
  <c r="M16" i="23"/>
  <c r="T32" i="23"/>
  <c r="T53" i="23"/>
  <c r="M84" i="23"/>
  <c r="M13" i="24"/>
  <c r="M24" i="24"/>
  <c r="M46" i="24"/>
  <c r="M97" i="24"/>
  <c r="S57" i="28"/>
  <c r="S58" i="28"/>
  <c r="O34" i="30"/>
  <c r="M3" i="24"/>
  <c r="M68" i="24"/>
  <c r="M73" i="24"/>
  <c r="M69" i="24"/>
  <c r="M93" i="24"/>
  <c r="M77" i="24"/>
  <c r="M70" i="24"/>
  <c r="M12" i="24"/>
  <c r="M11" i="24"/>
  <c r="M34" i="24"/>
  <c r="M55" i="24"/>
  <c r="M57" i="24"/>
  <c r="M65" i="24"/>
  <c r="S71" i="27"/>
  <c r="P64" i="30"/>
  <c r="P28" i="30"/>
  <c r="P43" i="30"/>
  <c r="P59" i="30"/>
  <c r="P29" i="30"/>
  <c r="P61" i="30"/>
  <c r="P14" i="30"/>
  <c r="P34" i="30"/>
  <c r="P38" i="30"/>
  <c r="P30" i="30"/>
  <c r="P18" i="30"/>
  <c r="P58" i="30"/>
  <c r="P37" i="30"/>
  <c r="P35" i="30"/>
  <c r="P46" i="30"/>
  <c r="P94" i="30"/>
  <c r="P24" i="30"/>
  <c r="P22" i="30"/>
  <c r="P42" i="30"/>
  <c r="P84" i="30"/>
  <c r="M38" i="30"/>
  <c r="P54" i="30"/>
  <c r="P52" i="30"/>
  <c r="M96" i="24"/>
  <c r="P96" i="30"/>
  <c r="M30" i="30"/>
  <c r="M33" i="30"/>
  <c r="M14" i="30"/>
  <c r="M34" i="30"/>
  <c r="M28" i="30"/>
  <c r="M83" i="30"/>
  <c r="P33" i="30"/>
  <c r="P47" i="30"/>
  <c r="P83" i="30"/>
  <c r="P90" i="30"/>
  <c r="M50" i="30"/>
  <c r="T42" i="44"/>
  <c r="T33" i="44"/>
  <c r="T26" i="44"/>
  <c r="T21" i="44"/>
  <c r="T19" i="44"/>
  <c r="T17" i="44"/>
  <c r="T6" i="44"/>
  <c r="T4" i="44"/>
  <c r="S42" i="44"/>
  <c r="S33" i="44"/>
  <c r="S26" i="44"/>
  <c r="S21" i="44"/>
  <c r="S19" i="44"/>
  <c r="S17" i="44"/>
  <c r="S6" i="44"/>
  <c r="S4" i="44"/>
  <c r="T41" i="44"/>
  <c r="T29" i="44"/>
  <c r="S41" i="44"/>
  <c r="S29" i="44"/>
  <c r="T37" i="44"/>
  <c r="T28" i="44"/>
  <c r="S37" i="44"/>
  <c r="S28" i="44"/>
  <c r="T45" i="44"/>
  <c r="T36" i="44"/>
  <c r="T27" i="44"/>
  <c r="T25" i="44"/>
  <c r="T20" i="44"/>
  <c r="T18" i="44"/>
  <c r="T7" i="44"/>
  <c r="T5" i="44"/>
  <c r="S45" i="44"/>
  <c r="S36" i="44"/>
  <c r="S27" i="44"/>
  <c r="S25" i="44"/>
  <c r="S20" i="44"/>
  <c r="S18" i="44"/>
  <c r="S7" i="44"/>
  <c r="S5" i="44"/>
  <c r="T44" i="44"/>
  <c r="T35" i="44"/>
  <c r="S44" i="44"/>
  <c r="S35" i="44"/>
  <c r="T43" i="44"/>
  <c r="T34" i="44"/>
  <c r="S43" i="44"/>
  <c r="S34" i="44"/>
  <c r="S23" i="29"/>
  <c r="S45" i="29"/>
  <c r="T58" i="29"/>
  <c r="M46" i="30"/>
  <c r="S39" i="31"/>
  <c r="T31" i="26"/>
  <c r="T67" i="26"/>
  <c r="T51" i="26"/>
  <c r="T52" i="26"/>
  <c r="S34" i="26"/>
  <c r="T21" i="26"/>
  <c r="T19" i="26"/>
  <c r="T17" i="26"/>
  <c r="T6" i="26"/>
  <c r="S32" i="26"/>
  <c r="S21" i="26"/>
  <c r="S19" i="26"/>
  <c r="S17" i="26"/>
  <c r="S6" i="26"/>
  <c r="T31" i="27"/>
  <c r="S35" i="29"/>
  <c r="T45" i="29"/>
  <c r="S59" i="29"/>
  <c r="M5" i="30"/>
  <c r="M7" i="30"/>
  <c r="M20" i="30"/>
  <c r="N37" i="30"/>
  <c r="M43" i="30"/>
  <c r="M52" i="30"/>
  <c r="M87" i="30"/>
  <c r="T24" i="31"/>
  <c r="T39" i="31"/>
  <c r="T56" i="31"/>
  <c r="S72" i="31"/>
  <c r="S56" i="31"/>
  <c r="S46" i="31"/>
  <c r="S40" i="31"/>
  <c r="S24" i="31"/>
  <c r="S22" i="31"/>
  <c r="S70" i="31"/>
  <c r="S60" i="31"/>
  <c r="S44" i="31"/>
  <c r="S38" i="31"/>
  <c r="T44" i="31"/>
  <c r="S37" i="31"/>
  <c r="T71" i="31"/>
  <c r="T60" i="31"/>
  <c r="S42" i="31"/>
  <c r="S35" i="31"/>
  <c r="S71" i="31"/>
  <c r="T59" i="31"/>
  <c r="T41" i="31"/>
  <c r="T38" i="31"/>
  <c r="T22" i="31"/>
  <c r="B98" i="31"/>
  <c r="T58" i="31"/>
  <c r="T45" i="31"/>
  <c r="S36" i="31"/>
  <c r="T72" i="31"/>
  <c r="S58" i="31"/>
  <c r="S45" i="31"/>
  <c r="T35" i="31"/>
  <c r="T68" i="27"/>
  <c r="T52" i="27"/>
  <c r="T30" i="27"/>
  <c r="T66" i="27"/>
  <c r="T34" i="27"/>
  <c r="T20" i="27"/>
  <c r="T18" i="27"/>
  <c r="T7" i="27"/>
  <c r="T5" i="27"/>
  <c r="S66" i="27"/>
  <c r="S34" i="27"/>
  <c r="S20" i="27"/>
  <c r="S18" i="27"/>
  <c r="S52" i="27"/>
  <c r="S32" i="27"/>
  <c r="S30" i="27"/>
  <c r="T6" i="27"/>
  <c r="S4" i="27"/>
  <c r="T69" i="27"/>
  <c r="T17" i="27"/>
  <c r="S6" i="27"/>
  <c r="S36" i="29"/>
  <c r="S46" i="29"/>
  <c r="T59" i="29"/>
  <c r="N90" i="30"/>
  <c r="N34" i="30"/>
  <c r="N30" i="30"/>
  <c r="N35" i="30"/>
  <c r="N47" i="30"/>
  <c r="N33" i="30"/>
  <c r="N22" i="30"/>
  <c r="N43" i="30"/>
  <c r="N29" i="30"/>
  <c r="N96" i="30"/>
  <c r="N58" i="30"/>
  <c r="N50" i="30"/>
  <c r="N38" i="30"/>
  <c r="M29" i="30"/>
  <c r="N52" i="30"/>
  <c r="M54" i="30"/>
  <c r="M58" i="30"/>
  <c r="T40" i="31"/>
  <c r="S57" i="31"/>
  <c r="S33" i="27"/>
  <c r="T58" i="27"/>
  <c r="T42" i="27"/>
  <c r="T36" i="27"/>
  <c r="T72" i="27"/>
  <c r="T56" i="27"/>
  <c r="T46" i="27"/>
  <c r="T40" i="27"/>
  <c r="T24" i="27"/>
  <c r="T22" i="27"/>
  <c r="S72" i="27"/>
  <c r="S56" i="27"/>
  <c r="S46" i="27"/>
  <c r="S40" i="27"/>
  <c r="S24" i="27"/>
  <c r="S22" i="27"/>
  <c r="T71" i="27"/>
  <c r="S60" i="27"/>
  <c r="T39" i="27"/>
  <c r="T25" i="27"/>
  <c r="S70" i="27"/>
  <c r="S58" i="27"/>
  <c r="T45" i="27"/>
  <c r="S38" i="27"/>
  <c r="T57" i="27"/>
  <c r="S45" i="27"/>
  <c r="T37" i="27"/>
  <c r="M27" i="30"/>
  <c r="N54" i="30"/>
  <c r="N61" i="30"/>
  <c r="N83" i="30"/>
  <c r="S41" i="31"/>
  <c r="T57" i="31"/>
  <c r="B99" i="29"/>
  <c r="T32" i="29" s="1"/>
  <c r="S43" i="29"/>
  <c r="T35" i="29"/>
  <c r="T41" i="29"/>
  <c r="S41" i="29"/>
  <c r="T23" i="29"/>
  <c r="M23" i="30"/>
  <c r="M19" i="30"/>
  <c r="M47" i="30"/>
  <c r="S25" i="31"/>
  <c r="T43" i="31"/>
  <c r="T58" i="25"/>
  <c r="T42" i="25"/>
  <c r="T71" i="25"/>
  <c r="S44" i="25"/>
  <c r="T37" i="25"/>
  <c r="T25" i="25"/>
  <c r="T23" i="25"/>
  <c r="S70" i="25"/>
  <c r="T59" i="25"/>
  <c r="S42" i="25"/>
  <c r="S36" i="25"/>
  <c r="S59" i="25"/>
  <c r="T41" i="25"/>
  <c r="T35" i="25"/>
  <c r="T21" i="27"/>
  <c r="S37" i="27"/>
  <c r="S53" i="27"/>
  <c r="S67" i="27"/>
  <c r="S40" i="29"/>
  <c r="S56" i="29"/>
  <c r="M3" i="30"/>
  <c r="M9" i="30"/>
  <c r="M84" i="30"/>
  <c r="M90" i="30"/>
  <c r="M25" i="30"/>
  <c r="N59" i="30"/>
  <c r="M64" i="30"/>
  <c r="T23" i="31"/>
  <c r="S37" i="36"/>
  <c r="S28" i="36"/>
  <c r="T44" i="36"/>
  <c r="T35" i="36"/>
  <c r="S44" i="36"/>
  <c r="S35" i="36"/>
  <c r="S43" i="36"/>
  <c r="S34" i="36"/>
  <c r="T43" i="43"/>
  <c r="T34" i="43"/>
  <c r="S43" i="43"/>
  <c r="S34" i="43"/>
  <c r="T42" i="43"/>
  <c r="T33" i="43"/>
  <c r="T26" i="43"/>
  <c r="T21" i="43"/>
  <c r="T19" i="43"/>
  <c r="T17" i="43"/>
  <c r="T6" i="43"/>
  <c r="T4" i="43"/>
  <c r="S42" i="43"/>
  <c r="S33" i="43"/>
  <c r="S26" i="43"/>
  <c r="S21" i="43"/>
  <c r="S19" i="43"/>
  <c r="S17" i="43"/>
  <c r="S6" i="43"/>
  <c r="S4" i="43"/>
  <c r="T41" i="43"/>
  <c r="T29" i="43"/>
  <c r="S41" i="43"/>
  <c r="S29" i="43"/>
  <c r="T37" i="43"/>
  <c r="T28" i="43"/>
  <c r="S37" i="43"/>
  <c r="S28" i="43"/>
  <c r="T45" i="43"/>
  <c r="T36" i="43"/>
  <c r="T27" i="43"/>
  <c r="T25" i="43"/>
  <c r="T20" i="43"/>
  <c r="T18" i="43"/>
  <c r="T7" i="43"/>
  <c r="T5" i="43"/>
  <c r="S45" i="43"/>
  <c r="S36" i="43"/>
  <c r="S27" i="43"/>
  <c r="S25" i="43"/>
  <c r="S20" i="43"/>
  <c r="S18" i="43"/>
  <c r="S7" i="43"/>
  <c r="S5" i="43"/>
  <c r="T44" i="43"/>
  <c r="T35" i="43"/>
  <c r="S44" i="43"/>
  <c r="S35" i="43"/>
  <c r="T71" i="28"/>
  <c r="M16" i="30"/>
  <c r="M31" i="30"/>
  <c r="M81" i="30"/>
  <c r="T72" i="29"/>
  <c r="T56" i="29"/>
  <c r="T46" i="29"/>
  <c r="T40" i="29"/>
  <c r="T24" i="29"/>
  <c r="T22" i="29"/>
  <c r="T70" i="29"/>
  <c r="T60" i="29"/>
  <c r="T44" i="29"/>
  <c r="T38" i="29"/>
  <c r="S70" i="29"/>
  <c r="S60" i="29"/>
  <c r="S44" i="29"/>
  <c r="S38" i="29"/>
  <c r="M12" i="30"/>
  <c r="M61" i="30"/>
  <c r="T69" i="26"/>
  <c r="T59" i="26"/>
  <c r="T43" i="26"/>
  <c r="T37" i="26"/>
  <c r="T25" i="26"/>
  <c r="T57" i="26"/>
  <c r="T41" i="26"/>
  <c r="T35" i="26"/>
  <c r="M4" i="30"/>
  <c r="M18" i="30"/>
  <c r="M35" i="30"/>
  <c r="M37" i="30"/>
  <c r="M42" i="30"/>
  <c r="M44" i="30"/>
  <c r="M67" i="30"/>
  <c r="T37" i="37"/>
  <c r="T28" i="37"/>
  <c r="S37" i="37"/>
  <c r="S28" i="37"/>
  <c r="T45" i="37"/>
  <c r="T36" i="37"/>
  <c r="T27" i="37"/>
  <c r="T25" i="37"/>
  <c r="T20" i="37"/>
  <c r="T18" i="37"/>
  <c r="T7" i="37"/>
  <c r="T5" i="37"/>
  <c r="S45" i="37"/>
  <c r="S36" i="37"/>
  <c r="S27" i="37"/>
  <c r="S25" i="37"/>
  <c r="S20" i="37"/>
  <c r="S18" i="37"/>
  <c r="S7" i="37"/>
  <c r="S5" i="37"/>
  <c r="T44" i="37"/>
  <c r="T35" i="37"/>
  <c r="S44" i="37"/>
  <c r="S35" i="37"/>
  <c r="T43" i="37"/>
  <c r="T34" i="37"/>
  <c r="S43" i="37"/>
  <c r="S34" i="37"/>
  <c r="T42" i="37"/>
  <c r="T33" i="37"/>
  <c r="T26" i="37"/>
  <c r="T21" i="37"/>
  <c r="T19" i="37"/>
  <c r="T17" i="37"/>
  <c r="T6" i="37"/>
  <c r="T4" i="37"/>
  <c r="S42" i="37"/>
  <c r="S33" i="37"/>
  <c r="S26" i="37"/>
  <c r="S21" i="37"/>
  <c r="S19" i="37"/>
  <c r="S17" i="37"/>
  <c r="S6" i="37"/>
  <c r="S4" i="37"/>
  <c r="T41" i="37"/>
  <c r="T29" i="37"/>
  <c r="S41" i="37"/>
  <c r="S29" i="37"/>
  <c r="S41" i="39"/>
  <c r="S29" i="39"/>
  <c r="T37" i="39"/>
  <c r="T28" i="39"/>
  <c r="S37" i="39"/>
  <c r="S28" i="39"/>
  <c r="T45" i="39"/>
  <c r="T36" i="39"/>
  <c r="T27" i="39"/>
  <c r="T25" i="39"/>
  <c r="T20" i="39"/>
  <c r="T18" i="39"/>
  <c r="T7" i="39"/>
  <c r="T5" i="39"/>
  <c r="S45" i="39"/>
  <c r="S36" i="39"/>
  <c r="S27" i="39"/>
  <c r="S25" i="39"/>
  <c r="S20" i="39"/>
  <c r="S18" i="39"/>
  <c r="S7" i="39"/>
  <c r="S5" i="39"/>
  <c r="T44" i="39"/>
  <c r="T35" i="39"/>
  <c r="S44" i="39"/>
  <c r="S35" i="39"/>
  <c r="T43" i="39"/>
  <c r="T34" i="39"/>
  <c r="S43" i="39"/>
  <c r="S34" i="39"/>
  <c r="T42" i="39"/>
  <c r="T33" i="39"/>
  <c r="T26" i="39"/>
  <c r="T21" i="39"/>
  <c r="T19" i="39"/>
  <c r="T17" i="39"/>
  <c r="T6" i="39"/>
  <c r="T4" i="39"/>
  <c r="S42" i="39"/>
  <c r="S33" i="39"/>
  <c r="S26" i="39"/>
  <c r="S21" i="39"/>
  <c r="S19" i="39"/>
  <c r="S17" i="39"/>
  <c r="S6" i="39"/>
  <c r="S4" i="39"/>
  <c r="T41" i="39"/>
  <c r="T29" i="39"/>
  <c r="S68" i="30"/>
  <c r="T65" i="30"/>
  <c r="S54" i="30"/>
  <c r="T6" i="30"/>
  <c r="S7" i="30"/>
  <c r="T33" i="30"/>
  <c r="T55" i="30"/>
  <c r="T39" i="28"/>
  <c r="T45" i="28"/>
  <c r="T56" i="30"/>
  <c r="S43" i="30"/>
  <c r="T7" i="30"/>
  <c r="N11" i="30"/>
  <c r="N17" i="30"/>
  <c r="T25" i="30"/>
  <c r="S36" i="30"/>
  <c r="S53" i="30"/>
  <c r="S59" i="30"/>
  <c r="N67" i="30"/>
  <c r="S72" i="30"/>
  <c r="M96" i="30"/>
  <c r="T41" i="36"/>
  <c r="T17" i="30"/>
  <c r="S18" i="30"/>
  <c r="S31" i="30"/>
  <c r="T35" i="30"/>
  <c r="S38" i="30"/>
  <c r="N41" i="30"/>
  <c r="S42" i="30"/>
  <c r="S52" i="30"/>
  <c r="N56" i="30"/>
  <c r="S58" i="30"/>
  <c r="T67" i="30"/>
  <c r="T51" i="34"/>
  <c r="S67" i="34"/>
  <c r="S18" i="34"/>
  <c r="S7" i="34"/>
  <c r="S33" i="34"/>
  <c r="T69" i="34"/>
  <c r="T52" i="34"/>
  <c r="T31" i="34"/>
  <c r="T42" i="35"/>
  <c r="T33" i="35"/>
  <c r="T26" i="35"/>
  <c r="T21" i="35"/>
  <c r="T19" i="35"/>
  <c r="T17" i="35"/>
  <c r="T6" i="35"/>
  <c r="T4" i="35"/>
  <c r="S42" i="35"/>
  <c r="S33" i="35"/>
  <c r="S26" i="35"/>
  <c r="S21" i="35"/>
  <c r="S19" i="35"/>
  <c r="S17" i="35"/>
  <c r="S6" i="35"/>
  <c r="S4" i="35"/>
  <c r="T41" i="35"/>
  <c r="T29" i="35"/>
  <c r="S41" i="35"/>
  <c r="S29" i="35"/>
  <c r="T37" i="35"/>
  <c r="T28" i="35"/>
  <c r="S37" i="35"/>
  <c r="S28" i="35"/>
  <c r="T45" i="35"/>
  <c r="T36" i="35"/>
  <c r="T27" i="35"/>
  <c r="T25" i="35"/>
  <c r="T20" i="35"/>
  <c r="T18" i="35"/>
  <c r="T7" i="35"/>
  <c r="T5" i="35"/>
  <c r="S45" i="35"/>
  <c r="S36" i="35"/>
  <c r="S27" i="35"/>
  <c r="S25" i="35"/>
  <c r="S20" i="35"/>
  <c r="S18" i="35"/>
  <c r="S7" i="35"/>
  <c r="S5" i="35"/>
  <c r="T44" i="35"/>
  <c r="T35" i="35"/>
  <c r="S44" i="35"/>
  <c r="S35" i="35"/>
  <c r="T43" i="35"/>
  <c r="T34" i="35"/>
  <c r="S43" i="35"/>
  <c r="S34" i="35"/>
  <c r="T45" i="38"/>
  <c r="T36" i="38"/>
  <c r="T27" i="38"/>
  <c r="T25" i="38"/>
  <c r="T20" i="38"/>
  <c r="T18" i="38"/>
  <c r="T7" i="38"/>
  <c r="T5" i="38"/>
  <c r="S45" i="38"/>
  <c r="S36" i="38"/>
  <c r="S27" i="38"/>
  <c r="S25" i="38"/>
  <c r="S20" i="38"/>
  <c r="S18" i="38"/>
  <c r="S7" i="38"/>
  <c r="S5" i="38"/>
  <c r="T44" i="38"/>
  <c r="T35" i="38"/>
  <c r="S44" i="38"/>
  <c r="S35" i="38"/>
  <c r="T43" i="38"/>
  <c r="T34" i="38"/>
  <c r="S43" i="38"/>
  <c r="S34" i="38"/>
  <c r="T42" i="38"/>
  <c r="T33" i="38"/>
  <c r="T26" i="38"/>
  <c r="T21" i="38"/>
  <c r="T19" i="38"/>
  <c r="T17" i="38"/>
  <c r="T6" i="38"/>
  <c r="T4" i="38"/>
  <c r="S42" i="38"/>
  <c r="S33" i="38"/>
  <c r="S26" i="38"/>
  <c r="S21" i="38"/>
  <c r="S19" i="38"/>
  <c r="S17" i="38"/>
  <c r="S6" i="38"/>
  <c r="S4" i="38"/>
  <c r="T41" i="38"/>
  <c r="T29" i="38"/>
  <c r="S41" i="38"/>
  <c r="S29" i="38"/>
  <c r="T37" i="38"/>
  <c r="T28" i="38"/>
  <c r="S37" i="38"/>
  <c r="S28" i="38"/>
  <c r="T37" i="41"/>
  <c r="T28" i="41"/>
  <c r="S37" i="41"/>
  <c r="S28" i="41"/>
  <c r="T45" i="41"/>
  <c r="T36" i="41"/>
  <c r="T27" i="41"/>
  <c r="T25" i="41"/>
  <c r="T20" i="41"/>
  <c r="T18" i="41"/>
  <c r="T7" i="41"/>
  <c r="T5" i="41"/>
  <c r="S45" i="41"/>
  <c r="S36" i="41"/>
  <c r="S27" i="41"/>
  <c r="S25" i="41"/>
  <c r="S20" i="41"/>
  <c r="S18" i="41"/>
  <c r="S7" i="41"/>
  <c r="S5" i="41"/>
  <c r="T44" i="41"/>
  <c r="T35" i="41"/>
  <c r="S44" i="41"/>
  <c r="S35" i="41"/>
  <c r="T43" i="41"/>
  <c r="T34" i="41"/>
  <c r="S43" i="41"/>
  <c r="S34" i="41"/>
  <c r="T42" i="41"/>
  <c r="T33" i="41"/>
  <c r="T26" i="41"/>
  <c r="T21" i="41"/>
  <c r="T19" i="41"/>
  <c r="T17" i="41"/>
  <c r="T6" i="41"/>
  <c r="T4" i="41"/>
  <c r="S42" i="41"/>
  <c r="S33" i="41"/>
  <c r="S26" i="41"/>
  <c r="S21" i="41"/>
  <c r="S19" i="41"/>
  <c r="S17" i="41"/>
  <c r="S6" i="41"/>
  <c r="S4" i="41"/>
  <c r="T41" i="41"/>
  <c r="T29" i="41"/>
  <c r="S41" i="41"/>
  <c r="S29" i="41"/>
  <c r="T37" i="34"/>
  <c r="T43" i="34"/>
  <c r="T58" i="34"/>
  <c r="S4" i="36"/>
  <c r="S6" i="36"/>
  <c r="S17" i="36"/>
  <c r="S19" i="36"/>
  <c r="S21" i="36"/>
  <c r="S26" i="36"/>
  <c r="S33" i="36"/>
  <c r="S42" i="36"/>
  <c r="S4" i="40"/>
  <c r="S6" i="40"/>
  <c r="S17" i="40"/>
  <c r="S19" i="40"/>
  <c r="S21" i="40"/>
  <c r="S26" i="40"/>
  <c r="S33" i="40"/>
  <c r="S42" i="40"/>
  <c r="S28" i="42"/>
  <c r="S37" i="42"/>
  <c r="S23" i="34"/>
  <c r="S25" i="34"/>
  <c r="S38" i="34"/>
  <c r="S44" i="34"/>
  <c r="S59" i="34"/>
  <c r="B102" i="34"/>
  <c r="T4" i="36"/>
  <c r="T6" i="36"/>
  <c r="T17" i="36"/>
  <c r="T19" i="36"/>
  <c r="T21" i="36"/>
  <c r="T26" i="36"/>
  <c r="T33" i="36"/>
  <c r="T42" i="36"/>
  <c r="T4" i="40"/>
  <c r="T6" i="40"/>
  <c r="T17" i="40"/>
  <c r="T19" i="40"/>
  <c r="T21" i="40"/>
  <c r="T26" i="40"/>
  <c r="T33" i="40"/>
  <c r="T42" i="40"/>
  <c r="T28" i="42"/>
  <c r="T37" i="42"/>
  <c r="S39" i="34"/>
  <c r="S45" i="34"/>
  <c r="S60" i="34"/>
  <c r="T34" i="36"/>
  <c r="T43" i="36"/>
  <c r="T34" i="40"/>
  <c r="T43" i="40"/>
  <c r="T29" i="42"/>
  <c r="T41" i="42"/>
  <c r="T39" i="34"/>
  <c r="T45" i="34"/>
  <c r="T60" i="34"/>
  <c r="B99" i="34"/>
  <c r="S51" i="34" s="1"/>
  <c r="S35" i="40"/>
  <c r="S44" i="40"/>
  <c r="S4" i="42"/>
  <c r="S6" i="42"/>
  <c r="S17" i="42"/>
  <c r="S19" i="42"/>
  <c r="S21" i="42"/>
  <c r="S26" i="42"/>
  <c r="S33" i="42"/>
  <c r="S42" i="42"/>
  <c r="S40" i="34"/>
  <c r="S46" i="34"/>
  <c r="S61" i="34"/>
  <c r="T35" i="40"/>
  <c r="T44" i="40"/>
  <c r="T4" i="42"/>
  <c r="T6" i="42"/>
  <c r="T17" i="42"/>
  <c r="T19" i="42"/>
  <c r="T21" i="42"/>
  <c r="T26" i="42"/>
  <c r="T33" i="42"/>
  <c r="T42" i="42"/>
  <c r="T40" i="34"/>
  <c r="T46" i="34"/>
  <c r="T61" i="34"/>
  <c r="T71" i="34"/>
  <c r="S5" i="36"/>
  <c r="S7" i="36"/>
  <c r="S18" i="36"/>
  <c r="S20" i="36"/>
  <c r="S25" i="36"/>
  <c r="S27" i="36"/>
  <c r="S36" i="36"/>
  <c r="S45" i="36"/>
  <c r="S5" i="40"/>
  <c r="S7" i="40"/>
  <c r="S18" i="40"/>
  <c r="S20" i="40"/>
  <c r="S25" i="40"/>
  <c r="S27" i="40"/>
  <c r="S36" i="40"/>
  <c r="S45" i="40"/>
  <c r="S34" i="42"/>
  <c r="S43" i="42"/>
  <c r="S22" i="34"/>
  <c r="S24" i="34"/>
  <c r="S41" i="34"/>
  <c r="S47" i="34"/>
  <c r="S56" i="34"/>
  <c r="S72" i="34"/>
  <c r="T5" i="36"/>
  <c r="T7" i="36"/>
  <c r="T18" i="36"/>
  <c r="T20" i="36"/>
  <c r="T25" i="36"/>
  <c r="T27" i="36"/>
  <c r="T36" i="36"/>
  <c r="T45" i="36"/>
  <c r="T5" i="40"/>
  <c r="T7" i="40"/>
  <c r="T18" i="40"/>
  <c r="T20" i="40"/>
  <c r="T25" i="40"/>
  <c r="T27" i="40"/>
  <c r="T36" i="40"/>
  <c r="T45" i="40"/>
  <c r="T34" i="42"/>
  <c r="T43" i="42"/>
  <c r="T22" i="34"/>
  <c r="T24" i="34"/>
  <c r="T41" i="34"/>
  <c r="T47" i="34"/>
  <c r="T56" i="34"/>
  <c r="T72" i="34"/>
  <c r="S28" i="40"/>
  <c r="S35" i="42"/>
  <c r="S44" i="42"/>
  <c r="S36" i="34"/>
  <c r="S42" i="34"/>
  <c r="S57" i="34"/>
  <c r="T28" i="36"/>
  <c r="T37" i="36"/>
  <c r="T28" i="40"/>
  <c r="T37" i="40"/>
  <c r="T35" i="42"/>
  <c r="T36" i="34"/>
  <c r="T42" i="34"/>
  <c r="T57" i="34"/>
  <c r="S29" i="36"/>
  <c r="S41" i="36"/>
  <c r="S29" i="40"/>
  <c r="S41" i="40"/>
  <c r="S5" i="42"/>
  <c r="S7" i="42"/>
  <c r="S18" i="42"/>
  <c r="S20" i="42"/>
  <c r="S25" i="42"/>
  <c r="S27" i="42"/>
  <c r="S36" i="42"/>
  <c r="S45" i="42"/>
  <c r="S37" i="34"/>
  <c r="S43" i="34"/>
  <c r="T29" i="36"/>
  <c r="T29" i="40"/>
  <c r="T5" i="42"/>
  <c r="T7" i="42"/>
  <c r="T18" i="42"/>
  <c r="T20" i="42"/>
  <c r="T25" i="42"/>
  <c r="T27" i="42"/>
  <c r="T36" i="42"/>
  <c r="S30" i="29" l="1"/>
  <c r="S66" i="29"/>
  <c r="T65" i="29"/>
  <c r="T20" i="29"/>
  <c r="S65" i="32"/>
  <c r="S55" i="32"/>
  <c r="S33" i="32"/>
  <c r="S69" i="32"/>
  <c r="S53" i="32"/>
  <c r="S31" i="32"/>
  <c r="S21" i="32"/>
  <c r="S19" i="32"/>
  <c r="S17" i="32"/>
  <c r="S6" i="32"/>
  <c r="S4" i="32"/>
  <c r="S52" i="32"/>
  <c r="S34" i="32"/>
  <c r="T19" i="32"/>
  <c r="S68" i="32"/>
  <c r="T31" i="32"/>
  <c r="T7" i="32"/>
  <c r="S5" i="32"/>
  <c r="T67" i="32"/>
  <c r="T30" i="32"/>
  <c r="T18" i="32"/>
  <c r="S7" i="32"/>
  <c r="T68" i="32"/>
  <c r="T54" i="32"/>
  <c r="S32" i="32"/>
  <c r="S66" i="32"/>
  <c r="T52" i="32"/>
  <c r="T65" i="32"/>
  <c r="T51" i="32"/>
  <c r="T17" i="32"/>
  <c r="T5" i="32"/>
  <c r="S54" i="32"/>
  <c r="T4" i="32"/>
  <c r="T53" i="32"/>
  <c r="S18" i="32"/>
  <c r="T69" i="32"/>
  <c r="S51" i="32"/>
  <c r="T6" i="32"/>
  <c r="S67" i="32"/>
  <c r="T34" i="32"/>
  <c r="T20" i="32"/>
  <c r="S30" i="32"/>
  <c r="T32" i="32"/>
  <c r="T66" i="32"/>
  <c r="T21" i="32"/>
  <c r="T55" i="32"/>
  <c r="S20" i="32"/>
  <c r="T33" i="32"/>
  <c r="S53" i="28"/>
  <c r="T68" i="28"/>
  <c r="S31" i="25"/>
  <c r="S51" i="25"/>
  <c r="S32" i="25"/>
  <c r="T31" i="25"/>
  <c r="T70" i="24"/>
  <c r="S70" i="24"/>
  <c r="S67" i="24"/>
  <c r="S71" i="24"/>
  <c r="T56" i="24"/>
  <c r="T32" i="24"/>
  <c r="S55" i="24"/>
  <c r="S31" i="24"/>
  <c r="T33" i="24"/>
  <c r="T22" i="24"/>
  <c r="T21" i="24"/>
  <c r="S20" i="24"/>
  <c r="T19" i="24"/>
  <c r="S7" i="24"/>
  <c r="T6" i="24"/>
  <c r="T5" i="24"/>
  <c r="T57" i="24"/>
  <c r="T54" i="24"/>
  <c r="S33" i="24"/>
  <c r="S22" i="24"/>
  <c r="S21" i="24"/>
  <c r="S19" i="24"/>
  <c r="T18" i="24"/>
  <c r="S6" i="24"/>
  <c r="S5" i="24"/>
  <c r="T4" i="24"/>
  <c r="T69" i="24"/>
  <c r="T35" i="24"/>
  <c r="S54" i="24"/>
  <c r="T71" i="24"/>
  <c r="S56" i="24"/>
  <c r="T31" i="24"/>
  <c r="T68" i="24"/>
  <c r="T7" i="24"/>
  <c r="S68" i="24"/>
  <c r="S53" i="24"/>
  <c r="S34" i="24"/>
  <c r="T67" i="24"/>
  <c r="T55" i="24"/>
  <c r="S32" i="24"/>
  <c r="T20" i="24"/>
  <c r="S57" i="24"/>
  <c r="S4" i="24"/>
  <c r="T53" i="24"/>
  <c r="S69" i="24"/>
  <c r="T34" i="24"/>
  <c r="S18" i="24"/>
  <c r="S35" i="24"/>
  <c r="T82" i="5"/>
  <c r="AD57" i="5"/>
  <c r="AC56" i="5"/>
  <c r="S46" i="5"/>
  <c r="AD37" i="5"/>
  <c r="AC36" i="5"/>
  <c r="T35" i="5"/>
  <c r="AC25" i="5"/>
  <c r="S23" i="5"/>
  <c r="T83" i="5"/>
  <c r="S82" i="5"/>
  <c r="AD58" i="5"/>
  <c r="AC57" i="5"/>
  <c r="T56" i="5"/>
  <c r="AD38" i="5"/>
  <c r="AC37" i="5"/>
  <c r="T36" i="5"/>
  <c r="T84" i="5"/>
  <c r="S83" i="5"/>
  <c r="AD59" i="5"/>
  <c r="AC58" i="5"/>
  <c r="T57" i="5"/>
  <c r="S56" i="5"/>
  <c r="AD39" i="5"/>
  <c r="AC38" i="5"/>
  <c r="T37" i="5"/>
  <c r="S36" i="5"/>
  <c r="AD24" i="5"/>
  <c r="S84" i="5"/>
  <c r="AD60" i="5"/>
  <c r="AC59" i="5"/>
  <c r="T58" i="5"/>
  <c r="S57" i="5"/>
  <c r="AD40" i="5"/>
  <c r="AC39" i="5"/>
  <c r="T38" i="5"/>
  <c r="S37" i="5"/>
  <c r="AC24" i="5"/>
  <c r="S22" i="5"/>
  <c r="B2" i="5"/>
  <c r="AC60" i="5"/>
  <c r="T59" i="5"/>
  <c r="S58" i="5"/>
  <c r="AD41" i="5"/>
  <c r="AC40" i="5"/>
  <c r="T39" i="5"/>
  <c r="S38" i="5"/>
  <c r="AD70" i="5"/>
  <c r="S60" i="5"/>
  <c r="AD43" i="5"/>
  <c r="AC42" i="5"/>
  <c r="T41" i="5"/>
  <c r="S40" i="5"/>
  <c r="S25" i="5"/>
  <c r="AC23" i="5"/>
  <c r="AD71" i="5"/>
  <c r="AC70" i="5"/>
  <c r="AD44" i="5"/>
  <c r="AC43" i="5"/>
  <c r="T42" i="5"/>
  <c r="S41" i="5"/>
  <c r="AD72" i="5"/>
  <c r="AC71" i="5"/>
  <c r="T70" i="5"/>
  <c r="AD45" i="5"/>
  <c r="AC44" i="5"/>
  <c r="T43" i="5"/>
  <c r="S42" i="5"/>
  <c r="T24" i="5"/>
  <c r="AD22" i="5"/>
  <c r="AC72" i="5"/>
  <c r="T71" i="5"/>
  <c r="S70" i="5"/>
  <c r="AD46" i="5"/>
  <c r="AC45" i="5"/>
  <c r="T44" i="5"/>
  <c r="S43" i="5"/>
  <c r="S24" i="5"/>
  <c r="AC22" i="5"/>
  <c r="T45" i="5"/>
  <c r="T25" i="5"/>
  <c r="S45" i="5"/>
  <c r="AC41" i="5"/>
  <c r="S39" i="5"/>
  <c r="AD35" i="5"/>
  <c r="S35" i="5"/>
  <c r="S71" i="5"/>
  <c r="AC35" i="5"/>
  <c r="T60" i="5"/>
  <c r="AD23" i="5"/>
  <c r="AD56" i="5"/>
  <c r="T72" i="5"/>
  <c r="AC46" i="5"/>
  <c r="S72" i="5"/>
  <c r="T46" i="5"/>
  <c r="T40" i="5"/>
  <c r="AD25" i="5"/>
  <c r="T22" i="5"/>
  <c r="S44" i="5"/>
  <c r="AD42" i="5"/>
  <c r="AD36" i="5"/>
  <c r="S59" i="5"/>
  <c r="T23" i="5"/>
  <c r="AC84" i="7"/>
  <c r="S53" i="34"/>
  <c r="T34" i="34"/>
  <c r="T35" i="34"/>
  <c r="S69" i="34"/>
  <c r="T55" i="34"/>
  <c r="T66" i="34"/>
  <c r="S51" i="29"/>
  <c r="T68" i="26"/>
  <c r="T53" i="26"/>
  <c r="S4" i="29"/>
  <c r="T34" i="29"/>
  <c r="S69" i="28"/>
  <c r="S33" i="28"/>
  <c r="T69" i="21"/>
  <c r="S68" i="21"/>
  <c r="AD51" i="21"/>
  <c r="AD32" i="21"/>
  <c r="AC31" i="21"/>
  <c r="T30" i="21"/>
  <c r="S21" i="21"/>
  <c r="AC19" i="21"/>
  <c r="S17" i="21"/>
  <c r="AC7" i="21"/>
  <c r="S5" i="21"/>
  <c r="AD68" i="21"/>
  <c r="T67" i="21"/>
  <c r="S66" i="21"/>
  <c r="AD52" i="21"/>
  <c r="T51" i="21"/>
  <c r="T31" i="21"/>
  <c r="AD21" i="21"/>
  <c r="S6" i="21"/>
  <c r="AD69" i="21"/>
  <c r="T68" i="21"/>
  <c r="AD53" i="21"/>
  <c r="T52" i="21"/>
  <c r="AD33" i="21"/>
  <c r="T32" i="21"/>
  <c r="AD20" i="21"/>
  <c r="S18" i="21"/>
  <c r="T5" i="21"/>
  <c r="S34" i="21"/>
  <c r="S30" i="21"/>
  <c r="AC65" i="21"/>
  <c r="AC54" i="21"/>
  <c r="S53" i="21"/>
  <c r="T19" i="21"/>
  <c r="AC17" i="21"/>
  <c r="AD7" i="21"/>
  <c r="S4" i="21"/>
  <c r="AD66" i="21"/>
  <c r="T65" i="21"/>
  <c r="AD55" i="21"/>
  <c r="T54" i="21"/>
  <c r="AC32" i="21"/>
  <c r="S19" i="21"/>
  <c r="AC66" i="21"/>
  <c r="S65" i="21"/>
  <c r="AC55" i="21"/>
  <c r="S54" i="21"/>
  <c r="S32" i="21"/>
  <c r="AD6" i="21"/>
  <c r="AD67" i="21"/>
  <c r="T66" i="21"/>
  <c r="T55" i="21"/>
  <c r="T18" i="21"/>
  <c r="AC6" i="21"/>
  <c r="AD65" i="21"/>
  <c r="S51" i="21"/>
  <c r="T34" i="21"/>
  <c r="AD5" i="21"/>
  <c r="AD4" i="21"/>
  <c r="AC68" i="21"/>
  <c r="AC21" i="21"/>
  <c r="AC20" i="21"/>
  <c r="AC5" i="21"/>
  <c r="AC4" i="21"/>
  <c r="S52" i="21"/>
  <c r="AD30" i="21"/>
  <c r="AD19" i="21"/>
  <c r="AD18" i="21"/>
  <c r="S55" i="21"/>
  <c r="AC33" i="21"/>
  <c r="AC30" i="21"/>
  <c r="AC18" i="21"/>
  <c r="AD17" i="21"/>
  <c r="T7" i="21"/>
  <c r="S67" i="21"/>
  <c r="AC51" i="21"/>
  <c r="AC34" i="21"/>
  <c r="T17" i="21"/>
  <c r="S69" i="21"/>
  <c r="AC67" i="21"/>
  <c r="T6" i="21"/>
  <c r="AC53" i="21"/>
  <c r="S7" i="21"/>
  <c r="T53" i="21"/>
  <c r="T33" i="21"/>
  <c r="AD31" i="21"/>
  <c r="AD54" i="21"/>
  <c r="T21" i="21"/>
  <c r="S20" i="21"/>
  <c r="AC69" i="21"/>
  <c r="AD34" i="21"/>
  <c r="T20" i="21"/>
  <c r="T4" i="21"/>
  <c r="S31" i="21"/>
  <c r="S33" i="21"/>
  <c r="AC52" i="21"/>
  <c r="S55" i="25"/>
  <c r="S34" i="25"/>
  <c r="T51" i="25"/>
  <c r="T54" i="25"/>
  <c r="AD78" i="16"/>
  <c r="T77" i="16"/>
  <c r="AD78" i="15"/>
  <c r="AC77" i="15"/>
  <c r="S69" i="15"/>
  <c r="AC55" i="15"/>
  <c r="T54" i="15"/>
  <c r="S53" i="15"/>
  <c r="AD30" i="15"/>
  <c r="S21" i="15"/>
  <c r="AC19" i="15"/>
  <c r="AC6" i="15"/>
  <c r="AD80" i="16"/>
  <c r="AC79" i="16"/>
  <c r="T78" i="16"/>
  <c r="AD80" i="15"/>
  <c r="AC79" i="15"/>
  <c r="T78" i="15"/>
  <c r="S77" i="15"/>
  <c r="S55" i="15"/>
  <c r="AD32" i="15"/>
  <c r="AC31" i="15"/>
  <c r="T30" i="15"/>
  <c r="T20" i="15"/>
  <c r="AC18" i="15"/>
  <c r="T7" i="15"/>
  <c r="AC5" i="15"/>
  <c r="AD81" i="16"/>
  <c r="AC80" i="16"/>
  <c r="T79" i="16"/>
  <c r="S78" i="16"/>
  <c r="AD81" i="15"/>
  <c r="AC80" i="15"/>
  <c r="T79" i="15"/>
  <c r="S78" i="15"/>
  <c r="AD33" i="15"/>
  <c r="AC32" i="15"/>
  <c r="T31" i="15"/>
  <c r="S30" i="15"/>
  <c r="S20" i="15"/>
  <c r="T81" i="16"/>
  <c r="S80" i="16"/>
  <c r="T81" i="15"/>
  <c r="S80" i="15"/>
  <c r="AD66" i="15"/>
  <c r="AC65" i="15"/>
  <c r="AC34" i="15"/>
  <c r="T33" i="15"/>
  <c r="S32" i="15"/>
  <c r="AD21" i="15"/>
  <c r="T19" i="15"/>
  <c r="AC17" i="15"/>
  <c r="T6" i="15"/>
  <c r="AC4" i="15"/>
  <c r="AD67" i="15"/>
  <c r="T66" i="15"/>
  <c r="S65" i="15"/>
  <c r="AC51" i="15"/>
  <c r="S34" i="15"/>
  <c r="T18" i="15"/>
  <c r="T5" i="15"/>
  <c r="AD79" i="16"/>
  <c r="T80" i="15"/>
  <c r="T77" i="15"/>
  <c r="T69" i="15"/>
  <c r="T52" i="15"/>
  <c r="AD34" i="15"/>
  <c r="AD31" i="15"/>
  <c r="S7" i="15"/>
  <c r="S6" i="15"/>
  <c r="S5" i="15"/>
  <c r="T4" i="15"/>
  <c r="AC77" i="16"/>
  <c r="S81" i="15"/>
  <c r="AC78" i="15"/>
  <c r="AD54" i="15"/>
  <c r="T80" i="16"/>
  <c r="S77" i="16"/>
  <c r="AC67" i="15"/>
  <c r="AC54" i="15"/>
  <c r="T32" i="15"/>
  <c r="T67" i="15"/>
  <c r="S54" i="15"/>
  <c r="AD7" i="15"/>
  <c r="AD79" i="15"/>
  <c r="AD68" i="15"/>
  <c r="S67" i="15"/>
  <c r="AD55" i="15"/>
  <c r="AD51" i="15"/>
  <c r="AC7" i="15"/>
  <c r="AD6" i="15"/>
  <c r="AD5" i="15"/>
  <c r="AD4" i="15"/>
  <c r="AD77" i="15"/>
  <c r="AC69" i="15"/>
  <c r="AC52" i="15"/>
  <c r="T53" i="15"/>
  <c r="S17" i="15"/>
  <c r="S4" i="15"/>
  <c r="AD77" i="16"/>
  <c r="AD69" i="15"/>
  <c r="T51" i="15"/>
  <c r="AC30" i="15"/>
  <c r="S51" i="15"/>
  <c r="AC33" i="15"/>
  <c r="AC81" i="15"/>
  <c r="S33" i="15"/>
  <c r="AC78" i="16"/>
  <c r="S79" i="15"/>
  <c r="T65" i="15"/>
  <c r="AD52" i="15"/>
  <c r="S31" i="15"/>
  <c r="AC20" i="15"/>
  <c r="S81" i="16"/>
  <c r="T68" i="15"/>
  <c r="T34" i="15"/>
  <c r="T21" i="15"/>
  <c r="S52" i="15"/>
  <c r="T55" i="15"/>
  <c r="AC53" i="15"/>
  <c r="AC21" i="15"/>
  <c r="AD20" i="15"/>
  <c r="S19" i="15"/>
  <c r="S18" i="15"/>
  <c r="T17" i="15"/>
  <c r="AD53" i="15"/>
  <c r="AC81" i="16"/>
  <c r="AD19" i="15"/>
  <c r="AD18" i="15"/>
  <c r="AD17" i="15"/>
  <c r="S66" i="15"/>
  <c r="S79" i="16"/>
  <c r="S68" i="15"/>
  <c r="AC66" i="15"/>
  <c r="AD65" i="15"/>
  <c r="AC68" i="15"/>
  <c r="T83" i="12"/>
  <c r="S82" i="12"/>
  <c r="T84" i="12"/>
  <c r="S83" i="12"/>
  <c r="AD58" i="12"/>
  <c r="AC57" i="12"/>
  <c r="T56" i="12"/>
  <c r="AD39" i="12"/>
  <c r="AC38" i="12"/>
  <c r="T37" i="12"/>
  <c r="S36" i="12"/>
  <c r="S84" i="12"/>
  <c r="AD59" i="12"/>
  <c r="AC58" i="12"/>
  <c r="T57" i="12"/>
  <c r="S56" i="12"/>
  <c r="AC39" i="12"/>
  <c r="T38" i="12"/>
  <c r="S37" i="12"/>
  <c r="AD24" i="12"/>
  <c r="T22" i="12"/>
  <c r="AC60" i="12"/>
  <c r="T59" i="12"/>
  <c r="S58" i="12"/>
  <c r="AD70" i="12"/>
  <c r="T60" i="12"/>
  <c r="AD72" i="12"/>
  <c r="AD60" i="12"/>
  <c r="AD45" i="12"/>
  <c r="AC44" i="12"/>
  <c r="S43" i="12"/>
  <c r="T39" i="12"/>
  <c r="AD23" i="12"/>
  <c r="AC70" i="12"/>
  <c r="S60" i="12"/>
  <c r="AD57" i="12"/>
  <c r="AD46" i="12"/>
  <c r="AC45" i="12"/>
  <c r="T44" i="12"/>
  <c r="S39" i="12"/>
  <c r="AD35" i="12"/>
  <c r="AC23" i="12"/>
  <c r="T70" i="12"/>
  <c r="S57" i="12"/>
  <c r="AC46" i="12"/>
  <c r="T45" i="12"/>
  <c r="S44" i="12"/>
  <c r="AD40" i="12"/>
  <c r="AC35" i="12"/>
  <c r="S70" i="12"/>
  <c r="T46" i="12"/>
  <c r="S45" i="12"/>
  <c r="AC40" i="12"/>
  <c r="AD36" i="12"/>
  <c r="T35" i="12"/>
  <c r="T25" i="12"/>
  <c r="AD22" i="12"/>
  <c r="AC71" i="12"/>
  <c r="T58" i="12"/>
  <c r="AD41" i="12"/>
  <c r="S40" i="12"/>
  <c r="T36" i="12"/>
  <c r="S24" i="12"/>
  <c r="AC59" i="12"/>
  <c r="AC42" i="12"/>
  <c r="S41" i="12"/>
  <c r="T82" i="12"/>
  <c r="S72" i="12"/>
  <c r="AC56" i="12"/>
  <c r="AD44" i="12"/>
  <c r="T43" i="12"/>
  <c r="AC24" i="12"/>
  <c r="B2" i="12"/>
  <c r="T71" i="12"/>
  <c r="S42" i="12"/>
  <c r="AD38" i="12"/>
  <c r="AD25" i="12"/>
  <c r="AC43" i="12"/>
  <c r="T24" i="12"/>
  <c r="AC72" i="12"/>
  <c r="S59" i="12"/>
  <c r="AC41" i="12"/>
  <c r="AD37" i="12"/>
  <c r="T41" i="12"/>
  <c r="AC37" i="12"/>
  <c r="S35" i="12"/>
  <c r="S46" i="12"/>
  <c r="AC22" i="12"/>
  <c r="AD43" i="12"/>
  <c r="S22" i="12"/>
  <c r="AD71" i="12"/>
  <c r="AC36" i="12"/>
  <c r="T23" i="12"/>
  <c r="S71" i="12"/>
  <c r="S38" i="12"/>
  <c r="AC25" i="12"/>
  <c r="S23" i="12"/>
  <c r="AD42" i="12"/>
  <c r="T40" i="12"/>
  <c r="T42" i="12"/>
  <c r="S25" i="12"/>
  <c r="T72" i="12"/>
  <c r="AD56" i="12"/>
  <c r="T53" i="34"/>
  <c r="S5" i="34"/>
  <c r="T4" i="26"/>
  <c r="T6" i="29"/>
  <c r="T66" i="29"/>
  <c r="T5" i="28"/>
  <c r="S30" i="28"/>
  <c r="S55" i="28"/>
  <c r="S20" i="25"/>
  <c r="T55" i="25"/>
  <c r="T65" i="25"/>
  <c r="S65" i="25"/>
  <c r="AC68" i="19"/>
  <c r="T67" i="19"/>
  <c r="S34" i="19"/>
  <c r="T21" i="19"/>
  <c r="AD18" i="19"/>
  <c r="AC69" i="19"/>
  <c r="S68" i="19"/>
  <c r="AC51" i="19"/>
  <c r="AD30" i="19"/>
  <c r="T20" i="19"/>
  <c r="AC6" i="19"/>
  <c r="S4" i="19"/>
  <c r="AC67" i="19"/>
  <c r="T69" i="19"/>
  <c r="AD66" i="19"/>
  <c r="T65" i="19"/>
  <c r="AC53" i="19"/>
  <c r="AC34" i="19"/>
  <c r="AC30" i="19"/>
  <c r="AD17" i="19"/>
  <c r="T5" i="19"/>
  <c r="T66" i="19"/>
  <c r="S53" i="19"/>
  <c r="AC31" i="19"/>
  <c r="S30" i="19"/>
  <c r="S20" i="19"/>
  <c r="S66" i="19"/>
  <c r="AD54" i="19"/>
  <c r="T31" i="19"/>
  <c r="T19" i="19"/>
  <c r="AD7" i="19"/>
  <c r="T4" i="19"/>
  <c r="T14" i="19" s="1"/>
  <c r="S67" i="19"/>
  <c r="AC55" i="19"/>
  <c r="T54" i="19"/>
  <c r="AC32" i="19"/>
  <c r="S18" i="19"/>
  <c r="AD6" i="19"/>
  <c r="AD69" i="19"/>
  <c r="AC65" i="19"/>
  <c r="AD53" i="19"/>
  <c r="S52" i="19"/>
  <c r="S69" i="19"/>
  <c r="T52" i="19"/>
  <c r="T33" i="19"/>
  <c r="S7" i="19"/>
  <c r="S6" i="19"/>
  <c r="AD67" i="19"/>
  <c r="T55" i="19"/>
  <c r="AD31" i="19"/>
  <c r="S17" i="19"/>
  <c r="S55" i="19"/>
  <c r="AD34" i="19"/>
  <c r="S31" i="19"/>
  <c r="AD65" i="19"/>
  <c r="T53" i="19"/>
  <c r="T34" i="19"/>
  <c r="S65" i="19"/>
  <c r="T68" i="19"/>
  <c r="T51" i="19"/>
  <c r="T32" i="19"/>
  <c r="AD21" i="19"/>
  <c r="AD20" i="19"/>
  <c r="AD19" i="19"/>
  <c r="AD5" i="19"/>
  <c r="AD51" i="19"/>
  <c r="AD32" i="19"/>
  <c r="AC19" i="19"/>
  <c r="T18" i="19"/>
  <c r="T17" i="19"/>
  <c r="AD4" i="19"/>
  <c r="AD52" i="19"/>
  <c r="AD33" i="19"/>
  <c r="S19" i="19"/>
  <c r="AC5" i="19"/>
  <c r="AC4" i="19"/>
  <c r="AC54" i="19"/>
  <c r="AC52" i="19"/>
  <c r="AC33" i="19"/>
  <c r="AC7" i="19"/>
  <c r="S54" i="19"/>
  <c r="S33" i="19"/>
  <c r="S21" i="19"/>
  <c r="AD55" i="19"/>
  <c r="AC18" i="19"/>
  <c r="AC17" i="19"/>
  <c r="T7" i="19"/>
  <c r="S51" i="19"/>
  <c r="AC20" i="19"/>
  <c r="S5" i="19"/>
  <c r="S32" i="19"/>
  <c r="T30" i="19"/>
  <c r="T6" i="19"/>
  <c r="AC21" i="19"/>
  <c r="AD68" i="19"/>
  <c r="AC66" i="19"/>
  <c r="AC70" i="3"/>
  <c r="AD70" i="3" s="1"/>
  <c r="S60" i="3"/>
  <c r="AD43" i="3"/>
  <c r="AC42" i="3"/>
  <c r="T41" i="3"/>
  <c r="S40" i="3"/>
  <c r="T70" i="3"/>
  <c r="AD44" i="3"/>
  <c r="AC43" i="3"/>
  <c r="T42" i="3"/>
  <c r="S41" i="3"/>
  <c r="T24" i="3"/>
  <c r="AD22" i="3"/>
  <c r="B2" i="3"/>
  <c r="AC71" i="3"/>
  <c r="AD71" i="3" s="1"/>
  <c r="S70" i="3"/>
  <c r="AD45" i="3"/>
  <c r="AC44" i="3"/>
  <c r="T43" i="3"/>
  <c r="S42" i="3"/>
  <c r="AD35" i="3"/>
  <c r="S24" i="3"/>
  <c r="AC22" i="3"/>
  <c r="AD82" i="3"/>
  <c r="T72" i="3"/>
  <c r="S71" i="3"/>
  <c r="AC46" i="3"/>
  <c r="T45" i="3"/>
  <c r="S44" i="3"/>
  <c r="AD37" i="3"/>
  <c r="AC36" i="3"/>
  <c r="T35" i="3"/>
  <c r="AD25" i="3"/>
  <c r="T23" i="3"/>
  <c r="AD83" i="3"/>
  <c r="AC82" i="3"/>
  <c r="S72" i="3"/>
  <c r="AD56" i="3"/>
  <c r="T46" i="3"/>
  <c r="S45" i="3"/>
  <c r="AD38" i="3"/>
  <c r="AC37" i="3"/>
  <c r="T36" i="3"/>
  <c r="S35" i="3"/>
  <c r="AC25" i="3"/>
  <c r="S23" i="3"/>
  <c r="AD84" i="3"/>
  <c r="AC83" i="3"/>
  <c r="T82" i="3"/>
  <c r="AD57" i="3"/>
  <c r="AC56" i="3"/>
  <c r="S46" i="3"/>
  <c r="AC38" i="3"/>
  <c r="T37" i="3"/>
  <c r="S36" i="3"/>
  <c r="AC84" i="3"/>
  <c r="T83" i="3"/>
  <c r="S82" i="3"/>
  <c r="AD58" i="3"/>
  <c r="AC57" i="3"/>
  <c r="T56" i="3"/>
  <c r="AD39" i="3"/>
  <c r="T38" i="3"/>
  <c r="S37" i="3"/>
  <c r="AD24" i="3"/>
  <c r="T22" i="3"/>
  <c r="T84" i="3"/>
  <c r="S83" i="3"/>
  <c r="AD59" i="3"/>
  <c r="AC58" i="3"/>
  <c r="T57" i="3"/>
  <c r="S56" i="3"/>
  <c r="AC39" i="3"/>
  <c r="S38" i="3"/>
  <c r="AC24" i="3"/>
  <c r="S22" i="3"/>
  <c r="S84" i="3"/>
  <c r="AD60" i="3"/>
  <c r="AC59" i="3"/>
  <c r="T58" i="3"/>
  <c r="S57" i="3"/>
  <c r="AD40" i="3"/>
  <c r="T39" i="3"/>
  <c r="T60" i="3"/>
  <c r="S58" i="3"/>
  <c r="AC45" i="3"/>
  <c r="AC35" i="3"/>
  <c r="AD23" i="3"/>
  <c r="AC60" i="3"/>
  <c r="AC72" i="3"/>
  <c r="AD72" i="3" s="1"/>
  <c r="S43" i="3"/>
  <c r="AD41" i="3"/>
  <c r="AC41" i="3"/>
  <c r="S39" i="3"/>
  <c r="T59" i="3"/>
  <c r="S59" i="3"/>
  <c r="AD46" i="3"/>
  <c r="T44" i="3"/>
  <c r="AD36" i="3"/>
  <c r="T25" i="3"/>
  <c r="AC23" i="3"/>
  <c r="T71" i="3"/>
  <c r="AC40" i="3"/>
  <c r="S25" i="3"/>
  <c r="AD42" i="3"/>
  <c r="T40" i="3"/>
  <c r="AC83" i="2"/>
  <c r="S82" i="2"/>
  <c r="AC58" i="2"/>
  <c r="S57" i="2"/>
  <c r="AD43" i="2"/>
  <c r="T42" i="2"/>
  <c r="AC37" i="2"/>
  <c r="S36" i="2"/>
  <c r="AC25" i="2"/>
  <c r="S22" i="2"/>
  <c r="AC43" i="2"/>
  <c r="AD38" i="2"/>
  <c r="AD24" i="2"/>
  <c r="AD84" i="2"/>
  <c r="T83" i="2"/>
  <c r="AD59" i="2"/>
  <c r="T58" i="2"/>
  <c r="S42" i="2"/>
  <c r="T37" i="2"/>
  <c r="AC84" i="2"/>
  <c r="S83" i="2"/>
  <c r="AC59" i="2"/>
  <c r="S58" i="2"/>
  <c r="AD44" i="2"/>
  <c r="T43" i="2"/>
  <c r="AC38" i="2"/>
  <c r="S37" i="2"/>
  <c r="AC24" i="2"/>
  <c r="S84" i="2"/>
  <c r="AC60" i="2"/>
  <c r="S59" i="2"/>
  <c r="AD45" i="2"/>
  <c r="T44" i="2"/>
  <c r="AD39" i="2"/>
  <c r="S38" i="2"/>
  <c r="AC23" i="2"/>
  <c r="S70" i="2"/>
  <c r="AC46" i="2"/>
  <c r="AC40" i="2"/>
  <c r="AD35" i="2"/>
  <c r="AC70" i="2"/>
  <c r="AD70" i="2" s="1"/>
  <c r="T60" i="2"/>
  <c r="AC45" i="2"/>
  <c r="S44" i="2"/>
  <c r="AC39" i="2"/>
  <c r="T25" i="2"/>
  <c r="AD22" i="2"/>
  <c r="AC71" i="2"/>
  <c r="AD71" i="2" s="1"/>
  <c r="AD56" i="2"/>
  <c r="T24" i="2"/>
  <c r="T70" i="2"/>
  <c r="S60" i="2"/>
  <c r="AD46" i="2"/>
  <c r="T45" i="2"/>
  <c r="AD40" i="2"/>
  <c r="T39" i="2"/>
  <c r="S25" i="2"/>
  <c r="AC22" i="2"/>
  <c r="S45" i="2"/>
  <c r="S39" i="2"/>
  <c r="T71" i="2"/>
  <c r="AC56" i="2"/>
  <c r="T46" i="2"/>
  <c r="AD41" i="2"/>
  <c r="T40" i="2"/>
  <c r="AC35" i="2"/>
  <c r="S24" i="2"/>
  <c r="B2" i="2"/>
  <c r="AD82" i="2"/>
  <c r="AC72" i="2"/>
  <c r="AD72" i="2" s="1"/>
  <c r="S71" i="2"/>
  <c r="AD57" i="2"/>
  <c r="T56" i="2"/>
  <c r="S46" i="2"/>
  <c r="AC41" i="2"/>
  <c r="S40" i="2"/>
  <c r="AD36" i="2"/>
  <c r="T35" i="2"/>
  <c r="T23" i="2"/>
  <c r="AC42" i="2"/>
  <c r="S35" i="2"/>
  <c r="AD83" i="2"/>
  <c r="AD37" i="2"/>
  <c r="AC57" i="2"/>
  <c r="T57" i="2"/>
  <c r="AC44" i="2"/>
  <c r="T59" i="2"/>
  <c r="AD23" i="2"/>
  <c r="AD42" i="2"/>
  <c r="S72" i="2"/>
  <c r="T41" i="2"/>
  <c r="S43" i="2"/>
  <c r="S41" i="2"/>
  <c r="T22" i="2"/>
  <c r="AC82" i="2"/>
  <c r="AC36" i="2"/>
  <c r="T84" i="2"/>
  <c r="T82" i="2"/>
  <c r="S56" i="2"/>
  <c r="T38" i="2"/>
  <c r="T36" i="2"/>
  <c r="S23" i="2"/>
  <c r="T72" i="2"/>
  <c r="AD60" i="2"/>
  <c r="AD58" i="2"/>
  <c r="AD25" i="2"/>
  <c r="T55" i="29"/>
  <c r="T54" i="28"/>
  <c r="S65" i="28"/>
  <c r="T32" i="25"/>
  <c r="T67" i="25"/>
  <c r="S52" i="25"/>
  <c r="T52" i="25"/>
  <c r="AD55" i="16"/>
  <c r="S54" i="16"/>
  <c r="AC30" i="16"/>
  <c r="AC7" i="16"/>
  <c r="S5" i="16"/>
  <c r="T55" i="16"/>
  <c r="AD32" i="16"/>
  <c r="AC31" i="16"/>
  <c r="S30" i="16"/>
  <c r="S20" i="16"/>
  <c r="AC18" i="16"/>
  <c r="AD6" i="16"/>
  <c r="T4" i="16"/>
  <c r="AD65" i="16"/>
  <c r="S55" i="16"/>
  <c r="AD33" i="16"/>
  <c r="AC32" i="16"/>
  <c r="T31" i="16"/>
  <c r="AC6" i="16"/>
  <c r="S4" i="16"/>
  <c r="AD66" i="16"/>
  <c r="T65" i="16"/>
  <c r="AC34" i="16"/>
  <c r="T33" i="16"/>
  <c r="S32" i="16"/>
  <c r="AC21" i="16"/>
  <c r="S19" i="16"/>
  <c r="AC17" i="16"/>
  <c r="T7" i="16"/>
  <c r="AD5" i="16"/>
  <c r="AD68" i="16"/>
  <c r="AC67" i="16"/>
  <c r="T66" i="16"/>
  <c r="AD52" i="16"/>
  <c r="AC51" i="16"/>
  <c r="S34" i="16"/>
  <c r="AD20" i="16"/>
  <c r="T18" i="16"/>
  <c r="AC68" i="16"/>
  <c r="AD51" i="16"/>
  <c r="AC33" i="16"/>
  <c r="AD30" i="16"/>
  <c r="T19" i="16"/>
  <c r="S18" i="16"/>
  <c r="T17" i="16"/>
  <c r="T69" i="16"/>
  <c r="AC55" i="16"/>
  <c r="AC52" i="16"/>
  <c r="AD34" i="16"/>
  <c r="AD31" i="16"/>
  <c r="AD21" i="16"/>
  <c r="AD7" i="16"/>
  <c r="S69" i="16"/>
  <c r="T52" i="16"/>
  <c r="T34" i="16"/>
  <c r="S31" i="16"/>
  <c r="AC20" i="16"/>
  <c r="AC66" i="16"/>
  <c r="AD53" i="16"/>
  <c r="S52" i="16"/>
  <c r="AD19" i="16"/>
  <c r="AC5" i="16"/>
  <c r="AD4" i="16"/>
  <c r="S66" i="16"/>
  <c r="AC53" i="16"/>
  <c r="AC19" i="16"/>
  <c r="AD18" i="16"/>
  <c r="AD17" i="16"/>
  <c r="AC4" i="16"/>
  <c r="T54" i="16"/>
  <c r="T5" i="16"/>
  <c r="T68" i="16"/>
  <c r="S68" i="16"/>
  <c r="S17" i="16"/>
  <c r="AD69" i="16"/>
  <c r="T32" i="16"/>
  <c r="AC69" i="16"/>
  <c r="T53" i="16"/>
  <c r="T30" i="16"/>
  <c r="AD67" i="16"/>
  <c r="S51" i="16"/>
  <c r="S67" i="16"/>
  <c r="AD54" i="16"/>
  <c r="S33" i="16"/>
  <c r="S21" i="16"/>
  <c r="S7" i="16"/>
  <c r="T6" i="16"/>
  <c r="S65" i="16"/>
  <c r="S53" i="16"/>
  <c r="T51" i="16"/>
  <c r="T20" i="16"/>
  <c r="S6" i="16"/>
  <c r="AC54" i="16"/>
  <c r="AC65" i="16"/>
  <c r="T67" i="16"/>
  <c r="T21" i="16"/>
  <c r="S84" i="13"/>
  <c r="AD72" i="13"/>
  <c r="T71" i="13"/>
  <c r="S70" i="13"/>
  <c r="T84" i="13"/>
  <c r="S83" i="13"/>
  <c r="T82" i="13"/>
  <c r="AC71" i="13"/>
  <c r="AD57" i="13"/>
  <c r="T56" i="13"/>
  <c r="AD42" i="13"/>
  <c r="AC41" i="13"/>
  <c r="T40" i="13"/>
  <c r="S39" i="13"/>
  <c r="AC72" i="13"/>
  <c r="AC58" i="13"/>
  <c r="T57" i="13"/>
  <c r="AD44" i="13"/>
  <c r="AC43" i="13"/>
  <c r="T42" i="13"/>
  <c r="S41" i="13"/>
  <c r="S25" i="13"/>
  <c r="AC60" i="13"/>
  <c r="T59" i="13"/>
  <c r="AC46" i="13"/>
  <c r="T45" i="13"/>
  <c r="S44" i="13"/>
  <c r="AD35" i="13"/>
  <c r="S60" i="13"/>
  <c r="S46" i="13"/>
  <c r="AD37" i="13"/>
  <c r="AC36" i="13"/>
  <c r="T35" i="13"/>
  <c r="AD25" i="13"/>
  <c r="T23" i="13"/>
  <c r="T58" i="13"/>
  <c r="AC44" i="13"/>
  <c r="AC40" i="13"/>
  <c r="S36" i="13"/>
  <c r="AD71" i="13"/>
  <c r="S58" i="13"/>
  <c r="T44" i="13"/>
  <c r="S40" i="13"/>
  <c r="T24" i="13"/>
  <c r="S71" i="13"/>
  <c r="AD41" i="13"/>
  <c r="AC37" i="13"/>
  <c r="S24" i="13"/>
  <c r="S82" i="13"/>
  <c r="AC59" i="13"/>
  <c r="AD56" i="13"/>
  <c r="AC45" i="13"/>
  <c r="AD38" i="13"/>
  <c r="S37" i="13"/>
  <c r="T22" i="13"/>
  <c r="T72" i="13"/>
  <c r="S59" i="13"/>
  <c r="AC56" i="13"/>
  <c r="S45" i="13"/>
  <c r="AC38" i="13"/>
  <c r="S22" i="13"/>
  <c r="AD60" i="13"/>
  <c r="AD46" i="13"/>
  <c r="S42" i="13"/>
  <c r="AD39" i="13"/>
  <c r="S38" i="13"/>
  <c r="AD24" i="13"/>
  <c r="AD45" i="13"/>
  <c r="T43" i="13"/>
  <c r="T25" i="13"/>
  <c r="S23" i="13"/>
  <c r="S43" i="13"/>
  <c r="AC39" i="13"/>
  <c r="T39" i="13"/>
  <c r="T83" i="13"/>
  <c r="T60" i="13"/>
  <c r="AD58" i="13"/>
  <c r="T37" i="13"/>
  <c r="S56" i="13"/>
  <c r="AC35" i="13"/>
  <c r="S72" i="13"/>
  <c r="AC70" i="13"/>
  <c r="AC22" i="13"/>
  <c r="S57" i="13"/>
  <c r="AD43" i="13"/>
  <c r="T41" i="13"/>
  <c r="AC57" i="13"/>
  <c r="AC24" i="13"/>
  <c r="B2" i="13"/>
  <c r="AD40" i="13"/>
  <c r="AD70" i="13"/>
  <c r="T70" i="13"/>
  <c r="S35" i="13"/>
  <c r="AD22" i="13"/>
  <c r="AC25" i="13"/>
  <c r="AC42" i="13"/>
  <c r="AD59" i="13"/>
  <c r="T46" i="13"/>
  <c r="AD36" i="13"/>
  <c r="T38" i="13"/>
  <c r="AD23" i="13"/>
  <c r="AC23" i="13"/>
  <c r="T36" i="13"/>
  <c r="T70" i="14"/>
  <c r="AD45" i="14"/>
  <c r="AD72" i="14"/>
  <c r="AC71" i="14"/>
  <c r="AC46" i="14"/>
  <c r="T45" i="14"/>
  <c r="S44" i="14"/>
  <c r="S72" i="14"/>
  <c r="AD57" i="14"/>
  <c r="AC56" i="14"/>
  <c r="T83" i="14"/>
  <c r="S82" i="14"/>
  <c r="S83" i="14"/>
  <c r="AC72" i="14"/>
  <c r="S56" i="14"/>
  <c r="AC44" i="14"/>
  <c r="S43" i="14"/>
  <c r="AD37" i="14"/>
  <c r="AC36" i="14"/>
  <c r="T35" i="14"/>
  <c r="AD70" i="14"/>
  <c r="AC58" i="14"/>
  <c r="S57" i="14"/>
  <c r="AD46" i="14"/>
  <c r="AC70" i="14"/>
  <c r="T58" i="14"/>
  <c r="T46" i="14"/>
  <c r="AC40" i="14"/>
  <c r="T39" i="14"/>
  <c r="S38" i="14"/>
  <c r="S25" i="14"/>
  <c r="AC23" i="14"/>
  <c r="B2" i="14"/>
  <c r="S70" i="14"/>
  <c r="AD59" i="14"/>
  <c r="S58" i="14"/>
  <c r="S46" i="14"/>
  <c r="AD41" i="14"/>
  <c r="T40" i="14"/>
  <c r="S39" i="14"/>
  <c r="T82" i="14"/>
  <c r="AC59" i="14"/>
  <c r="S60" i="14"/>
  <c r="T56" i="14"/>
  <c r="AD44" i="14"/>
  <c r="T43" i="14"/>
  <c r="AD36" i="14"/>
  <c r="AC35" i="14"/>
  <c r="AC25" i="14"/>
  <c r="S23" i="14"/>
  <c r="AD56" i="14"/>
  <c r="AD43" i="14"/>
  <c r="T36" i="14"/>
  <c r="S22" i="14"/>
  <c r="AC43" i="14"/>
  <c r="AD40" i="14"/>
  <c r="S36" i="14"/>
  <c r="AD71" i="14"/>
  <c r="S40" i="14"/>
  <c r="AC37" i="14"/>
  <c r="T71" i="14"/>
  <c r="T59" i="14"/>
  <c r="S71" i="14"/>
  <c r="AC57" i="14"/>
  <c r="T41" i="14"/>
  <c r="AD25" i="14"/>
  <c r="AC24" i="14"/>
  <c r="AD22" i="14"/>
  <c r="S84" i="14"/>
  <c r="AD60" i="14"/>
  <c r="AC42" i="14"/>
  <c r="AC38" i="14"/>
  <c r="T72" i="14"/>
  <c r="T60" i="14"/>
  <c r="S42" i="14"/>
  <c r="S35" i="14"/>
  <c r="S37" i="14"/>
  <c r="AD42" i="14"/>
  <c r="AD35" i="14"/>
  <c r="T42" i="14"/>
  <c r="AC22" i="14"/>
  <c r="AD38" i="14"/>
  <c r="T22" i="14"/>
  <c r="T23" i="14"/>
  <c r="T38" i="14"/>
  <c r="T24" i="14"/>
  <c r="T44" i="14"/>
  <c r="S24" i="14"/>
  <c r="AC60" i="14"/>
  <c r="S41" i="14"/>
  <c r="AC39" i="14"/>
  <c r="AD23" i="14"/>
  <c r="S59" i="14"/>
  <c r="AC41" i="14"/>
  <c r="AD58" i="14"/>
  <c r="AC45" i="14"/>
  <c r="S45" i="14"/>
  <c r="T57" i="14"/>
  <c r="AD39" i="14"/>
  <c r="T25" i="14"/>
  <c r="T84" i="14"/>
  <c r="AD24" i="14"/>
  <c r="T37" i="14"/>
  <c r="S21" i="29"/>
  <c r="T67" i="29"/>
  <c r="T69" i="28"/>
  <c r="T33" i="28"/>
  <c r="S65" i="23"/>
  <c r="S34" i="23"/>
  <c r="T31" i="23"/>
  <c r="T19" i="23"/>
  <c r="T34" i="23"/>
  <c r="S32" i="23"/>
  <c r="T20" i="23"/>
  <c r="S68" i="23"/>
  <c r="T55" i="23"/>
  <c r="T30" i="23"/>
  <c r="T21" i="23"/>
  <c r="T68" i="23"/>
  <c r="T18" i="23"/>
  <c r="T5" i="23"/>
  <c r="S4" i="23"/>
  <c r="S67" i="23"/>
  <c r="S51" i="23"/>
  <c r="S55" i="23"/>
  <c r="S53" i="23"/>
  <c r="S6" i="23"/>
  <c r="T65" i="23"/>
  <c r="T52" i="23"/>
  <c r="S17" i="23"/>
  <c r="S69" i="23"/>
  <c r="S33" i="23"/>
  <c r="S31" i="23"/>
  <c r="S18" i="25"/>
  <c r="S17" i="25"/>
  <c r="T69" i="25"/>
  <c r="T68" i="25"/>
  <c r="AD67" i="18"/>
  <c r="AC66" i="18"/>
  <c r="T65" i="18"/>
  <c r="AD53" i="18"/>
  <c r="AC52" i="18"/>
  <c r="T51" i="18"/>
  <c r="AC31" i="18"/>
  <c r="S30" i="18"/>
  <c r="AC20" i="18"/>
  <c r="AD68" i="18"/>
  <c r="T67" i="18"/>
  <c r="S66" i="18"/>
  <c r="AD54" i="18"/>
  <c r="T53" i="18"/>
  <c r="S52" i="18"/>
  <c r="AD33" i="18"/>
  <c r="AC32" i="18"/>
  <c r="S31" i="18"/>
  <c r="AC19" i="18"/>
  <c r="S17" i="18"/>
  <c r="T7" i="18"/>
  <c r="AC5" i="18"/>
  <c r="AC67" i="18"/>
  <c r="AC33" i="18"/>
  <c r="T6" i="18"/>
  <c r="S53" i="18"/>
  <c r="AD34" i="18"/>
  <c r="S33" i="18"/>
  <c r="AD30" i="18"/>
  <c r="T21" i="18"/>
  <c r="AC18" i="18"/>
  <c r="S5" i="18"/>
  <c r="AD69" i="18"/>
  <c r="S68" i="18"/>
  <c r="T54" i="18"/>
  <c r="S34" i="18"/>
  <c r="S19" i="18"/>
  <c r="AC17" i="18"/>
  <c r="AC7" i="18"/>
  <c r="S67" i="18"/>
  <c r="AD32" i="18"/>
  <c r="S21" i="18"/>
  <c r="T20" i="18"/>
  <c r="S4" i="18"/>
  <c r="AD65" i="18"/>
  <c r="S32" i="18"/>
  <c r="T18" i="18"/>
  <c r="AC65" i="18"/>
  <c r="AC54" i="18"/>
  <c r="S18" i="18"/>
  <c r="T17" i="18"/>
  <c r="AC68" i="18"/>
  <c r="S65" i="18"/>
  <c r="S54" i="18"/>
  <c r="AD51" i="18"/>
  <c r="T68" i="18"/>
  <c r="AD55" i="18"/>
  <c r="AC51" i="18"/>
  <c r="T33" i="18"/>
  <c r="AC30" i="18"/>
  <c r="AD6" i="18"/>
  <c r="AD5" i="18"/>
  <c r="AD4" i="18"/>
  <c r="AC69" i="18"/>
  <c r="AD66" i="18"/>
  <c r="T55" i="18"/>
  <c r="AD52" i="18"/>
  <c r="AC21" i="18"/>
  <c r="AD20" i="18"/>
  <c r="T32" i="18"/>
  <c r="S20" i="18"/>
  <c r="T5" i="18"/>
  <c r="T69" i="18"/>
  <c r="S51" i="18"/>
  <c r="AD17" i="18"/>
  <c r="S69" i="18"/>
  <c r="AD19" i="18"/>
  <c r="AD18" i="18"/>
  <c r="AC4" i="18"/>
  <c r="AD31" i="18"/>
  <c r="T34" i="18"/>
  <c r="T19" i="18"/>
  <c r="T4" i="18"/>
  <c r="T30" i="18"/>
  <c r="S6" i="18"/>
  <c r="AD21" i="18"/>
  <c r="S7" i="18"/>
  <c r="T66" i="18"/>
  <c r="T52" i="18"/>
  <c r="T31" i="18"/>
  <c r="AD7" i="18"/>
  <c r="AC34" i="18"/>
  <c r="AC6" i="18"/>
  <c r="AC55" i="18"/>
  <c r="S55" i="18"/>
  <c r="AC53" i="18"/>
  <c r="AD67" i="17"/>
  <c r="AC66" i="17"/>
  <c r="T65" i="17"/>
  <c r="T69" i="17"/>
  <c r="AD68" i="17"/>
  <c r="T67" i="17"/>
  <c r="AD32" i="17"/>
  <c r="AC31" i="17"/>
  <c r="T30" i="17"/>
  <c r="T68" i="17"/>
  <c r="AD51" i="17"/>
  <c r="AD34" i="17"/>
  <c r="AC33" i="17"/>
  <c r="T32" i="17"/>
  <c r="S31" i="17"/>
  <c r="S20" i="17"/>
  <c r="AC18" i="17"/>
  <c r="AC6" i="17"/>
  <c r="S4" i="17"/>
  <c r="AD69" i="17"/>
  <c r="S68" i="17"/>
  <c r="AD52" i="17"/>
  <c r="AC51" i="17"/>
  <c r="AC34" i="17"/>
  <c r="T33" i="17"/>
  <c r="S32" i="17"/>
  <c r="AC69" i="17"/>
  <c r="AC52" i="17"/>
  <c r="T51" i="17"/>
  <c r="S69" i="17"/>
  <c r="AD53" i="17"/>
  <c r="T52" i="17"/>
  <c r="S51" i="17"/>
  <c r="S34" i="17"/>
  <c r="AC21" i="17"/>
  <c r="S19" i="17"/>
  <c r="AC17" i="17"/>
  <c r="S7" i="17"/>
  <c r="AC5" i="17"/>
  <c r="AD65" i="17"/>
  <c r="AD55" i="17"/>
  <c r="AC54" i="17"/>
  <c r="T53" i="17"/>
  <c r="AD20" i="17"/>
  <c r="T18" i="17"/>
  <c r="T6" i="17"/>
  <c r="AD4" i="17"/>
  <c r="T34" i="17"/>
  <c r="T31" i="17"/>
  <c r="AC19" i="17"/>
  <c r="AD18" i="17"/>
  <c r="AD17" i="17"/>
  <c r="AC4" i="17"/>
  <c r="AC32" i="17"/>
  <c r="T7" i="17"/>
  <c r="S6" i="17"/>
  <c r="T5" i="17"/>
  <c r="AD66" i="17"/>
  <c r="T19" i="17"/>
  <c r="S18" i="17"/>
  <c r="T17" i="17"/>
  <c r="S5" i="17"/>
  <c r="T4" i="17"/>
  <c r="T66" i="17"/>
  <c r="S17" i="17"/>
  <c r="S66" i="17"/>
  <c r="AC53" i="17"/>
  <c r="AD33" i="17"/>
  <c r="S54" i="17"/>
  <c r="AD31" i="17"/>
  <c r="AD19" i="17"/>
  <c r="AC7" i="17"/>
  <c r="AD6" i="17"/>
  <c r="AD5" i="17"/>
  <c r="AC65" i="17"/>
  <c r="AD54" i="17"/>
  <c r="AC30" i="17"/>
  <c r="S65" i="17"/>
  <c r="T54" i="17"/>
  <c r="S30" i="17"/>
  <c r="AC68" i="17"/>
  <c r="S52" i="17"/>
  <c r="S33" i="17"/>
  <c r="T21" i="17"/>
  <c r="AD7" i="17"/>
  <c r="AC55" i="17"/>
  <c r="S21" i="17"/>
  <c r="T20" i="17"/>
  <c r="T55" i="17"/>
  <c r="S55" i="17"/>
  <c r="S53" i="17"/>
  <c r="AD30" i="17"/>
  <c r="AC67" i="17"/>
  <c r="S67" i="17"/>
  <c r="AD21" i="17"/>
  <c r="AC20" i="17"/>
  <c r="S33" i="29"/>
  <c r="S32" i="29"/>
  <c r="T30" i="28"/>
  <c r="T55" i="28"/>
  <c r="T14" i="23"/>
  <c r="T53" i="30"/>
  <c r="T51" i="30"/>
  <c r="T31" i="30"/>
  <c r="T66" i="30"/>
  <c r="S55" i="30"/>
  <c r="S34" i="30"/>
  <c r="S66" i="30"/>
  <c r="T54" i="30"/>
  <c r="T69" i="30"/>
  <c r="S17" i="30"/>
  <c r="T68" i="30"/>
  <c r="S33" i="30"/>
  <c r="T19" i="30"/>
  <c r="S6" i="30"/>
  <c r="T5" i="30"/>
  <c r="S30" i="30"/>
  <c r="T20" i="30"/>
  <c r="S69" i="30"/>
  <c r="T52" i="30"/>
  <c r="T30" i="30"/>
  <c r="T21" i="30"/>
  <c r="S67" i="30"/>
  <c r="T32" i="30"/>
  <c r="S21" i="30"/>
  <c r="S32" i="30"/>
  <c r="T4" i="30"/>
  <c r="S4" i="30"/>
  <c r="T34" i="30"/>
  <c r="T18" i="30"/>
  <c r="S19" i="30"/>
  <c r="S65" i="30"/>
  <c r="S5" i="30"/>
  <c r="S51" i="30"/>
  <c r="S20" i="30"/>
  <c r="T20" i="25"/>
  <c r="T34" i="25"/>
  <c r="AD83" i="9"/>
  <c r="AC82" i="9"/>
  <c r="AD58" i="9"/>
  <c r="AC57" i="9"/>
  <c r="T56" i="9"/>
  <c r="AD84" i="9"/>
  <c r="AC83" i="9"/>
  <c r="T82" i="9"/>
  <c r="AD59" i="9"/>
  <c r="AC58" i="9"/>
  <c r="T57" i="9"/>
  <c r="S56" i="9"/>
  <c r="AD41" i="9"/>
  <c r="AC40" i="9"/>
  <c r="T39" i="9"/>
  <c r="S38" i="9"/>
  <c r="AC24" i="9"/>
  <c r="AC84" i="9"/>
  <c r="S72" i="9"/>
  <c r="AC45" i="9"/>
  <c r="T44" i="9"/>
  <c r="AD39" i="9"/>
  <c r="T38" i="9"/>
  <c r="T24" i="9"/>
  <c r="AC22" i="9"/>
  <c r="T58" i="9"/>
  <c r="S46" i="9"/>
  <c r="AC41" i="9"/>
  <c r="S40" i="9"/>
  <c r="AD25" i="9"/>
  <c r="S58" i="9"/>
  <c r="AD42" i="9"/>
  <c r="T41" i="9"/>
  <c r="AC25" i="9"/>
  <c r="T22" i="9"/>
  <c r="AD82" i="9"/>
  <c r="T59" i="9"/>
  <c r="T42" i="9"/>
  <c r="AD36" i="9"/>
  <c r="AC35" i="9"/>
  <c r="AD24" i="9"/>
  <c r="S82" i="9"/>
  <c r="AC70" i="9"/>
  <c r="AD70" i="9" s="1"/>
  <c r="AD60" i="9"/>
  <c r="S59" i="9"/>
  <c r="AD43" i="9"/>
  <c r="S42" i="9"/>
  <c r="AD37" i="9"/>
  <c r="AC36" i="9"/>
  <c r="T35" i="9"/>
  <c r="AD23" i="9"/>
  <c r="AC71" i="9"/>
  <c r="AD71" i="9" s="1"/>
  <c r="T70" i="9"/>
  <c r="AC60" i="9"/>
  <c r="AC43" i="9"/>
  <c r="AC37" i="9"/>
  <c r="T36" i="9"/>
  <c r="S35" i="9"/>
  <c r="AC23" i="9"/>
  <c r="S84" i="9"/>
  <c r="S60" i="9"/>
  <c r="AC44" i="9"/>
  <c r="AC72" i="9"/>
  <c r="AD72" i="9" s="1"/>
  <c r="AC56" i="9"/>
  <c r="AC42" i="9"/>
  <c r="S39" i="9"/>
  <c r="T72" i="9"/>
  <c r="AD45" i="9"/>
  <c r="T37" i="9"/>
  <c r="T23" i="9"/>
  <c r="S22" i="9"/>
  <c r="T45" i="9"/>
  <c r="AD40" i="9"/>
  <c r="S37" i="9"/>
  <c r="S23" i="9"/>
  <c r="S70" i="9"/>
  <c r="S45" i="9"/>
  <c r="T40" i="9"/>
  <c r="AD35" i="9"/>
  <c r="T83" i="9"/>
  <c r="AC59" i="9"/>
  <c r="AD57" i="9"/>
  <c r="T25" i="9"/>
  <c r="S24" i="9"/>
  <c r="B2" i="9"/>
  <c r="S83" i="9"/>
  <c r="S57" i="9"/>
  <c r="AD46" i="9"/>
  <c r="T43" i="9"/>
  <c r="S25" i="9"/>
  <c r="AC46" i="9"/>
  <c r="S43" i="9"/>
  <c r="AD38" i="9"/>
  <c r="S71" i="9"/>
  <c r="AD22" i="9"/>
  <c r="S44" i="9"/>
  <c r="AD56" i="9"/>
  <c r="T46" i="9"/>
  <c r="T84" i="9"/>
  <c r="S41" i="9"/>
  <c r="AC39" i="9"/>
  <c r="T60" i="9"/>
  <c r="T71" i="9"/>
  <c r="S36" i="9"/>
  <c r="AC38" i="9"/>
  <c r="AD44" i="9"/>
  <c r="S84" i="4"/>
  <c r="T83" i="4"/>
  <c r="AD58" i="4"/>
  <c r="AC57" i="4"/>
  <c r="T56" i="4"/>
  <c r="AD38" i="4"/>
  <c r="AC37" i="4"/>
  <c r="T36" i="4"/>
  <c r="S35" i="4"/>
  <c r="AC60" i="4"/>
  <c r="AD41" i="4"/>
  <c r="S38" i="4"/>
  <c r="S83" i="4"/>
  <c r="AD59" i="4"/>
  <c r="AC58" i="4"/>
  <c r="T57" i="4"/>
  <c r="S56" i="4"/>
  <c r="AD39" i="4"/>
  <c r="AC38" i="4"/>
  <c r="T37" i="4"/>
  <c r="S36" i="4"/>
  <c r="AD24" i="4"/>
  <c r="T22" i="4"/>
  <c r="S58" i="4"/>
  <c r="AC40" i="4"/>
  <c r="AD60" i="4"/>
  <c r="AC59" i="4"/>
  <c r="T58" i="4"/>
  <c r="S57" i="4"/>
  <c r="AD40" i="4"/>
  <c r="AC39" i="4"/>
  <c r="T38" i="4"/>
  <c r="S37" i="4"/>
  <c r="AC24" i="4"/>
  <c r="S22" i="4"/>
  <c r="T59" i="4"/>
  <c r="T39" i="4"/>
  <c r="T84" i="4"/>
  <c r="AD70" i="4"/>
  <c r="T60" i="4"/>
  <c r="S59" i="4"/>
  <c r="AD42" i="4"/>
  <c r="AC41" i="4"/>
  <c r="T40" i="4"/>
  <c r="S39" i="4"/>
  <c r="T25" i="4"/>
  <c r="AD23" i="4"/>
  <c r="AD71" i="4"/>
  <c r="AC70" i="4"/>
  <c r="S60" i="4"/>
  <c r="AD43" i="4"/>
  <c r="AC42" i="4"/>
  <c r="T41" i="4"/>
  <c r="S40" i="4"/>
  <c r="S25" i="4"/>
  <c r="AC23" i="4"/>
  <c r="T23" i="4"/>
  <c r="AD72" i="4"/>
  <c r="AC71" i="4"/>
  <c r="T70" i="4"/>
  <c r="AD44" i="4"/>
  <c r="AC43" i="4"/>
  <c r="T42" i="4"/>
  <c r="S41" i="4"/>
  <c r="AC35" i="4"/>
  <c r="AC72" i="4"/>
  <c r="T71" i="4"/>
  <c r="S70" i="4"/>
  <c r="AD45" i="4"/>
  <c r="AC44" i="4"/>
  <c r="T43" i="4"/>
  <c r="S42" i="4"/>
  <c r="T24" i="4"/>
  <c r="AD22" i="4"/>
  <c r="T82" i="4"/>
  <c r="T72" i="4"/>
  <c r="S71" i="4"/>
  <c r="AD46" i="4"/>
  <c r="AC45" i="4"/>
  <c r="T44" i="4"/>
  <c r="S43" i="4"/>
  <c r="S24" i="4"/>
  <c r="AC22" i="4"/>
  <c r="AD56" i="4"/>
  <c r="S45" i="4"/>
  <c r="AD36" i="4"/>
  <c r="AD25" i="4"/>
  <c r="S82" i="4"/>
  <c r="S72" i="4"/>
  <c r="AC46" i="4"/>
  <c r="T45" i="4"/>
  <c r="S44" i="4"/>
  <c r="AD35" i="4"/>
  <c r="B3" i="4"/>
  <c r="T46" i="4"/>
  <c r="AC56" i="4"/>
  <c r="AC36" i="4"/>
  <c r="S23" i="4"/>
  <c r="S46" i="4"/>
  <c r="T35" i="4"/>
  <c r="AD57" i="4"/>
  <c r="AD37" i="4"/>
  <c r="AC25" i="4"/>
  <c r="T32" i="34"/>
  <c r="T19" i="34"/>
  <c r="T17" i="34"/>
  <c r="T4" i="34"/>
  <c r="T21" i="34"/>
  <c r="T6" i="34"/>
  <c r="T52" i="29"/>
  <c r="S54" i="29"/>
  <c r="S34" i="28"/>
  <c r="S19" i="25"/>
  <c r="T5" i="25"/>
  <c r="S7" i="25"/>
  <c r="T33" i="25"/>
  <c r="S68" i="25"/>
  <c r="S53" i="25"/>
  <c r="AD67" i="20"/>
  <c r="AC66" i="20"/>
  <c r="T65" i="20"/>
  <c r="AD31" i="20"/>
  <c r="AC30" i="20"/>
  <c r="S69" i="20"/>
  <c r="AC52" i="20"/>
  <c r="T51" i="20"/>
  <c r="AC31" i="20"/>
  <c r="S30" i="20"/>
  <c r="AD21" i="20"/>
  <c r="T19" i="20"/>
  <c r="AD17" i="20"/>
  <c r="AC6" i="20"/>
  <c r="S4" i="20"/>
  <c r="AD65" i="20"/>
  <c r="AD54" i="20"/>
  <c r="AC53" i="20"/>
  <c r="S52" i="20"/>
  <c r="AC32" i="20"/>
  <c r="S31" i="20"/>
  <c r="T7" i="20"/>
  <c r="AD5" i="20"/>
  <c r="AC69" i="20"/>
  <c r="AC65" i="20"/>
  <c r="AD53" i="20"/>
  <c r="T34" i="20"/>
  <c r="AD30" i="20"/>
  <c r="AC19" i="20"/>
  <c r="T69" i="20"/>
  <c r="S65" i="20"/>
  <c r="AD66" i="20"/>
  <c r="S53" i="20"/>
  <c r="T21" i="20"/>
  <c r="AC18" i="20"/>
  <c r="T66" i="20"/>
  <c r="AC54" i="20"/>
  <c r="S21" i="20"/>
  <c r="S7" i="20"/>
  <c r="AD4" i="20"/>
  <c r="AC33" i="20"/>
  <c r="T5" i="20"/>
  <c r="AC67" i="20"/>
  <c r="T54" i="20"/>
  <c r="AC51" i="20"/>
  <c r="AD34" i="20"/>
  <c r="S33" i="20"/>
  <c r="T67" i="20"/>
  <c r="S54" i="20"/>
  <c r="S51" i="20"/>
  <c r="AC34" i="20"/>
  <c r="AD20" i="20"/>
  <c r="AC68" i="20"/>
  <c r="AC55" i="20"/>
  <c r="AD52" i="20"/>
  <c r="T31" i="20"/>
  <c r="AC17" i="20"/>
  <c r="AC7" i="20"/>
  <c r="AD6" i="20"/>
  <c r="T68" i="20"/>
  <c r="T55" i="20"/>
  <c r="T52" i="20"/>
  <c r="S66" i="20"/>
  <c r="AD33" i="20"/>
  <c r="S17" i="20"/>
  <c r="S6" i="20"/>
  <c r="AD19" i="20"/>
  <c r="AD18" i="20"/>
  <c r="AC4" i="20"/>
  <c r="AD68" i="20"/>
  <c r="AD55" i="20"/>
  <c r="S68" i="20"/>
  <c r="S55" i="20"/>
  <c r="T33" i="20"/>
  <c r="AC21" i="20"/>
  <c r="AD7" i="20"/>
  <c r="T53" i="20"/>
  <c r="AD51" i="20"/>
  <c r="S19" i="20"/>
  <c r="T18" i="20"/>
  <c r="T17" i="20"/>
  <c r="T4" i="20"/>
  <c r="AD69" i="20"/>
  <c r="S34" i="20"/>
  <c r="S20" i="20"/>
  <c r="T30" i="20"/>
  <c r="AD32" i="20"/>
  <c r="AC20" i="20"/>
  <c r="S18" i="20"/>
  <c r="AC5" i="20"/>
  <c r="T20" i="20"/>
  <c r="T6" i="20"/>
  <c r="S5" i="20"/>
  <c r="T32" i="20"/>
  <c r="S32" i="20"/>
  <c r="S67" i="20"/>
  <c r="T72" i="6"/>
  <c r="S71" i="6"/>
  <c r="T83" i="6"/>
  <c r="S82" i="6"/>
  <c r="S84" i="6"/>
  <c r="AD57" i="6"/>
  <c r="AC56" i="6"/>
  <c r="S46" i="6"/>
  <c r="AD37" i="6"/>
  <c r="AC36" i="6"/>
  <c r="T35" i="6"/>
  <c r="AD25" i="6"/>
  <c r="T23" i="6"/>
  <c r="AD58" i="6"/>
  <c r="AC57" i="6"/>
  <c r="T56" i="6"/>
  <c r="AD38" i="6"/>
  <c r="AC37" i="6"/>
  <c r="T36" i="6"/>
  <c r="S35" i="6"/>
  <c r="AC25" i="6"/>
  <c r="S23" i="6"/>
  <c r="AD59" i="6"/>
  <c r="AC58" i="6"/>
  <c r="T57" i="6"/>
  <c r="S56" i="6"/>
  <c r="AD39" i="6"/>
  <c r="AC38" i="6"/>
  <c r="T37" i="6"/>
  <c r="S36" i="6"/>
  <c r="AD60" i="6"/>
  <c r="AC59" i="6"/>
  <c r="T58" i="6"/>
  <c r="S57" i="6"/>
  <c r="AD40" i="6"/>
  <c r="AC39" i="6"/>
  <c r="T38" i="6"/>
  <c r="S37" i="6"/>
  <c r="AD24" i="6"/>
  <c r="T22" i="6"/>
  <c r="AC60" i="6"/>
  <c r="T59" i="6"/>
  <c r="S58" i="6"/>
  <c r="AD41" i="6"/>
  <c r="AC40" i="6"/>
  <c r="T39" i="6"/>
  <c r="S38" i="6"/>
  <c r="AC24" i="6"/>
  <c r="S22" i="6"/>
  <c r="T82" i="6"/>
  <c r="AC70" i="6"/>
  <c r="S60" i="6"/>
  <c r="AD43" i="6"/>
  <c r="AC42" i="6"/>
  <c r="T41" i="6"/>
  <c r="S40" i="6"/>
  <c r="T25" i="6"/>
  <c r="AD23" i="6"/>
  <c r="AD71" i="6"/>
  <c r="T70" i="6"/>
  <c r="AD44" i="6"/>
  <c r="AC43" i="6"/>
  <c r="T42" i="6"/>
  <c r="S41" i="6"/>
  <c r="S25" i="6"/>
  <c r="AC23" i="6"/>
  <c r="AC71" i="6"/>
  <c r="S70" i="6"/>
  <c r="AD45" i="6"/>
  <c r="AC44" i="6"/>
  <c r="T43" i="6"/>
  <c r="S42" i="6"/>
  <c r="S83" i="6"/>
  <c r="AD72" i="6"/>
  <c r="T71" i="6"/>
  <c r="AD46" i="6"/>
  <c r="AC45" i="6"/>
  <c r="T44" i="6"/>
  <c r="S43" i="6"/>
  <c r="T24" i="6"/>
  <c r="AD22" i="6"/>
  <c r="B2" i="6"/>
  <c r="T60" i="6"/>
  <c r="AC46" i="6"/>
  <c r="T40" i="6"/>
  <c r="S24" i="6"/>
  <c r="AD56" i="6"/>
  <c r="T46" i="6"/>
  <c r="S44" i="6"/>
  <c r="AD42" i="6"/>
  <c r="AD36" i="6"/>
  <c r="AC72" i="6"/>
  <c r="AD70" i="6"/>
  <c r="AC22" i="6"/>
  <c r="S72" i="6"/>
  <c r="S59" i="6"/>
  <c r="T45" i="6"/>
  <c r="AC41" i="6"/>
  <c r="S39" i="6"/>
  <c r="AD35" i="6"/>
  <c r="S45" i="6"/>
  <c r="AC35" i="6"/>
  <c r="T84" i="6"/>
  <c r="T68" i="34"/>
  <c r="S54" i="34"/>
  <c r="S20" i="34"/>
  <c r="T67" i="34"/>
  <c r="S4" i="34"/>
  <c r="S70" i="34"/>
  <c r="S35" i="34"/>
  <c r="S31" i="34"/>
  <c r="S6" i="34"/>
  <c r="T33" i="34"/>
  <c r="S66" i="34"/>
  <c r="S52" i="34"/>
  <c r="S66" i="31"/>
  <c r="S34" i="31"/>
  <c r="S20" i="31"/>
  <c r="S18" i="31"/>
  <c r="S54" i="31"/>
  <c r="S32" i="31"/>
  <c r="S67" i="31"/>
  <c r="T55" i="31"/>
  <c r="S30" i="31"/>
  <c r="T18" i="31"/>
  <c r="S7" i="31"/>
  <c r="S5" i="31"/>
  <c r="S53" i="31"/>
  <c r="T52" i="31"/>
  <c r="T34" i="31"/>
  <c r="T17" i="31"/>
  <c r="T6" i="31"/>
  <c r="T4" i="31"/>
  <c r="T65" i="31"/>
  <c r="T51" i="31"/>
  <c r="S6" i="31"/>
  <c r="T19" i="31"/>
  <c r="S68" i="31"/>
  <c r="S51" i="31"/>
  <c r="S33" i="31"/>
  <c r="T66" i="31"/>
  <c r="T31" i="31"/>
  <c r="S17" i="31"/>
  <c r="S55" i="31"/>
  <c r="T5" i="31"/>
  <c r="T68" i="31"/>
  <c r="S52" i="31"/>
  <c r="T33" i="31"/>
  <c r="S21" i="31"/>
  <c r="T7" i="31"/>
  <c r="T20" i="31"/>
  <c r="T69" i="31"/>
  <c r="T32" i="31"/>
  <c r="S69" i="31"/>
  <c r="S31" i="31"/>
  <c r="S65" i="31"/>
  <c r="S19" i="31"/>
  <c r="S4" i="31"/>
  <c r="T54" i="31"/>
  <c r="T21" i="31"/>
  <c r="T53" i="31"/>
  <c r="T30" i="31"/>
  <c r="T67" i="31"/>
  <c r="S4" i="26"/>
  <c r="S65" i="29"/>
  <c r="S67" i="28"/>
  <c r="T31" i="28"/>
  <c r="T32" i="28"/>
  <c r="S31" i="28"/>
  <c r="S6" i="28"/>
  <c r="T17" i="28"/>
  <c r="S17" i="28"/>
  <c r="S19" i="28"/>
  <c r="S32" i="28"/>
  <c r="T19" i="28"/>
  <c r="T21" i="28"/>
  <c r="T4" i="28"/>
  <c r="S21" i="28"/>
  <c r="S4" i="28"/>
  <c r="T6" i="28"/>
  <c r="T53" i="28"/>
  <c r="T51" i="28"/>
  <c r="S66" i="25"/>
  <c r="S6" i="25"/>
  <c r="T4" i="25"/>
  <c r="S68" i="22"/>
  <c r="S65" i="22"/>
  <c r="T53" i="22"/>
  <c r="S30" i="22"/>
  <c r="T65" i="22"/>
  <c r="S54" i="22"/>
  <c r="S51" i="22"/>
  <c r="S33" i="22"/>
  <c r="T30" i="22"/>
  <c r="T68" i="22"/>
  <c r="T21" i="22"/>
  <c r="S20" i="22"/>
  <c r="S53" i="22"/>
  <c r="T69" i="22"/>
  <c r="T51" i="22"/>
  <c r="T5" i="22"/>
  <c r="T4" i="22"/>
  <c r="S69" i="22"/>
  <c r="T34" i="22"/>
  <c r="T7" i="22"/>
  <c r="T6" i="22"/>
  <c r="S5" i="22"/>
  <c r="S4" i="22"/>
  <c r="S34" i="22"/>
  <c r="T31" i="22"/>
  <c r="S7" i="22"/>
  <c r="S6" i="22"/>
  <c r="S52" i="22"/>
  <c r="T32" i="22"/>
  <c r="T18" i="22"/>
  <c r="S17" i="22"/>
  <c r="T19" i="22"/>
  <c r="T67" i="22"/>
  <c r="T54" i="22"/>
  <c r="T52" i="22"/>
  <c r="T20" i="22"/>
  <c r="S67" i="22"/>
  <c r="T55" i="22"/>
  <c r="S31" i="22"/>
  <c r="S21" i="22"/>
  <c r="S55" i="22"/>
  <c r="S18" i="22"/>
  <c r="T66" i="22"/>
  <c r="S32" i="22"/>
  <c r="S66" i="22"/>
  <c r="T17" i="22"/>
  <c r="T33" i="22"/>
  <c r="S19" i="22"/>
  <c r="AD46" i="8"/>
  <c r="AC45" i="8"/>
  <c r="T44" i="8"/>
  <c r="S43" i="8"/>
  <c r="AD36" i="8"/>
  <c r="AC35" i="8"/>
  <c r="AC25" i="8"/>
  <c r="S23" i="8"/>
  <c r="AC72" i="8"/>
  <c r="AD72" i="8" s="1"/>
  <c r="S71" i="8"/>
  <c r="AD56" i="8"/>
  <c r="AD39" i="8"/>
  <c r="T38" i="8"/>
  <c r="S37" i="8"/>
  <c r="AC83" i="8"/>
  <c r="T82" i="8"/>
  <c r="AD59" i="8"/>
  <c r="AC58" i="8"/>
  <c r="T57" i="8"/>
  <c r="S56" i="8"/>
  <c r="AC41" i="8"/>
  <c r="T40" i="8"/>
  <c r="S39" i="8"/>
  <c r="AD84" i="8"/>
  <c r="T83" i="8"/>
  <c r="S82" i="8"/>
  <c r="AD60" i="8"/>
  <c r="AC59" i="8"/>
  <c r="T58" i="8"/>
  <c r="S57" i="8"/>
  <c r="AD42" i="8"/>
  <c r="T41" i="8"/>
  <c r="S40" i="8"/>
  <c r="T24" i="8"/>
  <c r="AD22" i="8"/>
  <c r="AC84" i="8"/>
  <c r="S83" i="8"/>
  <c r="AC60" i="8"/>
  <c r="T59" i="8"/>
  <c r="S58" i="8"/>
  <c r="AD43" i="8"/>
  <c r="AC42" i="8"/>
  <c r="S41" i="8"/>
  <c r="S24" i="8"/>
  <c r="AC22" i="8"/>
  <c r="AD83" i="8"/>
  <c r="S72" i="8"/>
  <c r="S45" i="8"/>
  <c r="AD40" i="8"/>
  <c r="AD37" i="8"/>
  <c r="S36" i="8"/>
  <c r="S25" i="8"/>
  <c r="S22" i="8"/>
  <c r="T60" i="8"/>
  <c r="AC57" i="8"/>
  <c r="AC46" i="8"/>
  <c r="AC43" i="8"/>
  <c r="T37" i="8"/>
  <c r="S60" i="8"/>
  <c r="T46" i="8"/>
  <c r="T43" i="8"/>
  <c r="T84" i="8"/>
  <c r="S46" i="8"/>
  <c r="AD38" i="8"/>
  <c r="S84" i="8"/>
  <c r="AC70" i="8"/>
  <c r="AD70" i="8" s="1"/>
  <c r="AD41" i="8"/>
  <c r="AC38" i="8"/>
  <c r="T70" i="8"/>
  <c r="AD58" i="8"/>
  <c r="AD44" i="8"/>
  <c r="S38" i="8"/>
  <c r="AD35" i="8"/>
  <c r="AD25" i="8"/>
  <c r="B2" i="8"/>
  <c r="AD82" i="8"/>
  <c r="S70" i="8"/>
  <c r="AC44" i="8"/>
  <c r="T35" i="8"/>
  <c r="AD24" i="8"/>
  <c r="AD23" i="8"/>
  <c r="AC82" i="8"/>
  <c r="AC71" i="8"/>
  <c r="AD71" i="8" s="1"/>
  <c r="S44" i="8"/>
  <c r="AC39" i="8"/>
  <c r="S35" i="8"/>
  <c r="AC24" i="8"/>
  <c r="AC23" i="8"/>
  <c r="T56" i="8"/>
  <c r="AD45" i="8"/>
  <c r="S42" i="8"/>
  <c r="AC36" i="8"/>
  <c r="T25" i="8"/>
  <c r="T42" i="8"/>
  <c r="AC40" i="8"/>
  <c r="T36" i="8"/>
  <c r="T22" i="8"/>
  <c r="T71" i="8"/>
  <c r="AD57" i="8"/>
  <c r="T39" i="8"/>
  <c r="AC37" i="8"/>
  <c r="T23" i="8"/>
  <c r="S59" i="8"/>
  <c r="T72" i="8"/>
  <c r="T45" i="8"/>
  <c r="AC56" i="8"/>
  <c r="T83" i="7"/>
  <c r="S82" i="7"/>
  <c r="AD72" i="7"/>
  <c r="T72" i="7"/>
  <c r="S71" i="7"/>
  <c r="AD60" i="7"/>
  <c r="AC59" i="7"/>
  <c r="S58" i="7"/>
  <c r="AD42" i="7"/>
  <c r="AC41" i="7"/>
  <c r="T40" i="7"/>
  <c r="S39" i="7"/>
  <c r="S84" i="7"/>
  <c r="T60" i="7"/>
  <c r="S59" i="7"/>
  <c r="AD44" i="7"/>
  <c r="AC43" i="7"/>
  <c r="T42" i="7"/>
  <c r="S41" i="7"/>
  <c r="S25" i="7"/>
  <c r="AC23" i="7"/>
  <c r="S60" i="7"/>
  <c r="AD45" i="7"/>
  <c r="AC44" i="7"/>
  <c r="T43" i="7"/>
  <c r="S42" i="7"/>
  <c r="AD70" i="7"/>
  <c r="T82" i="7"/>
  <c r="AC70" i="7"/>
  <c r="AC46" i="7"/>
  <c r="T45" i="7"/>
  <c r="S44" i="7"/>
  <c r="AD35" i="7"/>
  <c r="S24" i="7"/>
  <c r="AC22" i="7"/>
  <c r="AD71" i="7"/>
  <c r="T70" i="7"/>
  <c r="AD56" i="7"/>
  <c r="T46" i="7"/>
  <c r="S45" i="7"/>
  <c r="AC71" i="7"/>
  <c r="S70" i="7"/>
  <c r="AC56" i="7"/>
  <c r="S46" i="7"/>
  <c r="AD37" i="7"/>
  <c r="T71" i="7"/>
  <c r="AD57" i="7"/>
  <c r="T56" i="7"/>
  <c r="AD38" i="7"/>
  <c r="AC37" i="7"/>
  <c r="T36" i="7"/>
  <c r="S35" i="7"/>
  <c r="AC25" i="7"/>
  <c r="S23" i="7"/>
  <c r="S83" i="7"/>
  <c r="S72" i="7"/>
  <c r="AC58" i="7"/>
  <c r="T57" i="7"/>
  <c r="AD40" i="7"/>
  <c r="AC39" i="7"/>
  <c r="S57" i="7"/>
  <c r="AD41" i="7"/>
  <c r="AD36" i="7"/>
  <c r="AD25" i="7"/>
  <c r="AD24" i="7"/>
  <c r="T41" i="7"/>
  <c r="AC36" i="7"/>
  <c r="AC24" i="7"/>
  <c r="AD23" i="7"/>
  <c r="AD46" i="7"/>
  <c r="AD39" i="7"/>
  <c r="S36" i="7"/>
  <c r="B2" i="7"/>
  <c r="T44" i="7"/>
  <c r="T39" i="7"/>
  <c r="AC72" i="7"/>
  <c r="AC60" i="7"/>
  <c r="AD58" i="7"/>
  <c r="T22" i="7"/>
  <c r="T58" i="7"/>
  <c r="S56" i="7"/>
  <c r="AC42" i="7"/>
  <c r="T37" i="7"/>
  <c r="T25" i="7"/>
  <c r="S22" i="7"/>
  <c r="S37" i="7"/>
  <c r="T24" i="7"/>
  <c r="T23" i="7"/>
  <c r="AC40" i="7"/>
  <c r="AC45" i="7"/>
  <c r="S40" i="7"/>
  <c r="AC38" i="7"/>
  <c r="AC35" i="7"/>
  <c r="S38" i="7"/>
  <c r="AC57" i="7"/>
  <c r="T84" i="7"/>
  <c r="T35" i="7"/>
  <c r="AD59" i="7"/>
  <c r="T59" i="7"/>
  <c r="S43" i="7"/>
  <c r="AD43" i="7"/>
  <c r="AD22" i="7"/>
  <c r="T38" i="7"/>
  <c r="AC83" i="7"/>
  <c r="S6" i="29"/>
  <c r="T68" i="29"/>
  <c r="T53" i="29"/>
  <c r="S5" i="29"/>
  <c r="S7" i="29"/>
  <c r="S34" i="29"/>
  <c r="S18" i="29"/>
  <c r="S68" i="29"/>
  <c r="T31" i="29"/>
  <c r="S55" i="29"/>
  <c r="T30" i="29"/>
  <c r="S17" i="29"/>
  <c r="S52" i="29"/>
  <c r="T51" i="29"/>
  <c r="T19" i="29"/>
  <c r="S20" i="29"/>
  <c r="T17" i="29"/>
  <c r="S69" i="29"/>
  <c r="S31" i="29"/>
  <c r="S67" i="29"/>
  <c r="T4" i="29"/>
  <c r="S17" i="34"/>
  <c r="T54" i="34"/>
  <c r="T5" i="34"/>
  <c r="S68" i="34"/>
  <c r="S19" i="29"/>
  <c r="T54" i="29"/>
  <c r="T55" i="26"/>
  <c r="S33" i="26"/>
  <c r="T20" i="26"/>
  <c r="T65" i="26"/>
  <c r="S52" i="26"/>
  <c r="S65" i="26"/>
  <c r="S51" i="26"/>
  <c r="T5" i="26"/>
  <c r="S5" i="26"/>
  <c r="T74" i="26"/>
  <c r="T7" i="26"/>
  <c r="S18" i="26"/>
  <c r="S53" i="26"/>
  <c r="T30" i="26"/>
  <c r="S30" i="26"/>
  <c r="S68" i="26"/>
  <c r="S55" i="26"/>
  <c r="S54" i="26"/>
  <c r="S20" i="26"/>
  <c r="S74" i="26"/>
  <c r="S67" i="26"/>
  <c r="S66" i="26"/>
  <c r="T33" i="26"/>
  <c r="S31" i="26"/>
  <c r="T18" i="26"/>
  <c r="T54" i="26"/>
  <c r="S7" i="26"/>
  <c r="T34" i="26"/>
  <c r="T66" i="26"/>
  <c r="S66" i="28"/>
  <c r="T67" i="28"/>
  <c r="T18" i="25"/>
  <c r="S69" i="25"/>
  <c r="T6" i="25"/>
  <c r="AC83" i="11"/>
  <c r="T82" i="11"/>
  <c r="AC57" i="11"/>
  <c r="T56" i="11"/>
  <c r="AD38" i="11"/>
  <c r="AC37" i="11"/>
  <c r="T36" i="11"/>
  <c r="S35" i="11"/>
  <c r="AC84" i="11"/>
  <c r="S83" i="11"/>
  <c r="AD59" i="11"/>
  <c r="AC58" i="11"/>
  <c r="S57" i="11"/>
  <c r="AD40" i="11"/>
  <c r="AC39" i="11"/>
  <c r="T38" i="11"/>
  <c r="S37" i="11"/>
  <c r="AC24" i="11"/>
  <c r="S22" i="11"/>
  <c r="T84" i="11"/>
  <c r="AD60" i="11"/>
  <c r="AC59" i="11"/>
  <c r="T58" i="11"/>
  <c r="AD41" i="11"/>
  <c r="AC40" i="11"/>
  <c r="T39" i="11"/>
  <c r="S38" i="11"/>
  <c r="AC72" i="11"/>
  <c r="AD72" i="11" s="1"/>
  <c r="T71" i="11"/>
  <c r="S70" i="11"/>
  <c r="AD46" i="11"/>
  <c r="AC45" i="11"/>
  <c r="T44" i="11"/>
  <c r="S43" i="11"/>
  <c r="S24" i="11"/>
  <c r="AC22" i="11"/>
  <c r="S82" i="11"/>
  <c r="AC46" i="11"/>
  <c r="T42" i="11"/>
  <c r="T35" i="11"/>
  <c r="AC43" i="11"/>
  <c r="AD56" i="11"/>
  <c r="T43" i="11"/>
  <c r="T40" i="11"/>
  <c r="AD37" i="11"/>
  <c r="AD84" i="11"/>
  <c r="AC70" i="11"/>
  <c r="AD70" i="11" s="1"/>
  <c r="S59" i="11"/>
  <c r="S56" i="11"/>
  <c r="AC44" i="11"/>
  <c r="AD25" i="11"/>
  <c r="AD23" i="11"/>
  <c r="B2" i="11"/>
  <c r="S84" i="11"/>
  <c r="T70" i="11"/>
  <c r="S44" i="11"/>
  <c r="AC41" i="11"/>
  <c r="AC25" i="11"/>
  <c r="AC23" i="11"/>
  <c r="AC60" i="11"/>
  <c r="AD57" i="11"/>
  <c r="AD45" i="11"/>
  <c r="T41" i="11"/>
  <c r="AC38" i="11"/>
  <c r="AD24" i="11"/>
  <c r="AD22" i="11"/>
  <c r="T57" i="11"/>
  <c r="AC36" i="11"/>
  <c r="T24" i="11"/>
  <c r="S25" i="11"/>
  <c r="T45" i="11"/>
  <c r="AD82" i="11"/>
  <c r="T72" i="11"/>
  <c r="T60" i="11"/>
  <c r="S45" i="11"/>
  <c r="AD43" i="11"/>
  <c r="AC82" i="11"/>
  <c r="S72" i="11"/>
  <c r="S60" i="11"/>
  <c r="S41" i="11"/>
  <c r="AD39" i="11"/>
  <c r="T37" i="11"/>
  <c r="AD58" i="11"/>
  <c r="AC56" i="11"/>
  <c r="S39" i="11"/>
  <c r="AD35" i="11"/>
  <c r="S58" i="11"/>
  <c r="AC35" i="11"/>
  <c r="T22" i="11"/>
  <c r="AD83" i="11"/>
  <c r="AC71" i="11"/>
  <c r="AD71" i="11" s="1"/>
  <c r="S46" i="11"/>
  <c r="AC42" i="11"/>
  <c r="S23" i="11"/>
  <c r="AD42" i="11"/>
  <c r="S40" i="11"/>
  <c r="S42" i="11"/>
  <c r="S71" i="11"/>
  <c r="T59" i="11"/>
  <c r="AD44" i="11"/>
  <c r="T23" i="11"/>
  <c r="T46" i="11"/>
  <c r="T83" i="11"/>
  <c r="T25" i="11"/>
  <c r="S36" i="11"/>
  <c r="AD36" i="11"/>
  <c r="AD83" i="7"/>
  <c r="S19" i="34"/>
  <c r="T70" i="34"/>
  <c r="T7" i="34"/>
  <c r="T69" i="29"/>
  <c r="T21" i="29"/>
  <c r="T5" i="29"/>
  <c r="T34" i="28"/>
  <c r="S21" i="25"/>
  <c r="T66" i="25"/>
  <c r="S4" i="25"/>
  <c r="T17" i="25"/>
  <c r="AC82" i="7"/>
  <c r="S21" i="34"/>
  <c r="S34" i="34"/>
  <c r="T18" i="34"/>
  <c r="T33" i="29"/>
  <c r="T7" i="29"/>
  <c r="T52" i="28"/>
  <c r="S54" i="28"/>
  <c r="S32" i="34"/>
  <c r="S55" i="34"/>
  <c r="T20" i="34"/>
  <c r="S53" i="29"/>
  <c r="T18" i="29"/>
  <c r="S68" i="28"/>
  <c r="T66" i="28"/>
  <c r="S54" i="25"/>
  <c r="S33" i="25"/>
  <c r="T7" i="25"/>
  <c r="T21" i="25"/>
  <c r="AC60" i="10"/>
  <c r="T59" i="10"/>
  <c r="S58" i="10"/>
  <c r="AD42" i="10"/>
  <c r="AC41" i="10"/>
  <c r="T40" i="10"/>
  <c r="S39" i="10"/>
  <c r="T25" i="10"/>
  <c r="AD23" i="10"/>
  <c r="AC70" i="10"/>
  <c r="AD70" i="10" s="1"/>
  <c r="S60" i="10"/>
  <c r="AD44" i="10"/>
  <c r="AC43" i="10"/>
  <c r="T42" i="10"/>
  <c r="S41" i="10"/>
  <c r="AD22" i="10"/>
  <c r="AC71" i="10"/>
  <c r="AD71" i="10" s="1"/>
  <c r="T70" i="10"/>
  <c r="AD45" i="10"/>
  <c r="AC44" i="10"/>
  <c r="T43" i="10"/>
  <c r="S42" i="10"/>
  <c r="T24" i="10"/>
  <c r="AC22" i="10"/>
  <c r="AD84" i="10"/>
  <c r="AC83" i="10"/>
  <c r="T82" i="10"/>
  <c r="AD57" i="10"/>
  <c r="T56" i="10"/>
  <c r="AD38" i="10"/>
  <c r="AC37" i="10"/>
  <c r="T36" i="10"/>
  <c r="S35" i="10"/>
  <c r="T22" i="10"/>
  <c r="S84" i="10"/>
  <c r="AC59" i="10"/>
  <c r="S37" i="10"/>
  <c r="AC24" i="10"/>
  <c r="AC23" i="10"/>
  <c r="AD82" i="10"/>
  <c r="T71" i="10"/>
  <c r="T60" i="10"/>
  <c r="S56" i="10"/>
  <c r="AC46" i="10"/>
  <c r="AC39" i="10"/>
  <c r="AD35" i="10"/>
  <c r="S25" i="10"/>
  <c r="AC82" i="10"/>
  <c r="S71" i="10"/>
  <c r="T46" i="10"/>
  <c r="T39" i="10"/>
  <c r="AC35" i="10"/>
  <c r="S24" i="10"/>
  <c r="T23" i="10"/>
  <c r="S22" i="10"/>
  <c r="AD83" i="10"/>
  <c r="AC72" i="10"/>
  <c r="AD72" i="10" s="1"/>
  <c r="T57" i="10"/>
  <c r="S43" i="10"/>
  <c r="AC40" i="10"/>
  <c r="AD36" i="10"/>
  <c r="T83" i="10"/>
  <c r="T72" i="10"/>
  <c r="AD58" i="10"/>
  <c r="S57" i="10"/>
  <c r="S40" i="10"/>
  <c r="AC36" i="10"/>
  <c r="S83" i="10"/>
  <c r="S72" i="10"/>
  <c r="AC58" i="10"/>
  <c r="S36" i="10"/>
  <c r="T44" i="10"/>
  <c r="AD40" i="10"/>
  <c r="AC38" i="10"/>
  <c r="AC25" i="10"/>
  <c r="T38" i="10"/>
  <c r="AD59" i="10"/>
  <c r="AC57" i="10"/>
  <c r="S38" i="10"/>
  <c r="S23" i="10"/>
  <c r="S59" i="10"/>
  <c r="AC45" i="10"/>
  <c r="T45" i="10"/>
  <c r="AC84" i="10"/>
  <c r="S45" i="10"/>
  <c r="AD43" i="10"/>
  <c r="AD41" i="10"/>
  <c r="T84" i="10"/>
  <c r="S82" i="10"/>
  <c r="T41" i="10"/>
  <c r="AD39" i="10"/>
  <c r="B2" i="10"/>
  <c r="T58" i="10"/>
  <c r="AD56" i="10"/>
  <c r="AD46" i="10"/>
  <c r="T37" i="10"/>
  <c r="T35" i="10"/>
  <c r="AC42" i="10"/>
  <c r="AD37" i="10"/>
  <c r="AD24" i="10"/>
  <c r="S44" i="10"/>
  <c r="AD25" i="10"/>
  <c r="AC56" i="10"/>
  <c r="S46" i="10"/>
  <c r="S70" i="10"/>
  <c r="AD60" i="10"/>
  <c r="AC81" i="6" l="1"/>
  <c r="T80" i="6"/>
  <c r="S79" i="6"/>
  <c r="AD80" i="6"/>
  <c r="T79" i="6"/>
  <c r="AD65" i="6"/>
  <c r="T55" i="6"/>
  <c r="S54" i="6"/>
  <c r="S34" i="6"/>
  <c r="AD21" i="6"/>
  <c r="T19" i="6"/>
  <c r="AD17" i="6"/>
  <c r="AC6" i="6"/>
  <c r="S4" i="6"/>
  <c r="AC80" i="6"/>
  <c r="AD66" i="6"/>
  <c r="AC65" i="6"/>
  <c r="S55" i="6"/>
  <c r="AC21" i="6"/>
  <c r="S19" i="6"/>
  <c r="AC17" i="6"/>
  <c r="AD81" i="6"/>
  <c r="S80" i="6"/>
  <c r="AD67" i="6"/>
  <c r="AC66" i="6"/>
  <c r="T65" i="6"/>
  <c r="T7" i="6"/>
  <c r="AD5" i="6"/>
  <c r="T81" i="6"/>
  <c r="AD68" i="6"/>
  <c r="AC67" i="6"/>
  <c r="T66" i="6"/>
  <c r="S65" i="6"/>
  <c r="AD20" i="6"/>
  <c r="T18" i="6"/>
  <c r="S7" i="6"/>
  <c r="AC5" i="6"/>
  <c r="S81" i="6"/>
  <c r="AD69" i="6"/>
  <c r="AC68" i="6"/>
  <c r="T67" i="6"/>
  <c r="S66" i="6"/>
  <c r="AC20" i="6"/>
  <c r="S18" i="6"/>
  <c r="T69" i="6"/>
  <c r="S68" i="6"/>
  <c r="AD51" i="6"/>
  <c r="AD31" i="6"/>
  <c r="AC30" i="6"/>
  <c r="T21" i="6"/>
  <c r="AD19" i="6"/>
  <c r="T17" i="6"/>
  <c r="S6" i="6"/>
  <c r="AC4" i="6"/>
  <c r="AD77" i="6"/>
  <c r="S69" i="6"/>
  <c r="AD52" i="6"/>
  <c r="AC51" i="6"/>
  <c r="AD32" i="6"/>
  <c r="AC31" i="6"/>
  <c r="T30" i="6"/>
  <c r="S21" i="6"/>
  <c r="AC19" i="6"/>
  <c r="S17" i="6"/>
  <c r="AD78" i="6"/>
  <c r="AC77" i="6"/>
  <c r="AD53" i="6"/>
  <c r="AC52" i="6"/>
  <c r="T51" i="6"/>
  <c r="AD33" i="6"/>
  <c r="AC32" i="6"/>
  <c r="T31" i="6"/>
  <c r="S30" i="6"/>
  <c r="AD7" i="6"/>
  <c r="T5" i="6"/>
  <c r="AC78" i="6"/>
  <c r="T77" i="6"/>
  <c r="AD54" i="6"/>
  <c r="AC53" i="6"/>
  <c r="T52" i="6"/>
  <c r="S51" i="6"/>
  <c r="AD34" i="6"/>
  <c r="AC33" i="6"/>
  <c r="T32" i="6"/>
  <c r="S31" i="6"/>
  <c r="T20" i="6"/>
  <c r="AD18" i="6"/>
  <c r="AC7" i="6"/>
  <c r="S5" i="6"/>
  <c r="S52" i="6"/>
  <c r="S32" i="6"/>
  <c r="AD79" i="6"/>
  <c r="AD6" i="6"/>
  <c r="T54" i="6"/>
  <c r="T34" i="6"/>
  <c r="AC79" i="6"/>
  <c r="S77" i="6"/>
  <c r="AC54" i="6"/>
  <c r="AC34" i="6"/>
  <c r="T4" i="6"/>
  <c r="T14" i="6" s="1"/>
  <c r="AD30" i="6"/>
  <c r="T68" i="6"/>
  <c r="S20" i="6"/>
  <c r="T6" i="6"/>
  <c r="T78" i="6"/>
  <c r="AD55" i="6"/>
  <c r="S78" i="6"/>
  <c r="AC55" i="6"/>
  <c r="T53" i="6"/>
  <c r="T33" i="6"/>
  <c r="AC69" i="6"/>
  <c r="S53" i="6"/>
  <c r="S33" i="6"/>
  <c r="AD4" i="6"/>
  <c r="S67" i="6"/>
  <c r="AC18" i="6"/>
  <c r="T14" i="20"/>
  <c r="T14" i="18"/>
  <c r="AD78" i="3"/>
  <c r="AC77" i="3"/>
  <c r="T69" i="3"/>
  <c r="S68" i="3"/>
  <c r="AD51" i="3"/>
  <c r="AD33" i="3"/>
  <c r="AC32" i="3"/>
  <c r="T31" i="3"/>
  <c r="S30" i="3"/>
  <c r="AD7" i="3"/>
  <c r="T5" i="3"/>
  <c r="AD79" i="3"/>
  <c r="AC78" i="3"/>
  <c r="T77" i="3"/>
  <c r="S69" i="3"/>
  <c r="AD52" i="3"/>
  <c r="AC51" i="3"/>
  <c r="AD34" i="3"/>
  <c r="AC33" i="3"/>
  <c r="T32" i="3"/>
  <c r="S31" i="3"/>
  <c r="T20" i="3"/>
  <c r="AD18" i="3"/>
  <c r="AC7" i="3"/>
  <c r="S5" i="3"/>
  <c r="AD80" i="3"/>
  <c r="AC79" i="3"/>
  <c r="T78" i="3"/>
  <c r="S77" i="3"/>
  <c r="AD53" i="3"/>
  <c r="AC52" i="3"/>
  <c r="T51" i="3"/>
  <c r="AC34" i="3"/>
  <c r="T33" i="3"/>
  <c r="S32" i="3"/>
  <c r="S20" i="3"/>
  <c r="AC18" i="3"/>
  <c r="AC81" i="3"/>
  <c r="T80" i="3"/>
  <c r="S79" i="3"/>
  <c r="AD55" i="3"/>
  <c r="AC54" i="3"/>
  <c r="T53" i="3"/>
  <c r="S52" i="3"/>
  <c r="S34" i="3"/>
  <c r="AD21" i="3"/>
  <c r="T19" i="3"/>
  <c r="AD17" i="3"/>
  <c r="AC6" i="3"/>
  <c r="S4" i="3"/>
  <c r="S14" i="3" s="1"/>
  <c r="T81" i="3"/>
  <c r="S80" i="3"/>
  <c r="AC55" i="3"/>
  <c r="T54" i="3"/>
  <c r="S53" i="3"/>
  <c r="AC21" i="3"/>
  <c r="S19" i="3"/>
  <c r="AC17" i="3"/>
  <c r="S7" i="3"/>
  <c r="AC5" i="3"/>
  <c r="S81" i="3"/>
  <c r="AD65" i="3"/>
  <c r="T55" i="3"/>
  <c r="S54" i="3"/>
  <c r="T7" i="3"/>
  <c r="AD5" i="3"/>
  <c r="AD66" i="3"/>
  <c r="AC65" i="3"/>
  <c r="S55" i="3"/>
  <c r="AD20" i="3"/>
  <c r="T18" i="3"/>
  <c r="AD67" i="3"/>
  <c r="AC66" i="3"/>
  <c r="T65" i="3"/>
  <c r="AC20" i="3"/>
  <c r="S18" i="3"/>
  <c r="AD68" i="3"/>
  <c r="AC67" i="3"/>
  <c r="T66" i="3"/>
  <c r="S65" i="3"/>
  <c r="AD30" i="3"/>
  <c r="T6" i="3"/>
  <c r="AD4" i="3"/>
  <c r="T17" i="3"/>
  <c r="AD6" i="3"/>
  <c r="AC80" i="3"/>
  <c r="AD19" i="3"/>
  <c r="T4" i="3"/>
  <c r="AD77" i="3"/>
  <c r="AC68" i="3"/>
  <c r="AC19" i="3"/>
  <c r="S17" i="3"/>
  <c r="T21" i="3"/>
  <c r="S21" i="3"/>
  <c r="S78" i="3"/>
  <c r="T68" i="3"/>
  <c r="S66" i="3"/>
  <c r="AC53" i="3"/>
  <c r="S33" i="3"/>
  <c r="AD31" i="3"/>
  <c r="AC31" i="3"/>
  <c r="S51" i="3"/>
  <c r="AD32" i="3"/>
  <c r="T30" i="3"/>
  <c r="AD81" i="3"/>
  <c r="T79" i="3"/>
  <c r="T34" i="3"/>
  <c r="S6" i="3"/>
  <c r="AD69" i="3"/>
  <c r="T67" i="3"/>
  <c r="AC4" i="3"/>
  <c r="AC69" i="3"/>
  <c r="S67" i="3"/>
  <c r="AD54" i="3"/>
  <c r="T52" i="3"/>
  <c r="AC30" i="3"/>
  <c r="T14" i="15"/>
  <c r="AD77" i="8"/>
  <c r="AC69" i="8"/>
  <c r="T68" i="8"/>
  <c r="S67" i="8"/>
  <c r="AD53" i="8"/>
  <c r="AC52" i="8"/>
  <c r="S51" i="8"/>
  <c r="T34" i="8"/>
  <c r="S33" i="8"/>
  <c r="AC21" i="8"/>
  <c r="T7" i="8"/>
  <c r="AD5" i="8"/>
  <c r="AD81" i="8"/>
  <c r="AC80" i="8"/>
  <c r="T79" i="8"/>
  <c r="S78" i="8"/>
  <c r="AC55" i="8"/>
  <c r="S54" i="8"/>
  <c r="AD19" i="8"/>
  <c r="T17" i="8"/>
  <c r="S6" i="8"/>
  <c r="AC4" i="8"/>
  <c r="S81" i="8"/>
  <c r="AD65" i="8"/>
  <c r="AC31" i="8"/>
  <c r="T30" i="8"/>
  <c r="T20" i="8"/>
  <c r="AD18" i="8"/>
  <c r="AC7" i="8"/>
  <c r="S5" i="8"/>
  <c r="AD66" i="8"/>
  <c r="AC65" i="8"/>
  <c r="AD32" i="8"/>
  <c r="T31" i="8"/>
  <c r="S30" i="8"/>
  <c r="S20" i="8"/>
  <c r="AC18" i="8"/>
  <c r="AD67" i="8"/>
  <c r="AC66" i="8"/>
  <c r="T65" i="8"/>
  <c r="AD51" i="8"/>
  <c r="AD33" i="8"/>
  <c r="AC32" i="8"/>
  <c r="S31" i="8"/>
  <c r="AD6" i="8"/>
  <c r="T4" i="8"/>
  <c r="AD80" i="8"/>
  <c r="T66" i="8"/>
  <c r="S21" i="8"/>
  <c r="T19" i="8"/>
  <c r="S4" i="8"/>
  <c r="S80" i="8"/>
  <c r="T69" i="8"/>
  <c r="T53" i="8"/>
  <c r="AD34" i="8"/>
  <c r="S18" i="8"/>
  <c r="S17" i="8"/>
  <c r="AC81" i="8"/>
  <c r="AC77" i="8"/>
  <c r="S69" i="8"/>
  <c r="AD54" i="8"/>
  <c r="S53" i="8"/>
  <c r="AC34" i="8"/>
  <c r="T81" i="8"/>
  <c r="T77" i="8"/>
  <c r="AC54" i="8"/>
  <c r="S34" i="8"/>
  <c r="AD78" i="8"/>
  <c r="S77" i="8"/>
  <c r="AC67" i="8"/>
  <c r="T54" i="8"/>
  <c r="T32" i="8"/>
  <c r="AC6" i="8"/>
  <c r="AC78" i="8"/>
  <c r="T67" i="8"/>
  <c r="AD55" i="8"/>
  <c r="AC51" i="8"/>
  <c r="S32" i="8"/>
  <c r="AD21" i="8"/>
  <c r="AD7" i="8"/>
  <c r="AC5" i="8"/>
  <c r="T78" i="8"/>
  <c r="T55" i="8"/>
  <c r="T51" i="8"/>
  <c r="AD20" i="8"/>
  <c r="AC19" i="8"/>
  <c r="AD4" i="8"/>
  <c r="S55" i="8"/>
  <c r="AD30" i="8"/>
  <c r="AC20" i="8"/>
  <c r="AD17" i="8"/>
  <c r="AC79" i="8"/>
  <c r="AC68" i="8"/>
  <c r="T52" i="8"/>
  <c r="AC33" i="8"/>
  <c r="T6" i="8"/>
  <c r="AC17" i="8"/>
  <c r="AD31" i="8"/>
  <c r="T21" i="8"/>
  <c r="T5" i="8"/>
  <c r="S65" i="8"/>
  <c r="AD69" i="8"/>
  <c r="T33" i="8"/>
  <c r="T80" i="8"/>
  <c r="AC53" i="8"/>
  <c r="AC30" i="8"/>
  <c r="T18" i="8"/>
  <c r="S7" i="8"/>
  <c r="S66" i="8"/>
  <c r="S19" i="8"/>
  <c r="AD68" i="8"/>
  <c r="AD52" i="8"/>
  <c r="S68" i="8"/>
  <c r="S52" i="8"/>
  <c r="AD79" i="8"/>
  <c r="S79" i="8"/>
  <c r="S14" i="23"/>
  <c r="S14" i="19"/>
  <c r="S14" i="18"/>
  <c r="S14" i="16"/>
  <c r="S14" i="17"/>
  <c r="S81" i="11"/>
  <c r="AD65" i="11"/>
  <c r="S55" i="11"/>
  <c r="AD67" i="11"/>
  <c r="AC66" i="11"/>
  <c r="T65" i="11"/>
  <c r="AC20" i="11"/>
  <c r="S18" i="11"/>
  <c r="S6" i="11"/>
  <c r="AC4" i="11"/>
  <c r="AD68" i="11"/>
  <c r="AC67" i="11"/>
  <c r="T66" i="11"/>
  <c r="S65" i="11"/>
  <c r="AD78" i="11"/>
  <c r="AC77" i="11"/>
  <c r="AD80" i="11"/>
  <c r="T79" i="11"/>
  <c r="S78" i="11"/>
  <c r="AD54" i="11"/>
  <c r="AC53" i="11"/>
  <c r="T52" i="11"/>
  <c r="S51" i="11"/>
  <c r="AD34" i="11"/>
  <c r="AC33" i="11"/>
  <c r="T32" i="11"/>
  <c r="S31" i="11"/>
  <c r="S20" i="11"/>
  <c r="AC18" i="11"/>
  <c r="AC6" i="11"/>
  <c r="S4" i="11"/>
  <c r="AD79" i="11"/>
  <c r="T68" i="11"/>
  <c r="AC65" i="11"/>
  <c r="AC54" i="11"/>
  <c r="AC31" i="11"/>
  <c r="AC17" i="11"/>
  <c r="S7" i="11"/>
  <c r="T6" i="11"/>
  <c r="AC80" i="11"/>
  <c r="T77" i="11"/>
  <c r="S69" i="11"/>
  <c r="AD66" i="11"/>
  <c r="T55" i="11"/>
  <c r="AC51" i="11"/>
  <c r="S32" i="11"/>
  <c r="S21" i="11"/>
  <c r="T20" i="11"/>
  <c r="S19" i="11"/>
  <c r="T18" i="11"/>
  <c r="T80" i="11"/>
  <c r="S77" i="11"/>
  <c r="S66" i="11"/>
  <c r="T51" i="11"/>
  <c r="AD33" i="11"/>
  <c r="T17" i="11"/>
  <c r="AD7" i="11"/>
  <c r="AC81" i="11"/>
  <c r="AC52" i="11"/>
  <c r="S33" i="11"/>
  <c r="AC30" i="11"/>
  <c r="AD6" i="11"/>
  <c r="AD5" i="11"/>
  <c r="T81" i="11"/>
  <c r="T67" i="11"/>
  <c r="S52" i="11"/>
  <c r="AC34" i="11"/>
  <c r="T30" i="11"/>
  <c r="AC5" i="11"/>
  <c r="AC78" i="11"/>
  <c r="S67" i="11"/>
  <c r="AD53" i="11"/>
  <c r="T34" i="11"/>
  <c r="S30" i="11"/>
  <c r="AD21" i="11"/>
  <c r="AD19" i="11"/>
  <c r="AD4" i="11"/>
  <c r="AC79" i="11"/>
  <c r="AD77" i="11"/>
  <c r="T69" i="11"/>
  <c r="AC55" i="11"/>
  <c r="AC32" i="11"/>
  <c r="T4" i="11"/>
  <c r="AD30" i="11"/>
  <c r="T19" i="11"/>
  <c r="AC7" i="11"/>
  <c r="T5" i="11"/>
  <c r="T53" i="11"/>
  <c r="S5" i="11"/>
  <c r="S53" i="11"/>
  <c r="AD51" i="11"/>
  <c r="S80" i="11"/>
  <c r="T21" i="11"/>
  <c r="T78" i="11"/>
  <c r="AC68" i="11"/>
  <c r="T33" i="11"/>
  <c r="S68" i="11"/>
  <c r="AD17" i="11"/>
  <c r="T7" i="11"/>
  <c r="AD81" i="11"/>
  <c r="AD69" i="11"/>
  <c r="T54" i="11"/>
  <c r="AD52" i="11"/>
  <c r="T31" i="11"/>
  <c r="AC19" i="11"/>
  <c r="S17" i="11"/>
  <c r="AD55" i="11"/>
  <c r="AC69" i="11"/>
  <c r="S79" i="11"/>
  <c r="AD32" i="11"/>
  <c r="AD20" i="11"/>
  <c r="AC21" i="11"/>
  <c r="S54" i="11"/>
  <c r="S34" i="11"/>
  <c r="AD18" i="11"/>
  <c r="AD31" i="11"/>
  <c r="T81" i="9"/>
  <c r="S80" i="9"/>
  <c r="AD65" i="9"/>
  <c r="S55" i="9"/>
  <c r="S81" i="9"/>
  <c r="AD66" i="9"/>
  <c r="AC65" i="9"/>
  <c r="AC79" i="9"/>
  <c r="S78" i="9"/>
  <c r="AC66" i="9"/>
  <c r="AD51" i="9"/>
  <c r="AD31" i="9"/>
  <c r="T30" i="9"/>
  <c r="S20" i="9"/>
  <c r="AC18" i="9"/>
  <c r="T4" i="9"/>
  <c r="AD81" i="9"/>
  <c r="AD68" i="9"/>
  <c r="T67" i="9"/>
  <c r="AD53" i="9"/>
  <c r="AC52" i="9"/>
  <c r="AC33" i="9"/>
  <c r="T32" i="9"/>
  <c r="T7" i="9"/>
  <c r="AD5" i="9"/>
  <c r="AC81" i="9"/>
  <c r="AD69" i="9"/>
  <c r="AC68" i="9"/>
  <c r="S67" i="9"/>
  <c r="AD54" i="9"/>
  <c r="AC53" i="9"/>
  <c r="T52" i="9"/>
  <c r="AD34" i="9"/>
  <c r="T33" i="9"/>
  <c r="S32" i="9"/>
  <c r="AD20" i="9"/>
  <c r="T18" i="9"/>
  <c r="S7" i="9"/>
  <c r="AC5" i="9"/>
  <c r="AD77" i="9"/>
  <c r="T69" i="9"/>
  <c r="S68" i="9"/>
  <c r="AD55" i="9"/>
  <c r="T54" i="9"/>
  <c r="S53" i="9"/>
  <c r="T34" i="9"/>
  <c r="T6" i="9"/>
  <c r="AC4" i="9"/>
  <c r="AC77" i="9"/>
  <c r="S69" i="9"/>
  <c r="AC55" i="9"/>
  <c r="S54" i="9"/>
  <c r="S34" i="9"/>
  <c r="T21" i="9"/>
  <c r="AD19" i="9"/>
  <c r="T17" i="9"/>
  <c r="S6" i="9"/>
  <c r="AD78" i="9"/>
  <c r="T77" i="9"/>
  <c r="T55" i="9"/>
  <c r="S21" i="9"/>
  <c r="AC19" i="9"/>
  <c r="S17" i="9"/>
  <c r="S77" i="9"/>
  <c r="AC34" i="9"/>
  <c r="S31" i="9"/>
  <c r="AD7" i="9"/>
  <c r="AC6" i="9"/>
  <c r="AC80" i="9"/>
  <c r="AD67" i="9"/>
  <c r="T51" i="9"/>
  <c r="S19" i="9"/>
  <c r="T80" i="9"/>
  <c r="AC67" i="9"/>
  <c r="AC54" i="9"/>
  <c r="S51" i="9"/>
  <c r="AD32" i="9"/>
  <c r="T20" i="9"/>
  <c r="T5" i="9"/>
  <c r="S4" i="9"/>
  <c r="S14" i="9" s="1"/>
  <c r="T65" i="9"/>
  <c r="AC32" i="9"/>
  <c r="S5" i="9"/>
  <c r="AC78" i="9"/>
  <c r="S65" i="9"/>
  <c r="AD30" i="9"/>
  <c r="T78" i="9"/>
  <c r="AD52" i="9"/>
  <c r="AC30" i="9"/>
  <c r="T68" i="9"/>
  <c r="S52" i="9"/>
  <c r="AD33" i="9"/>
  <c r="S30" i="9"/>
  <c r="S33" i="9"/>
  <c r="AD18" i="9"/>
  <c r="AD17" i="9"/>
  <c r="T79" i="9"/>
  <c r="S66" i="9"/>
  <c r="T53" i="9"/>
  <c r="AC31" i="9"/>
  <c r="AD21" i="9"/>
  <c r="AC20" i="9"/>
  <c r="AD4" i="9"/>
  <c r="S18" i="9"/>
  <c r="AC51" i="9"/>
  <c r="T19" i="9"/>
  <c r="AD79" i="9"/>
  <c r="AC21" i="9"/>
  <c r="S79" i="9"/>
  <c r="AC69" i="9"/>
  <c r="AC17" i="9"/>
  <c r="AD6" i="9"/>
  <c r="T31" i="9"/>
  <c r="AD80" i="9"/>
  <c r="AC7" i="9"/>
  <c r="T66" i="9"/>
  <c r="AD80" i="7"/>
  <c r="AC79" i="7"/>
  <c r="T78" i="7"/>
  <c r="S77" i="7"/>
  <c r="AD81" i="7"/>
  <c r="AC80" i="7"/>
  <c r="T79" i="7"/>
  <c r="S78" i="7"/>
  <c r="AC81" i="7"/>
  <c r="T80" i="7"/>
  <c r="S79" i="7"/>
  <c r="T81" i="7"/>
  <c r="AC66" i="7"/>
  <c r="T65" i="7"/>
  <c r="AD30" i="7"/>
  <c r="AC78" i="7"/>
  <c r="AD68" i="7"/>
  <c r="AC67" i="7"/>
  <c r="S66" i="7"/>
  <c r="AD52" i="7"/>
  <c r="AC51" i="7"/>
  <c r="AD32" i="7"/>
  <c r="AC31" i="7"/>
  <c r="T30" i="7"/>
  <c r="AD69" i="7"/>
  <c r="AC68" i="7"/>
  <c r="T67" i="7"/>
  <c r="AD53" i="7"/>
  <c r="AC52" i="7"/>
  <c r="T51" i="7"/>
  <c r="AD33" i="7"/>
  <c r="AC32" i="7"/>
  <c r="T31" i="7"/>
  <c r="S30" i="7"/>
  <c r="AD7" i="7"/>
  <c r="T5" i="7"/>
  <c r="AC69" i="7"/>
  <c r="T68" i="7"/>
  <c r="S67" i="7"/>
  <c r="AD79" i="7"/>
  <c r="T69" i="7"/>
  <c r="S68" i="7"/>
  <c r="AD55" i="7"/>
  <c r="AC54" i="7"/>
  <c r="T53" i="7"/>
  <c r="S52" i="7"/>
  <c r="AC34" i="7"/>
  <c r="T33" i="7"/>
  <c r="S32" i="7"/>
  <c r="S20" i="7"/>
  <c r="AC18" i="7"/>
  <c r="S69" i="7"/>
  <c r="AC55" i="7"/>
  <c r="T54" i="7"/>
  <c r="S53" i="7"/>
  <c r="T55" i="7"/>
  <c r="S54" i="7"/>
  <c r="S55" i="7"/>
  <c r="AC21" i="7"/>
  <c r="S19" i="7"/>
  <c r="AC17" i="7"/>
  <c r="AC77" i="7"/>
  <c r="AD65" i="7"/>
  <c r="AC53" i="7"/>
  <c r="AC30" i="7"/>
  <c r="AD20" i="7"/>
  <c r="AC5" i="7"/>
  <c r="AD4" i="7"/>
  <c r="AD51" i="7"/>
  <c r="AC33" i="7"/>
  <c r="AC20" i="7"/>
  <c r="AD19" i="7"/>
  <c r="AD18" i="7"/>
  <c r="AD17" i="7"/>
  <c r="AC4" i="7"/>
  <c r="AD77" i="7"/>
  <c r="AD66" i="7"/>
  <c r="S51" i="7"/>
  <c r="S33" i="7"/>
  <c r="AC19" i="7"/>
  <c r="T7" i="7"/>
  <c r="T77" i="7"/>
  <c r="T66" i="7"/>
  <c r="S7" i="7"/>
  <c r="S81" i="7"/>
  <c r="AD34" i="7"/>
  <c r="AD31" i="7"/>
  <c r="T21" i="7"/>
  <c r="T6" i="7"/>
  <c r="AD54" i="7"/>
  <c r="T34" i="7"/>
  <c r="S31" i="7"/>
  <c r="S21" i="7"/>
  <c r="S6" i="7"/>
  <c r="S5" i="7"/>
  <c r="T52" i="7"/>
  <c r="S34" i="7"/>
  <c r="T20" i="7"/>
  <c r="T18" i="7"/>
  <c r="T17" i="7"/>
  <c r="T4" i="7"/>
  <c r="T19" i="7"/>
  <c r="S18" i="7"/>
  <c r="S17" i="7"/>
  <c r="S4" i="7"/>
  <c r="AD67" i="7"/>
  <c r="S80" i="7"/>
  <c r="AD78" i="7"/>
  <c r="T32" i="7"/>
  <c r="AC7" i="7"/>
  <c r="AD5" i="7"/>
  <c r="AD6" i="7"/>
  <c r="AC6" i="7"/>
  <c r="AD21" i="7"/>
  <c r="AC65" i="7"/>
  <c r="S65" i="7"/>
  <c r="AD80" i="13"/>
  <c r="AC79" i="13"/>
  <c r="T78" i="13"/>
  <c r="S77" i="13"/>
  <c r="AD54" i="13"/>
  <c r="AC53" i="13"/>
  <c r="AD77" i="13"/>
  <c r="AD30" i="13"/>
  <c r="AD19" i="13"/>
  <c r="T17" i="13"/>
  <c r="AD78" i="13"/>
  <c r="T77" i="13"/>
  <c r="AD65" i="13"/>
  <c r="AD51" i="13"/>
  <c r="AD32" i="13"/>
  <c r="AC31" i="13"/>
  <c r="T30" i="13"/>
  <c r="AD79" i="13"/>
  <c r="AD67" i="13"/>
  <c r="AC66" i="13"/>
  <c r="S65" i="13"/>
  <c r="AD53" i="13"/>
  <c r="T52" i="13"/>
  <c r="S51" i="13"/>
  <c r="AC80" i="13"/>
  <c r="S79" i="13"/>
  <c r="AD69" i="13"/>
  <c r="AC68" i="13"/>
  <c r="T67" i="13"/>
  <c r="S66" i="13"/>
  <c r="AC54" i="13"/>
  <c r="S53" i="13"/>
  <c r="S34" i="13"/>
  <c r="AD21" i="13"/>
  <c r="S19" i="13"/>
  <c r="AC17" i="13"/>
  <c r="S81" i="13"/>
  <c r="S67" i="13"/>
  <c r="AC55" i="13"/>
  <c r="AD33" i="13"/>
  <c r="S32" i="13"/>
  <c r="T18" i="13"/>
  <c r="AD6" i="13"/>
  <c r="S4" i="13"/>
  <c r="AD68" i="13"/>
  <c r="AC65" i="13"/>
  <c r="T55" i="13"/>
  <c r="AD52" i="13"/>
  <c r="AC33" i="13"/>
  <c r="AC21" i="13"/>
  <c r="S18" i="13"/>
  <c r="AC6" i="13"/>
  <c r="T68" i="13"/>
  <c r="T65" i="13"/>
  <c r="S55" i="13"/>
  <c r="AC52" i="13"/>
  <c r="T33" i="13"/>
  <c r="S17" i="13"/>
  <c r="T79" i="13"/>
  <c r="AC34" i="13"/>
  <c r="AC20" i="13"/>
  <c r="S7" i="13"/>
  <c r="AC5" i="13"/>
  <c r="AC69" i="13"/>
  <c r="T34" i="13"/>
  <c r="AC30" i="13"/>
  <c r="AC19" i="13"/>
  <c r="AD4" i="13"/>
  <c r="T80" i="13"/>
  <c r="AC77" i="13"/>
  <c r="S69" i="13"/>
  <c r="T66" i="13"/>
  <c r="AD31" i="13"/>
  <c r="S21" i="13"/>
  <c r="AC18" i="13"/>
  <c r="S6" i="13"/>
  <c r="T53" i="13"/>
  <c r="AC51" i="13"/>
  <c r="AC32" i="13"/>
  <c r="AD17" i="13"/>
  <c r="AD7" i="13"/>
  <c r="AD5" i="13"/>
  <c r="AD81" i="13"/>
  <c r="T51" i="13"/>
  <c r="T32" i="13"/>
  <c r="AC7" i="13"/>
  <c r="AC81" i="13"/>
  <c r="T69" i="13"/>
  <c r="S30" i="13"/>
  <c r="AD18" i="13"/>
  <c r="T81" i="13"/>
  <c r="AC67" i="13"/>
  <c r="T54" i="13"/>
  <c r="AD20" i="13"/>
  <c r="T5" i="13"/>
  <c r="AD66" i="13"/>
  <c r="S31" i="13"/>
  <c r="T19" i="13"/>
  <c r="AD34" i="13"/>
  <c r="T21" i="13"/>
  <c r="S20" i="13"/>
  <c r="AC4" i="13"/>
  <c r="S80" i="13"/>
  <c r="S52" i="13"/>
  <c r="S54" i="13"/>
  <c r="T31" i="13"/>
  <c r="S33" i="13"/>
  <c r="T4" i="13"/>
  <c r="T20" i="13"/>
  <c r="S5" i="13"/>
  <c r="T6" i="13"/>
  <c r="T7" i="13"/>
  <c r="S78" i="13"/>
  <c r="AD55" i="13"/>
  <c r="S68" i="13"/>
  <c r="AC78" i="13"/>
  <c r="S14" i="20"/>
  <c r="AD78" i="14"/>
  <c r="AC77" i="14"/>
  <c r="S69" i="14"/>
  <c r="AD52" i="14"/>
  <c r="AC51" i="14"/>
  <c r="AD80" i="14"/>
  <c r="AC79" i="14"/>
  <c r="T78" i="14"/>
  <c r="S77" i="14"/>
  <c r="AD54" i="14"/>
  <c r="AC53" i="14"/>
  <c r="T52" i="14"/>
  <c r="S51" i="14"/>
  <c r="T81" i="14"/>
  <c r="S80" i="14"/>
  <c r="AD65" i="14"/>
  <c r="T55" i="14"/>
  <c r="S54" i="14"/>
  <c r="AD67" i="14"/>
  <c r="AC66" i="14"/>
  <c r="T65" i="14"/>
  <c r="T80" i="14"/>
  <c r="AD69" i="14"/>
  <c r="S68" i="14"/>
  <c r="AD53" i="14"/>
  <c r="S34" i="14"/>
  <c r="S7" i="14"/>
  <c r="AC5" i="14"/>
  <c r="S81" i="14"/>
  <c r="T66" i="14"/>
  <c r="AC54" i="14"/>
  <c r="AC78" i="14"/>
  <c r="S66" i="14"/>
  <c r="T54" i="14"/>
  <c r="AD31" i="14"/>
  <c r="AC30" i="14"/>
  <c r="S21" i="14"/>
  <c r="AC19" i="14"/>
  <c r="S17" i="14"/>
  <c r="AD7" i="14"/>
  <c r="T5" i="14"/>
  <c r="S78" i="14"/>
  <c r="AD32" i="14"/>
  <c r="AC31" i="14"/>
  <c r="T30" i="14"/>
  <c r="AC7" i="14"/>
  <c r="AD79" i="14"/>
  <c r="AC67" i="14"/>
  <c r="AD55" i="14"/>
  <c r="AD51" i="14"/>
  <c r="AC80" i="14"/>
  <c r="T68" i="14"/>
  <c r="S52" i="14"/>
  <c r="T34" i="14"/>
  <c r="AC21" i="14"/>
  <c r="S19" i="14"/>
  <c r="AC17" i="14"/>
  <c r="T7" i="14"/>
  <c r="AD5" i="14"/>
  <c r="AD66" i="14"/>
  <c r="AD33" i="14"/>
  <c r="S32" i="14"/>
  <c r="T21" i="14"/>
  <c r="T20" i="14"/>
  <c r="T6" i="14"/>
  <c r="AD81" i="14"/>
  <c r="AC33" i="14"/>
  <c r="S20" i="14"/>
  <c r="T19" i="14"/>
  <c r="T18" i="14"/>
  <c r="AC81" i="14"/>
  <c r="T79" i="14"/>
  <c r="AD77" i="14"/>
  <c r="AC69" i="14"/>
  <c r="T33" i="14"/>
  <c r="S18" i="14"/>
  <c r="T17" i="14"/>
  <c r="T4" i="14"/>
  <c r="T14" i="14" s="1"/>
  <c r="S79" i="14"/>
  <c r="T77" i="14"/>
  <c r="T69" i="14"/>
  <c r="T67" i="14"/>
  <c r="AC34" i="14"/>
  <c r="S30" i="14"/>
  <c r="S65" i="14"/>
  <c r="S55" i="14"/>
  <c r="T53" i="14"/>
  <c r="AD21" i="14"/>
  <c r="AC20" i="14"/>
  <c r="AD18" i="14"/>
  <c r="AC6" i="14"/>
  <c r="S31" i="14"/>
  <c r="AD17" i="14"/>
  <c r="AC4" i="14"/>
  <c r="S53" i="14"/>
  <c r="T51" i="14"/>
  <c r="AD6" i="14"/>
  <c r="AC55" i="14"/>
  <c r="S33" i="14"/>
  <c r="S4" i="14"/>
  <c r="AC68" i="14"/>
  <c r="AC18" i="14"/>
  <c r="S6" i="14"/>
  <c r="AD34" i="14"/>
  <c r="AC32" i="14"/>
  <c r="AD68" i="14"/>
  <c r="AD20" i="14"/>
  <c r="T31" i="14"/>
  <c r="AD4" i="14"/>
  <c r="AC65" i="14"/>
  <c r="AC52" i="14"/>
  <c r="S67" i="14"/>
  <c r="AD30" i="14"/>
  <c r="S5" i="14"/>
  <c r="T32" i="14"/>
  <c r="AD19" i="14"/>
  <c r="T14" i="17"/>
  <c r="AD78" i="2"/>
  <c r="T77" i="2"/>
  <c r="AD68" i="2"/>
  <c r="S67" i="2"/>
  <c r="AD53" i="2"/>
  <c r="T52" i="2"/>
  <c r="AC31" i="2"/>
  <c r="S30" i="2"/>
  <c r="AC19" i="2"/>
  <c r="S5" i="2"/>
  <c r="S52" i="2"/>
  <c r="T21" i="2"/>
  <c r="AD18" i="2"/>
  <c r="AD7" i="2"/>
  <c r="T4" i="2"/>
  <c r="AC78" i="2"/>
  <c r="S77" i="2"/>
  <c r="AC68" i="2"/>
  <c r="AC53" i="2"/>
  <c r="AD32" i="2"/>
  <c r="T31" i="2"/>
  <c r="AD79" i="2"/>
  <c r="T78" i="2"/>
  <c r="AD69" i="2"/>
  <c r="T68" i="2"/>
  <c r="AD54" i="2"/>
  <c r="T53" i="2"/>
  <c r="AC32" i="2"/>
  <c r="S31" i="2"/>
  <c r="S21" i="2"/>
  <c r="AC18" i="2"/>
  <c r="AC7" i="2"/>
  <c r="S4" i="2"/>
  <c r="T79" i="2"/>
  <c r="T69" i="2"/>
  <c r="AD55" i="2"/>
  <c r="T54" i="2"/>
  <c r="AC33" i="2"/>
  <c r="S32" i="2"/>
  <c r="S20" i="2"/>
  <c r="AC17" i="2"/>
  <c r="AC6" i="2"/>
  <c r="T19" i="2"/>
  <c r="AD5" i="2"/>
  <c r="AD81" i="2"/>
  <c r="T65" i="2"/>
  <c r="S55" i="2"/>
  <c r="AD21" i="2"/>
  <c r="T18" i="2"/>
  <c r="T7" i="2"/>
  <c r="AD80" i="2"/>
  <c r="S79" i="2"/>
  <c r="S69" i="2"/>
  <c r="AD65" i="2"/>
  <c r="AC55" i="2"/>
  <c r="S54" i="2"/>
  <c r="AD34" i="2"/>
  <c r="T33" i="2"/>
  <c r="S19" i="2"/>
  <c r="T80" i="2"/>
  <c r="AD66" i="2"/>
  <c r="AD4" i="2"/>
  <c r="AC80" i="2"/>
  <c r="AC65" i="2"/>
  <c r="T55" i="2"/>
  <c r="AC34" i="2"/>
  <c r="S33" i="2"/>
  <c r="AC5" i="2"/>
  <c r="T34" i="2"/>
  <c r="AC81" i="2"/>
  <c r="S80" i="2"/>
  <c r="AC66" i="2"/>
  <c r="S65" i="2"/>
  <c r="AD51" i="2"/>
  <c r="S34" i="2"/>
  <c r="AC21" i="2"/>
  <c r="S18" i="2"/>
  <c r="S7" i="2"/>
  <c r="AC4" i="2"/>
  <c r="T81" i="2"/>
  <c r="AD67" i="2"/>
  <c r="T66" i="2"/>
  <c r="AC51" i="2"/>
  <c r="AD30" i="2"/>
  <c r="AD20" i="2"/>
  <c r="T17" i="2"/>
  <c r="T6" i="2"/>
  <c r="AC77" i="2"/>
  <c r="AC69" i="2"/>
  <c r="T51" i="2"/>
  <c r="T20" i="2"/>
  <c r="AD17" i="2"/>
  <c r="S81" i="2"/>
  <c r="S51" i="2"/>
  <c r="AD31" i="2"/>
  <c r="AC67" i="2"/>
  <c r="S53" i="2"/>
  <c r="AD6" i="2"/>
  <c r="T67" i="2"/>
  <c r="AC79" i="2"/>
  <c r="AC30" i="2"/>
  <c r="T5" i="2"/>
  <c r="T32" i="2"/>
  <c r="T30" i="2"/>
  <c r="S17" i="2"/>
  <c r="S6" i="2"/>
  <c r="S66" i="2"/>
  <c r="S78" i="2"/>
  <c r="AC54" i="2"/>
  <c r="AD52" i="2"/>
  <c r="AD19" i="2"/>
  <c r="S68" i="2"/>
  <c r="AC52" i="2"/>
  <c r="AC20" i="2"/>
  <c r="AD77" i="2"/>
  <c r="AD33" i="2"/>
  <c r="AD66" i="12"/>
  <c r="AC65" i="12"/>
  <c r="S55" i="12"/>
  <c r="AD67" i="12"/>
  <c r="AC66" i="12"/>
  <c r="T65" i="12"/>
  <c r="AD20" i="12"/>
  <c r="T18" i="12"/>
  <c r="AD77" i="12"/>
  <c r="AD69" i="12"/>
  <c r="AC68" i="12"/>
  <c r="T67" i="12"/>
  <c r="S66" i="12"/>
  <c r="AD78" i="12"/>
  <c r="AC77" i="12"/>
  <c r="AC69" i="12"/>
  <c r="T68" i="12"/>
  <c r="S67" i="12"/>
  <c r="AD80" i="12"/>
  <c r="AC79" i="12"/>
  <c r="T78" i="12"/>
  <c r="S77" i="12"/>
  <c r="S79" i="12"/>
  <c r="AD51" i="12"/>
  <c r="AD34" i="12"/>
  <c r="AC33" i="12"/>
  <c r="S32" i="12"/>
  <c r="S21" i="12"/>
  <c r="T20" i="12"/>
  <c r="AC18" i="12"/>
  <c r="AC67" i="12"/>
  <c r="AC51" i="12"/>
  <c r="AC34" i="12"/>
  <c r="T33" i="12"/>
  <c r="S20" i="12"/>
  <c r="AD17" i="12"/>
  <c r="AD6" i="12"/>
  <c r="T4" i="12"/>
  <c r="T77" i="12"/>
  <c r="AD52" i="12"/>
  <c r="T51" i="12"/>
  <c r="T34" i="12"/>
  <c r="S33" i="12"/>
  <c r="T19" i="12"/>
  <c r="AC17" i="12"/>
  <c r="AC6" i="12"/>
  <c r="S4" i="12"/>
  <c r="AC80" i="12"/>
  <c r="AD53" i="12"/>
  <c r="AC52" i="12"/>
  <c r="S51" i="12"/>
  <c r="S34" i="12"/>
  <c r="S19" i="12"/>
  <c r="AD81" i="12"/>
  <c r="S80" i="12"/>
  <c r="AD68" i="12"/>
  <c r="AD65" i="12"/>
  <c r="AD54" i="12"/>
  <c r="T53" i="12"/>
  <c r="S52" i="12"/>
  <c r="AD30" i="12"/>
  <c r="AD21" i="12"/>
  <c r="S18" i="12"/>
  <c r="S7" i="12"/>
  <c r="AC5" i="12"/>
  <c r="S81" i="12"/>
  <c r="AC55" i="12"/>
  <c r="S54" i="12"/>
  <c r="AC31" i="12"/>
  <c r="S30" i="12"/>
  <c r="AD19" i="12"/>
  <c r="S17" i="12"/>
  <c r="S6" i="12"/>
  <c r="AC4" i="12"/>
  <c r="T79" i="12"/>
  <c r="S69" i="12"/>
  <c r="AD33" i="12"/>
  <c r="T32" i="12"/>
  <c r="T21" i="12"/>
  <c r="AD18" i="12"/>
  <c r="AC7" i="12"/>
  <c r="S5" i="12"/>
  <c r="T69" i="12"/>
  <c r="T6" i="12"/>
  <c r="AC81" i="12"/>
  <c r="AD79" i="12"/>
  <c r="T66" i="12"/>
  <c r="AD4" i="12"/>
  <c r="T81" i="12"/>
  <c r="S68" i="12"/>
  <c r="AD55" i="12"/>
  <c r="AD5" i="12"/>
  <c r="AC53" i="12"/>
  <c r="T30" i="12"/>
  <c r="AC19" i="12"/>
  <c r="S53" i="12"/>
  <c r="AC20" i="12"/>
  <c r="T17" i="12"/>
  <c r="AC78" i="12"/>
  <c r="AD31" i="12"/>
  <c r="AC21" i="12"/>
  <c r="AD7" i="12"/>
  <c r="S65" i="12"/>
  <c r="T55" i="12"/>
  <c r="AC32" i="12"/>
  <c r="AC30" i="12"/>
  <c r="T7" i="12"/>
  <c r="S78" i="12"/>
  <c r="T52" i="12"/>
  <c r="T31" i="12"/>
  <c r="T80" i="12"/>
  <c r="AC54" i="12"/>
  <c r="S31" i="12"/>
  <c r="T5" i="12"/>
  <c r="T54" i="12"/>
  <c r="AD32" i="12"/>
  <c r="AD77" i="10"/>
  <c r="AD69" i="10"/>
  <c r="AC68" i="10"/>
  <c r="T67" i="10"/>
  <c r="S66" i="10"/>
  <c r="AD30" i="10"/>
  <c r="S21" i="10"/>
  <c r="AC19" i="10"/>
  <c r="S17" i="10"/>
  <c r="AD79" i="10"/>
  <c r="AC78" i="10"/>
  <c r="T77" i="10"/>
  <c r="T69" i="10"/>
  <c r="S68" i="10"/>
  <c r="AD52" i="10"/>
  <c r="AC51" i="10"/>
  <c r="AD32" i="10"/>
  <c r="AC31" i="10"/>
  <c r="T30" i="10"/>
  <c r="T20" i="10"/>
  <c r="AD18" i="10"/>
  <c r="AC7" i="10"/>
  <c r="S5" i="10"/>
  <c r="AC79" i="10"/>
  <c r="T78" i="10"/>
  <c r="S77" i="10"/>
  <c r="S69" i="10"/>
  <c r="AD53" i="10"/>
  <c r="AC52" i="10"/>
  <c r="T51" i="10"/>
  <c r="AD33" i="10"/>
  <c r="AC32" i="10"/>
  <c r="T31" i="10"/>
  <c r="S30" i="10"/>
  <c r="S20" i="10"/>
  <c r="AC18" i="10"/>
  <c r="S81" i="10"/>
  <c r="AD65" i="10"/>
  <c r="S55" i="10"/>
  <c r="AD20" i="10"/>
  <c r="T18" i="10"/>
  <c r="AD67" i="10"/>
  <c r="AC55" i="10"/>
  <c r="AC34" i="10"/>
  <c r="AD21" i="10"/>
  <c r="AD5" i="10"/>
  <c r="AD68" i="10"/>
  <c r="AC53" i="10"/>
  <c r="T7" i="10"/>
  <c r="T6" i="10"/>
  <c r="T68" i="10"/>
  <c r="T53" i="10"/>
  <c r="S7" i="10"/>
  <c r="S6" i="10"/>
  <c r="S79" i="10"/>
  <c r="AC65" i="10"/>
  <c r="AC54" i="10"/>
  <c r="S32" i="10"/>
  <c r="T19" i="10"/>
  <c r="S18" i="10"/>
  <c r="AD80" i="10"/>
  <c r="AC69" i="10"/>
  <c r="T65" i="10"/>
  <c r="T54" i="10"/>
  <c r="S19" i="10"/>
  <c r="T17" i="10"/>
  <c r="T4" i="10"/>
  <c r="T14" i="10" s="1"/>
  <c r="AC80" i="10"/>
  <c r="AD66" i="10"/>
  <c r="S65" i="10"/>
  <c r="S54" i="10"/>
  <c r="AD51" i="10"/>
  <c r="AC33" i="10"/>
  <c r="S4" i="10"/>
  <c r="AD78" i="10"/>
  <c r="AD54" i="10"/>
  <c r="S33" i="10"/>
  <c r="AC6" i="10"/>
  <c r="AC4" i="10"/>
  <c r="AD81" i="10"/>
  <c r="S52" i="10"/>
  <c r="S31" i="10"/>
  <c r="AD7" i="10"/>
  <c r="AC81" i="10"/>
  <c r="AC67" i="10"/>
  <c r="AD34" i="10"/>
  <c r="AD17" i="10"/>
  <c r="T81" i="10"/>
  <c r="S67" i="10"/>
  <c r="T34" i="10"/>
  <c r="AC17" i="10"/>
  <c r="T5" i="10"/>
  <c r="T79" i="10"/>
  <c r="S34" i="10"/>
  <c r="AC77" i="10"/>
  <c r="AD55" i="10"/>
  <c r="T32" i="10"/>
  <c r="T55" i="10"/>
  <c r="S53" i="10"/>
  <c r="AC30" i="10"/>
  <c r="AD19" i="10"/>
  <c r="S51" i="10"/>
  <c r="AC21" i="10"/>
  <c r="AC20" i="10"/>
  <c r="S80" i="10"/>
  <c r="AC66" i="10"/>
  <c r="T52" i="10"/>
  <c r="AD4" i="10"/>
  <c r="T66" i="10"/>
  <c r="AC5" i="10"/>
  <c r="T80" i="10"/>
  <c r="S78" i="10"/>
  <c r="AD6" i="10"/>
  <c r="AD31" i="10"/>
  <c r="T33" i="10"/>
  <c r="T21" i="10"/>
  <c r="S54" i="4"/>
  <c r="S34" i="4"/>
  <c r="T17" i="4"/>
  <c r="T79" i="4"/>
  <c r="AD67" i="4"/>
  <c r="S65" i="4"/>
  <c r="S5" i="4"/>
  <c r="S53" i="4"/>
  <c r="AD6" i="4"/>
  <c r="AC18" i="4"/>
  <c r="S20" i="4"/>
  <c r="AD17" i="4"/>
  <c r="S79" i="4"/>
  <c r="AC81" i="4"/>
  <c r="AC66" i="4"/>
  <c r="AC20" i="4"/>
  <c r="T34" i="4"/>
  <c r="S33" i="4"/>
  <c r="T4" i="4"/>
  <c r="AC6" i="4"/>
  <c r="T54" i="4"/>
  <c r="T7" i="4"/>
  <c r="AD66" i="4"/>
  <c r="T65" i="4"/>
  <c r="T67" i="4"/>
  <c r="AD21" i="4"/>
  <c r="AC17" i="4"/>
  <c r="S19" i="4"/>
  <c r="S4" i="4"/>
  <c r="AD79" i="4"/>
  <c r="AD5" i="4"/>
  <c r="AC65" i="4"/>
  <c r="AD20" i="4"/>
  <c r="AD77" i="4"/>
  <c r="S7" i="4"/>
  <c r="S81" i="4"/>
  <c r="AC78" i="4"/>
  <c r="T78" i="4"/>
  <c r="S78" i="4"/>
  <c r="AC79" i="4"/>
  <c r="S55" i="4"/>
  <c r="S18" i="4"/>
  <c r="AC69" i="4"/>
  <c r="T81" i="4"/>
  <c r="S77" i="4"/>
  <c r="AD53" i="4"/>
  <c r="AD54" i="4"/>
  <c r="AD55" i="4"/>
  <c r="AC55" i="4"/>
  <c r="T18" i="4"/>
  <c r="S6" i="4"/>
  <c r="T68" i="4"/>
  <c r="T77" i="4"/>
  <c r="S69" i="4"/>
  <c r="AC52" i="4"/>
  <c r="AC53" i="4"/>
  <c r="AC54" i="4"/>
  <c r="AC5" i="4"/>
  <c r="AD19" i="4"/>
  <c r="T6" i="4"/>
  <c r="AC4" i="4"/>
  <c r="S67" i="4"/>
  <c r="T69" i="4"/>
  <c r="AD52" i="4"/>
  <c r="T51" i="4"/>
  <c r="T52" i="4"/>
  <c r="T53" i="4"/>
  <c r="AD4" i="4"/>
  <c r="AC68" i="4"/>
  <c r="AD30" i="4"/>
  <c r="S68" i="4"/>
  <c r="AC51" i="4"/>
  <c r="AD33" i="4"/>
  <c r="S51" i="4"/>
  <c r="S52" i="4"/>
  <c r="AD7" i="4"/>
  <c r="AD78" i="4"/>
  <c r="S80" i="4"/>
  <c r="T80" i="4"/>
  <c r="T21" i="4"/>
  <c r="AD51" i="4"/>
  <c r="AD32" i="4"/>
  <c r="AC32" i="4"/>
  <c r="AD34" i="4"/>
  <c r="AC34" i="4"/>
  <c r="T55" i="4"/>
  <c r="AC77" i="4"/>
  <c r="AD69" i="4"/>
  <c r="AD68" i="4"/>
  <c r="AC19" i="4"/>
  <c r="AD31" i="4"/>
  <c r="AC31" i="4"/>
  <c r="T31" i="4"/>
  <c r="AC33" i="4"/>
  <c r="T33" i="4"/>
  <c r="AD81" i="4"/>
  <c r="S66" i="4"/>
  <c r="AC67" i="4"/>
  <c r="S17" i="4"/>
  <c r="AC30" i="4"/>
  <c r="T30" i="4"/>
  <c r="S30" i="4"/>
  <c r="T32" i="4"/>
  <c r="S32" i="4"/>
  <c r="T5" i="4"/>
  <c r="AC80" i="4"/>
  <c r="AD80" i="4"/>
  <c r="T66" i="4"/>
  <c r="AC7" i="4"/>
  <c r="S21" i="4"/>
  <c r="AD18" i="4"/>
  <c r="T20" i="4"/>
  <c r="S31" i="4"/>
  <c r="T19" i="4"/>
  <c r="AD65" i="4"/>
  <c r="AC21" i="4"/>
  <c r="T14" i="16"/>
  <c r="S14" i="15"/>
  <c r="S81" i="5"/>
  <c r="AD65" i="5"/>
  <c r="T55" i="5"/>
  <c r="S54" i="5"/>
  <c r="S34" i="5"/>
  <c r="AC21" i="5"/>
  <c r="T6" i="5"/>
  <c r="AD4" i="5"/>
  <c r="AD66" i="5"/>
  <c r="AC65" i="5"/>
  <c r="S55" i="5"/>
  <c r="AC66" i="5"/>
  <c r="T65" i="5"/>
  <c r="AD67" i="5"/>
  <c r="T66" i="5"/>
  <c r="S65" i="5"/>
  <c r="AC20" i="5"/>
  <c r="AD7" i="5"/>
  <c r="T5" i="5"/>
  <c r="AD68" i="5"/>
  <c r="AC67" i="5"/>
  <c r="S66" i="5"/>
  <c r="AD19" i="5"/>
  <c r="T17" i="5"/>
  <c r="AC7" i="5"/>
  <c r="S5" i="5"/>
  <c r="AD78" i="5"/>
  <c r="AC77" i="5"/>
  <c r="AC69" i="5"/>
  <c r="T68" i="5"/>
  <c r="S67" i="5"/>
  <c r="AD51" i="5"/>
  <c r="AD31" i="5"/>
  <c r="AC30" i="5"/>
  <c r="AD79" i="5"/>
  <c r="AC78" i="5"/>
  <c r="T77" i="5"/>
  <c r="T69" i="5"/>
  <c r="S68" i="5"/>
  <c r="AD52" i="5"/>
  <c r="AC51" i="5"/>
  <c r="AD32" i="5"/>
  <c r="AC31" i="5"/>
  <c r="T30" i="5"/>
  <c r="AD80" i="5"/>
  <c r="AC79" i="5"/>
  <c r="T78" i="5"/>
  <c r="S77" i="5"/>
  <c r="S69" i="5"/>
  <c r="AD53" i="5"/>
  <c r="AC52" i="5"/>
  <c r="T51" i="5"/>
  <c r="AD33" i="5"/>
  <c r="AC32" i="5"/>
  <c r="T31" i="5"/>
  <c r="S30" i="5"/>
  <c r="T20" i="5"/>
  <c r="AC18" i="5"/>
  <c r="AD81" i="5"/>
  <c r="AC80" i="5"/>
  <c r="T79" i="5"/>
  <c r="S78" i="5"/>
  <c r="AD54" i="5"/>
  <c r="AC53" i="5"/>
  <c r="T52" i="5"/>
  <c r="S51" i="5"/>
  <c r="AD34" i="5"/>
  <c r="AC33" i="5"/>
  <c r="T32" i="5"/>
  <c r="S31" i="5"/>
  <c r="S20" i="5"/>
  <c r="T7" i="5"/>
  <c r="AD5" i="5"/>
  <c r="S53" i="5"/>
  <c r="AC5" i="5"/>
  <c r="AC4" i="5"/>
  <c r="T81" i="5"/>
  <c r="T33" i="5"/>
  <c r="T67" i="5"/>
  <c r="AC81" i="5"/>
  <c r="AD69" i="5"/>
  <c r="AD21" i="5"/>
  <c r="AC19" i="5"/>
  <c r="AD20" i="5"/>
  <c r="S7" i="5"/>
  <c r="S79" i="5"/>
  <c r="AD77" i="5"/>
  <c r="S33" i="5"/>
  <c r="AD18" i="5"/>
  <c r="AD17" i="5"/>
  <c r="S6" i="5"/>
  <c r="AC54" i="5"/>
  <c r="AC17" i="5"/>
  <c r="T4" i="5"/>
  <c r="T54" i="5"/>
  <c r="S4" i="5"/>
  <c r="S14" i="5" s="1"/>
  <c r="AC68" i="5"/>
  <c r="S52" i="5"/>
  <c r="T21" i="5"/>
  <c r="T19" i="5"/>
  <c r="T80" i="5"/>
  <c r="S21" i="5"/>
  <c r="S19" i="5"/>
  <c r="AD55" i="5"/>
  <c r="S17" i="5"/>
  <c r="S80" i="5"/>
  <c r="AC34" i="5"/>
  <c r="T18" i="5"/>
  <c r="T34" i="5"/>
  <c r="S18" i="5"/>
  <c r="AD6" i="5"/>
  <c r="AC6" i="5"/>
  <c r="S32" i="5"/>
  <c r="T53" i="5"/>
  <c r="AC55" i="5"/>
  <c r="AD30" i="5"/>
  <c r="T14" i="5" l="1"/>
  <c r="S14" i="8"/>
  <c r="S14" i="7"/>
  <c r="S14" i="10"/>
  <c r="T14" i="13"/>
  <c r="T14" i="9"/>
  <c r="S14" i="4"/>
  <c r="T14" i="11"/>
  <c r="S14" i="2"/>
  <c r="T14" i="2"/>
  <c r="T14" i="7"/>
  <c r="T14" i="8"/>
  <c r="S14" i="14"/>
  <c r="S14" i="13"/>
  <c r="T14" i="4"/>
  <c r="S14" i="11"/>
  <c r="T14" i="3"/>
  <c r="S14" i="6"/>
</calcChain>
</file>

<file path=xl/sharedStrings.xml><?xml version="1.0" encoding="utf-8"?>
<sst xmlns="http://schemas.openxmlformats.org/spreadsheetml/2006/main" count="24116" uniqueCount="1019">
  <si>
    <t>Guilds</t>
  </si>
  <si>
    <t>Name</t>
  </si>
  <si>
    <t>Weapons</t>
  </si>
  <si>
    <t>Guild</t>
  </si>
  <si>
    <t>Date Added</t>
  </si>
  <si>
    <t>Role</t>
  </si>
  <si>
    <t>Compile the scoreboard from the images into one table via manual transcription, and display the full table. Remove the first row found in each image as it is a duplicate. Include only unique entries. Ignore the "Weapons" column. In the "Guilds" column, remove the framing symbols from Guild entries. Include special characters in names. Order columns by Rank, Guilds, Name, Team, Kills, Assist, Damage Dealt, Damage Taken, Amount Healed.</t>
  </si>
  <si>
    <t>FTP</t>
  </si>
  <si>
    <t>Akaru华</t>
  </si>
  <si>
    <t>Wand/Orb</t>
  </si>
  <si>
    <t>Wand/Longbow</t>
  </si>
  <si>
    <t>Healer</t>
  </si>
  <si>
    <t>Infwamy</t>
  </si>
  <si>
    <t>Anteses</t>
  </si>
  <si>
    <t>SnS/Greatsword</t>
  </si>
  <si>
    <t>Compile and create downloadable excel file with complete scoreboard</t>
  </si>
  <si>
    <t>Sp00ky</t>
  </si>
  <si>
    <t>apgonzo</t>
  </si>
  <si>
    <t>Wand/Greatsword</t>
  </si>
  <si>
    <t>BLANK</t>
  </si>
  <si>
    <t>Ⱥloomy</t>
  </si>
  <si>
    <t>FTPㅃ</t>
  </si>
  <si>
    <t>Baozer</t>
  </si>
  <si>
    <t>Greatsword/Spear</t>
  </si>
  <si>
    <t>Spear/Dagger</t>
  </si>
  <si>
    <t>Melee DPS</t>
  </si>
  <si>
    <t>Dwagonツ</t>
  </si>
  <si>
    <t>Blee</t>
  </si>
  <si>
    <t>Undercooked</t>
  </si>
  <si>
    <t>Boharding</t>
  </si>
  <si>
    <t>Highly Regarded</t>
  </si>
  <si>
    <t>CLEM</t>
  </si>
  <si>
    <t>Staff/Dagger</t>
  </si>
  <si>
    <t>Greatsword/Wand</t>
  </si>
  <si>
    <t>Best Regards</t>
  </si>
  <si>
    <t>Doddly</t>
  </si>
  <si>
    <t>Unhinged肉</t>
  </si>
  <si>
    <t>DopaMinn</t>
  </si>
  <si>
    <t>Crossbow/Orb</t>
  </si>
  <si>
    <t>Ranged DPS</t>
  </si>
  <si>
    <t>House Regard</t>
  </si>
  <si>
    <t>Duskstorm</t>
  </si>
  <si>
    <t>edmun</t>
  </si>
  <si>
    <t>Crossbow/Longbow</t>
  </si>
  <si>
    <t>EgirlWaifu</t>
  </si>
  <si>
    <t>Crossbow/SnS</t>
  </si>
  <si>
    <t>bloomy</t>
  </si>
  <si>
    <t>Fadeふち</t>
  </si>
  <si>
    <t>Orb/Dagger</t>
  </si>
  <si>
    <t>FarseerRain</t>
  </si>
  <si>
    <t>Orb/Wand</t>
  </si>
  <si>
    <t>Fuji</t>
  </si>
  <si>
    <t>SnS/Wand</t>
  </si>
  <si>
    <t>Geebinho17</t>
  </si>
  <si>
    <t>Crossbow/Dagger</t>
  </si>
  <si>
    <t>Gravez</t>
  </si>
  <si>
    <t>Staff/Longbow</t>
  </si>
  <si>
    <t>Hayler</t>
  </si>
  <si>
    <t>Staff/Orb</t>
  </si>
  <si>
    <t>Hayzed</t>
  </si>
  <si>
    <t>Staff/Wand</t>
  </si>
  <si>
    <t>HubertCumbrdale</t>
  </si>
  <si>
    <t>SnS/Spear</t>
  </si>
  <si>
    <t>Wand/Dagger</t>
  </si>
  <si>
    <t>Invulnerable</t>
  </si>
  <si>
    <t>jaMESSSSS</t>
  </si>
  <si>
    <t>jaMESSSSSS</t>
  </si>
  <si>
    <t>Tank</t>
  </si>
  <si>
    <t>Jawz</t>
  </si>
  <si>
    <t>Greatsword/Dagger</t>
  </si>
  <si>
    <t>SnS/Dagger</t>
  </si>
  <si>
    <t>JCBoi</t>
  </si>
  <si>
    <t>Jinnshi</t>
  </si>
  <si>
    <t>SnS/Longbow</t>
  </si>
  <si>
    <t>Kaloch</t>
  </si>
  <si>
    <t>SnS/Orb</t>
  </si>
  <si>
    <t>Kiefblunt</t>
  </si>
  <si>
    <t>Kyu</t>
  </si>
  <si>
    <t>KS</t>
  </si>
  <si>
    <t>Loudpack</t>
  </si>
  <si>
    <t>maxgamer</t>
  </si>
  <si>
    <t>Longbow/Dagger</t>
  </si>
  <si>
    <t>monkeymo</t>
  </si>
  <si>
    <t>MrCantoni</t>
  </si>
  <si>
    <t>Nengja</t>
  </si>
  <si>
    <t>NGMilkMan</t>
  </si>
  <si>
    <t>Nsin</t>
  </si>
  <si>
    <t>OTOT</t>
  </si>
  <si>
    <t>PercTaker</t>
  </si>
  <si>
    <t>Prefinity</t>
  </si>
  <si>
    <t>Prefire</t>
  </si>
  <si>
    <t>Purple</t>
  </si>
  <si>
    <t>nah</t>
  </si>
  <si>
    <t>RedCamper</t>
  </si>
  <si>
    <t>Regalians</t>
  </si>
  <si>
    <t>Regentlord</t>
  </si>
  <si>
    <t>ReinaKertia</t>
  </si>
  <si>
    <t>Sayaka·</t>
  </si>
  <si>
    <t>ShawarmaShuffle</t>
  </si>
  <si>
    <t>Shmeeboops</t>
  </si>
  <si>
    <t>Snobu</t>
  </si>
  <si>
    <t>soju·</t>
  </si>
  <si>
    <t>Spicyparrot</t>
  </si>
  <si>
    <t>Spot·</t>
  </si>
  <si>
    <t>Superluigi</t>
  </si>
  <si>
    <t>Sybilene</t>
  </si>
  <si>
    <t>Tagato</t>
  </si>
  <si>
    <t>TanksVicious</t>
  </si>
  <si>
    <t>Teensy</t>
  </si>
  <si>
    <t>TemporalRage</t>
  </si>
  <si>
    <t>Thana</t>
  </si>
  <si>
    <t>Timbus</t>
  </si>
  <si>
    <t>TOKUL</t>
  </si>
  <si>
    <t>Willan</t>
  </si>
  <si>
    <t>Zaels</t>
  </si>
  <si>
    <t>Zanax</t>
  </si>
  <si>
    <t>愛RosesAreRosie</t>
  </si>
  <si>
    <t>火IlahuAkbar</t>
  </si>
  <si>
    <t>Feelix</t>
  </si>
  <si>
    <t>yup</t>
  </si>
  <si>
    <t>stepbro</t>
  </si>
  <si>
    <t>JayAcy</t>
  </si>
  <si>
    <t>stepson</t>
  </si>
  <si>
    <t>RheGGie</t>
  </si>
  <si>
    <t>stepsis</t>
  </si>
  <si>
    <t>SunnyDriver</t>
  </si>
  <si>
    <t>hamstersprevail</t>
  </si>
  <si>
    <t>Spot</t>
  </si>
  <si>
    <t>narlynar</t>
  </si>
  <si>
    <t>raitou</t>
  </si>
  <si>
    <t>cba</t>
  </si>
  <si>
    <t>unu</t>
  </si>
  <si>
    <t>leaf</t>
  </si>
  <si>
    <t>Itty</t>
  </si>
  <si>
    <t>Leisel</t>
  </si>
  <si>
    <t>sunshine</t>
  </si>
  <si>
    <t>Akaru</t>
  </si>
  <si>
    <t>Rayfeat</t>
  </si>
  <si>
    <t>GIOX</t>
  </si>
  <si>
    <t>Sabbie</t>
  </si>
  <si>
    <t>soju</t>
  </si>
  <si>
    <t>Thundercats</t>
  </si>
  <si>
    <t>rice</t>
  </si>
  <si>
    <t>incakolatapupa</t>
  </si>
  <si>
    <t>Curufinwei</t>
  </si>
  <si>
    <t>B</t>
  </si>
  <si>
    <t>Dusk</t>
  </si>
  <si>
    <t>K</t>
  </si>
  <si>
    <t>mo</t>
  </si>
  <si>
    <t>Z</t>
  </si>
  <si>
    <t>P</t>
  </si>
  <si>
    <t>hammyjammy</t>
  </si>
  <si>
    <t>eepy</t>
  </si>
  <si>
    <t>nap</t>
  </si>
  <si>
    <t>Raypeat</t>
  </si>
  <si>
    <t>GI0X</t>
  </si>
  <si>
    <t>Ryujin</t>
  </si>
  <si>
    <t>MICTECACIHUATL</t>
  </si>
  <si>
    <t>Ceviche</t>
  </si>
  <si>
    <t>vexzus</t>
  </si>
  <si>
    <t>EnoughCrazy</t>
  </si>
  <si>
    <t>Eshaberry</t>
  </si>
  <si>
    <t>SwayzexExpress</t>
  </si>
  <si>
    <t>Hexapod</t>
  </si>
  <si>
    <t>LuanDC</t>
  </si>
  <si>
    <t>Reinnier</t>
  </si>
  <si>
    <t>StephyBabyx</t>
  </si>
  <si>
    <t>charigueya</t>
  </si>
  <si>
    <t>Abix</t>
  </si>
  <si>
    <t>H612</t>
  </si>
  <si>
    <t>JDAWGGGG</t>
  </si>
  <si>
    <t>Neon</t>
  </si>
  <si>
    <t>ELCHAMO</t>
  </si>
  <si>
    <t>Micheru</t>
  </si>
  <si>
    <t>Smash</t>
  </si>
  <si>
    <t>Ennerge</t>
  </si>
  <si>
    <t>ガブリエルー</t>
  </si>
  <si>
    <t>SupraOzz</t>
  </si>
  <si>
    <t>Moon</t>
  </si>
  <si>
    <t>POME</t>
  </si>
  <si>
    <t>BombaTrix</t>
  </si>
  <si>
    <t>Spicieee</t>
  </si>
  <si>
    <t>皮姆利</t>
  </si>
  <si>
    <t>Artemix</t>
  </si>
  <si>
    <t>Sovwang</t>
  </si>
  <si>
    <t>CertifiedSquishy</t>
  </si>
  <si>
    <t>jaMESSSSSSSS</t>
  </si>
  <si>
    <t>ToxicFell</t>
  </si>
  <si>
    <t>Jisoo</t>
  </si>
  <si>
    <t>Cursed</t>
  </si>
  <si>
    <t>Eveys</t>
  </si>
  <si>
    <t>MrPecan</t>
  </si>
  <si>
    <t>Vanderネ</t>
  </si>
  <si>
    <t>Carolinneシ</t>
  </si>
  <si>
    <t>Gaiaia</t>
  </si>
  <si>
    <t>Krippler</t>
  </si>
  <si>
    <t>·Reina·</t>
  </si>
  <si>
    <t>RoxyRH</t>
  </si>
  <si>
    <t>Claymore182</t>
  </si>
  <si>
    <t>Azriel</t>
  </si>
  <si>
    <t>Hounter</t>
  </si>
  <si>
    <t>炎Sirdonw</t>
  </si>
  <si>
    <t>AnimaPainEye</t>
  </si>
  <si>
    <t>JoshuaDL</t>
  </si>
  <si>
    <t>Azulツ</t>
  </si>
  <si>
    <t>YESIDGV</t>
  </si>
  <si>
    <t>Metalmarkd</t>
  </si>
  <si>
    <t>iN10SiFiED</t>
  </si>
  <si>
    <t>DuroThano</t>
  </si>
  <si>
    <t>DiegoLASCR</t>
  </si>
  <si>
    <t>Gum火</t>
  </si>
  <si>
    <t>Olimpico</t>
  </si>
  <si>
    <t>BOost</t>
  </si>
  <si>
    <t>LordHunterr</t>
  </si>
  <si>
    <t>Foonia</t>
  </si>
  <si>
    <t>Tech</t>
  </si>
  <si>
    <t>xKanekiiTV</t>
  </si>
  <si>
    <t>Anrenn</t>
  </si>
  <si>
    <t>Loloツ</t>
  </si>
  <si>
    <t>Bunnyyシ</t>
  </si>
  <si>
    <t>Haunty</t>
  </si>
  <si>
    <t>尺巳几七ロ几</t>
  </si>
  <si>
    <t>Params</t>
  </si>
  <si>
    <t>Yohko</t>
  </si>
  <si>
    <t>GUNWALLET</t>
  </si>
  <si>
    <t>Tenku</t>
  </si>
  <si>
    <t>Okamii皇</t>
  </si>
  <si>
    <t>Suaga</t>
  </si>
  <si>
    <t>Flacco</t>
  </si>
  <si>
    <t>HoodRobin</t>
  </si>
  <si>
    <t>Kneestomper</t>
  </si>
  <si>
    <t>Sodapop</t>
  </si>
  <si>
    <t>Matiasシ</t>
  </si>
  <si>
    <t>zoomtar</t>
  </si>
  <si>
    <t>PapaHeights</t>
  </si>
  <si>
    <t>Lewps</t>
  </si>
  <si>
    <t>BonkeyJoJo</t>
  </si>
  <si>
    <t>Alphu</t>
  </si>
  <si>
    <t>T0j愛</t>
  </si>
  <si>
    <t>Xytos</t>
  </si>
  <si>
    <t>AYAYAツ</t>
  </si>
  <si>
    <t>chotty</t>
  </si>
  <si>
    <t>Leftriggered</t>
  </si>
  <si>
    <t>·slowdecay·</t>
  </si>
  <si>
    <t>Delirax</t>
  </si>
  <si>
    <t>DragonOfMany</t>
  </si>
  <si>
    <t>·Enya</t>
  </si>
  <si>
    <t>Epoche</t>
  </si>
  <si>
    <t>Hard</t>
  </si>
  <si>
    <t>TomateSama</t>
  </si>
  <si>
    <t>AyoJohn</t>
  </si>
  <si>
    <t>xxNODxx</t>
  </si>
  <si>
    <t>Lagabodini</t>
  </si>
  <si>
    <t>Beru</t>
  </si>
  <si>
    <t>Borgz皇</t>
  </si>
  <si>
    <t>×ypher</t>
  </si>
  <si>
    <t>mSilenus</t>
  </si>
  <si>
    <t>Dodge天</t>
  </si>
  <si>
    <t>Breedable</t>
  </si>
  <si>
    <t>Brockle</t>
  </si>
  <si>
    <t>Shawn死</t>
  </si>
  <si>
    <t>MiPi♀미피</t>
  </si>
  <si>
    <t>KoeKaine</t>
  </si>
  <si>
    <t>Pukei</t>
  </si>
  <si>
    <t>XxZORKxX</t>
  </si>
  <si>
    <t>Afroツ</t>
  </si>
  <si>
    <t>barbie·</t>
  </si>
  <si>
    <t>Yellowfever69</t>
  </si>
  <si>
    <t>Cinglez</t>
  </si>
  <si>
    <t>ChouxCreme</t>
  </si>
  <si>
    <t>Glaceonツ</t>
  </si>
  <si>
    <t>Skilletos</t>
  </si>
  <si>
    <t>Soft</t>
  </si>
  <si>
    <t>foxgloves</t>
  </si>
  <si>
    <t>Adas</t>
  </si>
  <si>
    <t>Zethis</t>
  </si>
  <si>
    <t>Tony</t>
  </si>
  <si>
    <t>Revic</t>
  </si>
  <si>
    <t>DawkMAGA</t>
  </si>
  <si>
    <t>xPHOENIXx</t>
  </si>
  <si>
    <t>Ahavacat</t>
  </si>
  <si>
    <t>tToast</t>
  </si>
  <si>
    <t>Natalia</t>
  </si>
  <si>
    <t>△lexa</t>
  </si>
  <si>
    <t>Madz</t>
  </si>
  <si>
    <t>Vito</t>
  </si>
  <si>
    <t>Marruh</t>
  </si>
  <si>
    <t>Dravx</t>
  </si>
  <si>
    <t>Ender</t>
  </si>
  <si>
    <t>Hamiebarmund</t>
  </si>
  <si>
    <t>mars</t>
  </si>
  <si>
    <t>Regardless</t>
  </si>
  <si>
    <t>Yes</t>
  </si>
  <si>
    <t>YunoKai</t>
  </si>
  <si>
    <t>JohnJacob</t>
  </si>
  <si>
    <t>Shawn</t>
  </si>
  <si>
    <t>Karpendra</t>
  </si>
  <si>
    <t>G00GLY</t>
  </si>
  <si>
    <t>Ruthlessssssss</t>
  </si>
  <si>
    <t>Ruby</t>
  </si>
  <si>
    <t>Kirtrux</t>
  </si>
  <si>
    <t>QueenSkin</t>
  </si>
  <si>
    <t>Picklesnaus</t>
  </si>
  <si>
    <t>Kami11</t>
  </si>
  <si>
    <t>Plumbercrak</t>
  </si>
  <si>
    <t>LuckyBlackatYT</t>
  </si>
  <si>
    <t>Jossseph</t>
  </si>
  <si>
    <t>LunaDarling</t>
  </si>
  <si>
    <t>Vulturnus</t>
  </si>
  <si>
    <t>LiquidZod</t>
  </si>
  <si>
    <t>Jiazui</t>
  </si>
  <si>
    <t>Oathellius</t>
  </si>
  <si>
    <t>HollowKnight</t>
  </si>
  <si>
    <t>Zykira</t>
  </si>
  <si>
    <t>Zeelos</t>
  </si>
  <si>
    <t>AntiShiro</t>
  </si>
  <si>
    <t>Belle</t>
  </si>
  <si>
    <t>barbie</t>
  </si>
  <si>
    <t>Koldwen</t>
  </si>
  <si>
    <t>LuckyBlackcatYT</t>
  </si>
  <si>
    <t>Dub</t>
  </si>
  <si>
    <t>xApril</t>
  </si>
  <si>
    <t>AdalaneShadow</t>
  </si>
  <si>
    <t>GOOGLY</t>
  </si>
  <si>
    <t>Selumii</t>
  </si>
  <si>
    <t>msk</t>
  </si>
  <si>
    <t>Plumbercrack</t>
  </si>
  <si>
    <t>Realix</t>
  </si>
  <si>
    <t>Jossepph</t>
  </si>
  <si>
    <t>Jiazu</t>
  </si>
  <si>
    <t>Butter</t>
  </si>
  <si>
    <t>Paella</t>
  </si>
  <si>
    <t>Crumpet</t>
  </si>
  <si>
    <t>Prosciutto</t>
  </si>
  <si>
    <t>ALilSnakes</t>
  </si>
  <si>
    <t>Dog</t>
  </si>
  <si>
    <t>Camemberts</t>
  </si>
  <si>
    <t>birria</t>
  </si>
  <si>
    <t>Biscuit</t>
  </si>
  <si>
    <t>ShiFood</t>
  </si>
  <si>
    <t>Soppressata</t>
  </si>
  <si>
    <t>Souffle</t>
  </si>
  <si>
    <t>Udon</t>
  </si>
  <si>
    <t>BEARCLAW</t>
  </si>
  <si>
    <t>Cat</t>
  </si>
  <si>
    <t>Queso</t>
  </si>
  <si>
    <t>Navaj699</t>
  </si>
  <si>
    <t>Margheritaa</t>
  </si>
  <si>
    <t>Croissant</t>
  </si>
  <si>
    <t>FP</t>
  </si>
  <si>
    <t>Ratatouille</t>
  </si>
  <si>
    <t>Gelato</t>
  </si>
  <si>
    <t>Frappuccino</t>
  </si>
  <si>
    <t>Poutine</t>
  </si>
  <si>
    <t>Bao</t>
  </si>
  <si>
    <t>RockyOysters</t>
  </si>
  <si>
    <t>Damnu</t>
  </si>
  <si>
    <t>Milkshake</t>
  </si>
  <si>
    <t>psiΨ</t>
  </si>
  <si>
    <t>Mulcaan</t>
  </si>
  <si>
    <t>Chips</t>
  </si>
  <si>
    <t>ladyfinger</t>
  </si>
  <si>
    <t>4'gro</t>
  </si>
  <si>
    <t>Sayaka</t>
  </si>
  <si>
    <t>EspressoC</t>
  </si>
  <si>
    <t>mochi</t>
  </si>
  <si>
    <t>xSouless</t>
  </si>
  <si>
    <t>huntress</t>
  </si>
  <si>
    <t>cappuccino</t>
  </si>
  <si>
    <t>Pho</t>
  </si>
  <si>
    <t>bacon</t>
  </si>
  <si>
    <t>Snoop</t>
  </si>
  <si>
    <t>sausage</t>
  </si>
  <si>
    <t>waffles</t>
  </si>
  <si>
    <t>Slushy</t>
  </si>
  <si>
    <t>Shawarma</t>
  </si>
  <si>
    <t>Turin</t>
  </si>
  <si>
    <t>egg</t>
  </si>
  <si>
    <t>bunnie</t>
  </si>
  <si>
    <t>syrup</t>
  </si>
  <si>
    <t>Shabushabu</t>
  </si>
  <si>
    <t>psi</t>
  </si>
  <si>
    <t>Mustard</t>
  </si>
  <si>
    <t>SazonxSofrito</t>
  </si>
  <si>
    <t>Rainbow sherbet</t>
  </si>
  <si>
    <t>CreamOfWheat69</t>
  </si>
  <si>
    <t>Tiramisu</t>
  </si>
  <si>
    <t>Flan</t>
  </si>
  <si>
    <t>Toro</t>
  </si>
  <si>
    <t>Danimals</t>
  </si>
  <si>
    <t>Eggplant</t>
  </si>
  <si>
    <t>Okonomiyaki</t>
  </si>
  <si>
    <t>Hazelnut</t>
  </si>
  <si>
    <t>Syn</t>
  </si>
  <si>
    <t>Emperor</t>
  </si>
  <si>
    <t>SmallButWhole</t>
  </si>
  <si>
    <t>xxouxx</t>
  </si>
  <si>
    <t>SuperSaiyanAndy</t>
  </si>
  <si>
    <t>nightghost1</t>
  </si>
  <si>
    <t>HEALERTANKDPS</t>
  </si>
  <si>
    <t>PhoPapi</t>
  </si>
  <si>
    <t>BigMeatyFlaps</t>
  </si>
  <si>
    <t>Drackovitch</t>
  </si>
  <si>
    <t>HxAbyss</t>
  </si>
  <si>
    <t>iizza</t>
  </si>
  <si>
    <t>Nyvri</t>
  </si>
  <si>
    <t>EsDeeKid</t>
  </si>
  <si>
    <t>Archpain</t>
  </si>
  <si>
    <t>Koiv</t>
  </si>
  <si>
    <t>Basileus</t>
  </si>
  <si>
    <t>Carolinne·</t>
  </si>
  <si>
    <t>⚔Sirdonw</t>
  </si>
  <si>
    <t>Artayy</t>
  </si>
  <si>
    <t>━Van━</t>
  </si>
  <si>
    <t>Raye</t>
  </si>
  <si>
    <t>WizardOfMaahs</t>
  </si>
  <si>
    <t>Pikupstyks</t>
  </si>
  <si>
    <t>Wizzardish</t>
  </si>
  <si>
    <t>TTVMericamodz</t>
  </si>
  <si>
    <t>MoistPickle</t>
  </si>
  <si>
    <t>Mostley</t>
  </si>
  <si>
    <t>Wolferwolf</t>
  </si>
  <si>
    <t>Sworb</t>
  </si>
  <si>
    <t>SquidyΔ</t>
  </si>
  <si>
    <t>Wink28</t>
  </si>
  <si>
    <t>Arryene</t>
  </si>
  <si>
    <t>Niyaa</t>
  </si>
  <si>
    <t>EmperorYaBoom</t>
  </si>
  <si>
    <t>Sns/Spear</t>
  </si>
  <si>
    <t>Oddly</t>
  </si>
  <si>
    <t>Squiddy</t>
  </si>
  <si>
    <t>G</t>
  </si>
  <si>
    <t>Basilieus</t>
  </si>
  <si>
    <t>CalistoV</t>
  </si>
  <si>
    <t>iiza</t>
  </si>
  <si>
    <t>EndLess</t>
  </si>
  <si>
    <t>BloodGod</t>
  </si>
  <si>
    <t>Chuma</t>
  </si>
  <si>
    <t>Khoper</t>
  </si>
  <si>
    <t>Carolinne</t>
  </si>
  <si>
    <t>Sirdonw</t>
  </si>
  <si>
    <t>Dermbreerns</t>
  </si>
  <si>
    <t>Van</t>
  </si>
  <si>
    <t>Falsemann</t>
  </si>
  <si>
    <t>10000101</t>
  </si>
  <si>
    <t>공공</t>
  </si>
  <si>
    <t>Haenaeh</t>
  </si>
  <si>
    <t>Rournn</t>
  </si>
  <si>
    <t>Theblackhokag3</t>
  </si>
  <si>
    <t>Satomi</t>
  </si>
  <si>
    <t>SamueljJacksonn</t>
  </si>
  <si>
    <t>Respectfully</t>
  </si>
  <si>
    <t>Leem</t>
  </si>
  <si>
    <t>jonballs</t>
  </si>
  <si>
    <t>InvalidUser</t>
  </si>
  <si>
    <t>hzrd</t>
  </si>
  <si>
    <t>GtzRudeBwoy</t>
  </si>
  <si>
    <t>Attrail</t>
  </si>
  <si>
    <t>PrimeStein</t>
  </si>
  <si>
    <t>BLadeRagnar</t>
  </si>
  <si>
    <t>SamuelJackson</t>
  </si>
  <si>
    <t>InvaIidUser</t>
  </si>
  <si>
    <t>Meaty</t>
  </si>
  <si>
    <t>/</t>
  </si>
  <si>
    <t>Team</t>
  </si>
  <si>
    <t>Kills</t>
  </si>
  <si>
    <t>Assists</t>
  </si>
  <si>
    <t>K + A</t>
  </si>
  <si>
    <t>Damage Dealt</t>
  </si>
  <si>
    <t>Damage Taken</t>
  </si>
  <si>
    <t>Amount Healed</t>
  </si>
  <si>
    <t>K+A Eff</t>
  </si>
  <si>
    <t>Dmg Dealt Eff</t>
  </si>
  <si>
    <t>Dmg Taken Eff</t>
  </si>
  <si>
    <t>Amt Healed Eff</t>
  </si>
  <si>
    <t>melatonin</t>
  </si>
  <si>
    <t>Yellow</t>
  </si>
  <si>
    <t>Overall Stats</t>
  </si>
  <si>
    <t>Top Kills + Assists</t>
  </si>
  <si>
    <t>Top Damage Dealt</t>
  </si>
  <si>
    <t>Overall Stats by Guild</t>
  </si>
  <si>
    <t>Revioli</t>
  </si>
  <si>
    <t>Data</t>
  </si>
  <si>
    <t>Red</t>
  </si>
  <si>
    <t>Damage</t>
  </si>
  <si>
    <t>BR</t>
  </si>
  <si>
    <t>ohMnMs</t>
  </si>
  <si>
    <t>rulERwOw</t>
  </si>
  <si>
    <t>Turnip</t>
  </si>
  <si>
    <t>Shield</t>
  </si>
  <si>
    <t>MÉNACE 会</t>
  </si>
  <si>
    <t>Dodl</t>
  </si>
  <si>
    <t>cyclingpig</t>
  </si>
  <si>
    <t>aquillo</t>
  </si>
  <si>
    <t>Broccoli</t>
  </si>
  <si>
    <t>% DT Healed</t>
  </si>
  <si>
    <t>Top Damage Taken</t>
  </si>
  <si>
    <t>Top Amount Healed</t>
  </si>
  <si>
    <t>DT</t>
  </si>
  <si>
    <t>Healed</t>
  </si>
  <si>
    <t>Bunnie</t>
  </si>
  <si>
    <t>CruMpet</t>
  </si>
  <si>
    <t>RayPeat</t>
  </si>
  <si>
    <t>Shawaruma</t>
  </si>
  <si>
    <t>Raitou</t>
  </si>
  <si>
    <t>TTVMeRicamodz</t>
  </si>
  <si>
    <t>BombaTriX</t>
  </si>
  <si>
    <t>DiegolasCR</t>
  </si>
  <si>
    <t>SamuelJacksonn</t>
  </si>
  <si>
    <t>Wolf</t>
  </si>
  <si>
    <t>JhonWillson</t>
  </si>
  <si>
    <t>bao</t>
  </si>
  <si>
    <t>Ladyfinger</t>
  </si>
  <si>
    <t>Tea</t>
  </si>
  <si>
    <t>Gum</t>
  </si>
  <si>
    <t>Column 1</t>
  </si>
  <si>
    <t>wimitwess</t>
  </si>
  <si>
    <t>Endless</t>
  </si>
  <si>
    <t>GOMDOL</t>
  </si>
  <si>
    <t>Spiciee</t>
  </si>
  <si>
    <t>SchoolOfTheWolf</t>
  </si>
  <si>
    <t>Cory</t>
  </si>
  <si>
    <t>CLEM˚</t>
  </si>
  <si>
    <t>After Care ツ</t>
  </si>
  <si>
    <t>SmashツV</t>
  </si>
  <si>
    <t>Big Chillin 二</t>
  </si>
  <si>
    <t>Lord·Commander</t>
  </si>
  <si>
    <t>Other</t>
  </si>
  <si>
    <t>Oddlly</t>
  </si>
  <si>
    <t>hammyjam</t>
  </si>
  <si>
    <t>P禄</t>
  </si>
  <si>
    <t>Syn˚</t>
  </si>
  <si>
    <t>Swayze×Express</t>
  </si>
  <si>
    <t>H612ツ</t>
  </si>
  <si>
    <t>Niyaaツ</t>
  </si>
  <si>
    <t>incakolatupapa</t>
  </si>
  <si>
    <t>Tempest 颶風</t>
  </si>
  <si>
    <t>⚔Leem⚔</t>
  </si>
  <si>
    <t>Regardless·</t>
  </si>
  <si>
    <t>sunny</t>
  </si>
  <si>
    <t>Blair</t>
  </si>
  <si>
    <t>Kagelzanamii</t>
  </si>
  <si>
    <t>Ender⚔</t>
  </si>
  <si>
    <t>stepsis⚝</t>
  </si>
  <si>
    <t>·Beru·</t>
  </si>
  <si>
    <t>Ruby·</t>
  </si>
  <si>
    <t>bloomy⚘</t>
  </si>
  <si>
    <t>Micheru⚔</t>
  </si>
  <si>
    <t>⚔ypher</t>
  </si>
  <si>
    <t>Nyx墨</t>
  </si>
  <si>
    <t>T0ji愛</t>
  </si>
  <si>
    <t>stepson⚝</t>
  </si>
  <si>
    <t>Yes☆</t>
  </si>
  <si>
    <t>王Tony</t>
  </si>
  <si>
    <t>⚔llahuAkbar</t>
  </si>
  <si>
    <t>Soft☆</t>
  </si>
  <si>
    <t>Pinkabu</t>
  </si>
  <si>
    <t>AJexa</t>
  </si>
  <si>
    <t>ESRK</t>
  </si>
  <si>
    <t>LeafLa</t>
  </si>
  <si>
    <t>EmperorYaBoom&gt;</t>
  </si>
  <si>
    <t>Jossseph生</t>
  </si>
  <si>
    <t>Rank</t>
  </si>
  <si>
    <t>Jailed</t>
  </si>
  <si>
    <t>xSoulless</t>
  </si>
  <si>
    <t>Danmu</t>
  </si>
  <si>
    <t>Arelite</t>
  </si>
  <si>
    <t>oro</t>
  </si>
  <si>
    <t>blee</t>
  </si>
  <si>
    <t>Leaf</t>
  </si>
  <si>
    <t>GraveZ</t>
  </si>
  <si>
    <t>Egirlwaifu</t>
  </si>
  <si>
    <t>Rice</t>
  </si>
  <si>
    <t>Gravity 死</t>
  </si>
  <si>
    <t>Kaiwei王</t>
  </si>
  <si>
    <t>Infwamy♡</t>
  </si>
  <si>
    <t>ribbit</t>
  </si>
  <si>
    <t>Keyuri</t>
  </si>
  <si>
    <t>NineteenF</t>
  </si>
  <si>
    <t>Jvspar</t>
  </si>
  <si>
    <t>Katieee</t>
  </si>
  <si>
    <t>iOryx</t>
  </si>
  <si>
    <t>·Itty·</t>
  </si>
  <si>
    <t>JAILED♡</t>
  </si>
  <si>
    <t>Tidaneum</t>
  </si>
  <si>
    <t>Carve</t>
  </si>
  <si>
    <t>BashidoBrown</t>
  </si>
  <si>
    <t>Zorae</t>
  </si>
  <si>
    <t>F0X</t>
  </si>
  <si>
    <t>Horhito</t>
  </si>
  <si>
    <t>Roargasm</t>
  </si>
  <si>
    <t>psi♡</t>
  </si>
  <si>
    <t>Vellani</t>
  </si>
  <si>
    <t>wCheer</t>
  </si>
  <si>
    <t>Henteyekage</t>
  </si>
  <si>
    <t>メIlahuAkbar</t>
  </si>
  <si>
    <t>闇ノ鬼</t>
  </si>
  <si>
    <t>Ellione</t>
  </si>
  <si>
    <t>DarkStealer</t>
  </si>
  <si>
    <t>Waymule</t>
  </si>
  <si>
    <t>Yuzurain</t>
  </si>
  <si>
    <t>IamEJ</t>
  </si>
  <si>
    <t>Judoh</t>
  </si>
  <si>
    <t>Kyraxi</t>
  </si>
  <si>
    <t>EsperC</t>
  </si>
  <si>
    <t>Wumpatrol</t>
  </si>
  <si>
    <t>Mythic</t>
  </si>
  <si>
    <t>Jenna</t>
  </si>
  <si>
    <t>Cireshie</t>
  </si>
  <si>
    <t>Nucleus</t>
  </si>
  <si>
    <t>治療者Inuyasha</t>
  </si>
  <si>
    <t>cheerleader</t>
  </si>
  <si>
    <t>xDemonx</t>
  </si>
  <si>
    <t>Shalloux</t>
  </si>
  <si>
    <t>JLube4</t>
  </si>
  <si>
    <t>G10X</t>
  </si>
  <si>
    <t>CatgirlASMR</t>
  </si>
  <si>
    <t>Papa·Heights✗</t>
  </si>
  <si>
    <t>Spectate</t>
  </si>
  <si>
    <t>Soft×</t>
  </si>
  <si>
    <t>主Tony</t>
  </si>
  <si>
    <t>Big Chillin 三</t>
  </si>
  <si>
    <t>·MoonCake·</t>
  </si>
  <si>
    <t>·Madz·</t>
  </si>
  <si>
    <t>CLEM*</t>
  </si>
  <si>
    <t>sorano·</t>
  </si>
  <si>
    <t>stepbro孝</t>
  </si>
  <si>
    <t>stepsis孝</t>
  </si>
  <si>
    <t>getaids</t>
  </si>
  <si>
    <t>Cursed 永</t>
  </si>
  <si>
    <t>miHoYoメ</t>
  </si>
  <si>
    <t>stepson孝</t>
  </si>
  <si>
    <t>BBlast</t>
  </si>
  <si>
    <t>Levy1ng</t>
  </si>
  <si>
    <t>woof</t>
  </si>
  <si>
    <t>Katooooooooooo</t>
  </si>
  <si>
    <t>ChunkyBruhdaツ</t>
  </si>
  <si>
    <t>meow</t>
  </si>
  <si>
    <t>Explicit</t>
  </si>
  <si>
    <t>Franks</t>
  </si>
  <si>
    <t>Papple</t>
  </si>
  <si>
    <t>phone</t>
  </si>
  <si>
    <t>Guddle</t>
  </si>
  <si>
    <t>ribbiit</t>
  </si>
  <si>
    <t>GuaroHC</t>
  </si>
  <si>
    <t>Dioxin</t>
  </si>
  <si>
    <t>Chewpie</t>
  </si>
  <si>
    <t>⸸Infidel</t>
  </si>
  <si>
    <t>volshebnikk</t>
  </si>
  <si>
    <t>Biofrozt</t>
  </si>
  <si>
    <t>kingleks</t>
  </si>
  <si>
    <t>DeSync</t>
  </si>
  <si>
    <t>Clearedメ</t>
  </si>
  <si>
    <t>dev8081</t>
  </si>
  <si>
    <t>Cireshe</t>
  </si>
  <si>
    <t>火lahuAkbar</t>
  </si>
  <si>
    <t>IPeriett</t>
  </si>
  <si>
    <t>SpielzeitX</t>
  </si>
  <si>
    <t>Feeli✘</t>
  </si>
  <si>
    <t>Andrea4Friends</t>
  </si>
  <si>
    <t>FTP 兰</t>
  </si>
  <si>
    <t>爱RosesAreRosie</t>
  </si>
  <si>
    <t>Katoooooooooooo</t>
  </si>
  <si>
    <t>Kaiwel王</t>
  </si>
  <si>
    <t>工Infidel</t>
  </si>
  <si>
    <t>Cleared✗</t>
  </si>
  <si>
    <t>Feelix✗</t>
  </si>
  <si>
    <t>Wolves of War</t>
  </si>
  <si>
    <t>Leyv1ng</t>
  </si>
  <si>
    <t>Cygg</t>
  </si>
  <si>
    <t>TechnoDroid</t>
  </si>
  <si>
    <t>Fearcely</t>
  </si>
  <si>
    <t>Crypticx</t>
  </si>
  <si>
    <t>Zahli</t>
  </si>
  <si>
    <t>Dhakoツ</t>
  </si>
  <si>
    <t>Robin一btwツ</t>
  </si>
  <si>
    <t>DaVinciメ</t>
  </si>
  <si>
    <t>AnastheTHICCEST</t>
  </si>
  <si>
    <t>Stigmates</t>
  </si>
  <si>
    <t>Fab</t>
  </si>
  <si>
    <t>Matiasツ</t>
  </si>
  <si>
    <t>Cooterメ</t>
  </si>
  <si>
    <t>zipえ</t>
  </si>
  <si>
    <t>DrNick</t>
  </si>
  <si>
    <t>Bane✗</t>
  </si>
  <si>
    <t>phobiaz</t>
  </si>
  <si>
    <t>Batman</t>
  </si>
  <si>
    <t>Skirlzツ</t>
  </si>
  <si>
    <t>Alfredツ</t>
  </si>
  <si>
    <t>FF</t>
  </si>
  <si>
    <t>Xton</t>
  </si>
  <si>
    <t>Zencki</t>
  </si>
  <si>
    <t>Jacobstips</t>
  </si>
  <si>
    <t>L1AM27</t>
  </si>
  <si>
    <t>ZeroGravitySE</t>
  </si>
  <si>
    <t>qhs</t>
  </si>
  <si>
    <t>Darkseid✗</t>
  </si>
  <si>
    <t>øloomy</t>
  </si>
  <si>
    <t>Nicktech</t>
  </si>
  <si>
    <t>Siennaチ</t>
  </si>
  <si>
    <t>Justin</t>
  </si>
  <si>
    <t>Gods</t>
  </si>
  <si>
    <t>DaVinci✗</t>
  </si>
  <si>
    <t>Robin−btwツ</t>
  </si>
  <si>
    <t>stepbroメ</t>
  </si>
  <si>
    <t>zipぇ</t>
  </si>
  <si>
    <t>Limitless</t>
  </si>
  <si>
    <t>eeiv</t>
  </si>
  <si>
    <t>stepson歩</t>
  </si>
  <si>
    <t>Cooter✗</t>
  </si>
  <si>
    <t>エInfidel</t>
  </si>
  <si>
    <t>ぁloomy</t>
  </si>
  <si>
    <t>Pendragonite</t>
  </si>
  <si>
    <t>Vysenya</t>
  </si>
  <si>
    <t>Infwamyツ</t>
  </si>
  <si>
    <t>Cozies</t>
  </si>
  <si>
    <t>Comfies</t>
  </si>
  <si>
    <t>Doobius</t>
  </si>
  <si>
    <t>Caffeine°</t>
  </si>
  <si>
    <t>Serebi</t>
  </si>
  <si>
    <t>LilAzure</t>
  </si>
  <si>
    <t>Revvyv</t>
  </si>
  <si>
    <t>Asyre</t>
  </si>
  <si>
    <t>Gunnex</t>
  </si>
  <si>
    <t>BΞAR</t>
  </si>
  <si>
    <t>iolair</t>
  </si>
  <si>
    <t>V0icES</t>
  </si>
  <si>
    <t>SchlonkBonk</t>
  </si>
  <si>
    <t>Mai</t>
  </si>
  <si>
    <t>MidnightMunche</t>
  </si>
  <si>
    <t>Alo寞</t>
  </si>
  <si>
    <t>uhh°</t>
  </si>
  <si>
    <t>Whalenツ</t>
  </si>
  <si>
    <t>Smeysh</t>
  </si>
  <si>
    <t>RivenLight</t>
  </si>
  <si>
    <t>ShiPhu</t>
  </si>
  <si>
    <t>bootythrasheer</t>
  </si>
  <si>
    <t>Valnash</t>
  </si>
  <si>
    <t>Azaliaz</t>
  </si>
  <si>
    <t>° Fae</t>
  </si>
  <si>
    <t>sigma</t>
  </si>
  <si>
    <t>KataokaYuu</t>
  </si>
  <si>
    <t>mgmt</t>
  </si>
  <si>
    <t>Gwenchanayo</t>
  </si>
  <si>
    <t>Riikuuシ</t>
  </si>
  <si>
    <t>Emiryia</t>
  </si>
  <si>
    <t>Spydur</t>
  </si>
  <si>
    <t>Groaxy</t>
  </si>
  <si>
    <t>ALilOuk</t>
  </si>
  <si>
    <t>soft</t>
  </si>
  <si>
    <t>Camaan</t>
  </si>
  <si>
    <t>R3ckl3ss</t>
  </si>
  <si>
    <t>Whiterangea</t>
  </si>
  <si>
    <t>Strawbaerrie</t>
  </si>
  <si>
    <t>Navaj6699</t>
  </si>
  <si>
    <t>NeoBahamut</t>
  </si>
  <si>
    <t>Astrix</t>
  </si>
  <si>
    <t>Energe</t>
  </si>
  <si>
    <t>CLEM`</t>
  </si>
  <si>
    <t>Arisce</t>
  </si>
  <si>
    <t>Auhrlynn</t>
  </si>
  <si>
    <t>leoツ</t>
  </si>
  <si>
    <t>kshu</t>
  </si>
  <si>
    <t>Geechi</t>
  </si>
  <si>
    <t>CGeass</t>
  </si>
  <si>
    <t>Ylwols</t>
  </si>
  <si>
    <t>Brockaton</t>
  </si>
  <si>
    <t>pookiee</t>
  </si>
  <si>
    <t>°Fae</t>
  </si>
  <si>
    <t>Emiriya</t>
  </si>
  <si>
    <t>Sapiel</t>
  </si>
  <si>
    <t>Astrixа</t>
  </si>
  <si>
    <t>Micheruメ</t>
  </si>
  <si>
    <t>火llahuAkbar</t>
  </si>
  <si>
    <t>Robinーbtwツ</t>
  </si>
  <si>
    <t>Artemis°</t>
  </si>
  <si>
    <t>Kitsu</t>
  </si>
  <si>
    <t>stepbro梦</t>
  </si>
  <si>
    <t>FairAngel°</t>
  </si>
  <si>
    <t>Sienna梦</t>
  </si>
  <si>
    <t>stepsis梦</t>
  </si>
  <si>
    <t>LeBron</t>
  </si>
  <si>
    <t>DrLiaraTsoni</t>
  </si>
  <si>
    <t>Catwomanツ</t>
  </si>
  <si>
    <t>stepson梦</t>
  </si>
  <si>
    <t>Eddston</t>
  </si>
  <si>
    <t>AngstyAmerican1</t>
  </si>
  <si>
    <t>ʚloomy</t>
  </si>
  <si>
    <t>zip え</t>
  </si>
  <si>
    <t>尺巴几七ロ几</t>
  </si>
  <si>
    <t>Poor</t>
  </si>
  <si>
    <t>Sienna孓</t>
  </si>
  <si>
    <t>Darkseidメ</t>
  </si>
  <si>
    <t>백미</t>
  </si>
  <si>
    <t>Spear/SnS</t>
  </si>
  <si>
    <t>Frzn凍</t>
  </si>
  <si>
    <t>Teey</t>
  </si>
  <si>
    <t>ミGiga</t>
  </si>
  <si>
    <t>Yofy</t>
  </si>
  <si>
    <t>R2D2火</t>
  </si>
  <si>
    <t>PRTS</t>
  </si>
  <si>
    <t>SprayMachine</t>
  </si>
  <si>
    <t>Riemann</t>
  </si>
  <si>
    <t>be</t>
  </si>
  <si>
    <t>Scales</t>
  </si>
  <si>
    <t>awco</t>
  </si>
  <si>
    <t>Harana</t>
  </si>
  <si>
    <t>OO</t>
  </si>
  <si>
    <t>Zank</t>
  </si>
  <si>
    <t>Wildezzz</t>
  </si>
  <si>
    <t>Orb/SnS</t>
  </si>
  <si>
    <t>chinny</t>
  </si>
  <si>
    <t>DarthOdin</t>
  </si>
  <si>
    <t>·Orianna·</t>
  </si>
  <si>
    <t>AC12</t>
  </si>
  <si>
    <t>DDID</t>
  </si>
  <si>
    <t>JI</t>
  </si>
  <si>
    <t>SuperJack</t>
  </si>
  <si>
    <t>yuzucitrus</t>
  </si>
  <si>
    <t>BU</t>
  </si>
  <si>
    <t>Disruptzツ</t>
  </si>
  <si>
    <t>msgrayness</t>
  </si>
  <si>
    <t>Ddcd</t>
  </si>
  <si>
    <t>Caelumregem</t>
  </si>
  <si>
    <t>JoToxic°</t>
  </si>
  <si>
    <t>McDo</t>
  </si>
  <si>
    <t>JE</t>
  </si>
  <si>
    <t>MagicArcher</t>
  </si>
  <si>
    <t>かCatWuみ</t>
  </si>
  <si>
    <t>Priel</t>
  </si>
  <si>
    <t>Athena山</t>
  </si>
  <si>
    <t>Numprosti</t>
  </si>
  <si>
    <t>Squidyム</t>
  </si>
  <si>
    <t>Katoooooooooo</t>
  </si>
  <si>
    <t>Dded</t>
  </si>
  <si>
    <t>Lucibot</t>
  </si>
  <si>
    <t>Croff</t>
  </si>
  <si>
    <t>Kelsik杀</t>
  </si>
  <si>
    <t>Silch</t>
  </si>
  <si>
    <t>ViruH</t>
  </si>
  <si>
    <t>Elliツ</t>
  </si>
  <si>
    <t>Bryanmxn</t>
  </si>
  <si>
    <t>Adversed</t>
  </si>
  <si>
    <t>Feelixメ</t>
  </si>
  <si>
    <t>00</t>
  </si>
  <si>
    <t>Yofyy</t>
  </si>
  <si>
    <t>Pandox</t>
  </si>
  <si>
    <t>Kelsik系</t>
  </si>
  <si>
    <t>Leafミ</t>
  </si>
  <si>
    <t>Elliッ</t>
  </si>
  <si>
    <t>KyurleZ</t>
  </si>
  <si>
    <t>Akaru牛</t>
  </si>
  <si>
    <t>Vynterra</t>
  </si>
  <si>
    <t>Syfei</t>
  </si>
  <si>
    <t>Amplify</t>
  </si>
  <si>
    <t>Beyblade</t>
  </si>
  <si>
    <t>topteddy</t>
  </si>
  <si>
    <t>Goddesscream</t>
  </si>
  <si>
    <t>JayNawFur</t>
  </si>
  <si>
    <t>boujee°</t>
  </si>
  <si>
    <t>iolaire</t>
  </si>
  <si>
    <t>Revvvy</t>
  </si>
  <si>
    <t>Micheru✗</t>
  </si>
  <si>
    <t>Adaneth</t>
  </si>
  <si>
    <t>ShacoBoxs</t>
  </si>
  <si>
    <t>LaneyToo</t>
  </si>
  <si>
    <t>Astrixx</t>
  </si>
  <si>
    <t>YugoNiteNite</t>
  </si>
  <si>
    <t>GlizzyGobblerツ</t>
  </si>
  <si>
    <t>OreoOz</t>
  </si>
  <si>
    <t>ProfessorOuk</t>
  </si>
  <si>
    <t>ADub187</t>
  </si>
  <si>
    <t>TarnishedMaiden</t>
  </si>
  <si>
    <t>xSailorPluto</t>
  </si>
  <si>
    <t>Auhrynn</t>
  </si>
  <si>
    <t>CLEMˣ</t>
  </si>
  <si>
    <t>·NeRo</t>
  </si>
  <si>
    <t>Overpowered</t>
  </si>
  <si>
    <t>BヨAR</t>
  </si>
  <si>
    <t>GVPツ</t>
  </si>
  <si>
    <t>矛户ɪ长モD冖A丁</t>
  </si>
  <si>
    <t>火IllahuAkbar</t>
  </si>
  <si>
    <t>Oreoоз</t>
  </si>
  <si>
    <t>Feelix✘</t>
  </si>
  <si>
    <t>Qwazzツ</t>
  </si>
  <si>
    <t>Jmunnie</t>
  </si>
  <si>
    <t>Jehoo</t>
  </si>
  <si>
    <t>SpudzMcWhiskey</t>
  </si>
  <si>
    <t>auxtin°</t>
  </si>
  <si>
    <t>Pimly雄</t>
  </si>
  <si>
    <t>Ladyman</t>
  </si>
  <si>
    <t>Sakki·</t>
  </si>
  <si>
    <t>AshツChaos</t>
  </si>
  <si>
    <t>psiツ</t>
  </si>
  <si>
    <t>Byul</t>
  </si>
  <si>
    <t>Staff</t>
  </si>
  <si>
    <t>Natejas</t>
  </si>
  <si>
    <t>eb0shkaツ</t>
  </si>
  <si>
    <t>Bash</t>
  </si>
  <si>
    <t>Rhythmics</t>
  </si>
  <si>
    <t>Jasonx</t>
  </si>
  <si>
    <t>Zyrwolf</t>
  </si>
  <si>
    <t>Kyno</t>
  </si>
  <si>
    <t>Mogiツ</t>
  </si>
  <si>
    <t>Theodynn</t>
  </si>
  <si>
    <t>Griimnir</t>
  </si>
  <si>
    <t>Trollracs</t>
  </si>
  <si>
    <t>Xskulled</t>
  </si>
  <si>
    <t>Oniシ</t>
  </si>
  <si>
    <t>neysha</t>
  </si>
  <si>
    <t>SpotÂ·</t>
  </si>
  <si>
    <t>Wafeb</t>
  </si>
  <si>
    <t>Fadeãµã¡</t>
  </si>
  <si>
    <t>sojuÂ·</t>
  </si>
  <si>
    <t>Feelinãƒ¡</t>
  </si>
  <si>
    <t>wxc</t>
  </si>
  <si>
    <t>Nugdeal</t>
  </si>
  <si>
    <t>SakkiÂ·</t>
  </si>
  <si>
    <t>auxtinÂ°</t>
  </si>
  <si>
    <t>Enderãƒ¡</t>
  </si>
  <si>
    <t>Klappincheekz</t>
  </si>
  <si>
    <t>ë°±ë¯¸</t>
  </si>
  <si>
    <t>GVPãƒƒ</t>
  </si>
  <si>
    <t>OneShotable</t>
  </si>
  <si>
    <t>eb0shkaãƒ„</t>
  </si>
  <si>
    <t>LeafãƒŸ</t>
  </si>
  <si>
    <t>ç«IlahuAkbar</t>
  </si>
  <si>
    <t>Dangdudes</t>
  </si>
  <si>
    <t>psiãƒ„</t>
  </si>
  <si>
    <t>Teadon</t>
  </si>
  <si>
    <t>xPooh</t>
  </si>
  <si>
    <t>Bbattu</t>
  </si>
  <si>
    <t>Disruptzãƒ„</t>
  </si>
  <si>
    <t>Oniã‚·</t>
  </si>
  <si>
    <t>Frznå‡</t>
  </si>
  <si>
    <t>Riakou</t>
  </si>
  <si>
    <t>finalElf</t>
  </si>
  <si>
    <t>Ashãƒ„Chaos</t>
  </si>
  <si>
    <t>Tevå†¥</t>
  </si>
  <si>
    <t>Gorndog</t>
  </si>
  <si>
    <t>wxcxz</t>
  </si>
  <si>
    <t>Reinier</t>
  </si>
  <si>
    <t>ç«llahuAkbar</t>
  </si>
  <si>
    <t>Yakoolt</t>
  </si>
  <si>
    <t>SurvivorSage</t>
  </si>
  <si>
    <t>Rumiho</t>
  </si>
  <si>
    <t>Ambyulance</t>
  </si>
  <si>
    <t>ZOpeth</t>
  </si>
  <si>
    <t>æ„›RosesAreRosie</t>
  </si>
  <si>
    <t>CLEMË‡</t>
  </si>
  <si>
    <t>auxtin*</t>
  </si>
  <si>
    <t>Pimlyé›„</t>
  </si>
  <si>
    <t>Enderâœ˜</t>
  </si>
  <si>
    <t>Tevç´¯</t>
  </si>
  <si>
    <t>ç«IllahuAkbar</t>
  </si>
  <si>
    <t>ZEROK22</t>
  </si>
  <si>
    <t>ArtemisÂ°</t>
  </si>
  <si>
    <t>dimenãƒ„</t>
  </si>
  <si>
    <t>Jotaxdd</t>
  </si>
  <si>
    <t>CLEMË£</t>
  </si>
  <si>
    <t>stepbroï¾Œ</t>
  </si>
  <si>
    <t>RosesAreRosie</t>
  </si>
  <si>
    <t>Bobbyä¸€btw</t>
  </si>
  <si>
    <t>Cavarria</t>
  </si>
  <si>
    <t>Siennaï¾Œ</t>
  </si>
  <si>
    <t>Released</t>
  </si>
  <si>
    <t>CVLT</t>
  </si>
  <si>
    <t>eepY.EXE</t>
  </si>
  <si>
    <t>stepsisï¾Œ</t>
  </si>
  <si>
    <t>Whoopsãƒ„</t>
  </si>
  <si>
    <t>Stop</t>
  </si>
  <si>
    <t>stepsonï¾Œ</t>
  </si>
  <si>
    <t>Bloo</t>
  </si>
  <si>
    <t>Tevè³½</t>
  </si>
  <si>
    <t>PurpleÂ·</t>
  </si>
  <si>
    <t>FoolyHeals</t>
  </si>
  <si>
    <t>Cele</t>
  </si>
  <si>
    <t>Wari0</t>
  </si>
  <si>
    <t>AirPewPewã‚·</t>
  </si>
  <si>
    <t>SerFrza</t>
  </si>
  <si>
    <t>Mubz</t>
  </si>
  <si>
    <t>Yourhighness</t>
  </si>
  <si>
    <t>Cappers</t>
  </si>
  <si>
    <t>Cooterãƒ¡</t>
  </si>
  <si>
    <t>Dhakoãƒ„</t>
  </si>
  <si>
    <t>Kunaãƒ„</t>
  </si>
  <si>
    <t>zipã‡</t>
  </si>
  <si>
    <t>stepbroä¹‚</t>
  </si>
  <si>
    <t>Bobbyãƒ¼btw</t>
  </si>
  <si>
    <t>stepsisä¹‚</t>
  </si>
  <si>
    <t>CVLTãƒ¡</t>
  </si>
  <si>
    <t>Siennaä¹‚</t>
  </si>
  <si>
    <t>Wand/SnS</t>
  </si>
  <si>
    <t>stepsonä¹‚</t>
  </si>
  <si>
    <t>Rarkar</t>
  </si>
  <si>
    <t>CLEM™</t>
  </si>
  <si>
    <t>蔷RosesAreRosie</t>
  </si>
  <si>
    <t>Spot-</t>
  </si>
  <si>
    <t>Funkmunk</t>
  </si>
  <si>
    <t>Reglaians</t>
  </si>
  <si>
    <t>Cooop</t>
  </si>
  <si>
    <t>Frzn秦</t>
  </si>
  <si>
    <t>soju-</t>
  </si>
  <si>
    <t>AzaRoo</t>
  </si>
  <si>
    <t>flawssyy</t>
  </si>
  <si>
    <t>Alesian</t>
  </si>
  <si>
    <t>Zynwolf</t>
  </si>
  <si>
    <t>Vatican-</t>
  </si>
  <si>
    <t>Groff</t>
  </si>
  <si>
    <t>Brazuca87</t>
  </si>
  <si>
    <t>EnderX</t>
  </si>
  <si>
    <t>apogonzo</t>
  </si>
  <si>
    <t>çŽ‹Tony</t>
  </si>
  <si>
    <t>Frznè‘‰</t>
  </si>
  <si>
    <t>Incontrol</t>
  </si>
  <si>
    <t>CiriTargaryen</t>
  </si>
  <si>
    <t>Danggdudes</t>
  </si>
  <si>
    <t>VaticanÂ·</t>
  </si>
  <si>
    <t>Tevè‘‰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</si>
</sst>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4">
    <font>
      <sz val="10"/>
      <color rgb="FF000000"/>
      <name val="Arial"/>
      <scheme val="minor"/>
    </font>
    <font>
      <b/>
      <u/>
      <sz val="10"/>
      <color rgb="FF000000"/>
      <name val="Arial"/>
    </font>
    <font>
      <b/>
      <u/>
      <sz val="10"/>
      <color rgb="FF000000"/>
      <name val="Arial"/>
    </font>
    <font>
      <b/>
      <u/>
      <sz val="10"/>
      <color rgb="FFF3F3F3"/>
      <name val="Arial"/>
    </font>
    <font>
      <b/>
      <u/>
      <sz val="10"/>
      <color rgb="FF000000"/>
      <name val="Arial"/>
    </font>
    <font>
      <b/>
      <u/>
      <sz val="10"/>
      <color theme="1"/>
      <name val="Arial"/>
      <scheme val="minor"/>
    </font>
    <font>
      <sz val="10"/>
      <color theme="1"/>
      <name val="Arial"/>
      <scheme val="minor"/>
    </font>
    <font>
      <sz val="10"/>
      <color rgb="FF000000"/>
      <name val="Arial"/>
    </font>
    <font>
      <sz val="10"/>
      <color rgb="FFF3F3F3"/>
      <name val="Arial"/>
    </font>
    <font>
      <sz val="10"/>
      <color theme="1"/>
      <name val="Arial"/>
    </font>
    <font>
      <sz val="11"/>
      <color rgb="FF000000"/>
      <name val="Calibri"/>
    </font>
    <font>
      <sz val="10"/>
      <color rgb="FFF3F3F3"/>
      <name val="Arial"/>
      <scheme val="minor"/>
    </font>
    <font>
      <sz val="12"/>
      <color rgb="FF000000"/>
      <name val="Calibri"/>
    </font>
    <font>
      <sz val="11"/>
      <color rgb="FF000000"/>
      <name val="&quot;Aptos Narrow&quot;"/>
    </font>
    <font>
      <sz val="11"/>
      <color rgb="FF000000"/>
      <name val="Arial"/>
    </font>
    <font>
      <sz val="11"/>
      <color theme="1"/>
      <name val="Calibri"/>
    </font>
    <font>
      <sz val="11"/>
      <color theme="1"/>
      <name val="Aptos Narrow"/>
    </font>
    <font>
      <sz val="11"/>
      <color theme="1"/>
      <name val="Arial"/>
    </font>
    <font>
      <b/>
      <sz val="10"/>
      <color theme="1"/>
      <name val="Calibri"/>
    </font>
    <font>
      <b/>
      <u/>
      <sz val="10"/>
      <color theme="1"/>
      <name val="Calibri"/>
    </font>
    <font>
      <sz val="10"/>
      <color theme="1"/>
      <name val="Calibri"/>
    </font>
    <font>
      <sz val="10"/>
      <color rgb="FFE5E5E5"/>
      <name val="Calibri"/>
    </font>
    <font>
      <sz val="10"/>
      <color rgb="FF434343"/>
      <name val="Calibri"/>
    </font>
    <font>
      <b/>
      <sz val="12"/>
      <color theme="1"/>
      <name val="Calibri"/>
    </font>
    <font>
      <sz val="10"/>
      <color rgb="FFD4EDBC"/>
      <name val="Calibri"/>
    </font>
    <font>
      <sz val="10"/>
      <color theme="1"/>
      <name val="Calibri"/>
    </font>
    <font>
      <sz val="10"/>
      <color rgb="FF5A3286"/>
      <name val="Calibri"/>
    </font>
    <font>
      <sz val="10"/>
      <color rgb="FFB10202"/>
      <name val="Calibri"/>
    </font>
    <font>
      <b/>
      <sz val="10"/>
      <color rgb="FF434343"/>
      <name val="Calibri"/>
    </font>
    <font>
      <b/>
      <sz val="10"/>
      <color theme="1"/>
      <name val="Roboto"/>
    </font>
    <font>
      <b/>
      <u/>
      <sz val="10"/>
      <color theme="1"/>
      <name val="Roboto"/>
    </font>
    <font>
      <sz val="10"/>
      <color rgb="FFE5E5E5"/>
      <name val="Roboto"/>
    </font>
    <font>
      <sz val="10"/>
      <color rgb="FF434343"/>
      <name val="Roboto"/>
    </font>
    <font>
      <sz val="10"/>
      <color rgb="FF000000"/>
      <name val="Roboto"/>
    </font>
    <font>
      <sz val="10"/>
      <color theme="1"/>
      <name val="Roboto"/>
    </font>
    <font>
      <sz val="10"/>
      <color rgb="FF5A3286"/>
      <name val="Roboto"/>
    </font>
    <font>
      <sz val="10"/>
      <color rgb="FFB10202"/>
      <name val="Roboto"/>
    </font>
    <font>
      <sz val="10"/>
      <color rgb="FFD4EDBC"/>
      <name val="Roboto"/>
    </font>
    <font>
      <b/>
      <sz val="10"/>
      <color rgb="FF434343"/>
      <name val="Roboto"/>
    </font>
    <font>
      <b/>
      <sz val="10"/>
      <color theme="1"/>
      <name val="Arial"/>
      <scheme val="minor"/>
    </font>
    <font>
      <b/>
      <u/>
      <sz val="10"/>
      <color theme="1"/>
      <name val="Arial"/>
      <scheme val="minor"/>
    </font>
    <font>
      <b/>
      <sz val="12"/>
      <color theme="1"/>
      <name val="Arial"/>
      <scheme val="minor"/>
    </font>
    <font>
      <sz val="10"/>
      <color theme="1"/>
      <name val="Arial"/>
      <scheme val="minor"/>
    </font>
    <font>
      <sz val="11"/>
      <color rgb="FF000000"/>
      <name val="Calibri"/>
      <family val="2"/>
    </font>
  </fonts>
  <fills count="14">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FFD700"/>
        <bgColor rgb="FFFFD700"/>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DCEAD4"/>
        <bgColor rgb="FFDCEAD4"/>
      </patternFill>
    </fill>
    <fill>
      <patternFill patternType="solid">
        <fgColor rgb="FFF6F8F9"/>
        <bgColor rgb="FFF6F8F9"/>
      </patternFill>
    </fill>
    <fill>
      <patternFill patternType="solid">
        <fgColor rgb="FF3D3D3D"/>
        <bgColor rgb="FF3D3D3D"/>
      </patternFill>
    </fill>
    <fill>
      <patternFill patternType="solid">
        <fgColor rgb="FFFFF2CC"/>
        <bgColor rgb="FFFFF2CC"/>
      </patternFill>
    </fill>
    <fill>
      <patternFill patternType="solid">
        <fgColor rgb="FFFFFFFF"/>
        <bgColor indexed="64"/>
      </patternFill>
    </fill>
    <fill>
      <patternFill patternType="solid">
        <fgColor rgb="FFEFEFEF"/>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EFEFEF"/>
      </left>
      <right style="thin">
        <color rgb="FFEFEFEF"/>
      </right>
      <top style="thin">
        <color rgb="FFEFEFEF"/>
      </top>
      <bottom style="thin">
        <color rgb="FFEFEFE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rgb="FF000000"/>
      </top>
      <bottom style="thin">
        <color rgb="FFFFD700"/>
      </bottom>
      <diagonal/>
    </border>
    <border>
      <left style="thin">
        <color rgb="FF000000"/>
      </left>
      <right style="thin">
        <color rgb="FF000000"/>
      </right>
      <top style="thin">
        <color rgb="FF000000"/>
      </top>
      <bottom style="thin">
        <color rgb="FFF4CCCC"/>
      </bottom>
      <diagonal/>
    </border>
    <border>
      <left style="thin">
        <color rgb="FFEFEFEF"/>
      </left>
      <right style="thin">
        <color rgb="FFEFEFEF"/>
      </right>
      <top style="thin">
        <color rgb="FFEFEFEF"/>
      </top>
      <bottom style="thin">
        <color rgb="FFBFA100"/>
      </bottom>
      <diagonal/>
    </border>
    <border>
      <left/>
      <right style="thin">
        <color rgb="FF000000"/>
      </right>
      <top/>
      <bottom/>
      <diagonal/>
    </border>
    <border>
      <left style="medium">
        <color rgb="FFFFFFFF"/>
      </left>
      <right style="medium">
        <color rgb="FFFFFFFF"/>
      </right>
      <top style="medium">
        <color rgb="FFBFA100"/>
      </top>
      <bottom style="medium">
        <color rgb="FFEFEFEF"/>
      </bottom>
      <diagonal/>
    </border>
    <border>
      <left style="medium">
        <color rgb="FFEFEFEF"/>
      </left>
      <right style="medium">
        <color rgb="FFEFEFEF"/>
      </right>
      <top style="medium">
        <color rgb="FFCCCCCC"/>
      </top>
      <bottom style="medium">
        <color rgb="FFEFEFEF"/>
      </bottom>
      <diagonal/>
    </border>
    <border>
      <left style="medium">
        <color rgb="FFFFFFFF"/>
      </left>
      <right style="medium">
        <color rgb="FFFFFFFF"/>
      </right>
      <top style="medium">
        <color rgb="FFCCCCCC"/>
      </top>
      <bottom style="medium">
        <color rgb="FFEFEFEF"/>
      </bottom>
      <diagonal/>
    </border>
  </borders>
  <cellStyleXfs count="1">
    <xf numFmtId="0" fontId="0" fillId="0" borderId="0"/>
  </cellStyleXfs>
  <cellXfs count="237">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6" fillId="0" borderId="0" xfId="0" applyFont="1" applyAlignment="1">
      <alignment horizontal="center"/>
    </xf>
    <xf numFmtId="14" fontId="6" fillId="0" borderId="0" xfId="0" applyNumberFormat="1" applyFont="1" applyAlignment="1">
      <alignment horizontal="center"/>
    </xf>
    <xf numFmtId="0" fontId="9" fillId="0" borderId="0" xfId="0" applyFont="1" applyAlignment="1">
      <alignment horizontal="center"/>
    </xf>
    <xf numFmtId="0" fontId="9" fillId="0" borderId="0" xfId="0" applyFont="1"/>
    <xf numFmtId="0" fontId="10" fillId="0" borderId="0" xfId="0" applyFont="1"/>
    <xf numFmtId="0" fontId="11" fillId="0" borderId="0" xfId="0" applyFont="1" applyAlignment="1">
      <alignment horizontal="center"/>
    </xf>
    <xf numFmtId="0" fontId="12" fillId="0" borderId="0" xfId="0" applyFont="1"/>
    <xf numFmtId="0" fontId="13" fillId="0" borderId="0" xfId="0" applyFont="1"/>
    <xf numFmtId="0" fontId="14" fillId="0" borderId="0" xfId="0" applyFont="1"/>
    <xf numFmtId="0" fontId="10" fillId="0" borderId="0" xfId="0" applyFont="1" applyAlignment="1">
      <alignment horizontal="center"/>
    </xf>
    <xf numFmtId="0" fontId="9" fillId="2" borderId="0" xfId="0" applyFont="1" applyFill="1"/>
    <xf numFmtId="0" fontId="15" fillId="2" borderId="0" xfId="0" applyFont="1" applyFill="1" applyAlignment="1">
      <alignment horizontal="center"/>
    </xf>
    <xf numFmtId="0" fontId="14" fillId="0" borderId="0" xfId="0" applyFont="1" applyAlignment="1">
      <alignment horizontal="center"/>
    </xf>
    <xf numFmtId="0" fontId="16" fillId="2" borderId="1" xfId="0" applyFont="1" applyFill="1" applyBorder="1"/>
    <xf numFmtId="0" fontId="17" fillId="3" borderId="2" xfId="0" applyFont="1" applyFill="1" applyBorder="1"/>
    <xf numFmtId="0" fontId="16" fillId="3" borderId="2" xfId="0" applyFont="1" applyFill="1" applyBorder="1"/>
    <xf numFmtId="0" fontId="17" fillId="2" borderId="1" xfId="0" applyFont="1" applyFill="1" applyBorder="1"/>
    <xf numFmtId="0" fontId="18" fillId="0" borderId="0" xfId="0" applyFont="1" applyAlignment="1">
      <alignment horizontal="left" vertical="center" wrapText="1"/>
    </xf>
    <xf numFmtId="0" fontId="18" fillId="0" borderId="0" xfId="0" applyFont="1" applyAlignment="1">
      <alignment horizontal="left" vertical="center"/>
    </xf>
    <xf numFmtId="0" fontId="19" fillId="0" borderId="0" xfId="0" applyFont="1" applyAlignment="1">
      <alignment horizontal="left" vertical="center"/>
    </xf>
    <xf numFmtId="49" fontId="18" fillId="0" borderId="0" xfId="0" applyNumberFormat="1" applyFont="1" applyAlignment="1">
      <alignment horizontal="left" vertical="center"/>
    </xf>
    <xf numFmtId="10" fontId="18" fillId="0" borderId="0" xfId="0" applyNumberFormat="1" applyFont="1" applyAlignment="1">
      <alignment horizontal="left" vertical="center"/>
    </xf>
    <xf numFmtId="0" fontId="20" fillId="0" borderId="0" xfId="0" applyFont="1"/>
    <xf numFmtId="0" fontId="10" fillId="0" borderId="0" xfId="0" applyFont="1" applyAlignment="1">
      <alignment horizontal="right" vertical="center"/>
    </xf>
    <xf numFmtId="0" fontId="21" fillId="2" borderId="1" xfId="0" applyFont="1" applyFill="1" applyBorder="1" applyAlignment="1">
      <alignment vertical="center"/>
    </xf>
    <xf numFmtId="0" fontId="22" fillId="2" borderId="1" xfId="0" applyFont="1" applyFill="1" applyBorder="1" applyAlignment="1">
      <alignment vertical="center"/>
    </xf>
    <xf numFmtId="0" fontId="10" fillId="0" borderId="0" xfId="0" applyFont="1" applyAlignment="1">
      <alignment vertical="center"/>
    </xf>
    <xf numFmtId="49" fontId="10" fillId="0" borderId="0" xfId="0" applyNumberFormat="1" applyFont="1" applyAlignment="1">
      <alignment vertical="center"/>
    </xf>
    <xf numFmtId="3" fontId="10" fillId="0" borderId="0" xfId="0" applyNumberFormat="1" applyFont="1" applyAlignment="1">
      <alignment horizontal="right" vertical="center"/>
    </xf>
    <xf numFmtId="10" fontId="20" fillId="0" borderId="0" xfId="0" applyNumberFormat="1" applyFont="1" applyAlignment="1">
      <alignment vertical="center"/>
    </xf>
    <xf numFmtId="0" fontId="23" fillId="0" borderId="0" xfId="0" applyFont="1" applyAlignment="1">
      <alignment horizontal="center"/>
    </xf>
    <xf numFmtId="0" fontId="24" fillId="3" borderId="2" xfId="0" applyFont="1" applyFill="1" applyBorder="1" applyAlignment="1">
      <alignment vertical="center"/>
    </xf>
    <xf numFmtId="0" fontId="18" fillId="0" borderId="3" xfId="0" applyFont="1" applyBorder="1" applyAlignment="1">
      <alignment horizontal="left" vertical="center"/>
    </xf>
    <xf numFmtId="0" fontId="18" fillId="0" borderId="3" xfId="0"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18" fillId="0" borderId="3" xfId="0" applyFont="1" applyBorder="1" applyAlignment="1">
      <alignment vertical="center"/>
    </xf>
    <xf numFmtId="3" fontId="25" fillId="4" borderId="3" xfId="0" applyNumberFormat="1" applyFont="1" applyFill="1" applyBorder="1" applyAlignment="1">
      <alignment vertical="center"/>
    </xf>
    <xf numFmtId="3" fontId="25" fillId="5" borderId="3" xfId="0" applyNumberFormat="1" applyFont="1" applyFill="1" applyBorder="1" applyAlignment="1">
      <alignment vertical="center"/>
    </xf>
    <xf numFmtId="0" fontId="18" fillId="0" borderId="0" xfId="0" applyFont="1" applyAlignment="1">
      <alignment vertical="center"/>
    </xf>
    <xf numFmtId="3" fontId="20" fillId="0" borderId="0" xfId="0" applyNumberFormat="1" applyFont="1" applyAlignment="1">
      <alignment vertical="center"/>
    </xf>
    <xf numFmtId="3" fontId="25" fillId="6" borderId="3" xfId="0" applyNumberFormat="1" applyFont="1" applyFill="1" applyBorder="1" applyAlignment="1">
      <alignment vertical="center"/>
    </xf>
    <xf numFmtId="3" fontId="25" fillId="7" borderId="3" xfId="0" applyNumberFormat="1" applyFont="1" applyFill="1" applyBorder="1" applyAlignment="1">
      <alignment vertical="center"/>
    </xf>
    <xf numFmtId="0" fontId="24" fillId="2" borderId="2" xfId="0" applyFont="1" applyFill="1" applyBorder="1" applyAlignment="1">
      <alignment vertical="center"/>
    </xf>
    <xf numFmtId="0" fontId="22" fillId="3" borderId="2" xfId="0" applyFont="1" applyFill="1" applyBorder="1" applyAlignment="1">
      <alignment vertical="center"/>
    </xf>
    <xf numFmtId="0" fontId="26" fillId="3" borderId="2" xfId="0" applyFont="1" applyFill="1" applyBorder="1" applyAlignment="1">
      <alignment vertical="center"/>
    </xf>
    <xf numFmtId="0" fontId="26" fillId="3" borderId="1" xfId="0" applyFont="1" applyFill="1" applyBorder="1" applyAlignment="1">
      <alignment vertical="center"/>
    </xf>
    <xf numFmtId="0" fontId="21" fillId="3" borderId="2" xfId="0" applyFont="1" applyFill="1" applyBorder="1" applyAlignment="1">
      <alignment vertical="center"/>
    </xf>
    <xf numFmtId="0" fontId="21" fillId="3" borderId="1" xfId="0" applyFont="1" applyFill="1" applyBorder="1" applyAlignment="1">
      <alignment vertical="center"/>
    </xf>
    <xf numFmtId="3" fontId="25" fillId="4" borderId="0" xfId="0" applyNumberFormat="1" applyFont="1" applyFill="1" applyAlignment="1">
      <alignment vertical="center"/>
    </xf>
    <xf numFmtId="0" fontId="21" fillId="2" borderId="2" xfId="0" applyFont="1" applyFill="1" applyBorder="1" applyAlignment="1">
      <alignment vertical="center"/>
    </xf>
    <xf numFmtId="0" fontId="24" fillId="2" borderId="1" xfId="0" applyFont="1" applyFill="1" applyBorder="1" applyAlignment="1">
      <alignment vertical="center"/>
    </xf>
    <xf numFmtId="0" fontId="27" fillId="3" borderId="2" xfId="0" applyFont="1" applyFill="1" applyBorder="1" applyAlignment="1">
      <alignment vertical="center"/>
    </xf>
    <xf numFmtId="0" fontId="24" fillId="3" borderId="1" xfId="0" applyFont="1" applyFill="1" applyBorder="1" applyAlignment="1">
      <alignment vertical="center"/>
    </xf>
    <xf numFmtId="3" fontId="25" fillId="0" borderId="0" xfId="0" applyNumberFormat="1" applyFont="1"/>
    <xf numFmtId="3" fontId="20" fillId="0" borderId="0" xfId="0" applyNumberFormat="1" applyFont="1"/>
    <xf numFmtId="0" fontId="22" fillId="2" borderId="2" xfId="0" applyFont="1" applyFill="1" applyBorder="1" applyAlignment="1">
      <alignment vertical="center"/>
    </xf>
    <xf numFmtId="0" fontId="22" fillId="3" borderId="1" xfId="0" applyFont="1" applyFill="1" applyBorder="1" applyAlignment="1">
      <alignment vertical="center"/>
    </xf>
    <xf numFmtId="0" fontId="26" fillId="2" borderId="2" xfId="0" applyFont="1" applyFill="1" applyBorder="1" applyAlignment="1">
      <alignment vertical="center"/>
    </xf>
    <xf numFmtId="0" fontId="27" fillId="3" borderId="1" xfId="0" applyFont="1" applyFill="1" applyBorder="1" applyAlignment="1">
      <alignment vertical="center"/>
    </xf>
    <xf numFmtId="0" fontId="26" fillId="2" borderId="1" xfId="0" applyFont="1" applyFill="1" applyBorder="1" applyAlignment="1">
      <alignment vertical="center"/>
    </xf>
    <xf numFmtId="3" fontId="25" fillId="8" borderId="3" xfId="0" applyNumberFormat="1" applyFont="1" applyFill="1" applyBorder="1" applyAlignment="1">
      <alignment vertical="center"/>
    </xf>
    <xf numFmtId="0" fontId="27" fillId="2" borderId="1" xfId="0" applyFont="1" applyFill="1" applyBorder="1" applyAlignment="1">
      <alignment vertical="center"/>
    </xf>
    <xf numFmtId="0" fontId="18" fillId="0" borderId="0" xfId="0" applyFont="1" applyAlignment="1">
      <alignment horizontal="center" vertical="center"/>
    </xf>
    <xf numFmtId="0" fontId="27" fillId="2" borderId="2" xfId="0" applyFont="1" applyFill="1" applyBorder="1" applyAlignment="1">
      <alignment vertical="center"/>
    </xf>
    <xf numFmtId="0" fontId="28" fillId="2" borderId="3" xfId="0" applyFont="1" applyFill="1" applyBorder="1" applyAlignment="1">
      <alignment vertical="center"/>
    </xf>
    <xf numFmtId="3" fontId="22" fillId="4" borderId="3" xfId="0" applyNumberFormat="1" applyFont="1" applyFill="1" applyBorder="1" applyAlignment="1">
      <alignment horizontal="right" vertical="center"/>
    </xf>
    <xf numFmtId="3" fontId="22" fillId="5" borderId="3" xfId="0" applyNumberFormat="1" applyFont="1" applyFill="1" applyBorder="1" applyAlignment="1">
      <alignment horizontal="right" vertical="center"/>
    </xf>
    <xf numFmtId="0" fontId="14" fillId="0" borderId="0" xfId="0" applyFont="1" applyAlignment="1">
      <alignment vertical="center"/>
    </xf>
    <xf numFmtId="0" fontId="28" fillId="9" borderId="3" xfId="0" applyFont="1" applyFill="1" applyBorder="1" applyAlignment="1">
      <alignment vertical="center"/>
    </xf>
    <xf numFmtId="0" fontId="28" fillId="2" borderId="4" xfId="0" applyFont="1" applyFill="1" applyBorder="1" applyAlignment="1">
      <alignment vertical="center"/>
    </xf>
    <xf numFmtId="3" fontId="22" fillId="4" borderId="5" xfId="0" applyNumberFormat="1" applyFont="1" applyFill="1" applyBorder="1" applyAlignment="1">
      <alignment horizontal="right" vertical="center"/>
    </xf>
    <xf numFmtId="3" fontId="22" fillId="5" borderId="6" xfId="0" applyNumberFormat="1" applyFont="1" applyFill="1" applyBorder="1" applyAlignment="1">
      <alignment horizontal="right" vertical="center"/>
    </xf>
    <xf numFmtId="0" fontId="10" fillId="0" borderId="0" xfId="0" applyFont="1" applyAlignment="1">
      <alignment horizontal="right"/>
    </xf>
    <xf numFmtId="49" fontId="10" fillId="0" borderId="0" xfId="0" applyNumberFormat="1" applyFont="1"/>
    <xf numFmtId="3" fontId="18" fillId="0" borderId="0" xfId="0" applyNumberFormat="1" applyFont="1" applyAlignment="1">
      <alignment vertical="center"/>
    </xf>
    <xf numFmtId="3" fontId="10" fillId="0" borderId="0" xfId="0" applyNumberFormat="1" applyFont="1" applyAlignment="1">
      <alignment horizontal="right"/>
    </xf>
    <xf numFmtId="0" fontId="9" fillId="3" borderId="2" xfId="0" applyFont="1" applyFill="1" applyBorder="1" applyAlignment="1">
      <alignment vertical="center"/>
    </xf>
    <xf numFmtId="0" fontId="20" fillId="0" borderId="0" xfId="0" applyFont="1" applyAlignment="1">
      <alignment vertical="center"/>
    </xf>
    <xf numFmtId="0" fontId="9" fillId="2" borderId="1" xfId="0" applyFont="1" applyFill="1" applyBorder="1" applyAlignment="1">
      <alignment vertical="center"/>
    </xf>
    <xf numFmtId="0" fontId="22" fillId="3" borderId="7" xfId="0" applyFont="1" applyFill="1" applyBorder="1" applyAlignment="1">
      <alignment vertical="center"/>
    </xf>
    <xf numFmtId="0" fontId="9" fillId="3" borderId="7" xfId="0" applyFont="1" applyFill="1" applyBorder="1" applyAlignment="1">
      <alignment vertical="center"/>
    </xf>
    <xf numFmtId="0" fontId="29" fillId="10" borderId="0" xfId="0" applyFont="1" applyFill="1" applyAlignment="1">
      <alignment horizontal="left" vertical="center" wrapText="1"/>
    </xf>
    <xf numFmtId="0" fontId="29" fillId="10" borderId="0" xfId="0" applyFont="1" applyFill="1" applyAlignment="1">
      <alignment horizontal="left" vertical="center"/>
    </xf>
    <xf numFmtId="0" fontId="30" fillId="10" borderId="0" xfId="0" applyFont="1" applyFill="1" applyAlignment="1">
      <alignment horizontal="left" vertical="center"/>
    </xf>
    <xf numFmtId="0" fontId="31" fillId="3" borderId="1" xfId="0" applyFont="1" applyFill="1" applyBorder="1" applyAlignment="1">
      <alignment vertical="center"/>
    </xf>
    <xf numFmtId="0" fontId="32" fillId="2" borderId="1" xfId="0" applyFont="1" applyFill="1" applyBorder="1" applyAlignment="1">
      <alignment vertical="center"/>
    </xf>
    <xf numFmtId="3" fontId="29" fillId="0" borderId="0" xfId="0" applyNumberFormat="1" applyFont="1" applyAlignment="1">
      <alignment horizontal="center" vertical="center"/>
    </xf>
    <xf numFmtId="49" fontId="10" fillId="0" borderId="0" xfId="0" applyNumberFormat="1" applyFont="1" applyAlignment="1">
      <alignment horizontal="right" vertical="center"/>
    </xf>
    <xf numFmtId="49" fontId="6" fillId="0" borderId="0" xfId="0" applyNumberFormat="1" applyFont="1" applyAlignment="1">
      <alignment vertical="center"/>
    </xf>
    <xf numFmtId="0" fontId="33" fillId="0" borderId="0" xfId="0" applyFont="1" applyAlignment="1">
      <alignment horizontal="right"/>
    </xf>
    <xf numFmtId="0" fontId="32" fillId="3" borderId="1" xfId="0" applyFont="1" applyFill="1" applyBorder="1" applyAlignment="1">
      <alignment vertical="center"/>
    </xf>
    <xf numFmtId="0" fontId="34" fillId="3" borderId="1" xfId="0" applyFont="1" applyFill="1" applyBorder="1" applyAlignment="1">
      <alignment vertical="center"/>
    </xf>
    <xf numFmtId="0" fontId="33" fillId="0" borderId="0" xfId="0" applyFont="1"/>
    <xf numFmtId="49" fontId="33" fillId="0" borderId="0" xfId="0" applyNumberFormat="1" applyFont="1"/>
    <xf numFmtId="3" fontId="34" fillId="0" borderId="0" xfId="0" applyNumberFormat="1" applyFont="1" applyAlignment="1">
      <alignment vertical="center"/>
    </xf>
    <xf numFmtId="3" fontId="33" fillId="0" borderId="0" xfId="0" applyNumberFormat="1" applyFont="1" applyAlignment="1">
      <alignment horizontal="right"/>
    </xf>
    <xf numFmtId="0" fontId="32" fillId="2" borderId="2" xfId="0" applyFont="1" applyFill="1" applyBorder="1" applyAlignment="1">
      <alignment vertical="center"/>
    </xf>
    <xf numFmtId="0" fontId="34" fillId="2" borderId="1" xfId="0" applyFont="1" applyFill="1" applyBorder="1" applyAlignment="1">
      <alignment vertical="center"/>
    </xf>
    <xf numFmtId="0" fontId="34" fillId="2" borderId="2" xfId="0" applyFont="1" applyFill="1" applyBorder="1" applyAlignment="1">
      <alignment vertical="center"/>
    </xf>
    <xf numFmtId="0" fontId="31" fillId="3" borderId="2" xfId="0" applyFont="1" applyFill="1" applyBorder="1" applyAlignment="1">
      <alignment vertical="center"/>
    </xf>
    <xf numFmtId="3" fontId="29" fillId="0" borderId="0" xfId="0" applyNumberFormat="1" applyFont="1" applyAlignment="1">
      <alignment vertical="center"/>
    </xf>
    <xf numFmtId="0" fontId="32" fillId="3" borderId="2" xfId="0" applyFont="1" applyFill="1" applyBorder="1" applyAlignment="1">
      <alignment vertical="center"/>
    </xf>
    <xf numFmtId="0" fontId="32" fillId="2" borderId="7" xfId="0" applyFont="1" applyFill="1" applyBorder="1" applyAlignment="1">
      <alignment vertical="center"/>
    </xf>
    <xf numFmtId="49" fontId="6" fillId="0" borderId="0" xfId="0" applyNumberFormat="1" applyFont="1" applyAlignment="1">
      <alignment horizontal="center" vertical="center"/>
    </xf>
    <xf numFmtId="49" fontId="9" fillId="2" borderId="0" xfId="0" applyNumberFormat="1" applyFont="1" applyFill="1"/>
    <xf numFmtId="0" fontId="6" fillId="0" borderId="0" xfId="0" applyFont="1" applyAlignment="1">
      <alignment vertical="center"/>
    </xf>
    <xf numFmtId="3" fontId="6" fillId="0" borderId="0" xfId="0" applyNumberFormat="1" applyFont="1" applyAlignment="1">
      <alignment vertical="center"/>
    </xf>
    <xf numFmtId="49" fontId="29" fillId="10" borderId="0" xfId="0" applyNumberFormat="1" applyFont="1" applyFill="1" applyAlignment="1">
      <alignment horizontal="left" vertical="center"/>
    </xf>
    <xf numFmtId="10" fontId="29" fillId="10" borderId="0" xfId="0" applyNumberFormat="1" applyFont="1" applyFill="1" applyAlignment="1">
      <alignment horizontal="left" vertical="center"/>
    </xf>
    <xf numFmtId="0" fontId="34" fillId="0" borderId="0" xfId="0" applyFont="1"/>
    <xf numFmtId="0" fontId="33" fillId="0" borderId="0" xfId="0" applyFont="1" applyAlignment="1">
      <alignment horizontal="right" vertical="center"/>
    </xf>
    <xf numFmtId="0" fontId="35" fillId="2" borderId="1" xfId="0" applyFont="1" applyFill="1" applyBorder="1" applyAlignment="1">
      <alignment vertical="center"/>
    </xf>
    <xf numFmtId="0" fontId="33" fillId="0" borderId="0" xfId="0" applyFont="1" applyAlignment="1">
      <alignment vertical="center"/>
    </xf>
    <xf numFmtId="49" fontId="33" fillId="0" borderId="0" xfId="0" applyNumberFormat="1" applyFont="1" applyAlignment="1">
      <alignment vertical="center"/>
    </xf>
    <xf numFmtId="0" fontId="33" fillId="0" borderId="0" xfId="0" applyFont="1" applyAlignment="1">
      <alignment horizontal="center" vertical="center"/>
    </xf>
    <xf numFmtId="3" fontId="33" fillId="0" borderId="0" xfId="0" applyNumberFormat="1" applyFont="1" applyAlignment="1">
      <alignment horizontal="center" vertical="center"/>
    </xf>
    <xf numFmtId="10" fontId="34" fillId="0" borderId="0" xfId="0" applyNumberFormat="1" applyFont="1" applyAlignment="1">
      <alignment horizontal="center" vertical="center"/>
    </xf>
    <xf numFmtId="0" fontId="29" fillId="0" borderId="0" xfId="0" applyFont="1" applyAlignment="1">
      <alignment horizontal="center"/>
    </xf>
    <xf numFmtId="0" fontId="36" fillId="2" borderId="2" xfId="0" applyFont="1" applyFill="1" applyBorder="1" applyAlignment="1">
      <alignment vertical="center"/>
    </xf>
    <xf numFmtId="0" fontId="29" fillId="0" borderId="3" xfId="0" applyFont="1" applyBorder="1" applyAlignment="1">
      <alignment horizontal="left" vertical="center"/>
    </xf>
    <xf numFmtId="0" fontId="29" fillId="0" borderId="3" xfId="0" applyFont="1" applyBorder="1" applyAlignment="1">
      <alignment horizontal="center" vertical="center"/>
    </xf>
    <xf numFmtId="0" fontId="34" fillId="0" borderId="0" xfId="0" applyFont="1" applyAlignment="1">
      <alignment horizontal="left" vertical="center"/>
    </xf>
    <xf numFmtId="0" fontId="34" fillId="0" borderId="0" xfId="0" applyFont="1" applyAlignment="1">
      <alignment horizontal="center" vertical="center"/>
    </xf>
    <xf numFmtId="0" fontId="37" fillId="2" borderId="1" xfId="0" applyFont="1" applyFill="1" applyBorder="1" applyAlignment="1">
      <alignment vertical="center"/>
    </xf>
    <xf numFmtId="0" fontId="29" fillId="0" borderId="3" xfId="0" applyFont="1" applyBorder="1" applyAlignment="1">
      <alignment vertical="center"/>
    </xf>
    <xf numFmtId="3" fontId="34" fillId="4" borderId="3" xfId="0" applyNumberFormat="1" applyFont="1" applyFill="1" applyBorder="1" applyAlignment="1">
      <alignment vertical="center"/>
    </xf>
    <xf numFmtId="3" fontId="34" fillId="5" borderId="3" xfId="0" applyNumberFormat="1" applyFont="1" applyFill="1" applyBorder="1" applyAlignment="1">
      <alignment vertical="center"/>
    </xf>
    <xf numFmtId="0" fontId="29" fillId="0" borderId="0" xfId="0" applyFont="1" applyAlignment="1">
      <alignment vertical="center"/>
    </xf>
    <xf numFmtId="3" fontId="34" fillId="6" borderId="3" xfId="0" applyNumberFormat="1" applyFont="1" applyFill="1" applyBorder="1" applyAlignment="1">
      <alignment vertical="center"/>
    </xf>
    <xf numFmtId="3" fontId="34" fillId="7" borderId="3" xfId="0" applyNumberFormat="1" applyFont="1" applyFill="1" applyBorder="1" applyAlignment="1">
      <alignment vertical="center"/>
    </xf>
    <xf numFmtId="0" fontId="36" fillId="3" borderId="2" xfId="0" applyFont="1" applyFill="1" applyBorder="1" applyAlignment="1">
      <alignment vertical="center"/>
    </xf>
    <xf numFmtId="0" fontId="35" fillId="2" borderId="2" xfId="0" applyFont="1" applyFill="1" applyBorder="1" applyAlignment="1">
      <alignment vertical="center"/>
    </xf>
    <xf numFmtId="0" fontId="31" fillId="2" borderId="2" xfId="0" applyFont="1" applyFill="1" applyBorder="1" applyAlignment="1">
      <alignment vertical="center"/>
    </xf>
    <xf numFmtId="0" fontId="35" fillId="3" borderId="1" xfId="0" applyFont="1" applyFill="1" applyBorder="1" applyAlignment="1">
      <alignment vertical="center"/>
    </xf>
    <xf numFmtId="3" fontId="34" fillId="4" borderId="0" xfId="0" applyNumberFormat="1" applyFont="1" applyFill="1" applyAlignment="1">
      <alignment vertical="center"/>
    </xf>
    <xf numFmtId="0" fontId="36" fillId="3" borderId="1" xfId="0" applyFont="1" applyFill="1" applyBorder="1" applyAlignment="1">
      <alignment vertical="center"/>
    </xf>
    <xf numFmtId="0" fontId="37" fillId="3" borderId="2" xfId="0" applyFont="1" applyFill="1" applyBorder="1" applyAlignment="1">
      <alignment vertical="center"/>
    </xf>
    <xf numFmtId="0" fontId="37" fillId="3" borderId="1" xfId="0" applyFont="1" applyFill="1" applyBorder="1" applyAlignment="1">
      <alignment vertical="center"/>
    </xf>
    <xf numFmtId="3" fontId="34" fillId="0" borderId="0" xfId="0" applyNumberFormat="1" applyFont="1"/>
    <xf numFmtId="0" fontId="35" fillId="3" borderId="2" xfId="0" applyFont="1" applyFill="1" applyBorder="1" applyAlignment="1">
      <alignment vertical="center"/>
    </xf>
    <xf numFmtId="0" fontId="37" fillId="2" borderId="2" xfId="0" applyFont="1" applyFill="1" applyBorder="1" applyAlignment="1">
      <alignment vertical="center"/>
    </xf>
    <xf numFmtId="0" fontId="31" fillId="2" borderId="1" xfId="0" applyFont="1" applyFill="1" applyBorder="1" applyAlignment="1">
      <alignment vertical="center"/>
    </xf>
    <xf numFmtId="49" fontId="33" fillId="0" borderId="0" xfId="0" applyNumberFormat="1" applyFont="1" applyAlignment="1">
      <alignment horizontal="right" vertical="center"/>
    </xf>
    <xf numFmtId="49" fontId="34" fillId="2" borderId="0" xfId="0" applyNumberFormat="1" applyFont="1" applyFill="1"/>
    <xf numFmtId="3" fontId="34" fillId="8" borderId="3" xfId="0" applyNumberFormat="1" applyFont="1" applyFill="1" applyBorder="1" applyAlignment="1">
      <alignment vertical="center"/>
    </xf>
    <xf numFmtId="0" fontId="29" fillId="0" borderId="0" xfId="0" applyFont="1" applyAlignment="1">
      <alignment horizontal="left" vertical="center"/>
    </xf>
    <xf numFmtId="0" fontId="29" fillId="0" borderId="0" xfId="0" applyFont="1" applyAlignment="1">
      <alignment horizontal="center" vertical="center"/>
    </xf>
    <xf numFmtId="0" fontId="38" fillId="2" borderId="3" xfId="0" applyFont="1" applyFill="1" applyBorder="1" applyAlignment="1">
      <alignment vertical="center"/>
    </xf>
    <xf numFmtId="3" fontId="32" fillId="4" borderId="3" xfId="0" applyNumberFormat="1" applyFont="1" applyFill="1" applyBorder="1" applyAlignment="1">
      <alignment horizontal="right" vertical="center"/>
    </xf>
    <xf numFmtId="3" fontId="32" fillId="5" borderId="3" xfId="0" applyNumberFormat="1" applyFont="1" applyFill="1" applyBorder="1" applyAlignment="1">
      <alignment horizontal="right" vertical="center"/>
    </xf>
    <xf numFmtId="0" fontId="38" fillId="9" borderId="3" xfId="0" applyFont="1" applyFill="1" applyBorder="1" applyAlignment="1">
      <alignment vertical="center"/>
    </xf>
    <xf numFmtId="0" fontId="38" fillId="2" borderId="4" xfId="0" applyFont="1" applyFill="1" applyBorder="1" applyAlignment="1">
      <alignment vertical="center"/>
    </xf>
    <xf numFmtId="3" fontId="32" fillId="4" borderId="5" xfId="0" applyNumberFormat="1" applyFont="1" applyFill="1" applyBorder="1" applyAlignment="1">
      <alignment horizontal="right" vertical="center"/>
    </xf>
    <xf numFmtId="3" fontId="32" fillId="5" borderId="6" xfId="0" applyNumberFormat="1" applyFont="1" applyFill="1" applyBorder="1" applyAlignment="1">
      <alignment horizontal="right" vertical="center"/>
    </xf>
    <xf numFmtId="0" fontId="36" fillId="2" borderId="1" xfId="0" applyFont="1" applyFill="1" applyBorder="1" applyAlignment="1">
      <alignment vertical="center"/>
    </xf>
    <xf numFmtId="10" fontId="34" fillId="0" borderId="0" xfId="0" applyNumberFormat="1" applyFont="1" applyAlignment="1">
      <alignment vertical="center"/>
    </xf>
    <xf numFmtId="0" fontId="34" fillId="3" borderId="2" xfId="0" applyFont="1" applyFill="1" applyBorder="1" applyAlignment="1">
      <alignment vertical="center"/>
    </xf>
    <xf numFmtId="0" fontId="34" fillId="0" borderId="0" xfId="0" applyFont="1" applyAlignment="1">
      <alignment vertical="center"/>
    </xf>
    <xf numFmtId="0" fontId="32" fillId="3" borderId="7" xfId="0" applyFont="1" applyFill="1" applyBorder="1" applyAlignment="1">
      <alignment vertical="center"/>
    </xf>
    <xf numFmtId="0" fontId="34" fillId="3" borderId="7" xfId="0" applyFont="1" applyFill="1" applyBorder="1" applyAlignment="1">
      <alignment vertical="center"/>
    </xf>
    <xf numFmtId="0" fontId="25" fillId="5" borderId="0" xfId="0" applyFont="1" applyFill="1" applyAlignment="1">
      <alignment vertical="center"/>
    </xf>
    <xf numFmtId="3" fontId="10" fillId="11" borderId="0" xfId="0" applyNumberFormat="1" applyFont="1" applyFill="1" applyAlignment="1">
      <alignment horizontal="right" vertical="center"/>
    </xf>
    <xf numFmtId="0" fontId="25" fillId="4" borderId="0" xfId="0" applyFont="1" applyFill="1" applyAlignment="1">
      <alignment vertical="center"/>
    </xf>
    <xf numFmtId="0" fontId="13" fillId="0" borderId="0" xfId="0" applyFont="1" applyAlignment="1">
      <alignment horizontal="right" vertical="center"/>
    </xf>
    <xf numFmtId="0" fontId="22" fillId="2" borderId="1" xfId="0" applyFont="1" applyFill="1" applyBorder="1" applyAlignment="1">
      <alignment horizontal="left" vertical="center"/>
    </xf>
    <xf numFmtId="0" fontId="13" fillId="0" borderId="0" xfId="0" applyFont="1" applyAlignment="1">
      <alignment vertical="center"/>
    </xf>
    <xf numFmtId="49" fontId="13" fillId="0" borderId="0" xfId="0" applyNumberFormat="1" applyFont="1" applyAlignment="1">
      <alignment vertical="center"/>
    </xf>
    <xf numFmtId="3" fontId="13" fillId="0" borderId="0" xfId="0" applyNumberFormat="1" applyFont="1" applyAlignment="1">
      <alignment horizontal="right" vertical="center"/>
    </xf>
    <xf numFmtId="49" fontId="14" fillId="0" borderId="0" xfId="0" applyNumberFormat="1" applyFont="1" applyAlignment="1">
      <alignment vertical="center"/>
    </xf>
    <xf numFmtId="3" fontId="14" fillId="0" borderId="0" xfId="0" applyNumberFormat="1" applyFont="1" applyAlignment="1">
      <alignment horizontal="right" vertical="center"/>
    </xf>
    <xf numFmtId="0" fontId="22" fillId="3" borderId="1" xfId="0" applyFont="1" applyFill="1" applyBorder="1" applyAlignment="1">
      <alignment horizontal="left" vertical="center"/>
    </xf>
    <xf numFmtId="49" fontId="13" fillId="0" borderId="1" xfId="0" applyNumberFormat="1" applyFont="1" applyBorder="1" applyAlignment="1">
      <alignment vertical="center"/>
    </xf>
    <xf numFmtId="0" fontId="17" fillId="2" borderId="0" xfId="0" applyFont="1" applyFill="1" applyAlignment="1">
      <alignment vertical="center"/>
    </xf>
    <xf numFmtId="0" fontId="9" fillId="2" borderId="1" xfId="0" applyFont="1" applyFill="1" applyBorder="1" applyAlignment="1">
      <alignment horizontal="left" vertical="center"/>
    </xf>
    <xf numFmtId="0" fontId="9" fillId="3" borderId="2" xfId="0" applyFont="1" applyFill="1" applyBorder="1" applyAlignment="1">
      <alignment horizontal="left" vertical="center"/>
    </xf>
    <xf numFmtId="0" fontId="9" fillId="3" borderId="7" xfId="0" applyFont="1" applyFill="1" applyBorder="1" applyAlignment="1">
      <alignment horizontal="left" vertical="center"/>
    </xf>
    <xf numFmtId="0" fontId="22" fillId="2" borderId="1" xfId="0" applyFont="1" applyFill="1" applyBorder="1" applyAlignment="1">
      <alignment horizontal="center" vertical="center"/>
    </xf>
    <xf numFmtId="0" fontId="22" fillId="3" borderId="2" xfId="0" applyFont="1" applyFill="1" applyBorder="1" applyAlignment="1">
      <alignment horizontal="center" vertical="center"/>
    </xf>
    <xf numFmtId="0" fontId="22" fillId="3" borderId="7" xfId="0" applyFont="1" applyFill="1" applyBorder="1" applyAlignment="1">
      <alignment horizontal="center" vertical="center"/>
    </xf>
    <xf numFmtId="0" fontId="39" fillId="0" borderId="0" xfId="0" applyFont="1" applyAlignment="1">
      <alignment horizontal="left" vertical="center" wrapText="1"/>
    </xf>
    <xf numFmtId="0" fontId="39" fillId="0" borderId="0" xfId="0" applyFont="1" applyAlignment="1">
      <alignment horizontal="left" vertical="center"/>
    </xf>
    <xf numFmtId="0" fontId="40" fillId="0" borderId="0" xfId="0" applyFont="1" applyAlignment="1">
      <alignment horizontal="left" vertical="center"/>
    </xf>
    <xf numFmtId="49" fontId="39" fillId="0" borderId="0" xfId="0" applyNumberFormat="1" applyFont="1" applyAlignment="1">
      <alignment horizontal="left" vertical="center"/>
    </xf>
    <xf numFmtId="10" fontId="39" fillId="0" borderId="0" xfId="0" applyNumberFormat="1" applyFont="1" applyAlignment="1">
      <alignment horizontal="left" vertical="center"/>
    </xf>
    <xf numFmtId="3" fontId="39" fillId="0" borderId="0" xfId="0" applyNumberFormat="1" applyFont="1" applyAlignment="1">
      <alignment vertical="center"/>
    </xf>
    <xf numFmtId="10" fontId="6" fillId="0" borderId="0" xfId="0" applyNumberFormat="1" applyFont="1" applyAlignment="1">
      <alignment vertical="center"/>
    </xf>
    <xf numFmtId="0" fontId="41" fillId="0" borderId="0" xfId="0" applyFont="1" applyAlignment="1">
      <alignment horizontal="center"/>
    </xf>
    <xf numFmtId="0" fontId="39" fillId="0" borderId="3" xfId="0" applyFont="1" applyBorder="1" applyAlignment="1">
      <alignment horizontal="left" vertical="center"/>
    </xf>
    <xf numFmtId="0" fontId="39" fillId="0" borderId="3"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39" fillId="0" borderId="3" xfId="0" applyFont="1" applyBorder="1" applyAlignment="1">
      <alignment vertical="center"/>
    </xf>
    <xf numFmtId="3" fontId="42" fillId="4" borderId="3" xfId="0" applyNumberFormat="1" applyFont="1" applyFill="1" applyBorder="1" applyAlignment="1">
      <alignment vertical="center"/>
    </xf>
    <xf numFmtId="3" fontId="42" fillId="5" borderId="3" xfId="0" applyNumberFormat="1" applyFont="1" applyFill="1" applyBorder="1" applyAlignment="1">
      <alignment vertical="center"/>
    </xf>
    <xf numFmtId="0" fontId="39" fillId="0" borderId="0" xfId="0" applyFont="1" applyAlignment="1">
      <alignment vertical="center"/>
    </xf>
    <xf numFmtId="3" fontId="42" fillId="6" borderId="3" xfId="0" applyNumberFormat="1" applyFont="1" applyFill="1" applyBorder="1" applyAlignment="1">
      <alignment vertical="center"/>
    </xf>
    <xf numFmtId="3" fontId="42" fillId="7" borderId="3" xfId="0" applyNumberFormat="1" applyFont="1" applyFill="1" applyBorder="1" applyAlignment="1">
      <alignment vertical="center"/>
    </xf>
    <xf numFmtId="3" fontId="42" fillId="4" borderId="0" xfId="0" applyNumberFormat="1" applyFont="1" applyFill="1" applyAlignment="1">
      <alignment vertical="center"/>
    </xf>
    <xf numFmtId="3" fontId="42" fillId="0" borderId="0" xfId="0" applyNumberFormat="1" applyFont="1"/>
    <xf numFmtId="3" fontId="6" fillId="0" borderId="0" xfId="0" applyNumberFormat="1" applyFont="1"/>
    <xf numFmtId="0" fontId="13" fillId="0" borderId="0" xfId="0" applyFont="1" applyAlignment="1">
      <alignment horizontal="right"/>
    </xf>
    <xf numFmtId="49" fontId="14" fillId="0" borderId="0" xfId="0" applyNumberFormat="1" applyFont="1"/>
    <xf numFmtId="0" fontId="14" fillId="0" borderId="0" xfId="0" applyFont="1" applyAlignment="1">
      <alignment horizontal="right"/>
    </xf>
    <xf numFmtId="3" fontId="14" fillId="0" borderId="0" xfId="0" applyNumberFormat="1" applyFont="1" applyAlignment="1">
      <alignment horizontal="right"/>
    </xf>
    <xf numFmtId="49" fontId="13" fillId="0" borderId="0" xfId="0" applyNumberFormat="1" applyFont="1"/>
    <xf numFmtId="3" fontId="13" fillId="0" borderId="0" xfId="0" applyNumberFormat="1" applyFont="1" applyAlignment="1">
      <alignment horizontal="right"/>
    </xf>
    <xf numFmtId="0" fontId="12" fillId="0" borderId="0" xfId="0" applyFont="1" applyAlignment="1">
      <alignment horizontal="right"/>
    </xf>
    <xf numFmtId="49" fontId="12" fillId="0" borderId="0" xfId="0" applyNumberFormat="1" applyFont="1"/>
    <xf numFmtId="3" fontId="12" fillId="0" borderId="0" xfId="0" applyNumberFormat="1" applyFont="1" applyAlignment="1">
      <alignment horizontal="right"/>
    </xf>
    <xf numFmtId="3" fontId="42" fillId="5" borderId="0" xfId="0" applyNumberFormat="1" applyFont="1" applyFill="1" applyAlignment="1">
      <alignment vertical="center"/>
    </xf>
    <xf numFmtId="3" fontId="42" fillId="4" borderId="3" xfId="0" applyNumberFormat="1" applyFont="1" applyFill="1" applyBorder="1"/>
    <xf numFmtId="3" fontId="42" fillId="5" borderId="3" xfId="0" applyNumberFormat="1" applyFont="1" applyFill="1" applyBorder="1"/>
    <xf numFmtId="0" fontId="39" fillId="0" borderId="0" xfId="0" applyFont="1" applyAlignment="1">
      <alignment horizontal="center" vertical="center"/>
    </xf>
    <xf numFmtId="0" fontId="39" fillId="0" borderId="8" xfId="0" applyFont="1" applyBorder="1" applyAlignment="1">
      <alignment vertical="center"/>
    </xf>
    <xf numFmtId="3" fontId="42" fillId="4" borderId="0" xfId="0" applyNumberFormat="1" applyFont="1" applyFill="1"/>
    <xf numFmtId="3" fontId="42" fillId="5" borderId="0" xfId="0" applyNumberFormat="1" applyFont="1" applyFill="1"/>
    <xf numFmtId="10" fontId="6" fillId="0" borderId="0" xfId="0" applyNumberFormat="1" applyFont="1"/>
    <xf numFmtId="0" fontId="23" fillId="0" borderId="0" xfId="0" applyFont="1" applyAlignment="1">
      <alignment horizontal="center"/>
    </xf>
    <xf numFmtId="0" fontId="0" fillId="0" borderId="0" xfId="0"/>
    <xf numFmtId="0" fontId="23" fillId="0" borderId="0" xfId="0" applyFont="1" applyAlignment="1">
      <alignment horizontal="right"/>
    </xf>
    <xf numFmtId="0" fontId="29" fillId="0" borderId="0" xfId="0" applyFont="1" applyAlignment="1">
      <alignment horizontal="center"/>
    </xf>
    <xf numFmtId="0" fontId="29" fillId="0" borderId="0" xfId="0" applyFont="1" applyAlignment="1">
      <alignment horizontal="right"/>
    </xf>
    <xf numFmtId="0" fontId="41" fillId="0" borderId="0" xfId="0" applyFont="1" applyAlignment="1">
      <alignment horizontal="center"/>
    </xf>
    <xf numFmtId="0" fontId="41" fillId="0" borderId="0" xfId="0" applyFont="1" applyAlignment="1">
      <alignment horizontal="right"/>
    </xf>
    <xf numFmtId="0" fontId="43" fillId="12" borderId="9" xfId="0" applyFont="1" applyFill="1" applyBorder="1" applyAlignment="1">
      <alignment horizontal="right" vertical="center" wrapText="1"/>
    </xf>
    <xf numFmtId="0" fontId="43" fillId="13" borderId="10" xfId="0" applyFont="1" applyFill="1" applyBorder="1" applyAlignment="1">
      <alignment horizontal="right" vertical="center" wrapText="1"/>
    </xf>
    <xf numFmtId="0" fontId="43" fillId="12" borderId="11" xfId="0" applyFont="1" applyFill="1" applyBorder="1" applyAlignment="1">
      <alignment horizontal="right" vertical="center" wrapText="1"/>
    </xf>
  </cellXfs>
  <cellStyles count="1">
    <cellStyle name="Normal" xfId="0" builtinId="0"/>
  </cellStyles>
  <dxfs count="2266">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8A7CBC"/>
          <bgColor rgb="FF8A7CBC"/>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11734B"/>
          <bgColor rgb="FF11734B"/>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3D3D3D"/>
          <bgColor rgb="FF3D3D3D"/>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E6CFF2"/>
          <bgColor rgb="FFE6CFF2"/>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356854"/>
          <bgColor rgb="FF356854"/>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000000"/>
          <bgColor rgb="FF00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FFCFC9"/>
          <bgColor rgb="FFFFCFC9"/>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1400"/>
          <bgColor rgb="FFFF1400"/>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C60000"/>
          <bgColor rgb="FFC60000"/>
        </patternFill>
      </fill>
    </dxf>
    <dxf>
      <border>
        <left style="thin">
          <color rgb="FFFFD700"/>
        </left>
        <right style="thin">
          <color rgb="FFFFD700"/>
        </right>
        <top style="thin">
          <color rgb="FFFFD700"/>
        </top>
        <bottom style="thin">
          <color rgb="FFFFD700"/>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FFD700"/>
        </left>
        <right style="thin">
          <color rgb="FFFFD700"/>
        </right>
        <top style="thin">
          <color rgb="FFFFD700"/>
        </top>
        <bottom style="thin">
          <color rgb="FFFFD700"/>
        </bottom>
      </border>
    </dxf>
    <dxf>
      <fill>
        <patternFill patternType="solid">
          <fgColor rgb="FFEFEFEF"/>
          <bgColor rgb="FFEFEFEF"/>
        </patternFill>
      </fill>
    </dxf>
    <dxf>
      <fill>
        <patternFill patternType="solid">
          <fgColor rgb="FFFFFFFF"/>
          <bgColor rgb="FFFFFFFF"/>
        </patternFill>
      </fill>
    </dxf>
    <dxf>
      <fill>
        <patternFill patternType="solid">
          <fgColor rgb="FFFFD700"/>
          <bgColor rgb="FFFFD700"/>
        </patternFill>
      </fill>
    </dxf>
    <dxf>
      <fill>
        <patternFill patternType="solid">
          <fgColor rgb="FFEFEFEF"/>
          <bgColor rgb="FFEFEFEF"/>
        </patternFill>
      </fill>
    </dxf>
    <dxf>
      <fill>
        <patternFill patternType="solid">
          <fgColor rgb="FFFFFFFF"/>
          <bgColor rgb="FFFFFFF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EFEFEF"/>
          <bgColor rgb="FFEFEFEF"/>
        </patternFill>
      </fill>
    </dxf>
    <dxf>
      <fill>
        <patternFill patternType="solid">
          <fgColor rgb="FFFFFFFF"/>
          <bgColor rgb="FFFFFFFF"/>
        </patternFill>
      </fill>
    </dxf>
    <dxf>
      <fill>
        <patternFill patternType="solid">
          <fgColor rgb="FFFFFFFF"/>
          <bgColor rgb="FFFFFFFF"/>
        </patternFill>
      </fill>
    </dxf>
    <dxf>
      <fill>
        <patternFill patternType="solid">
          <fgColor rgb="FFEFEFEF"/>
          <bgColor rgb="FFEFEFEF"/>
        </patternFill>
      </fill>
    </dxf>
    <dxf>
      <fill>
        <patternFill patternType="solid">
          <fgColor rgb="FFEFEFEF"/>
          <bgColor rgb="FFEFEFEF"/>
        </patternFill>
      </fill>
    </dxf>
    <dxf>
      <fill>
        <patternFill patternType="solid">
          <fgColor rgb="FFFFFFFF"/>
          <bgColor rgb="FFFFFFFF"/>
        </patternFill>
      </fill>
    </dxf>
    <dxf>
      <fill>
        <patternFill patternType="solid">
          <fgColor rgb="FFFFFFFF"/>
          <bgColor rgb="FFFFFFFF"/>
        </patternFill>
      </fill>
    </dxf>
    <dxf>
      <fill>
        <patternFill patternType="solid">
          <fgColor rgb="FFEFEFEF"/>
          <bgColor rgb="FFEFEFE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FFFFFF"/>
          <bgColor rgb="FFFFFFFF"/>
        </patternFill>
      </fill>
    </dxf>
    <dxf>
      <fill>
        <patternFill patternType="solid">
          <fgColor rgb="FFEFEFEF"/>
          <bgColor rgb="FFEFEFEF"/>
        </patternFill>
      </fill>
    </dxf>
    <dxf>
      <fill>
        <patternFill patternType="solid">
          <fgColor rgb="FFEFEFEF"/>
          <bgColor rgb="FFEFEFEF"/>
        </patternFill>
      </fill>
    </dxf>
    <dxf>
      <fill>
        <patternFill patternType="solid">
          <fgColor rgb="FFFFFFFF"/>
          <bgColor rgb="FFFFFFFF"/>
        </patternFill>
      </fill>
    </dxf>
    <dxf>
      <fill>
        <patternFill patternType="solid">
          <fgColor rgb="FFFFFFFF"/>
          <bgColor rgb="FFFFFFFF"/>
        </patternFill>
      </fill>
    </dxf>
    <dxf>
      <fill>
        <patternFill patternType="solid">
          <fgColor rgb="FFEFEFEF"/>
          <bgColor rgb="FFEFEFEF"/>
        </patternFill>
      </fill>
    </dxf>
    <dxf>
      <fill>
        <patternFill patternType="solid">
          <fgColor rgb="FFFFFFFF"/>
          <bgColor rgb="FFFFFFFF"/>
        </patternFill>
      </fill>
    </dxf>
    <dxf>
      <fill>
        <patternFill patternType="solid">
          <fgColor rgb="FFEFEFEF"/>
          <bgColor rgb="FFEFEFEF"/>
        </patternFill>
      </fill>
    </dxf>
  </dxfs>
  <tableStyles count="573">
    <tableStyle name="Lists-style" pivot="0" count="2" xr9:uid="{00000000-0011-0000-FFFF-FFFF00000000}">
      <tableStyleElement type="firstRowStripe" dxfId="2265"/>
      <tableStyleElement type="secondRowStripe" dxfId="2264"/>
    </tableStyle>
    <tableStyle name="Lists-style 2" pivot="0" count="2" xr9:uid="{00000000-0011-0000-FFFF-FFFF01000000}">
      <tableStyleElement type="firstRowStripe" dxfId="2263"/>
      <tableStyleElement type="secondRowStripe" dxfId="2262"/>
    </tableStyle>
    <tableStyle name="Lists-style 3" pivot="0" count="2" xr9:uid="{00000000-0011-0000-FFFF-FFFF02000000}">
      <tableStyleElement type="firstRowStripe" dxfId="2261"/>
      <tableStyleElement type="secondRowStripe" dxfId="2260"/>
    </tableStyle>
    <tableStyle name="Lists-style 4" pivot="0" count="2" xr9:uid="{00000000-0011-0000-FFFF-FFFF03000000}">
      <tableStyleElement type="firstRowStripe" dxfId="2259"/>
      <tableStyleElement type="secondRowStripe" dxfId="2258"/>
    </tableStyle>
    <tableStyle name="Lists-style 5" pivot="0" count="2" xr9:uid="{00000000-0011-0000-FFFF-FFFF04000000}">
      <tableStyleElement type="firstRowStripe" dxfId="2257"/>
      <tableStyleElement type="secondRowStripe" dxfId="2256"/>
    </tableStyle>
    <tableStyle name="Lists-style 6" pivot="0" count="2" xr9:uid="{00000000-0011-0000-FFFF-FFFF05000000}">
      <tableStyleElement type="firstRowStripe" dxfId="2255"/>
      <tableStyleElement type="secondRowStripe" dxfId="2254"/>
    </tableStyle>
    <tableStyle name="Lists-style 7" pivot="0" count="2" xr9:uid="{00000000-0011-0000-FFFF-FFFF06000000}">
      <tableStyleElement type="firstRowStripe" dxfId="2253"/>
      <tableStyleElement type="secondRowStripe" dxfId="2252"/>
    </tableStyle>
    <tableStyle name="Lists-style 8" pivot="0" count="2" xr9:uid="{00000000-0011-0000-FFFF-FFFF07000000}">
      <tableStyleElement type="firstRowStripe" dxfId="2251"/>
      <tableStyleElement type="secondRowStripe" dxfId="2250"/>
    </tableStyle>
    <tableStyle name="Lists-style 9" pivot="0" count="2" xr9:uid="{00000000-0011-0000-FFFF-FFFF08000000}">
      <tableStyleElement type="firstRowStripe" dxfId="2249"/>
      <tableStyleElement type="secondRowStripe" dxfId="2248"/>
    </tableStyle>
    <tableStyle name="Lists-style 10" pivot="0" count="2" xr9:uid="{00000000-0011-0000-FFFF-FFFF09000000}">
      <tableStyleElement type="firstRowStripe" dxfId="2247"/>
      <tableStyleElement type="secondRowStripe" dxfId="2246"/>
    </tableStyle>
    <tableStyle name="Lists-style 11" pivot="0" count="2" xr9:uid="{00000000-0011-0000-FFFF-FFFF0A000000}">
      <tableStyleElement type="firstRowStripe" dxfId="2245"/>
      <tableStyleElement type="secondRowStripe" dxfId="2244"/>
    </tableStyle>
    <tableStyle name="Lists-style 12" pivot="0" count="2" xr9:uid="{00000000-0011-0000-FFFF-FFFF0B000000}">
      <tableStyleElement type="firstRowStripe" dxfId="2243"/>
      <tableStyleElement type="secondRowStripe" dxfId="2242"/>
    </tableStyle>
    <tableStyle name="Lists-style 13" pivot="0" count="2" xr9:uid="{00000000-0011-0000-FFFF-FFFF0C000000}">
      <tableStyleElement type="firstRowStripe" dxfId="2241"/>
      <tableStyleElement type="secondRowStripe" dxfId="2240"/>
    </tableStyle>
    <tableStyle name="House R m UC 2 Aelon 2242026-style" pivot="0" count="4" xr9:uid="{00000000-0011-0000-FFFF-FFFF0D000000}">
      <tableStyleElement type="wholeTable" size="0" dxfId="2236"/>
      <tableStyleElement type="headerRow" dxfId="2239"/>
      <tableStyleElement type="firstRowStripe" dxfId="2238"/>
      <tableStyleElement type="secondRowStripe" dxfId="2237"/>
    </tableStyle>
    <tableStyle name="House R m UC 2 Aelon 2242026-style 2" pivot="0" count="4" xr9:uid="{00000000-0011-0000-FFFF-FFFF0E000000}">
      <tableStyleElement type="wholeTable" size="0" dxfId="2232"/>
      <tableStyleElement type="headerRow" dxfId="2235"/>
      <tableStyleElement type="firstRowStripe" dxfId="2234"/>
      <tableStyleElement type="secondRowStripe" dxfId="2233"/>
    </tableStyle>
    <tableStyle name="House R m UC 2 Aelon 2242026-style 3" pivot="0" count="4" xr9:uid="{00000000-0011-0000-FFFF-FFFF0F000000}">
      <tableStyleElement type="wholeTable" size="0" dxfId="2228"/>
      <tableStyleElement type="headerRow" dxfId="2231"/>
      <tableStyleElement type="firstRowStripe" dxfId="2230"/>
      <tableStyleElement type="secondRowStripe" dxfId="2229"/>
    </tableStyle>
    <tableStyle name="House R m UC 2 Aelon 2242026-style 4" pivot="0" count="4" xr9:uid="{00000000-0011-0000-FFFF-FFFF10000000}">
      <tableStyleElement type="wholeTable" size="0" dxfId="2224"/>
      <tableStyleElement type="headerRow" dxfId="2227"/>
      <tableStyleElement type="firstRowStripe" dxfId="2226"/>
      <tableStyleElement type="secondRowStripe" dxfId="2225"/>
    </tableStyle>
    <tableStyle name="House R m UC 2 Aelon 2242026-style 5" pivot="0" count="4" xr9:uid="{00000000-0011-0000-FFFF-FFFF11000000}">
      <tableStyleElement type="wholeTable" size="0" dxfId="2220"/>
      <tableStyleElement type="headerRow" dxfId="2223"/>
      <tableStyleElement type="firstRowStripe" dxfId="2222"/>
      <tableStyleElement type="secondRowStripe" dxfId="2221"/>
    </tableStyle>
    <tableStyle name="House R m UC 2 Aelon 2242026-style 6" pivot="0" count="4" xr9:uid="{00000000-0011-0000-FFFF-FFFF12000000}">
      <tableStyleElement type="wholeTable" size="0" dxfId="2216"/>
      <tableStyleElement type="headerRow" dxfId="2219"/>
      <tableStyleElement type="firstRowStripe" dxfId="2218"/>
      <tableStyleElement type="secondRowStripe" dxfId="2217"/>
    </tableStyle>
    <tableStyle name="House R m UC 2 Aelon 2242026-style 7" pivot="0" count="4" xr9:uid="{00000000-0011-0000-FFFF-FFFF13000000}">
      <tableStyleElement type="wholeTable" size="0" dxfId="2212"/>
      <tableStyleElement type="headerRow" dxfId="2215"/>
      <tableStyleElement type="firstRowStripe" dxfId="2214"/>
      <tableStyleElement type="secondRowStripe" dxfId="2213"/>
    </tableStyle>
    <tableStyle name="House R m UC 2 Aelon 2242026-style 8" pivot="0" count="4" xr9:uid="{00000000-0011-0000-FFFF-FFFF14000000}">
      <tableStyleElement type="wholeTable" size="0" dxfId="2208"/>
      <tableStyleElement type="headerRow" dxfId="2211"/>
      <tableStyleElement type="firstRowStripe" dxfId="2210"/>
      <tableStyleElement type="secondRowStripe" dxfId="2209"/>
    </tableStyle>
    <tableStyle name="House R m UC 2 Aelon 2242026-style 9" pivot="0" count="4" xr9:uid="{00000000-0011-0000-FFFF-FFFF15000000}">
      <tableStyleElement type="wholeTable" size="0" dxfId="2204"/>
      <tableStyleElement type="headerRow" dxfId="2207"/>
      <tableStyleElement type="firstRowStripe" dxfId="2206"/>
      <tableStyleElement type="secondRowStripe" dxfId="2205"/>
    </tableStyle>
    <tableStyle name="House R m UC 2 Aelon 2242026-style 10" pivot="0" count="4" xr9:uid="{00000000-0011-0000-FFFF-FFFF16000000}">
      <tableStyleElement type="wholeTable" size="0" dxfId="2200"/>
      <tableStyleElement type="headerRow" dxfId="2203"/>
      <tableStyleElement type="firstRowStripe" dxfId="2202"/>
      <tableStyleElement type="secondRowStripe" dxfId="2201"/>
    </tableStyle>
    <tableStyle name="House R m UC 2 Aelon 2242026-style 11" pivot="0" count="4" xr9:uid="{00000000-0011-0000-FFFF-FFFF17000000}">
      <tableStyleElement type="wholeTable" size="0" dxfId="2196"/>
      <tableStyleElement type="headerRow" dxfId="2199"/>
      <tableStyleElement type="firstRowStripe" dxfId="2198"/>
      <tableStyleElement type="secondRowStripe" dxfId="2197"/>
    </tableStyle>
    <tableStyle name="House R m UC 2 Aelon 2242026-style 12" pivot="0" count="4" xr9:uid="{00000000-0011-0000-FFFF-FFFF18000000}">
      <tableStyleElement type="wholeTable" size="0" dxfId="2192"/>
      <tableStyleElement type="headerRow" dxfId="2195"/>
      <tableStyleElement type="firstRowStripe" dxfId="2194"/>
      <tableStyleElement type="secondRowStripe" dxfId="2193"/>
    </tableStyle>
    <tableStyle name="House R m UC 2 Aelon 2242026-style 13" pivot="0" count="4" xr9:uid="{00000000-0011-0000-FFFF-FFFF19000000}">
      <tableStyleElement type="wholeTable" size="0" dxfId="2188"/>
      <tableStyleElement type="headerRow" dxfId="2191"/>
      <tableStyleElement type="firstRowStripe" dxfId="2190"/>
      <tableStyleElement type="secondRowStripe" dxfId="2189"/>
    </tableStyle>
    <tableStyle name="House R m UC 2 Aelon 2242026-style 14" pivot="0" count="4" xr9:uid="{00000000-0011-0000-FFFF-FFFF1A000000}">
      <tableStyleElement type="wholeTable" size="0" dxfId="2184"/>
      <tableStyleElement type="headerRow" dxfId="2187"/>
      <tableStyleElement type="firstRowStripe" dxfId="2186"/>
      <tableStyleElement type="secondRowStripe" dxfId="2185"/>
    </tableStyle>
    <tableStyle name="House R m UC 2 Aelon 2242026-style 15" pivot="0" count="4" xr9:uid="{00000000-0011-0000-FFFF-FFFF1B000000}">
      <tableStyleElement type="wholeTable" size="0" dxfId="2180"/>
      <tableStyleElement type="headerRow" dxfId="2183"/>
      <tableStyleElement type="firstRowStripe" dxfId="2182"/>
      <tableStyleElement type="secondRowStripe" dxfId="2181"/>
    </tableStyle>
    <tableStyle name="House R m UC 2 Aelon 2242026-style 16" pivot="0" count="4" xr9:uid="{00000000-0011-0000-FFFF-FFFF1C000000}">
      <tableStyleElement type="wholeTable" size="0" dxfId="2176"/>
      <tableStyleElement type="headerRow" dxfId="2179"/>
      <tableStyleElement type="firstRowStripe" dxfId="2178"/>
      <tableStyleElement type="secondRowStripe" dxfId="2177"/>
    </tableStyle>
    <tableStyle name="House R m UC 2 Aelon 2242026-style 17" pivot="0" count="4" xr9:uid="{00000000-0011-0000-FFFF-FFFF1D000000}">
      <tableStyleElement type="wholeTable" size="0" dxfId="2172"/>
      <tableStyleElement type="headerRow" dxfId="2175"/>
      <tableStyleElement type="firstRowStripe" dxfId="2174"/>
      <tableStyleElement type="secondRowStripe" dxfId="2173"/>
    </tableStyle>
    <tableStyle name="House R m UC Aden 1 2242026-style" pivot="0" count="4" xr9:uid="{00000000-0011-0000-FFFF-FFFF1E000000}">
      <tableStyleElement type="wholeTable" size="0" dxfId="2168"/>
      <tableStyleElement type="headerRow" dxfId="2171"/>
      <tableStyleElement type="firstRowStripe" dxfId="2170"/>
      <tableStyleElement type="secondRowStripe" dxfId="2169"/>
    </tableStyle>
    <tableStyle name="House R m UC Aden 1 2242026-style 2" pivot="0" count="4" xr9:uid="{00000000-0011-0000-FFFF-FFFF1F000000}">
      <tableStyleElement type="wholeTable" size="0" dxfId="2164"/>
      <tableStyleElement type="headerRow" dxfId="2167"/>
      <tableStyleElement type="firstRowStripe" dxfId="2166"/>
      <tableStyleElement type="secondRowStripe" dxfId="2165"/>
    </tableStyle>
    <tableStyle name="House R m UC Aden 1 2242026-style 3" pivot="0" count="4" xr9:uid="{00000000-0011-0000-FFFF-FFFF20000000}">
      <tableStyleElement type="wholeTable" size="0" dxfId="2160"/>
      <tableStyleElement type="headerRow" dxfId="2163"/>
      <tableStyleElement type="firstRowStripe" dxfId="2162"/>
      <tableStyleElement type="secondRowStripe" dxfId="2161"/>
    </tableStyle>
    <tableStyle name="House R m UC Aden 1 2242026-style 4" pivot="0" count="4" xr9:uid="{00000000-0011-0000-FFFF-FFFF21000000}">
      <tableStyleElement type="wholeTable" size="0" dxfId="2156"/>
      <tableStyleElement type="headerRow" dxfId="2159"/>
      <tableStyleElement type="firstRowStripe" dxfId="2158"/>
      <tableStyleElement type="secondRowStripe" dxfId="2157"/>
    </tableStyle>
    <tableStyle name="House R m UC Aden 1 2242026-style 5" pivot="0" count="4" xr9:uid="{00000000-0011-0000-FFFF-FFFF22000000}">
      <tableStyleElement type="wholeTable" size="0" dxfId="2152"/>
      <tableStyleElement type="headerRow" dxfId="2155"/>
      <tableStyleElement type="firstRowStripe" dxfId="2154"/>
      <tableStyleElement type="secondRowStripe" dxfId="2153"/>
    </tableStyle>
    <tableStyle name="House R m UC Aden 1 2242026-style 6" pivot="0" count="4" xr9:uid="{00000000-0011-0000-FFFF-FFFF23000000}">
      <tableStyleElement type="wholeTable" size="0" dxfId="2148"/>
      <tableStyleElement type="headerRow" dxfId="2151"/>
      <tableStyleElement type="firstRowStripe" dxfId="2150"/>
      <tableStyleElement type="secondRowStripe" dxfId="2149"/>
    </tableStyle>
    <tableStyle name="House R m UC Aden 1 2242026-style 7" pivot="0" count="4" xr9:uid="{00000000-0011-0000-FFFF-FFFF24000000}">
      <tableStyleElement type="wholeTable" size="0" dxfId="2144"/>
      <tableStyleElement type="headerRow" dxfId="2147"/>
      <tableStyleElement type="firstRowStripe" dxfId="2146"/>
      <tableStyleElement type="secondRowStripe" dxfId="2145"/>
    </tableStyle>
    <tableStyle name="House R m UC Aden 1 2242026-style 8" pivot="0" count="4" xr9:uid="{00000000-0011-0000-FFFF-FFFF25000000}">
      <tableStyleElement type="wholeTable" size="0" dxfId="2140"/>
      <tableStyleElement type="headerRow" dxfId="2143"/>
      <tableStyleElement type="firstRowStripe" dxfId="2142"/>
      <tableStyleElement type="secondRowStripe" dxfId="2141"/>
    </tableStyle>
    <tableStyle name="House R m UC Aden 1 2242026-style 9" pivot="0" count="4" xr9:uid="{00000000-0011-0000-FFFF-FFFF26000000}">
      <tableStyleElement type="wholeTable" size="0" dxfId="2136"/>
      <tableStyleElement type="headerRow" dxfId="2139"/>
      <tableStyleElement type="firstRowStripe" dxfId="2138"/>
      <tableStyleElement type="secondRowStripe" dxfId="2137"/>
    </tableStyle>
    <tableStyle name="House R m UC Aden 1 2242026-style 10" pivot="0" count="4" xr9:uid="{00000000-0011-0000-FFFF-FFFF27000000}">
      <tableStyleElement type="wholeTable" size="0" dxfId="2132"/>
      <tableStyleElement type="headerRow" dxfId="2135"/>
      <tableStyleElement type="firstRowStripe" dxfId="2134"/>
      <tableStyleElement type="secondRowStripe" dxfId="2133"/>
    </tableStyle>
    <tableStyle name="House R m UC Aden 1 2242026-style 11" pivot="0" count="4" xr9:uid="{00000000-0011-0000-FFFF-FFFF28000000}">
      <tableStyleElement type="wholeTable" size="0" dxfId="2128"/>
      <tableStyleElement type="headerRow" dxfId="2131"/>
      <tableStyleElement type="firstRowStripe" dxfId="2130"/>
      <tableStyleElement type="secondRowStripe" dxfId="2129"/>
    </tableStyle>
    <tableStyle name="House R m UC Aden 1 2242026-style 12" pivot="0" count="4" xr9:uid="{00000000-0011-0000-FFFF-FFFF29000000}">
      <tableStyleElement type="wholeTable" size="0" dxfId="2124"/>
      <tableStyleElement type="headerRow" dxfId="2127"/>
      <tableStyleElement type="firstRowStripe" dxfId="2126"/>
      <tableStyleElement type="secondRowStripe" dxfId="2125"/>
    </tableStyle>
    <tableStyle name="House R m UC Aden 1 2242026-style 13" pivot="0" count="4" xr9:uid="{00000000-0011-0000-FFFF-FFFF2A000000}">
      <tableStyleElement type="wholeTable" size="0" dxfId="2120"/>
      <tableStyleElement type="headerRow" dxfId="2123"/>
      <tableStyleElement type="firstRowStripe" dxfId="2122"/>
      <tableStyleElement type="secondRowStripe" dxfId="2121"/>
    </tableStyle>
    <tableStyle name="House R m UC Aden 1 2242026-style 14" pivot="0" count="4" xr9:uid="{00000000-0011-0000-FFFF-FFFF2B000000}">
      <tableStyleElement type="wholeTable" size="0" dxfId="2116"/>
      <tableStyleElement type="headerRow" dxfId="2119"/>
      <tableStyleElement type="firstRowStripe" dxfId="2118"/>
      <tableStyleElement type="secondRowStripe" dxfId="2117"/>
    </tableStyle>
    <tableStyle name="House R m UC Aden 1 2242026-style 15" pivot="0" count="4" xr9:uid="{00000000-0011-0000-FFFF-FFFF2C000000}">
      <tableStyleElement type="wholeTable" size="0" dxfId="2112"/>
      <tableStyleElement type="headerRow" dxfId="2115"/>
      <tableStyleElement type="firstRowStripe" dxfId="2114"/>
      <tableStyleElement type="secondRowStripe" dxfId="2113"/>
    </tableStyle>
    <tableStyle name="House R m UC Aden 1 2242026-style 16" pivot="0" count="4" xr9:uid="{00000000-0011-0000-FFFF-FFFF2D000000}">
      <tableStyleElement type="wholeTable" size="0" dxfId="2108"/>
      <tableStyleElement type="headerRow" dxfId="2111"/>
      <tableStyleElement type="firstRowStripe" dxfId="2110"/>
      <tableStyleElement type="secondRowStripe" dxfId="2109"/>
    </tableStyle>
    <tableStyle name="House R m UC Aden 1 2242026-style 17" pivot="0" count="4" xr9:uid="{00000000-0011-0000-FFFF-FFFF2E000000}">
      <tableStyleElement type="wholeTable" size="0" dxfId="2104"/>
      <tableStyleElement type="headerRow" dxfId="2107"/>
      <tableStyleElement type="firstRowStripe" dxfId="2106"/>
      <tableStyleElement type="secondRowStripe" dxfId="2105"/>
    </tableStyle>
    <tableStyle name="House R v HR aelon 2 2182026-style" pivot="0" count="4" xr9:uid="{00000000-0011-0000-FFFF-FFFF2F000000}">
      <tableStyleElement type="wholeTable" size="0" dxfId="2100"/>
      <tableStyleElement type="headerRow" dxfId="2103"/>
      <tableStyleElement type="firstRowStripe" dxfId="2102"/>
      <tableStyleElement type="secondRowStripe" dxfId="2101"/>
    </tableStyle>
    <tableStyle name="House R v HR aelon 2 2182026-style 2" pivot="0" count="4" xr9:uid="{00000000-0011-0000-FFFF-FFFF30000000}">
      <tableStyleElement type="wholeTable" size="0" dxfId="2096"/>
      <tableStyleElement type="headerRow" dxfId="2099"/>
      <tableStyleElement type="firstRowStripe" dxfId="2098"/>
      <tableStyleElement type="secondRowStripe" dxfId="2097"/>
    </tableStyle>
    <tableStyle name="House R v HR aelon 2 2182026-style 3" pivot="0" count="4" xr9:uid="{00000000-0011-0000-FFFF-FFFF31000000}">
      <tableStyleElement type="wholeTable" size="0" dxfId="2092"/>
      <tableStyleElement type="headerRow" dxfId="2095"/>
      <tableStyleElement type="firstRowStripe" dxfId="2094"/>
      <tableStyleElement type="secondRowStripe" dxfId="2093"/>
    </tableStyle>
    <tableStyle name="House R v HR aelon 2 2182026-style 4" pivot="0" count="4" xr9:uid="{00000000-0011-0000-FFFF-FFFF32000000}">
      <tableStyleElement type="wholeTable" size="0" dxfId="2088"/>
      <tableStyleElement type="headerRow" dxfId="2091"/>
      <tableStyleElement type="firstRowStripe" dxfId="2090"/>
      <tableStyleElement type="secondRowStripe" dxfId="2089"/>
    </tableStyle>
    <tableStyle name="House R v HR aelon 2 2182026-style 5" pivot="0" count="4" xr9:uid="{00000000-0011-0000-FFFF-FFFF33000000}">
      <tableStyleElement type="wholeTable" size="0" dxfId="2084"/>
      <tableStyleElement type="headerRow" dxfId="2087"/>
      <tableStyleElement type="firstRowStripe" dxfId="2086"/>
      <tableStyleElement type="secondRowStripe" dxfId="2085"/>
    </tableStyle>
    <tableStyle name="House R v HR aelon 2 2182026-style 6" pivot="0" count="4" xr9:uid="{00000000-0011-0000-FFFF-FFFF34000000}">
      <tableStyleElement type="wholeTable" size="0" dxfId="2080"/>
      <tableStyleElement type="headerRow" dxfId="2083"/>
      <tableStyleElement type="firstRowStripe" dxfId="2082"/>
      <tableStyleElement type="secondRowStripe" dxfId="2081"/>
    </tableStyle>
    <tableStyle name="House R v HR aelon 2 2182026-style 7" pivot="0" count="4" xr9:uid="{00000000-0011-0000-FFFF-FFFF35000000}">
      <tableStyleElement type="wholeTable" size="0" dxfId="2076"/>
      <tableStyleElement type="headerRow" dxfId="2079"/>
      <tableStyleElement type="firstRowStripe" dxfId="2078"/>
      <tableStyleElement type="secondRowStripe" dxfId="2077"/>
    </tableStyle>
    <tableStyle name="House R v HR aelon 2 2182026-style 8" pivot="0" count="4" xr9:uid="{00000000-0011-0000-FFFF-FFFF36000000}">
      <tableStyleElement type="wholeTable" size="0" dxfId="2072"/>
      <tableStyleElement type="headerRow" dxfId="2075"/>
      <tableStyleElement type="firstRowStripe" dxfId="2074"/>
      <tableStyleElement type="secondRowStripe" dxfId="2073"/>
    </tableStyle>
    <tableStyle name="House R v HR aelon 2 2182026-style 9" pivot="0" count="4" xr9:uid="{00000000-0011-0000-FFFF-FFFF37000000}">
      <tableStyleElement type="wholeTable" size="0" dxfId="2068"/>
      <tableStyleElement type="headerRow" dxfId="2071"/>
      <tableStyleElement type="firstRowStripe" dxfId="2070"/>
      <tableStyleElement type="secondRowStripe" dxfId="2069"/>
    </tableStyle>
    <tableStyle name="House R v HR aelon 2 2182026-style 10" pivot="0" count="4" xr9:uid="{00000000-0011-0000-FFFF-FFFF38000000}">
      <tableStyleElement type="wholeTable" size="0" dxfId="2064"/>
      <tableStyleElement type="headerRow" dxfId="2067"/>
      <tableStyleElement type="firstRowStripe" dxfId="2066"/>
      <tableStyleElement type="secondRowStripe" dxfId="2065"/>
    </tableStyle>
    <tableStyle name="House R v HR aelon 2 2182026-style 11" pivot="0" count="4" xr9:uid="{00000000-0011-0000-FFFF-FFFF39000000}">
      <tableStyleElement type="wholeTable" size="0" dxfId="2060"/>
      <tableStyleElement type="headerRow" dxfId="2063"/>
      <tableStyleElement type="firstRowStripe" dxfId="2062"/>
      <tableStyleElement type="secondRowStripe" dxfId="2061"/>
    </tableStyle>
    <tableStyle name="House R v HR aelon 2 2182026-style 12" pivot="0" count="4" xr9:uid="{00000000-0011-0000-FFFF-FFFF3A000000}">
      <tableStyleElement type="wholeTable" size="0" dxfId="2056"/>
      <tableStyleElement type="headerRow" dxfId="2059"/>
      <tableStyleElement type="firstRowStripe" dxfId="2058"/>
      <tableStyleElement type="secondRowStripe" dxfId="2057"/>
    </tableStyle>
    <tableStyle name="House R v HR aelon 2 2182026-style 13" pivot="0" count="4" xr9:uid="{00000000-0011-0000-FFFF-FFFF3B000000}">
      <tableStyleElement type="wholeTable" size="0" dxfId="2052"/>
      <tableStyleElement type="headerRow" dxfId="2055"/>
      <tableStyleElement type="firstRowStripe" dxfId="2054"/>
      <tableStyleElement type="secondRowStripe" dxfId="2053"/>
    </tableStyle>
    <tableStyle name="House R v HR aelon 2 2182026-style 14" pivot="0" count="4" xr9:uid="{00000000-0011-0000-FFFF-FFFF3C000000}">
      <tableStyleElement type="wholeTable" size="0" dxfId="2048"/>
      <tableStyleElement type="headerRow" dxfId="2051"/>
      <tableStyleElement type="firstRowStripe" dxfId="2050"/>
      <tableStyleElement type="secondRowStripe" dxfId="2049"/>
    </tableStyle>
    <tableStyle name="House R v HR aelon 2 2182026-style 15" pivot="0" count="4" xr9:uid="{00000000-0011-0000-FFFF-FFFF3D000000}">
      <tableStyleElement type="wholeTable" size="0" dxfId="2044"/>
      <tableStyleElement type="headerRow" dxfId="2047"/>
      <tableStyleElement type="firstRowStripe" dxfId="2046"/>
      <tableStyleElement type="secondRowStripe" dxfId="2045"/>
    </tableStyle>
    <tableStyle name="House R v HR aelon 2 2182026-style 16" pivot="0" count="4" xr9:uid="{00000000-0011-0000-FFFF-FFFF3E000000}">
      <tableStyleElement type="wholeTable" size="0" dxfId="2040"/>
      <tableStyleElement type="headerRow" dxfId="2043"/>
      <tableStyleElement type="firstRowStripe" dxfId="2042"/>
      <tableStyleElement type="secondRowStripe" dxfId="2041"/>
    </tableStyle>
    <tableStyle name="House R v HR aelon 2 2182026-style 17" pivot="0" count="4" xr9:uid="{00000000-0011-0000-FFFF-FFFF3F000000}">
      <tableStyleElement type="wholeTable" size="0" dxfId="2036"/>
      <tableStyleElement type="headerRow" dxfId="2039"/>
      <tableStyleElement type="firstRowStripe" dxfId="2038"/>
      <tableStyleElement type="secondRowStripe" dxfId="2037"/>
    </tableStyle>
    <tableStyle name="House R v HR moro 1 2182026-style" pivot="0" count="4" xr9:uid="{00000000-0011-0000-FFFF-FFFF40000000}">
      <tableStyleElement type="wholeTable" size="0" dxfId="2032"/>
      <tableStyleElement type="headerRow" dxfId="2035"/>
      <tableStyleElement type="firstRowStripe" dxfId="2034"/>
      <tableStyleElement type="secondRowStripe" dxfId="2033"/>
    </tableStyle>
    <tableStyle name="House R v HR moro 1 2182026-style 2" pivot="0" count="4" xr9:uid="{00000000-0011-0000-FFFF-FFFF41000000}">
      <tableStyleElement type="wholeTable" size="0" dxfId="2028"/>
      <tableStyleElement type="headerRow" dxfId="2031"/>
      <tableStyleElement type="firstRowStripe" dxfId="2030"/>
      <tableStyleElement type="secondRowStripe" dxfId="2029"/>
    </tableStyle>
    <tableStyle name="House R v HR moro 1 2182026-style 3" pivot="0" count="4" xr9:uid="{00000000-0011-0000-FFFF-FFFF42000000}">
      <tableStyleElement type="wholeTable" size="0" dxfId="2024"/>
      <tableStyleElement type="headerRow" dxfId="2027"/>
      <tableStyleElement type="firstRowStripe" dxfId="2026"/>
      <tableStyleElement type="secondRowStripe" dxfId="2025"/>
    </tableStyle>
    <tableStyle name="House R v HR moro 1 2182026-style 4" pivot="0" count="4" xr9:uid="{00000000-0011-0000-FFFF-FFFF43000000}">
      <tableStyleElement type="wholeTable" size="0" dxfId="2020"/>
      <tableStyleElement type="headerRow" dxfId="2023"/>
      <tableStyleElement type="firstRowStripe" dxfId="2022"/>
      <tableStyleElement type="secondRowStripe" dxfId="2021"/>
    </tableStyle>
    <tableStyle name="House R v HR moro 1 2182026-style 5" pivot="0" count="4" xr9:uid="{00000000-0011-0000-FFFF-FFFF44000000}">
      <tableStyleElement type="wholeTable" size="0" dxfId="2016"/>
      <tableStyleElement type="headerRow" dxfId="2019"/>
      <tableStyleElement type="firstRowStripe" dxfId="2018"/>
      <tableStyleElement type="secondRowStripe" dxfId="2017"/>
    </tableStyle>
    <tableStyle name="House R v HR moro 1 2182026-style 6" pivot="0" count="4" xr9:uid="{00000000-0011-0000-FFFF-FFFF45000000}">
      <tableStyleElement type="wholeTable" size="0" dxfId="2012"/>
      <tableStyleElement type="headerRow" dxfId="2015"/>
      <tableStyleElement type="firstRowStripe" dxfId="2014"/>
      <tableStyleElement type="secondRowStripe" dxfId="2013"/>
    </tableStyle>
    <tableStyle name="House R v HR moro 1 2182026-style 7" pivot="0" count="4" xr9:uid="{00000000-0011-0000-FFFF-FFFF46000000}">
      <tableStyleElement type="wholeTable" size="0" dxfId="2008"/>
      <tableStyleElement type="headerRow" dxfId="2011"/>
      <tableStyleElement type="firstRowStripe" dxfId="2010"/>
      <tableStyleElement type="secondRowStripe" dxfId="2009"/>
    </tableStyle>
    <tableStyle name="House R v HR moro 1 2182026-style 8" pivot="0" count="4" xr9:uid="{00000000-0011-0000-FFFF-FFFF47000000}">
      <tableStyleElement type="wholeTable" size="0" dxfId="2004"/>
      <tableStyleElement type="headerRow" dxfId="2007"/>
      <tableStyleElement type="firstRowStripe" dxfId="2006"/>
      <tableStyleElement type="secondRowStripe" dxfId="2005"/>
    </tableStyle>
    <tableStyle name="House R v HR moro 1 2182026-style 9" pivot="0" count="4" xr9:uid="{00000000-0011-0000-FFFF-FFFF48000000}">
      <tableStyleElement type="wholeTable" size="0" dxfId="2000"/>
      <tableStyleElement type="headerRow" dxfId="2003"/>
      <tableStyleElement type="firstRowStripe" dxfId="2002"/>
      <tableStyleElement type="secondRowStripe" dxfId="2001"/>
    </tableStyle>
    <tableStyle name="House R v HR moro 1 2182026-style 10" pivot="0" count="4" xr9:uid="{00000000-0011-0000-FFFF-FFFF49000000}">
      <tableStyleElement type="wholeTable" size="0" dxfId="1996"/>
      <tableStyleElement type="headerRow" dxfId="1999"/>
      <tableStyleElement type="firstRowStripe" dxfId="1998"/>
      <tableStyleElement type="secondRowStripe" dxfId="1997"/>
    </tableStyle>
    <tableStyle name="House R v HR moro 1 2182026-style 11" pivot="0" count="4" xr9:uid="{00000000-0011-0000-FFFF-FFFF4A000000}">
      <tableStyleElement type="wholeTable" size="0" dxfId="1992"/>
      <tableStyleElement type="headerRow" dxfId="1995"/>
      <tableStyleElement type="firstRowStripe" dxfId="1994"/>
      <tableStyleElement type="secondRowStripe" dxfId="1993"/>
    </tableStyle>
    <tableStyle name="House R v HR moro 1 2182026-style 12" pivot="0" count="4" xr9:uid="{00000000-0011-0000-FFFF-FFFF4B000000}">
      <tableStyleElement type="wholeTable" size="0" dxfId="1988"/>
      <tableStyleElement type="headerRow" dxfId="1991"/>
      <tableStyleElement type="firstRowStripe" dxfId="1990"/>
      <tableStyleElement type="secondRowStripe" dxfId="1989"/>
    </tableStyle>
    <tableStyle name="House R v HR moro 1 2182026-style 13" pivot="0" count="4" xr9:uid="{00000000-0011-0000-FFFF-FFFF4C000000}">
      <tableStyleElement type="wholeTable" size="0" dxfId="1984"/>
      <tableStyleElement type="headerRow" dxfId="1987"/>
      <tableStyleElement type="firstRowStripe" dxfId="1986"/>
      <tableStyleElement type="secondRowStripe" dxfId="1985"/>
    </tableStyle>
    <tableStyle name="House R v HR moro 1 2182026-style 14" pivot="0" count="4" xr9:uid="{00000000-0011-0000-FFFF-FFFF4D000000}">
      <tableStyleElement type="wholeTable" size="0" dxfId="1980"/>
      <tableStyleElement type="headerRow" dxfId="1983"/>
      <tableStyleElement type="firstRowStripe" dxfId="1982"/>
      <tableStyleElement type="secondRowStripe" dxfId="1981"/>
    </tableStyle>
    <tableStyle name="House R v HR moro 1 2182026-style 15" pivot="0" count="4" xr9:uid="{00000000-0011-0000-FFFF-FFFF4E000000}">
      <tableStyleElement type="wholeTable" size="0" dxfId="1976"/>
      <tableStyleElement type="headerRow" dxfId="1979"/>
      <tableStyleElement type="firstRowStripe" dxfId="1978"/>
      <tableStyleElement type="secondRowStripe" dxfId="1977"/>
    </tableStyle>
    <tableStyle name="House R v HR moro 1 2182026-style 16" pivot="0" count="4" xr9:uid="{00000000-0011-0000-FFFF-FFFF4F000000}">
      <tableStyleElement type="wholeTable" size="0" dxfId="1972"/>
      <tableStyleElement type="headerRow" dxfId="1975"/>
      <tableStyleElement type="firstRowStripe" dxfId="1974"/>
      <tableStyleElement type="secondRowStripe" dxfId="1973"/>
    </tableStyle>
    <tableStyle name="House R v HR moro 1 2182026-style 17" pivot="0" count="4" xr9:uid="{00000000-0011-0000-FFFF-FFFF50000000}">
      <tableStyleElement type="wholeTable" size="0" dxfId="1968"/>
      <tableStyleElement type="headerRow" dxfId="1971"/>
      <tableStyleElement type="firstRowStripe" dxfId="1970"/>
      <tableStyleElement type="secondRowStripe" dxfId="1969"/>
    </tableStyle>
    <tableStyle name="BR m Unhinged Pakilo 2 2172026-style" pivot="0" count="4" xr9:uid="{00000000-0011-0000-FFFF-FFFF51000000}">
      <tableStyleElement type="wholeTable" size="0" dxfId="1964"/>
      <tableStyleElement type="headerRow" dxfId="1967"/>
      <tableStyleElement type="firstRowStripe" dxfId="1966"/>
      <tableStyleElement type="secondRowStripe" dxfId="1965"/>
    </tableStyle>
    <tableStyle name="BR m Unhinged Pakilo 2 2172026-style 2" pivot="0" count="4" xr9:uid="{00000000-0011-0000-FFFF-FFFF52000000}">
      <tableStyleElement type="wholeTable" size="0" dxfId="1960"/>
      <tableStyleElement type="headerRow" dxfId="1963"/>
      <tableStyleElement type="firstRowStripe" dxfId="1962"/>
      <tableStyleElement type="secondRowStripe" dxfId="1961"/>
    </tableStyle>
    <tableStyle name="BR m Unhinged Pakilo 2 2172026-style 3" pivot="0" count="4" xr9:uid="{00000000-0011-0000-FFFF-FFFF53000000}">
      <tableStyleElement type="wholeTable" size="0" dxfId="1956"/>
      <tableStyleElement type="headerRow" dxfId="1959"/>
      <tableStyleElement type="firstRowStripe" dxfId="1958"/>
      <tableStyleElement type="secondRowStripe" dxfId="1957"/>
    </tableStyle>
    <tableStyle name="BR m Unhinged Pakilo 2 2172026-style 4" pivot="0" count="4" xr9:uid="{00000000-0011-0000-FFFF-FFFF54000000}">
      <tableStyleElement type="wholeTable" size="0" dxfId="1952"/>
      <tableStyleElement type="headerRow" dxfId="1955"/>
      <tableStyleElement type="firstRowStripe" dxfId="1954"/>
      <tableStyleElement type="secondRowStripe" dxfId="1953"/>
    </tableStyle>
    <tableStyle name="BR m Unhinged Pakilo 2 2172026-style 5" pivot="0" count="4" xr9:uid="{00000000-0011-0000-FFFF-FFFF55000000}">
      <tableStyleElement type="wholeTable" size="0" dxfId="1948"/>
      <tableStyleElement type="headerRow" dxfId="1951"/>
      <tableStyleElement type="firstRowStripe" dxfId="1950"/>
      <tableStyleElement type="secondRowStripe" dxfId="1949"/>
    </tableStyle>
    <tableStyle name="BR m Unhinged Pakilo 2 2172026-style 6" pivot="0" count="4" xr9:uid="{00000000-0011-0000-FFFF-FFFF56000000}">
      <tableStyleElement type="wholeTable" size="0" dxfId="1944"/>
      <tableStyleElement type="headerRow" dxfId="1947"/>
      <tableStyleElement type="firstRowStripe" dxfId="1946"/>
      <tableStyleElement type="secondRowStripe" dxfId="1945"/>
    </tableStyle>
    <tableStyle name="BR m Unhinged Pakilo 2 2172026-style 7" pivot="0" count="4" xr9:uid="{00000000-0011-0000-FFFF-FFFF57000000}">
      <tableStyleElement type="wholeTable" size="0" dxfId="1940"/>
      <tableStyleElement type="headerRow" dxfId="1943"/>
      <tableStyleElement type="firstRowStripe" dxfId="1942"/>
      <tableStyleElement type="secondRowStripe" dxfId="1941"/>
    </tableStyle>
    <tableStyle name="BR m Unhinged Pakilo 2 2172026-style 8" pivot="0" count="4" xr9:uid="{00000000-0011-0000-FFFF-FFFF58000000}">
      <tableStyleElement type="wholeTable" size="0" dxfId="1936"/>
      <tableStyleElement type="headerRow" dxfId="1939"/>
      <tableStyleElement type="firstRowStripe" dxfId="1938"/>
      <tableStyleElement type="secondRowStripe" dxfId="1937"/>
    </tableStyle>
    <tableStyle name="BR m Unhinged Pakilo 2 2172026-style 9" pivot="0" count="4" xr9:uid="{00000000-0011-0000-FFFF-FFFF59000000}">
      <tableStyleElement type="wholeTable" size="0" dxfId="1932"/>
      <tableStyleElement type="headerRow" dxfId="1935"/>
      <tableStyleElement type="firstRowStripe" dxfId="1934"/>
      <tableStyleElement type="secondRowStripe" dxfId="1933"/>
    </tableStyle>
    <tableStyle name="BR m Unhinged Pakilo 2 2172026-style 10" pivot="0" count="4" xr9:uid="{00000000-0011-0000-FFFF-FFFF5A000000}">
      <tableStyleElement type="wholeTable" size="0" dxfId="1928"/>
      <tableStyleElement type="headerRow" dxfId="1931"/>
      <tableStyleElement type="firstRowStripe" dxfId="1930"/>
      <tableStyleElement type="secondRowStripe" dxfId="1929"/>
    </tableStyle>
    <tableStyle name="BR m Unhinged Pakilo 2 2172026-style 11" pivot="0" count="4" xr9:uid="{00000000-0011-0000-FFFF-FFFF5B000000}">
      <tableStyleElement type="wholeTable" size="0" dxfId="1924"/>
      <tableStyleElement type="headerRow" dxfId="1927"/>
      <tableStyleElement type="firstRowStripe" dxfId="1926"/>
      <tableStyleElement type="secondRowStripe" dxfId="1925"/>
    </tableStyle>
    <tableStyle name="BR m Unhinged Pakilo 2 2172026-style 12" pivot="0" count="4" xr9:uid="{00000000-0011-0000-FFFF-FFFF5C000000}">
      <tableStyleElement type="wholeTable" size="0" dxfId="1920"/>
      <tableStyleElement type="headerRow" dxfId="1923"/>
      <tableStyleElement type="firstRowStripe" dxfId="1922"/>
      <tableStyleElement type="secondRowStripe" dxfId="1921"/>
    </tableStyle>
    <tableStyle name="BR m Unhinged Pakilo 2 2172026-style 13" pivot="0" count="4" xr9:uid="{00000000-0011-0000-FFFF-FFFF5D000000}">
      <tableStyleElement type="wholeTable" size="0" dxfId="1916"/>
      <tableStyleElement type="headerRow" dxfId="1919"/>
      <tableStyleElement type="firstRowStripe" dxfId="1918"/>
      <tableStyleElement type="secondRowStripe" dxfId="1917"/>
    </tableStyle>
    <tableStyle name="BR m Unhinged Pakilo 2 2172026-style 14" pivot="0" count="4" xr9:uid="{00000000-0011-0000-FFFF-FFFF5E000000}">
      <tableStyleElement type="wholeTable" size="0" dxfId="1912"/>
      <tableStyleElement type="headerRow" dxfId="1915"/>
      <tableStyleElement type="firstRowStripe" dxfId="1914"/>
      <tableStyleElement type="secondRowStripe" dxfId="1913"/>
    </tableStyle>
    <tableStyle name="BR m Unhinged Pakilo 2 2172026-style 15" pivot="0" count="4" xr9:uid="{00000000-0011-0000-FFFF-FFFF5F000000}">
      <tableStyleElement type="wholeTable" size="0" dxfId="1908"/>
      <tableStyleElement type="headerRow" dxfId="1911"/>
      <tableStyleElement type="firstRowStripe" dxfId="1910"/>
      <tableStyleElement type="secondRowStripe" dxfId="1909"/>
    </tableStyle>
    <tableStyle name="BR m Unhinged Pakilo 2 2172026-style 16" pivot="0" count="4" xr9:uid="{00000000-0011-0000-FFFF-FFFF60000000}">
      <tableStyleElement type="wholeTable" size="0" dxfId="1904"/>
      <tableStyleElement type="headerRow" dxfId="1907"/>
      <tableStyleElement type="firstRowStripe" dxfId="1906"/>
      <tableStyleElement type="secondRowStripe" dxfId="1905"/>
    </tableStyle>
    <tableStyle name="BR m Unhinged Pakilo 2 2172026-style 17" pivot="0" count="4" xr9:uid="{00000000-0011-0000-FFFF-FFFF61000000}">
      <tableStyleElement type="wholeTable" size="0" dxfId="1900"/>
      <tableStyleElement type="headerRow" dxfId="1903"/>
      <tableStyleElement type="firstRowStripe" dxfId="1902"/>
      <tableStyleElement type="secondRowStripe" dxfId="1901"/>
    </tableStyle>
    <tableStyle name="BR m Unhinged Kowa 1 2172026-style" pivot="0" count="4" xr9:uid="{00000000-0011-0000-FFFF-FFFF62000000}">
      <tableStyleElement type="wholeTable" size="0" dxfId="1896"/>
      <tableStyleElement type="headerRow" dxfId="1899"/>
      <tableStyleElement type="firstRowStripe" dxfId="1898"/>
      <tableStyleElement type="secondRowStripe" dxfId="1897"/>
    </tableStyle>
    <tableStyle name="BR m Unhinged Kowa 1 2172026-style 2" pivot="0" count="4" xr9:uid="{00000000-0011-0000-FFFF-FFFF63000000}">
      <tableStyleElement type="wholeTable" size="0" dxfId="1892"/>
      <tableStyleElement type="headerRow" dxfId="1895"/>
      <tableStyleElement type="firstRowStripe" dxfId="1894"/>
      <tableStyleElement type="secondRowStripe" dxfId="1893"/>
    </tableStyle>
    <tableStyle name="BR m Unhinged Kowa 1 2172026-style 3" pivot="0" count="4" xr9:uid="{00000000-0011-0000-FFFF-FFFF64000000}">
      <tableStyleElement type="wholeTable" size="0" dxfId="1888"/>
      <tableStyleElement type="headerRow" dxfId="1891"/>
      <tableStyleElement type="firstRowStripe" dxfId="1890"/>
      <tableStyleElement type="secondRowStripe" dxfId="1889"/>
    </tableStyle>
    <tableStyle name="BR m Unhinged Kowa 1 2172026-style 4" pivot="0" count="4" xr9:uid="{00000000-0011-0000-FFFF-FFFF65000000}">
      <tableStyleElement type="wholeTable" size="0" dxfId="1884"/>
      <tableStyleElement type="headerRow" dxfId="1887"/>
      <tableStyleElement type="firstRowStripe" dxfId="1886"/>
      <tableStyleElement type="secondRowStripe" dxfId="1885"/>
    </tableStyle>
    <tableStyle name="BR m Unhinged Kowa 1 2172026-style 5" pivot="0" count="4" xr9:uid="{00000000-0011-0000-FFFF-FFFF66000000}">
      <tableStyleElement type="wholeTable" size="0" dxfId="1880"/>
      <tableStyleElement type="headerRow" dxfId="1883"/>
      <tableStyleElement type="firstRowStripe" dxfId="1882"/>
      <tableStyleElement type="secondRowStripe" dxfId="1881"/>
    </tableStyle>
    <tableStyle name="BR m Unhinged Kowa 1 2172026-style 6" pivot="0" count="4" xr9:uid="{00000000-0011-0000-FFFF-FFFF67000000}">
      <tableStyleElement type="wholeTable" size="0" dxfId="1876"/>
      <tableStyleElement type="headerRow" dxfId="1879"/>
      <tableStyleElement type="firstRowStripe" dxfId="1878"/>
      <tableStyleElement type="secondRowStripe" dxfId="1877"/>
    </tableStyle>
    <tableStyle name="BR m Unhinged Kowa 1 2172026-style 7" pivot="0" count="4" xr9:uid="{00000000-0011-0000-FFFF-FFFF68000000}">
      <tableStyleElement type="wholeTable" size="0" dxfId="1872"/>
      <tableStyleElement type="headerRow" dxfId="1875"/>
      <tableStyleElement type="firstRowStripe" dxfId="1874"/>
      <tableStyleElement type="secondRowStripe" dxfId="1873"/>
    </tableStyle>
    <tableStyle name="BR m Unhinged Kowa 1 2172026-style 8" pivot="0" count="4" xr9:uid="{00000000-0011-0000-FFFF-FFFF69000000}">
      <tableStyleElement type="wholeTable" size="0" dxfId="1868"/>
      <tableStyleElement type="headerRow" dxfId="1871"/>
      <tableStyleElement type="firstRowStripe" dxfId="1870"/>
      <tableStyleElement type="secondRowStripe" dxfId="1869"/>
    </tableStyle>
    <tableStyle name="BR m Unhinged Kowa 1 2172026-style 9" pivot="0" count="4" xr9:uid="{00000000-0011-0000-FFFF-FFFF6A000000}">
      <tableStyleElement type="wholeTable" size="0" dxfId="1864"/>
      <tableStyleElement type="headerRow" dxfId="1867"/>
      <tableStyleElement type="firstRowStripe" dxfId="1866"/>
      <tableStyleElement type="secondRowStripe" dxfId="1865"/>
    </tableStyle>
    <tableStyle name="BR m Unhinged Kowa 1 2172026-style 10" pivot="0" count="4" xr9:uid="{00000000-0011-0000-FFFF-FFFF6B000000}">
      <tableStyleElement type="wholeTable" size="0" dxfId="1860"/>
      <tableStyleElement type="headerRow" dxfId="1863"/>
      <tableStyleElement type="firstRowStripe" dxfId="1862"/>
      <tableStyleElement type="secondRowStripe" dxfId="1861"/>
    </tableStyle>
    <tableStyle name="BR m Unhinged Kowa 1 2172026-style 11" pivot="0" count="4" xr9:uid="{00000000-0011-0000-FFFF-FFFF6C000000}">
      <tableStyleElement type="wholeTable" size="0" dxfId="1856"/>
      <tableStyleElement type="headerRow" dxfId="1859"/>
      <tableStyleElement type="firstRowStripe" dxfId="1858"/>
      <tableStyleElement type="secondRowStripe" dxfId="1857"/>
    </tableStyle>
    <tableStyle name="BR m Unhinged Kowa 1 2172026-style 12" pivot="0" count="4" xr9:uid="{00000000-0011-0000-FFFF-FFFF6D000000}">
      <tableStyleElement type="wholeTable" size="0" dxfId="1852"/>
      <tableStyleElement type="headerRow" dxfId="1855"/>
      <tableStyleElement type="firstRowStripe" dxfId="1854"/>
      <tableStyleElement type="secondRowStripe" dxfId="1853"/>
    </tableStyle>
    <tableStyle name="BR m Unhinged Kowa 1 2172026-style 13" pivot="0" count="4" xr9:uid="{00000000-0011-0000-FFFF-FFFF6E000000}">
      <tableStyleElement type="wholeTable" size="0" dxfId="1848"/>
      <tableStyleElement type="headerRow" dxfId="1851"/>
      <tableStyleElement type="firstRowStripe" dxfId="1850"/>
      <tableStyleElement type="secondRowStripe" dxfId="1849"/>
    </tableStyle>
    <tableStyle name="BR m Unhinged Kowa 1 2172026-style 14" pivot="0" count="4" xr9:uid="{00000000-0011-0000-FFFF-FFFF6F000000}">
      <tableStyleElement type="wholeTable" size="0" dxfId="1844"/>
      <tableStyleElement type="headerRow" dxfId="1847"/>
      <tableStyleElement type="firstRowStripe" dxfId="1846"/>
      <tableStyleElement type="secondRowStripe" dxfId="1845"/>
    </tableStyle>
    <tableStyle name="BR m Unhinged Kowa 1 2172026-style 15" pivot="0" count="4" xr9:uid="{00000000-0011-0000-FFFF-FFFF70000000}">
      <tableStyleElement type="wholeTable" size="0" dxfId="1840"/>
      <tableStyleElement type="headerRow" dxfId="1843"/>
      <tableStyleElement type="firstRowStripe" dxfId="1842"/>
      <tableStyleElement type="secondRowStripe" dxfId="1841"/>
    </tableStyle>
    <tableStyle name="BR m Unhinged Kowa 1 2172026-style 16" pivot="0" count="4" xr9:uid="{00000000-0011-0000-FFFF-FFFF71000000}">
      <tableStyleElement type="wholeTable" size="0" dxfId="1836"/>
      <tableStyleElement type="headerRow" dxfId="1839"/>
      <tableStyleElement type="firstRowStripe" dxfId="1838"/>
      <tableStyleElement type="secondRowStripe" dxfId="1837"/>
    </tableStyle>
    <tableStyle name="BR m Unhinged Kowa 1 2172026-style 17" pivot="0" count="4" xr9:uid="{00000000-0011-0000-FFFF-FFFF72000000}">
      <tableStyleElement type="wholeTable" size="0" dxfId="1832"/>
      <tableStyleElement type="headerRow" dxfId="1835"/>
      <tableStyleElement type="firstRowStripe" dxfId="1834"/>
      <tableStyleElement type="secondRowStripe" dxfId="1833"/>
    </tableStyle>
    <tableStyle name="BR v Highly Regarded 2 Cherno 2-style" pivot="0" count="4" xr9:uid="{00000000-0011-0000-FFFF-FFFF73000000}">
      <tableStyleElement type="wholeTable" size="0" dxfId="1828"/>
      <tableStyleElement type="headerRow" dxfId="1831"/>
      <tableStyleElement type="firstRowStripe" dxfId="1830"/>
      <tableStyleElement type="secondRowStripe" dxfId="1829"/>
    </tableStyle>
    <tableStyle name="BR v Highly Regarded 2 Cherno 2-style 2" pivot="0" count="4" xr9:uid="{00000000-0011-0000-FFFF-FFFF74000000}">
      <tableStyleElement type="wholeTable" size="0" dxfId="1824"/>
      <tableStyleElement type="headerRow" dxfId="1827"/>
      <tableStyleElement type="firstRowStripe" dxfId="1826"/>
      <tableStyleElement type="secondRowStripe" dxfId="1825"/>
    </tableStyle>
    <tableStyle name="BR v Highly Regarded 2 Cherno 2-style 3" pivot="0" count="4" xr9:uid="{00000000-0011-0000-FFFF-FFFF75000000}">
      <tableStyleElement type="wholeTable" size="0" dxfId="1820"/>
      <tableStyleElement type="headerRow" dxfId="1823"/>
      <tableStyleElement type="firstRowStripe" dxfId="1822"/>
      <tableStyleElement type="secondRowStripe" dxfId="1821"/>
    </tableStyle>
    <tableStyle name="BR v Highly Regarded 2 Cherno 2-style 4" pivot="0" count="4" xr9:uid="{00000000-0011-0000-FFFF-FFFF76000000}">
      <tableStyleElement type="wholeTable" size="0" dxfId="1816"/>
      <tableStyleElement type="headerRow" dxfId="1819"/>
      <tableStyleElement type="firstRowStripe" dxfId="1818"/>
      <tableStyleElement type="secondRowStripe" dxfId="1817"/>
    </tableStyle>
    <tableStyle name="BR v Highly Regarded 2 Cherno 2-style 5" pivot="0" count="4" xr9:uid="{00000000-0011-0000-FFFF-FFFF77000000}">
      <tableStyleElement type="wholeTable" size="0" dxfId="1812"/>
      <tableStyleElement type="headerRow" dxfId="1815"/>
      <tableStyleElement type="firstRowStripe" dxfId="1814"/>
      <tableStyleElement type="secondRowStripe" dxfId="1813"/>
    </tableStyle>
    <tableStyle name="BR v Highly Regarded 2 Cherno 2-style 6" pivot="0" count="4" xr9:uid="{00000000-0011-0000-FFFF-FFFF78000000}">
      <tableStyleElement type="wholeTable" size="0" dxfId="1808"/>
      <tableStyleElement type="headerRow" dxfId="1811"/>
      <tableStyleElement type="firstRowStripe" dxfId="1810"/>
      <tableStyleElement type="secondRowStripe" dxfId="1809"/>
    </tableStyle>
    <tableStyle name="BR v Highly Regarded 2 Cherno 2-style 7" pivot="0" count="4" xr9:uid="{00000000-0011-0000-FFFF-FFFF79000000}">
      <tableStyleElement type="wholeTable" size="0" dxfId="1804"/>
      <tableStyleElement type="headerRow" dxfId="1807"/>
      <tableStyleElement type="firstRowStripe" dxfId="1806"/>
      <tableStyleElement type="secondRowStripe" dxfId="1805"/>
    </tableStyle>
    <tableStyle name="BR v Highly Regarded 2 Cherno 2-style 8" pivot="0" count="4" xr9:uid="{00000000-0011-0000-FFFF-FFFF7A000000}">
      <tableStyleElement type="wholeTable" size="0" dxfId="1800"/>
      <tableStyleElement type="headerRow" dxfId="1803"/>
      <tableStyleElement type="firstRowStripe" dxfId="1802"/>
      <tableStyleElement type="secondRowStripe" dxfId="1801"/>
    </tableStyle>
    <tableStyle name="BR v Highly Regarded 2 Cherno 2-style 9" pivot="0" count="4" xr9:uid="{00000000-0011-0000-FFFF-FFFF7B000000}">
      <tableStyleElement type="wholeTable" size="0" dxfId="1796"/>
      <tableStyleElement type="headerRow" dxfId="1799"/>
      <tableStyleElement type="firstRowStripe" dxfId="1798"/>
      <tableStyleElement type="secondRowStripe" dxfId="1797"/>
    </tableStyle>
    <tableStyle name="BR v Highly Regarded 2 Cherno 2-style 10" pivot="0" count="4" xr9:uid="{00000000-0011-0000-FFFF-FFFF7C000000}">
      <tableStyleElement type="wholeTable" size="0" dxfId="1792"/>
      <tableStyleElement type="headerRow" dxfId="1795"/>
      <tableStyleElement type="firstRowStripe" dxfId="1794"/>
      <tableStyleElement type="secondRowStripe" dxfId="1793"/>
    </tableStyle>
    <tableStyle name="BR v Highly Regarded 2 Cherno 2-style 11" pivot="0" count="4" xr9:uid="{00000000-0011-0000-FFFF-FFFF7D000000}">
      <tableStyleElement type="wholeTable" size="0" dxfId="1788"/>
      <tableStyleElement type="headerRow" dxfId="1791"/>
      <tableStyleElement type="firstRowStripe" dxfId="1790"/>
      <tableStyleElement type="secondRowStripe" dxfId="1789"/>
    </tableStyle>
    <tableStyle name="BR v Highly Regarded 2 Cherno 2-style 12" pivot="0" count="4" xr9:uid="{00000000-0011-0000-FFFF-FFFF7E000000}">
      <tableStyleElement type="wholeTable" size="0" dxfId="1784"/>
      <tableStyleElement type="headerRow" dxfId="1787"/>
      <tableStyleElement type="firstRowStripe" dxfId="1786"/>
      <tableStyleElement type="secondRowStripe" dxfId="1785"/>
    </tableStyle>
    <tableStyle name="BR v Highly Regarded 2 Cherno 2-style 13" pivot="0" count="4" xr9:uid="{00000000-0011-0000-FFFF-FFFF7F000000}">
      <tableStyleElement type="wholeTable" size="0" dxfId="1780"/>
      <tableStyleElement type="headerRow" dxfId="1783"/>
      <tableStyleElement type="firstRowStripe" dxfId="1782"/>
      <tableStyleElement type="secondRowStripe" dxfId="1781"/>
    </tableStyle>
    <tableStyle name="BR v Highly Regarded 2 Cherno 2-style 14" pivot="0" count="4" xr9:uid="{00000000-0011-0000-FFFF-FFFF80000000}">
      <tableStyleElement type="wholeTable" size="0" dxfId="1776"/>
      <tableStyleElement type="headerRow" dxfId="1779"/>
      <tableStyleElement type="firstRowStripe" dxfId="1778"/>
      <tableStyleElement type="secondRowStripe" dxfId="1777"/>
    </tableStyle>
    <tableStyle name="BR v Highly Regarded 2 Cherno 2-style 15" pivot="0" count="4" xr9:uid="{00000000-0011-0000-FFFF-FFFF81000000}">
      <tableStyleElement type="wholeTable" size="0" dxfId="1772"/>
      <tableStyleElement type="headerRow" dxfId="1775"/>
      <tableStyleElement type="firstRowStripe" dxfId="1774"/>
      <tableStyleElement type="secondRowStripe" dxfId="1773"/>
    </tableStyle>
    <tableStyle name="BR v Highly Regarded 2 Cherno 2-style 16" pivot="0" count="4" xr9:uid="{00000000-0011-0000-FFFF-FFFF82000000}">
      <tableStyleElement type="wholeTable" size="0" dxfId="1768"/>
      <tableStyleElement type="headerRow" dxfId="1771"/>
      <tableStyleElement type="firstRowStripe" dxfId="1770"/>
      <tableStyleElement type="secondRowStripe" dxfId="1769"/>
    </tableStyle>
    <tableStyle name="BR v Highly Regarded 2 Cherno 2-style 17" pivot="0" count="4" xr9:uid="{00000000-0011-0000-FFFF-FFFF83000000}">
      <tableStyleElement type="wholeTable" size="0" dxfId="1764"/>
      <tableStyleElement type="headerRow" dxfId="1767"/>
      <tableStyleElement type="firstRowStripe" dxfId="1766"/>
      <tableStyleElement type="secondRowStripe" dxfId="1765"/>
    </tableStyle>
    <tableStyle name="BR v Highly Regarded 1 Talus 21-style" pivot="0" count="4" xr9:uid="{00000000-0011-0000-FFFF-FFFF84000000}">
      <tableStyleElement type="wholeTable" size="0" dxfId="1760"/>
      <tableStyleElement type="headerRow" dxfId="1763"/>
      <tableStyleElement type="firstRowStripe" dxfId="1762"/>
      <tableStyleElement type="secondRowStripe" dxfId="1761"/>
    </tableStyle>
    <tableStyle name="BR v Highly Regarded 1 Talus 21-style 2" pivot="0" count="4" xr9:uid="{00000000-0011-0000-FFFF-FFFF85000000}">
      <tableStyleElement type="wholeTable" size="0" dxfId="1756"/>
      <tableStyleElement type="headerRow" dxfId="1759"/>
      <tableStyleElement type="firstRowStripe" dxfId="1758"/>
      <tableStyleElement type="secondRowStripe" dxfId="1757"/>
    </tableStyle>
    <tableStyle name="BR v Highly Regarded 1 Talus 21-style 3" pivot="0" count="4" xr9:uid="{00000000-0011-0000-FFFF-FFFF86000000}">
      <tableStyleElement type="wholeTable" size="0" dxfId="1752"/>
      <tableStyleElement type="headerRow" dxfId="1755"/>
      <tableStyleElement type="firstRowStripe" dxfId="1754"/>
      <tableStyleElement type="secondRowStripe" dxfId="1753"/>
    </tableStyle>
    <tableStyle name="BR v Highly Regarded 1 Talus 21-style 4" pivot="0" count="4" xr9:uid="{00000000-0011-0000-FFFF-FFFF87000000}">
      <tableStyleElement type="wholeTable" size="0" dxfId="1748"/>
      <tableStyleElement type="headerRow" dxfId="1751"/>
      <tableStyleElement type="firstRowStripe" dxfId="1750"/>
      <tableStyleElement type="secondRowStripe" dxfId="1749"/>
    </tableStyle>
    <tableStyle name="BR v Highly Regarded 1 Talus 21-style 5" pivot="0" count="4" xr9:uid="{00000000-0011-0000-FFFF-FFFF88000000}">
      <tableStyleElement type="wholeTable" size="0" dxfId="1744"/>
      <tableStyleElement type="headerRow" dxfId="1747"/>
      <tableStyleElement type="firstRowStripe" dxfId="1746"/>
      <tableStyleElement type="secondRowStripe" dxfId="1745"/>
    </tableStyle>
    <tableStyle name="BR v Highly Regarded 1 Talus 21-style 6" pivot="0" count="4" xr9:uid="{00000000-0011-0000-FFFF-FFFF89000000}">
      <tableStyleElement type="wholeTable" size="0" dxfId="1740"/>
      <tableStyleElement type="headerRow" dxfId="1743"/>
      <tableStyleElement type="firstRowStripe" dxfId="1742"/>
      <tableStyleElement type="secondRowStripe" dxfId="1741"/>
    </tableStyle>
    <tableStyle name="BR v Highly Regarded 1 Talus 21-style 7" pivot="0" count="4" xr9:uid="{00000000-0011-0000-FFFF-FFFF8A000000}">
      <tableStyleElement type="wholeTable" size="0" dxfId="1736"/>
      <tableStyleElement type="headerRow" dxfId="1739"/>
      <tableStyleElement type="firstRowStripe" dxfId="1738"/>
      <tableStyleElement type="secondRowStripe" dxfId="1737"/>
    </tableStyle>
    <tableStyle name="BR v Highly Regarded 1 Talus 21-style 8" pivot="0" count="4" xr9:uid="{00000000-0011-0000-FFFF-FFFF8B000000}">
      <tableStyleElement type="wholeTable" size="0" dxfId="1732"/>
      <tableStyleElement type="headerRow" dxfId="1735"/>
      <tableStyleElement type="firstRowStripe" dxfId="1734"/>
      <tableStyleElement type="secondRowStripe" dxfId="1733"/>
    </tableStyle>
    <tableStyle name="BR v Highly Regarded 1 Talus 21-style 9" pivot="0" count="4" xr9:uid="{00000000-0011-0000-FFFF-FFFF8C000000}">
      <tableStyleElement type="wholeTable" size="0" dxfId="1728"/>
      <tableStyleElement type="headerRow" dxfId="1731"/>
      <tableStyleElement type="firstRowStripe" dxfId="1730"/>
      <tableStyleElement type="secondRowStripe" dxfId="1729"/>
    </tableStyle>
    <tableStyle name="BR v Highly Regarded 1 Talus 21-style 10" pivot="0" count="4" xr9:uid="{00000000-0011-0000-FFFF-FFFF8D000000}">
      <tableStyleElement type="wholeTable" size="0" dxfId="1724"/>
      <tableStyleElement type="headerRow" dxfId="1727"/>
      <tableStyleElement type="firstRowStripe" dxfId="1726"/>
      <tableStyleElement type="secondRowStripe" dxfId="1725"/>
    </tableStyle>
    <tableStyle name="BR v Highly Regarded 1 Talus 21-style 11" pivot="0" count="4" xr9:uid="{00000000-0011-0000-FFFF-FFFF8E000000}">
      <tableStyleElement type="wholeTable" size="0" dxfId="1720"/>
      <tableStyleElement type="headerRow" dxfId="1723"/>
      <tableStyleElement type="firstRowStripe" dxfId="1722"/>
      <tableStyleElement type="secondRowStripe" dxfId="1721"/>
    </tableStyle>
    <tableStyle name="BR v Highly Regarded 1 Talus 21-style 12" pivot="0" count="4" xr9:uid="{00000000-0011-0000-FFFF-FFFF8F000000}">
      <tableStyleElement type="wholeTable" size="0" dxfId="1716"/>
      <tableStyleElement type="headerRow" dxfId="1719"/>
      <tableStyleElement type="firstRowStripe" dxfId="1718"/>
      <tableStyleElement type="secondRowStripe" dxfId="1717"/>
    </tableStyle>
    <tableStyle name="BR v Highly Regarded 1 Talus 21-style 13" pivot="0" count="4" xr9:uid="{00000000-0011-0000-FFFF-FFFF90000000}">
      <tableStyleElement type="wholeTable" size="0" dxfId="1712"/>
      <tableStyleElement type="headerRow" dxfId="1715"/>
      <tableStyleElement type="firstRowStripe" dxfId="1714"/>
      <tableStyleElement type="secondRowStripe" dxfId="1713"/>
    </tableStyle>
    <tableStyle name="BR v Highly Regarded 1 Talus 21-style 14" pivot="0" count="4" xr9:uid="{00000000-0011-0000-FFFF-FFFF91000000}">
      <tableStyleElement type="wholeTable" size="0" dxfId="1708"/>
      <tableStyleElement type="headerRow" dxfId="1711"/>
      <tableStyleElement type="firstRowStripe" dxfId="1710"/>
      <tableStyleElement type="secondRowStripe" dxfId="1709"/>
    </tableStyle>
    <tableStyle name="BR v Highly Regarded 1 Talus 21-style 15" pivot="0" count="4" xr9:uid="{00000000-0011-0000-FFFF-FFFF92000000}">
      <tableStyleElement type="wholeTable" size="0" dxfId="1704"/>
      <tableStyleElement type="headerRow" dxfId="1707"/>
      <tableStyleElement type="firstRowStripe" dxfId="1706"/>
      <tableStyleElement type="secondRowStripe" dxfId="1705"/>
    </tableStyle>
    <tableStyle name="BR v Highly Regarded 1 Talus 21-style 16" pivot="0" count="4" xr9:uid="{00000000-0011-0000-FFFF-FFFF93000000}">
      <tableStyleElement type="wholeTable" size="0" dxfId="1700"/>
      <tableStyleElement type="headerRow" dxfId="1703"/>
      <tableStyleElement type="firstRowStripe" dxfId="1702"/>
      <tableStyleElement type="secondRowStripe" dxfId="1701"/>
    </tableStyle>
    <tableStyle name="BR v Highly Regarded 1 Talus 21-style 17" pivot="0" count="4" xr9:uid="{00000000-0011-0000-FFFF-FFFF94000000}">
      <tableStyleElement type="wholeTable" size="0" dxfId="1696"/>
      <tableStyleElement type="headerRow" dxfId="1699"/>
      <tableStyleElement type="firstRowStripe" dxfId="1698"/>
      <tableStyleElement type="secondRowStripe" dxfId="1697"/>
    </tableStyle>
    <tableStyle name="BR m Undercooked Aden 2 2112026-style" pivot="0" count="4" xr9:uid="{00000000-0011-0000-FFFF-FFFF95000000}">
      <tableStyleElement type="wholeTable" size="0" dxfId="1692"/>
      <tableStyleElement type="headerRow" dxfId="1695"/>
      <tableStyleElement type="firstRowStripe" dxfId="1694"/>
      <tableStyleElement type="secondRowStripe" dxfId="1693"/>
    </tableStyle>
    <tableStyle name="BR m Undercooked Aden 2 2112026-style 2" pivot="0" count="4" xr9:uid="{00000000-0011-0000-FFFF-FFFF96000000}">
      <tableStyleElement type="wholeTable" size="0" dxfId="1688"/>
      <tableStyleElement type="headerRow" dxfId="1691"/>
      <tableStyleElement type="firstRowStripe" dxfId="1690"/>
      <tableStyleElement type="secondRowStripe" dxfId="1689"/>
    </tableStyle>
    <tableStyle name="BR m Undercooked Aden 2 2112026-style 3" pivot="0" count="4" xr9:uid="{00000000-0011-0000-FFFF-FFFF97000000}">
      <tableStyleElement type="wholeTable" size="0" dxfId="1684"/>
      <tableStyleElement type="headerRow" dxfId="1687"/>
      <tableStyleElement type="firstRowStripe" dxfId="1686"/>
      <tableStyleElement type="secondRowStripe" dxfId="1685"/>
    </tableStyle>
    <tableStyle name="BR m Undercooked Aden 2 2112026-style 4" pivot="0" count="4" xr9:uid="{00000000-0011-0000-FFFF-FFFF98000000}">
      <tableStyleElement type="wholeTable" size="0" dxfId="1680"/>
      <tableStyleElement type="headerRow" dxfId="1683"/>
      <tableStyleElement type="firstRowStripe" dxfId="1682"/>
      <tableStyleElement type="secondRowStripe" dxfId="1681"/>
    </tableStyle>
    <tableStyle name="BR m Undercooked Aden 2 2112026-style 5" pivot="0" count="4" xr9:uid="{00000000-0011-0000-FFFF-FFFF99000000}">
      <tableStyleElement type="wholeTable" size="0" dxfId="1676"/>
      <tableStyleElement type="headerRow" dxfId="1679"/>
      <tableStyleElement type="firstRowStripe" dxfId="1678"/>
      <tableStyleElement type="secondRowStripe" dxfId="1677"/>
    </tableStyle>
    <tableStyle name="BR m Undercooked Aden 2 2112026-style 6" pivot="0" count="4" xr9:uid="{00000000-0011-0000-FFFF-FFFF9A000000}">
      <tableStyleElement type="wholeTable" size="0" dxfId="1672"/>
      <tableStyleElement type="headerRow" dxfId="1675"/>
      <tableStyleElement type="firstRowStripe" dxfId="1674"/>
      <tableStyleElement type="secondRowStripe" dxfId="1673"/>
    </tableStyle>
    <tableStyle name="BR m Undercooked Aden 2 2112026-style 7" pivot="0" count="4" xr9:uid="{00000000-0011-0000-FFFF-FFFF9B000000}">
      <tableStyleElement type="wholeTable" size="0" dxfId="1668"/>
      <tableStyleElement type="headerRow" dxfId="1671"/>
      <tableStyleElement type="firstRowStripe" dxfId="1670"/>
      <tableStyleElement type="secondRowStripe" dxfId="1669"/>
    </tableStyle>
    <tableStyle name="BR m Undercooked Aden 2 2112026-style 8" pivot="0" count="4" xr9:uid="{00000000-0011-0000-FFFF-FFFF9C000000}">
      <tableStyleElement type="wholeTable" size="0" dxfId="1664"/>
      <tableStyleElement type="headerRow" dxfId="1667"/>
      <tableStyleElement type="firstRowStripe" dxfId="1666"/>
      <tableStyleElement type="secondRowStripe" dxfId="1665"/>
    </tableStyle>
    <tableStyle name="BR m Undercooked Aden 2 2112026-style 9" pivot="0" count="4" xr9:uid="{00000000-0011-0000-FFFF-FFFF9D000000}">
      <tableStyleElement type="wholeTable" size="0" dxfId="1660"/>
      <tableStyleElement type="headerRow" dxfId="1663"/>
      <tableStyleElement type="firstRowStripe" dxfId="1662"/>
      <tableStyleElement type="secondRowStripe" dxfId="1661"/>
    </tableStyle>
    <tableStyle name="BR m Undercooked Aden 2 2112026-style 10" pivot="0" count="4" xr9:uid="{00000000-0011-0000-FFFF-FFFF9E000000}">
      <tableStyleElement type="wholeTable" size="0" dxfId="1656"/>
      <tableStyleElement type="headerRow" dxfId="1659"/>
      <tableStyleElement type="firstRowStripe" dxfId="1658"/>
      <tableStyleElement type="secondRowStripe" dxfId="1657"/>
    </tableStyle>
    <tableStyle name="BR m Undercooked Aden 2 2112026-style 11" pivot="0" count="4" xr9:uid="{00000000-0011-0000-FFFF-FFFF9F000000}">
      <tableStyleElement type="wholeTable" size="0" dxfId="1652"/>
      <tableStyleElement type="headerRow" dxfId="1655"/>
      <tableStyleElement type="firstRowStripe" dxfId="1654"/>
      <tableStyleElement type="secondRowStripe" dxfId="1653"/>
    </tableStyle>
    <tableStyle name="BR m Undercooked Aden 2 2112026-style 12" pivot="0" count="4" xr9:uid="{00000000-0011-0000-FFFF-FFFFA0000000}">
      <tableStyleElement type="wholeTable" size="0" dxfId="1648"/>
      <tableStyleElement type="headerRow" dxfId="1651"/>
      <tableStyleElement type="firstRowStripe" dxfId="1650"/>
      <tableStyleElement type="secondRowStripe" dxfId="1649"/>
    </tableStyle>
    <tableStyle name="BR m Undercooked Aden 2 2112026-style 13" pivot="0" count="4" xr9:uid="{00000000-0011-0000-FFFF-FFFFA1000000}">
      <tableStyleElement type="wholeTable" size="0" dxfId="1644"/>
      <tableStyleElement type="headerRow" dxfId="1647"/>
      <tableStyleElement type="firstRowStripe" dxfId="1646"/>
      <tableStyleElement type="secondRowStripe" dxfId="1645"/>
    </tableStyle>
    <tableStyle name="BR m Undercooked Aden 2 2112026-style 14" pivot="0" count="4" xr9:uid="{00000000-0011-0000-FFFF-FFFFA2000000}">
      <tableStyleElement type="wholeTable" size="0" dxfId="1640"/>
      <tableStyleElement type="headerRow" dxfId="1643"/>
      <tableStyleElement type="firstRowStripe" dxfId="1642"/>
      <tableStyleElement type="secondRowStripe" dxfId="1641"/>
    </tableStyle>
    <tableStyle name="BR m Undercooked Aden 2 2112026-style 15" pivot="0" count="4" xr9:uid="{00000000-0011-0000-FFFF-FFFFA3000000}">
      <tableStyleElement type="wholeTable" size="0" dxfId="1636"/>
      <tableStyleElement type="headerRow" dxfId="1639"/>
      <tableStyleElement type="firstRowStripe" dxfId="1638"/>
      <tableStyleElement type="secondRowStripe" dxfId="1637"/>
    </tableStyle>
    <tableStyle name="BR m Undercooked Aden 2 2112026-style 16" pivot="0" count="4" xr9:uid="{00000000-0011-0000-FFFF-FFFFA4000000}">
      <tableStyleElement type="wholeTable" size="0" dxfId="1632"/>
      <tableStyleElement type="headerRow" dxfId="1635"/>
      <tableStyleElement type="firstRowStripe" dxfId="1634"/>
      <tableStyleElement type="secondRowStripe" dxfId="1633"/>
    </tableStyle>
    <tableStyle name="BR m Undercooked Aden 2 2112026-style 17" pivot="0" count="4" xr9:uid="{00000000-0011-0000-FFFF-FFFFA5000000}">
      <tableStyleElement type="wholeTable" size="0" dxfId="1628"/>
      <tableStyleElement type="headerRow" dxfId="1631"/>
      <tableStyleElement type="firstRowStripe" dxfId="1630"/>
      <tableStyleElement type="secondRowStripe" dxfId="1629"/>
    </tableStyle>
    <tableStyle name="BR m Undercooked Talus 1 211202-style" pivot="0" count="4" xr9:uid="{00000000-0011-0000-FFFF-FFFFA6000000}">
      <tableStyleElement type="wholeTable" size="0" dxfId="1624"/>
      <tableStyleElement type="headerRow" dxfId="1627"/>
      <tableStyleElement type="firstRowStripe" dxfId="1626"/>
      <tableStyleElement type="secondRowStripe" dxfId="1625"/>
    </tableStyle>
    <tableStyle name="BR m Undercooked Talus 1 211202-style 2" pivot="0" count="4" xr9:uid="{00000000-0011-0000-FFFF-FFFFA7000000}">
      <tableStyleElement type="wholeTable" size="0" dxfId="1620"/>
      <tableStyleElement type="headerRow" dxfId="1623"/>
      <tableStyleElement type="firstRowStripe" dxfId="1622"/>
      <tableStyleElement type="secondRowStripe" dxfId="1621"/>
    </tableStyle>
    <tableStyle name="BR m Undercooked Talus 1 211202-style 3" pivot="0" count="4" xr9:uid="{00000000-0011-0000-FFFF-FFFFA8000000}">
      <tableStyleElement type="wholeTable" size="0" dxfId="1616"/>
      <tableStyleElement type="headerRow" dxfId="1619"/>
      <tableStyleElement type="firstRowStripe" dxfId="1618"/>
      <tableStyleElement type="secondRowStripe" dxfId="1617"/>
    </tableStyle>
    <tableStyle name="BR m Undercooked Talus 1 211202-style 4" pivot="0" count="4" xr9:uid="{00000000-0011-0000-FFFF-FFFFA9000000}">
      <tableStyleElement type="wholeTable" size="0" dxfId="1612"/>
      <tableStyleElement type="headerRow" dxfId="1615"/>
      <tableStyleElement type="firstRowStripe" dxfId="1614"/>
      <tableStyleElement type="secondRowStripe" dxfId="1613"/>
    </tableStyle>
    <tableStyle name="BR m Undercooked Talus 1 211202-style 5" pivot="0" count="4" xr9:uid="{00000000-0011-0000-FFFF-FFFFAA000000}">
      <tableStyleElement type="wholeTable" size="0" dxfId="1608"/>
      <tableStyleElement type="headerRow" dxfId="1611"/>
      <tableStyleElement type="firstRowStripe" dxfId="1610"/>
      <tableStyleElement type="secondRowStripe" dxfId="1609"/>
    </tableStyle>
    <tableStyle name="BR m Undercooked Talus 1 211202-style 6" pivot="0" count="4" xr9:uid="{00000000-0011-0000-FFFF-FFFFAB000000}">
      <tableStyleElement type="wholeTable" size="0" dxfId="1604"/>
      <tableStyleElement type="headerRow" dxfId="1607"/>
      <tableStyleElement type="firstRowStripe" dxfId="1606"/>
      <tableStyleElement type="secondRowStripe" dxfId="1605"/>
    </tableStyle>
    <tableStyle name="BR m Undercooked Talus 1 211202-style 7" pivot="0" count="4" xr9:uid="{00000000-0011-0000-FFFF-FFFFAC000000}">
      <tableStyleElement type="wholeTable" size="0" dxfId="1600"/>
      <tableStyleElement type="headerRow" dxfId="1603"/>
      <tableStyleElement type="firstRowStripe" dxfId="1602"/>
      <tableStyleElement type="secondRowStripe" dxfId="1601"/>
    </tableStyle>
    <tableStyle name="BR m Undercooked Talus 1 211202-style 8" pivot="0" count="4" xr9:uid="{00000000-0011-0000-FFFF-FFFFAD000000}">
      <tableStyleElement type="wholeTable" size="0" dxfId="1596"/>
      <tableStyleElement type="headerRow" dxfId="1599"/>
      <tableStyleElement type="firstRowStripe" dxfId="1598"/>
      <tableStyleElement type="secondRowStripe" dxfId="1597"/>
    </tableStyle>
    <tableStyle name="BR m Undercooked Talus 1 211202-style 9" pivot="0" count="4" xr9:uid="{00000000-0011-0000-FFFF-FFFFAE000000}">
      <tableStyleElement type="wholeTable" size="0" dxfId="1592"/>
      <tableStyleElement type="headerRow" dxfId="1595"/>
      <tableStyleElement type="firstRowStripe" dxfId="1594"/>
      <tableStyleElement type="secondRowStripe" dxfId="1593"/>
    </tableStyle>
    <tableStyle name="BR m Undercooked Talus 1 211202-style 10" pivot="0" count="4" xr9:uid="{00000000-0011-0000-FFFF-FFFFAF000000}">
      <tableStyleElement type="wholeTable" size="0" dxfId="1588"/>
      <tableStyleElement type="headerRow" dxfId="1591"/>
      <tableStyleElement type="firstRowStripe" dxfId="1590"/>
      <tableStyleElement type="secondRowStripe" dxfId="1589"/>
    </tableStyle>
    <tableStyle name="BR m Undercooked Talus 1 211202-style 11" pivot="0" count="4" xr9:uid="{00000000-0011-0000-FFFF-FFFFB0000000}">
      <tableStyleElement type="wholeTable" size="0" dxfId="1584"/>
      <tableStyleElement type="headerRow" dxfId="1587"/>
      <tableStyleElement type="firstRowStripe" dxfId="1586"/>
      <tableStyleElement type="secondRowStripe" dxfId="1585"/>
    </tableStyle>
    <tableStyle name="BR m Undercooked Talus 1 211202-style 12" pivot="0" count="4" xr9:uid="{00000000-0011-0000-FFFF-FFFFB1000000}">
      <tableStyleElement type="wholeTable" size="0" dxfId="1580"/>
      <tableStyleElement type="headerRow" dxfId="1583"/>
      <tableStyleElement type="firstRowStripe" dxfId="1582"/>
      <tableStyleElement type="secondRowStripe" dxfId="1581"/>
    </tableStyle>
    <tableStyle name="BR m Undercooked Talus 1 211202-style 13" pivot="0" count="4" xr9:uid="{00000000-0011-0000-FFFF-FFFFB2000000}">
      <tableStyleElement type="wholeTable" size="0" dxfId="1576"/>
      <tableStyleElement type="headerRow" dxfId="1579"/>
      <tableStyleElement type="firstRowStripe" dxfId="1578"/>
      <tableStyleElement type="secondRowStripe" dxfId="1577"/>
    </tableStyle>
    <tableStyle name="BR m Undercooked Talus 1 211202-style 14" pivot="0" count="4" xr9:uid="{00000000-0011-0000-FFFF-FFFFB3000000}">
      <tableStyleElement type="wholeTable" size="0" dxfId="1572"/>
      <tableStyleElement type="headerRow" dxfId="1575"/>
      <tableStyleElement type="firstRowStripe" dxfId="1574"/>
      <tableStyleElement type="secondRowStripe" dxfId="1573"/>
    </tableStyle>
    <tableStyle name="BR m Undercooked Talus 1 211202-style 15" pivot="0" count="4" xr9:uid="{00000000-0011-0000-FFFF-FFFFB4000000}">
      <tableStyleElement type="wholeTable" size="0" dxfId="1568"/>
      <tableStyleElement type="headerRow" dxfId="1571"/>
      <tableStyleElement type="firstRowStripe" dxfId="1570"/>
      <tableStyleElement type="secondRowStripe" dxfId="1569"/>
    </tableStyle>
    <tableStyle name="BR m Undercooked Talus 1 211202-style 16" pivot="0" count="4" xr9:uid="{00000000-0011-0000-FFFF-FFFFB5000000}">
      <tableStyleElement type="wholeTable" size="0" dxfId="1564"/>
      <tableStyleElement type="headerRow" dxfId="1567"/>
      <tableStyleElement type="firstRowStripe" dxfId="1566"/>
      <tableStyleElement type="secondRowStripe" dxfId="1565"/>
    </tableStyle>
    <tableStyle name="BR m Undercooked Talus 1 211202-style 17" pivot="0" count="4" xr9:uid="{00000000-0011-0000-FFFF-FFFFB6000000}">
      <tableStyleElement type="wholeTable" size="0" dxfId="1560"/>
      <tableStyleElement type="headerRow" dxfId="1563"/>
      <tableStyleElement type="firstRowStripe" dxfId="1562"/>
      <tableStyleElement type="secondRowStripe" dxfId="1561"/>
    </tableStyle>
    <tableStyle name="BR v HR Diagon 2 242026-style" pivot="0" count="4" xr9:uid="{00000000-0011-0000-FFFF-FFFFB7000000}">
      <tableStyleElement type="wholeTable" size="0" dxfId="1556"/>
      <tableStyleElement type="headerRow" dxfId="1559"/>
      <tableStyleElement type="firstRowStripe" dxfId="1558"/>
      <tableStyleElement type="secondRowStripe" dxfId="1557"/>
    </tableStyle>
    <tableStyle name="BR v HR Diagon 2 242026-style 2" pivot="0" count="4" xr9:uid="{00000000-0011-0000-FFFF-FFFFB8000000}">
      <tableStyleElement type="wholeTable" size="0" dxfId="1552"/>
      <tableStyleElement type="headerRow" dxfId="1555"/>
      <tableStyleElement type="firstRowStripe" dxfId="1554"/>
      <tableStyleElement type="secondRowStripe" dxfId="1553"/>
    </tableStyle>
    <tableStyle name="BR v HR Diagon 2 242026-style 3" pivot="0" count="4" xr9:uid="{00000000-0011-0000-FFFF-FFFFB9000000}">
      <tableStyleElement type="wholeTable" size="0" dxfId="1548"/>
      <tableStyleElement type="headerRow" dxfId="1551"/>
      <tableStyleElement type="firstRowStripe" dxfId="1550"/>
      <tableStyleElement type="secondRowStripe" dxfId="1549"/>
    </tableStyle>
    <tableStyle name="BR v HR Diagon 2 242026-style 4" pivot="0" count="4" xr9:uid="{00000000-0011-0000-FFFF-FFFFBA000000}">
      <tableStyleElement type="wholeTable" size="0" dxfId="1544"/>
      <tableStyleElement type="headerRow" dxfId="1547"/>
      <tableStyleElement type="firstRowStripe" dxfId="1546"/>
      <tableStyleElement type="secondRowStripe" dxfId="1545"/>
    </tableStyle>
    <tableStyle name="BR v HR Diagon 2 242026-style 5" pivot="0" count="4" xr9:uid="{00000000-0011-0000-FFFF-FFFFBB000000}">
      <tableStyleElement type="wholeTable" size="0" dxfId="1540"/>
      <tableStyleElement type="headerRow" dxfId="1543"/>
      <tableStyleElement type="firstRowStripe" dxfId="1542"/>
      <tableStyleElement type="secondRowStripe" dxfId="1541"/>
    </tableStyle>
    <tableStyle name="BR v HR Diagon 2 242026-style 6" pivot="0" count="4" xr9:uid="{00000000-0011-0000-FFFF-FFFFBC000000}">
      <tableStyleElement type="wholeTable" size="0" dxfId="1536"/>
      <tableStyleElement type="headerRow" dxfId="1539"/>
      <tableStyleElement type="firstRowStripe" dxfId="1538"/>
      <tableStyleElement type="secondRowStripe" dxfId="1537"/>
    </tableStyle>
    <tableStyle name="BR v HR Diagon 2 242026-style 7" pivot="0" count="4" xr9:uid="{00000000-0011-0000-FFFF-FFFFBD000000}">
      <tableStyleElement type="wholeTable" size="0" dxfId="1532"/>
      <tableStyleElement type="headerRow" dxfId="1535"/>
      <tableStyleElement type="firstRowStripe" dxfId="1534"/>
      <tableStyleElement type="secondRowStripe" dxfId="1533"/>
    </tableStyle>
    <tableStyle name="BR v HR Diagon 2 242026-style 8" pivot="0" count="4" xr9:uid="{00000000-0011-0000-FFFF-FFFFBE000000}">
      <tableStyleElement type="wholeTable" size="0" dxfId="1528"/>
      <tableStyleElement type="headerRow" dxfId="1531"/>
      <tableStyleElement type="firstRowStripe" dxfId="1530"/>
      <tableStyleElement type="secondRowStripe" dxfId="1529"/>
    </tableStyle>
    <tableStyle name="BR v HR Diagon 2 242026-style 9" pivot="0" count="4" xr9:uid="{00000000-0011-0000-FFFF-FFFFBF000000}">
      <tableStyleElement type="wholeTable" size="0" dxfId="1524"/>
      <tableStyleElement type="headerRow" dxfId="1527"/>
      <tableStyleElement type="firstRowStripe" dxfId="1526"/>
      <tableStyleElement type="secondRowStripe" dxfId="1525"/>
    </tableStyle>
    <tableStyle name="BR v HR Diagon 2 242026-style 10" pivot="0" count="4" xr9:uid="{00000000-0011-0000-FFFF-FFFFC0000000}">
      <tableStyleElement type="wholeTable" size="0" dxfId="1520"/>
      <tableStyleElement type="headerRow" dxfId="1523"/>
      <tableStyleElement type="firstRowStripe" dxfId="1522"/>
      <tableStyleElement type="secondRowStripe" dxfId="1521"/>
    </tableStyle>
    <tableStyle name="BR v HR Diagon 2 242026-style 11" pivot="0" count="4" xr9:uid="{00000000-0011-0000-FFFF-FFFFC1000000}">
      <tableStyleElement type="wholeTable" size="0" dxfId="1516"/>
      <tableStyleElement type="headerRow" dxfId="1519"/>
      <tableStyleElement type="firstRowStripe" dxfId="1518"/>
      <tableStyleElement type="secondRowStripe" dxfId="1517"/>
    </tableStyle>
    <tableStyle name="BR v HR Diagon 2 242026-style 12" pivot="0" count="4" xr9:uid="{00000000-0011-0000-FFFF-FFFFC2000000}">
      <tableStyleElement type="wholeTable" size="0" dxfId="1512"/>
      <tableStyleElement type="headerRow" dxfId="1515"/>
      <tableStyleElement type="firstRowStripe" dxfId="1514"/>
      <tableStyleElement type="secondRowStripe" dxfId="1513"/>
    </tableStyle>
    <tableStyle name="BR v HR Diagon 2 242026-style 13" pivot="0" count="4" xr9:uid="{00000000-0011-0000-FFFF-FFFFC3000000}">
      <tableStyleElement type="wholeTable" size="0" dxfId="1508"/>
      <tableStyleElement type="headerRow" dxfId="1511"/>
      <tableStyleElement type="firstRowStripe" dxfId="1510"/>
      <tableStyleElement type="secondRowStripe" dxfId="1509"/>
    </tableStyle>
    <tableStyle name="BR v HR Diagon 2 242026-style 14" pivot="0" count="4" xr9:uid="{00000000-0011-0000-FFFF-FFFFC4000000}">
      <tableStyleElement type="wholeTable" size="0" dxfId="1504"/>
      <tableStyleElement type="headerRow" dxfId="1507"/>
      <tableStyleElement type="firstRowStripe" dxfId="1506"/>
      <tableStyleElement type="secondRowStripe" dxfId="1505"/>
    </tableStyle>
    <tableStyle name="BR v HR Diagon 2 242026-style 15" pivot="0" count="4" xr9:uid="{00000000-0011-0000-FFFF-FFFFC5000000}">
      <tableStyleElement type="wholeTable" size="0" dxfId="1500"/>
      <tableStyleElement type="headerRow" dxfId="1503"/>
      <tableStyleElement type="firstRowStripe" dxfId="1502"/>
      <tableStyleElement type="secondRowStripe" dxfId="1501"/>
    </tableStyle>
    <tableStyle name="BR v HR Diagon 2 242026-style 16" pivot="0" count="4" xr9:uid="{00000000-0011-0000-FFFF-FFFFC6000000}">
      <tableStyleElement type="wholeTable" size="0" dxfId="1496"/>
      <tableStyleElement type="headerRow" dxfId="1499"/>
      <tableStyleElement type="firstRowStripe" dxfId="1498"/>
      <tableStyleElement type="secondRowStripe" dxfId="1497"/>
    </tableStyle>
    <tableStyle name="BR v HR Diagon 2 242026-style 17" pivot="0" count="4" xr9:uid="{00000000-0011-0000-FFFF-FFFFC7000000}">
      <tableStyleElement type="wholeTable" size="0" dxfId="1492"/>
      <tableStyleElement type="headerRow" dxfId="1495"/>
      <tableStyleElement type="firstRowStripe" dxfId="1494"/>
      <tableStyleElement type="secondRowStripe" dxfId="1493"/>
    </tableStyle>
    <tableStyle name="BR v HR Morokai 242026-style" pivot="0" count="4" xr9:uid="{00000000-0011-0000-FFFF-FFFFC8000000}">
      <tableStyleElement type="wholeTable" size="0" dxfId="1488"/>
      <tableStyleElement type="headerRow" dxfId="1491"/>
      <tableStyleElement type="firstRowStripe" dxfId="1490"/>
      <tableStyleElement type="secondRowStripe" dxfId="1489"/>
    </tableStyle>
    <tableStyle name="BR v HR Morokai 242026-style 2" pivot="0" count="4" xr9:uid="{00000000-0011-0000-FFFF-FFFFC9000000}">
      <tableStyleElement type="wholeTable" size="0" dxfId="1484"/>
      <tableStyleElement type="headerRow" dxfId="1487"/>
      <tableStyleElement type="firstRowStripe" dxfId="1486"/>
      <tableStyleElement type="secondRowStripe" dxfId="1485"/>
    </tableStyle>
    <tableStyle name="BR v HR Morokai 242026-style 3" pivot="0" count="4" xr9:uid="{00000000-0011-0000-FFFF-FFFFCA000000}">
      <tableStyleElement type="wholeTable" size="0" dxfId="1480"/>
      <tableStyleElement type="headerRow" dxfId="1483"/>
      <tableStyleElement type="firstRowStripe" dxfId="1482"/>
      <tableStyleElement type="secondRowStripe" dxfId="1481"/>
    </tableStyle>
    <tableStyle name="BR v HR Morokai 242026-style 4" pivot="0" count="4" xr9:uid="{00000000-0011-0000-FFFF-FFFFCB000000}">
      <tableStyleElement type="wholeTable" size="0" dxfId="1476"/>
      <tableStyleElement type="headerRow" dxfId="1479"/>
      <tableStyleElement type="firstRowStripe" dxfId="1478"/>
      <tableStyleElement type="secondRowStripe" dxfId="1477"/>
    </tableStyle>
    <tableStyle name="BR v HR Morokai 242026-style 5" pivot="0" count="4" xr9:uid="{00000000-0011-0000-FFFF-FFFFCC000000}">
      <tableStyleElement type="wholeTable" size="0" dxfId="1472"/>
      <tableStyleElement type="headerRow" dxfId="1475"/>
      <tableStyleElement type="firstRowStripe" dxfId="1474"/>
      <tableStyleElement type="secondRowStripe" dxfId="1473"/>
    </tableStyle>
    <tableStyle name="BR v HR Morokai 242026-style 6" pivot="0" count="4" xr9:uid="{00000000-0011-0000-FFFF-FFFFCD000000}">
      <tableStyleElement type="wholeTable" size="0" dxfId="1468"/>
      <tableStyleElement type="headerRow" dxfId="1471"/>
      <tableStyleElement type="firstRowStripe" dxfId="1470"/>
      <tableStyleElement type="secondRowStripe" dxfId="1469"/>
    </tableStyle>
    <tableStyle name="BR v HR Morokai 242026-style 7" pivot="0" count="4" xr9:uid="{00000000-0011-0000-FFFF-FFFFCE000000}">
      <tableStyleElement type="wholeTable" size="0" dxfId="1464"/>
      <tableStyleElement type="headerRow" dxfId="1467"/>
      <tableStyleElement type="firstRowStripe" dxfId="1466"/>
      <tableStyleElement type="secondRowStripe" dxfId="1465"/>
    </tableStyle>
    <tableStyle name="BR v HR Morokai 242026-style 8" pivot="0" count="4" xr9:uid="{00000000-0011-0000-FFFF-FFFFCF000000}">
      <tableStyleElement type="wholeTable" size="0" dxfId="1460"/>
      <tableStyleElement type="headerRow" dxfId="1463"/>
      <tableStyleElement type="firstRowStripe" dxfId="1462"/>
      <tableStyleElement type="secondRowStripe" dxfId="1461"/>
    </tableStyle>
    <tableStyle name="BR v HR Morokai 242026-style 9" pivot="0" count="4" xr9:uid="{00000000-0011-0000-FFFF-FFFFD0000000}">
      <tableStyleElement type="wholeTable" size="0" dxfId="1456"/>
      <tableStyleElement type="headerRow" dxfId="1459"/>
      <tableStyleElement type="firstRowStripe" dxfId="1458"/>
      <tableStyleElement type="secondRowStripe" dxfId="1457"/>
    </tableStyle>
    <tableStyle name="BR v HR Morokai 242026-style 10" pivot="0" count="4" xr9:uid="{00000000-0011-0000-FFFF-FFFFD1000000}">
      <tableStyleElement type="wholeTable" size="0" dxfId="1452"/>
      <tableStyleElement type="headerRow" dxfId="1455"/>
      <tableStyleElement type="firstRowStripe" dxfId="1454"/>
      <tableStyleElement type="secondRowStripe" dxfId="1453"/>
    </tableStyle>
    <tableStyle name="BR v HR Morokai 242026-style 11" pivot="0" count="4" xr9:uid="{00000000-0011-0000-FFFF-FFFFD2000000}">
      <tableStyleElement type="wholeTable" size="0" dxfId="1448"/>
      <tableStyleElement type="headerRow" dxfId="1451"/>
      <tableStyleElement type="firstRowStripe" dxfId="1450"/>
      <tableStyleElement type="secondRowStripe" dxfId="1449"/>
    </tableStyle>
    <tableStyle name="BR v HR Morokai 242026-style 12" pivot="0" count="4" xr9:uid="{00000000-0011-0000-FFFF-FFFFD3000000}">
      <tableStyleElement type="wholeTable" size="0" dxfId="1444"/>
      <tableStyleElement type="headerRow" dxfId="1447"/>
      <tableStyleElement type="firstRowStripe" dxfId="1446"/>
      <tableStyleElement type="secondRowStripe" dxfId="1445"/>
    </tableStyle>
    <tableStyle name="BR v HR Morokai 242026-style 13" pivot="0" count="4" xr9:uid="{00000000-0011-0000-FFFF-FFFFD4000000}">
      <tableStyleElement type="wholeTable" size="0" dxfId="1440"/>
      <tableStyleElement type="headerRow" dxfId="1443"/>
      <tableStyleElement type="firstRowStripe" dxfId="1442"/>
      <tableStyleElement type="secondRowStripe" dxfId="1441"/>
    </tableStyle>
    <tableStyle name="BR v HR Morokai 242026-style 14" pivot="0" count="4" xr9:uid="{00000000-0011-0000-FFFF-FFFFD5000000}">
      <tableStyleElement type="wholeTable" size="0" dxfId="1436"/>
      <tableStyleElement type="headerRow" dxfId="1439"/>
      <tableStyleElement type="firstRowStripe" dxfId="1438"/>
      <tableStyleElement type="secondRowStripe" dxfId="1437"/>
    </tableStyle>
    <tableStyle name="BR v HR Morokai 242026-style 15" pivot="0" count="4" xr9:uid="{00000000-0011-0000-FFFF-FFFFD6000000}">
      <tableStyleElement type="wholeTable" size="0" dxfId="1432"/>
      <tableStyleElement type="headerRow" dxfId="1435"/>
      <tableStyleElement type="firstRowStripe" dxfId="1434"/>
      <tableStyleElement type="secondRowStripe" dxfId="1433"/>
    </tableStyle>
    <tableStyle name="BR v HR Morokai 242026-style 16" pivot="0" count="4" xr9:uid="{00000000-0011-0000-FFFF-FFFFD7000000}">
      <tableStyleElement type="wholeTable" size="0" dxfId="1428"/>
      <tableStyleElement type="headerRow" dxfId="1431"/>
      <tableStyleElement type="firstRowStripe" dxfId="1430"/>
      <tableStyleElement type="secondRowStripe" dxfId="1429"/>
    </tableStyle>
    <tableStyle name="BR v HR Morokai 242026-style 17" pivot="0" count="4" xr9:uid="{00000000-0011-0000-FFFF-FFFFD8000000}">
      <tableStyleElement type="wholeTable" size="0" dxfId="1424"/>
      <tableStyleElement type="headerRow" dxfId="1427"/>
      <tableStyleElement type="firstRowStripe" dxfId="1426"/>
      <tableStyleElement type="secondRowStripe" dxfId="1425"/>
    </tableStyle>
    <tableStyle name="BR v HR Adentus 1 212026-style" pivot="0" count="4" xr9:uid="{00000000-0011-0000-FFFF-FFFFD9000000}">
      <tableStyleElement type="wholeTable" size="0" dxfId="1420"/>
      <tableStyleElement type="headerRow" dxfId="1423"/>
      <tableStyleElement type="firstRowStripe" dxfId="1422"/>
      <tableStyleElement type="secondRowStripe" dxfId="1421"/>
    </tableStyle>
    <tableStyle name="BR v HR Adentus 1 212026-style 2" pivot="0" count="4" xr9:uid="{00000000-0011-0000-FFFF-FFFFDA000000}">
      <tableStyleElement type="wholeTable" size="0" dxfId="1416"/>
      <tableStyleElement type="headerRow" dxfId="1419"/>
      <tableStyleElement type="firstRowStripe" dxfId="1418"/>
      <tableStyleElement type="secondRowStripe" dxfId="1417"/>
    </tableStyle>
    <tableStyle name="BR v HR Adentus 1 212026-style 3" pivot="0" count="4" xr9:uid="{00000000-0011-0000-FFFF-FFFFDB000000}">
      <tableStyleElement type="wholeTable" size="0" dxfId="1412"/>
      <tableStyleElement type="headerRow" dxfId="1415"/>
      <tableStyleElement type="firstRowStripe" dxfId="1414"/>
      <tableStyleElement type="secondRowStripe" dxfId="1413"/>
    </tableStyle>
    <tableStyle name="BR v HR Adentus 1 212026-style 4" pivot="0" count="4" xr9:uid="{00000000-0011-0000-FFFF-FFFFDC000000}">
      <tableStyleElement type="wholeTable" size="0" dxfId="1408"/>
      <tableStyleElement type="headerRow" dxfId="1411"/>
      <tableStyleElement type="firstRowStripe" dxfId="1410"/>
      <tableStyleElement type="secondRowStripe" dxfId="1409"/>
    </tableStyle>
    <tableStyle name="BR v HR Adentus 1 212026-style 5" pivot="0" count="4" xr9:uid="{00000000-0011-0000-FFFF-FFFFDD000000}">
      <tableStyleElement type="wholeTable" size="0" dxfId="1404"/>
      <tableStyleElement type="headerRow" dxfId="1407"/>
      <tableStyleElement type="firstRowStripe" dxfId="1406"/>
      <tableStyleElement type="secondRowStripe" dxfId="1405"/>
    </tableStyle>
    <tableStyle name="BR v HR Adentus 1 212026-style 6" pivot="0" count="4" xr9:uid="{00000000-0011-0000-FFFF-FFFFDE000000}">
      <tableStyleElement type="wholeTable" size="0" dxfId="1400"/>
      <tableStyleElement type="headerRow" dxfId="1403"/>
      <tableStyleElement type="firstRowStripe" dxfId="1402"/>
      <tableStyleElement type="secondRowStripe" dxfId="1401"/>
    </tableStyle>
    <tableStyle name="BR v HR Adentus 1 212026-style 7" pivot="0" count="4" xr9:uid="{00000000-0011-0000-FFFF-FFFFDF000000}">
      <tableStyleElement type="wholeTable" size="0" dxfId="1396"/>
      <tableStyleElement type="headerRow" dxfId="1399"/>
      <tableStyleElement type="firstRowStripe" dxfId="1398"/>
      <tableStyleElement type="secondRowStripe" dxfId="1397"/>
    </tableStyle>
    <tableStyle name="BR v HR Adentus 1 212026-style 8" pivot="0" count="4" xr9:uid="{00000000-0011-0000-FFFF-FFFFE0000000}">
      <tableStyleElement type="wholeTable" size="0" dxfId="1392"/>
      <tableStyleElement type="headerRow" dxfId="1395"/>
      <tableStyleElement type="firstRowStripe" dxfId="1394"/>
      <tableStyleElement type="secondRowStripe" dxfId="1393"/>
    </tableStyle>
    <tableStyle name="BR v HR Adentus 1 212026-style 9" pivot="0" count="4" xr9:uid="{00000000-0011-0000-FFFF-FFFFE1000000}">
      <tableStyleElement type="wholeTable" size="0" dxfId="1388"/>
      <tableStyleElement type="headerRow" dxfId="1391"/>
      <tableStyleElement type="firstRowStripe" dxfId="1390"/>
      <tableStyleElement type="secondRowStripe" dxfId="1389"/>
    </tableStyle>
    <tableStyle name="BR v HR Adentus 1 212026-style 10" pivot="0" count="4" xr9:uid="{00000000-0011-0000-FFFF-FFFFE2000000}">
      <tableStyleElement type="wholeTable" size="0" dxfId="1384"/>
      <tableStyleElement type="headerRow" dxfId="1387"/>
      <tableStyleElement type="firstRowStripe" dxfId="1386"/>
      <tableStyleElement type="secondRowStripe" dxfId="1385"/>
    </tableStyle>
    <tableStyle name="BR v HR Adentus 1 212026-style 11" pivot="0" count="4" xr9:uid="{00000000-0011-0000-FFFF-FFFFE3000000}">
      <tableStyleElement type="wholeTable" size="0" dxfId="1380"/>
      <tableStyleElement type="headerRow" dxfId="1383"/>
      <tableStyleElement type="firstRowStripe" dxfId="1382"/>
      <tableStyleElement type="secondRowStripe" dxfId="1381"/>
    </tableStyle>
    <tableStyle name="BR v HR Adentus 1 212026-style 12" pivot="0" count="4" xr9:uid="{00000000-0011-0000-FFFF-FFFFE4000000}">
      <tableStyleElement type="wholeTable" size="0" dxfId="1376"/>
      <tableStyleElement type="headerRow" dxfId="1379"/>
      <tableStyleElement type="firstRowStripe" dxfId="1378"/>
      <tableStyleElement type="secondRowStripe" dxfId="1377"/>
    </tableStyle>
    <tableStyle name="BR v HR Adentus 1 212026-style 13" pivot="0" count="4" xr9:uid="{00000000-0011-0000-FFFF-FFFFE5000000}">
      <tableStyleElement type="wholeTable" size="0" dxfId="1372"/>
      <tableStyleElement type="headerRow" dxfId="1375"/>
      <tableStyleElement type="firstRowStripe" dxfId="1374"/>
      <tableStyleElement type="secondRowStripe" dxfId="1373"/>
    </tableStyle>
    <tableStyle name="BR v HR Adentus 1 212026-style 14" pivot="0" count="4" xr9:uid="{00000000-0011-0000-FFFF-FFFFE6000000}">
      <tableStyleElement type="wholeTable" size="0" dxfId="1368"/>
      <tableStyleElement type="headerRow" dxfId="1371"/>
      <tableStyleElement type="firstRowStripe" dxfId="1370"/>
      <tableStyleElement type="secondRowStripe" dxfId="1369"/>
    </tableStyle>
    <tableStyle name="BR v HR Adentus 1 212026-style 15" pivot="0" count="4" xr9:uid="{00000000-0011-0000-FFFF-FFFFE7000000}">
      <tableStyleElement type="wholeTable" size="0" dxfId="1364"/>
      <tableStyleElement type="headerRow" dxfId="1367"/>
      <tableStyleElement type="firstRowStripe" dxfId="1366"/>
      <tableStyleElement type="secondRowStripe" dxfId="1365"/>
    </tableStyle>
    <tableStyle name="BR v HR Adentus 1 212026-style 16" pivot="0" count="4" xr9:uid="{00000000-0011-0000-FFFF-FFFFE8000000}">
      <tableStyleElement type="wholeTable" size="0" dxfId="1360"/>
      <tableStyleElement type="headerRow" dxfId="1363"/>
      <tableStyleElement type="firstRowStripe" dxfId="1362"/>
      <tableStyleElement type="secondRowStripe" dxfId="1361"/>
    </tableStyle>
    <tableStyle name="BR v HR Adentus 1 212026-style 17" pivot="0" count="4" xr9:uid="{00000000-0011-0000-FFFF-FFFFE9000000}">
      <tableStyleElement type="wholeTable" size="0" dxfId="1356"/>
      <tableStyleElement type="headerRow" dxfId="1359"/>
      <tableStyleElement type="firstRowStripe" dxfId="1358"/>
      <tableStyleElement type="secondRowStripe" dxfId="1357"/>
    </tableStyle>
    <tableStyle name="BR m Unhinged Adentus 1272026-style" pivot="0" count="4" xr9:uid="{00000000-0011-0000-FFFF-FFFFEA000000}">
      <tableStyleElement type="wholeTable" size="0" dxfId="1352"/>
      <tableStyleElement type="headerRow" dxfId="1355"/>
      <tableStyleElement type="firstRowStripe" dxfId="1354"/>
      <tableStyleElement type="secondRowStripe" dxfId="1353"/>
    </tableStyle>
    <tableStyle name="BR m Unhinged Adentus 1272026-style 2" pivot="0" count="4" xr9:uid="{00000000-0011-0000-FFFF-FFFFEB000000}">
      <tableStyleElement type="wholeTable" size="0" dxfId="1348"/>
      <tableStyleElement type="headerRow" dxfId="1351"/>
      <tableStyleElement type="firstRowStripe" dxfId="1350"/>
      <tableStyleElement type="secondRowStripe" dxfId="1349"/>
    </tableStyle>
    <tableStyle name="BR m Unhinged Adentus 1272026-style 3" pivot="0" count="4" xr9:uid="{00000000-0011-0000-FFFF-FFFFEC000000}">
      <tableStyleElement type="wholeTable" size="0" dxfId="1344"/>
      <tableStyleElement type="headerRow" dxfId="1347"/>
      <tableStyleElement type="firstRowStripe" dxfId="1346"/>
      <tableStyleElement type="secondRowStripe" dxfId="1345"/>
    </tableStyle>
    <tableStyle name="BR m Unhinged Adentus 1272026-style 4" pivot="0" count="4" xr9:uid="{00000000-0011-0000-FFFF-FFFFED000000}">
      <tableStyleElement type="wholeTable" size="0" dxfId="1340"/>
      <tableStyleElement type="headerRow" dxfId="1343"/>
      <tableStyleElement type="firstRowStripe" dxfId="1342"/>
      <tableStyleElement type="secondRowStripe" dxfId="1341"/>
    </tableStyle>
    <tableStyle name="BR m Unhinged Adentus 1272026-style 5" pivot="0" count="4" xr9:uid="{00000000-0011-0000-FFFF-FFFFEE000000}">
      <tableStyleElement type="wholeTable" size="0" dxfId="1336"/>
      <tableStyleElement type="headerRow" dxfId="1339"/>
      <tableStyleElement type="firstRowStripe" dxfId="1338"/>
      <tableStyleElement type="secondRowStripe" dxfId="1337"/>
    </tableStyle>
    <tableStyle name="BR m Unhinged Adentus 1272026-style 6" pivot="0" count="4" xr9:uid="{00000000-0011-0000-FFFF-FFFFEF000000}">
      <tableStyleElement type="wholeTable" size="0" dxfId="1332"/>
      <tableStyleElement type="headerRow" dxfId="1335"/>
      <tableStyleElement type="firstRowStripe" dxfId="1334"/>
      <tableStyleElement type="secondRowStripe" dxfId="1333"/>
    </tableStyle>
    <tableStyle name="BR m Unhinged Adentus 1272026-style 7" pivot="0" count="4" xr9:uid="{00000000-0011-0000-FFFF-FFFFF0000000}">
      <tableStyleElement type="wholeTable" size="0" dxfId="1328"/>
      <tableStyleElement type="headerRow" dxfId="1331"/>
      <tableStyleElement type="firstRowStripe" dxfId="1330"/>
      <tableStyleElement type="secondRowStripe" dxfId="1329"/>
    </tableStyle>
    <tableStyle name="BR m Unhinged Adentus 1272026-style 8" pivot="0" count="4" xr9:uid="{00000000-0011-0000-FFFF-FFFFF1000000}">
      <tableStyleElement type="wholeTable" size="0" dxfId="1324"/>
      <tableStyleElement type="headerRow" dxfId="1327"/>
      <tableStyleElement type="firstRowStripe" dxfId="1326"/>
      <tableStyleElement type="secondRowStripe" dxfId="1325"/>
    </tableStyle>
    <tableStyle name="BR m Unhinged Adentus 1272026-style 9" pivot="0" count="4" xr9:uid="{00000000-0011-0000-FFFF-FFFFF2000000}">
      <tableStyleElement type="wholeTable" size="0" dxfId="1320"/>
      <tableStyleElement type="headerRow" dxfId="1323"/>
      <tableStyleElement type="firstRowStripe" dxfId="1322"/>
      <tableStyleElement type="secondRowStripe" dxfId="1321"/>
    </tableStyle>
    <tableStyle name="BR m Unhinged Adentus 1272026-style 10" pivot="0" count="4" xr9:uid="{00000000-0011-0000-FFFF-FFFFF3000000}">
      <tableStyleElement type="wholeTable" size="0" dxfId="1316"/>
      <tableStyleElement type="headerRow" dxfId="1319"/>
      <tableStyleElement type="firstRowStripe" dxfId="1318"/>
      <tableStyleElement type="secondRowStripe" dxfId="1317"/>
    </tableStyle>
    <tableStyle name="BR m Unhinged Adentus 1272026-style 11" pivot="0" count="4" xr9:uid="{00000000-0011-0000-FFFF-FFFFF4000000}">
      <tableStyleElement type="wholeTable" size="0" dxfId="1312"/>
      <tableStyleElement type="headerRow" dxfId="1315"/>
      <tableStyleElement type="firstRowStripe" dxfId="1314"/>
      <tableStyleElement type="secondRowStripe" dxfId="1313"/>
    </tableStyle>
    <tableStyle name="BR m Unhinged Adentus 1272026-style 12" pivot="0" count="4" xr9:uid="{00000000-0011-0000-FFFF-FFFFF5000000}">
      <tableStyleElement type="wholeTable" size="0" dxfId="1308"/>
      <tableStyleElement type="headerRow" dxfId="1311"/>
      <tableStyleElement type="firstRowStripe" dxfId="1310"/>
      <tableStyleElement type="secondRowStripe" dxfId="1309"/>
    </tableStyle>
    <tableStyle name="BR m Unhinged Adentus 1272026-style 13" pivot="0" count="4" xr9:uid="{00000000-0011-0000-FFFF-FFFFF6000000}">
      <tableStyleElement type="wholeTable" size="0" dxfId="1304"/>
      <tableStyleElement type="headerRow" dxfId="1307"/>
      <tableStyleElement type="firstRowStripe" dxfId="1306"/>
      <tableStyleElement type="secondRowStripe" dxfId="1305"/>
    </tableStyle>
    <tableStyle name="BR m Unhinged Adentus 1272026-style 14" pivot="0" count="4" xr9:uid="{00000000-0011-0000-FFFF-FFFFF7000000}">
      <tableStyleElement type="wholeTable" size="0" dxfId="1300"/>
      <tableStyleElement type="headerRow" dxfId="1303"/>
      <tableStyleElement type="firstRowStripe" dxfId="1302"/>
      <tableStyleElement type="secondRowStripe" dxfId="1301"/>
    </tableStyle>
    <tableStyle name="BR m Unhinged Adentus 1272026-style 15" pivot="0" count="4" xr9:uid="{00000000-0011-0000-FFFF-FFFFF8000000}">
      <tableStyleElement type="wholeTable" size="0" dxfId="1296"/>
      <tableStyleElement type="headerRow" dxfId="1299"/>
      <tableStyleElement type="firstRowStripe" dxfId="1298"/>
      <tableStyleElement type="secondRowStripe" dxfId="1297"/>
    </tableStyle>
    <tableStyle name="BR m Unhinged Adentus 1272026-style 16" pivot="0" count="4" xr9:uid="{00000000-0011-0000-FFFF-FFFFF9000000}">
      <tableStyleElement type="wholeTable" size="0" dxfId="1292"/>
      <tableStyleElement type="headerRow" dxfId="1295"/>
      <tableStyleElement type="firstRowStripe" dxfId="1294"/>
      <tableStyleElement type="secondRowStripe" dxfId="1293"/>
    </tableStyle>
    <tableStyle name="BR m Unhinged Adentus 1272026-style 17" pivot="0" count="4" xr9:uid="{00000000-0011-0000-FFFF-FFFFFA000000}">
      <tableStyleElement type="wholeTable" size="0" dxfId="1288"/>
      <tableStyleElement type="headerRow" dxfId="1291"/>
      <tableStyleElement type="firstRowStripe" dxfId="1290"/>
      <tableStyleElement type="secondRowStripe" dxfId="1289"/>
    </tableStyle>
    <tableStyle name="BR v HR 2 Moro 1262026-style" pivot="0" count="4" xr9:uid="{00000000-0011-0000-FFFF-FFFFFB000000}">
      <tableStyleElement type="wholeTable" size="0" dxfId="1284"/>
      <tableStyleElement type="headerRow" dxfId="1287"/>
      <tableStyleElement type="firstRowStripe" dxfId="1286"/>
      <tableStyleElement type="secondRowStripe" dxfId="1285"/>
    </tableStyle>
    <tableStyle name="BR v HR 2 Moro 1262026-style 2" pivot="0" count="4" xr9:uid="{00000000-0011-0000-FFFF-FFFFFC000000}">
      <tableStyleElement type="wholeTable" size="0" dxfId="1280"/>
      <tableStyleElement type="headerRow" dxfId="1283"/>
      <tableStyleElement type="firstRowStripe" dxfId="1282"/>
      <tableStyleElement type="secondRowStripe" dxfId="1281"/>
    </tableStyle>
    <tableStyle name="BR v HR 2 Moro 1262026-style 3" pivot="0" count="4" xr9:uid="{00000000-0011-0000-FFFF-FFFFFD000000}">
      <tableStyleElement type="wholeTable" size="0" dxfId="1276"/>
      <tableStyleElement type="headerRow" dxfId="1279"/>
      <tableStyleElement type="firstRowStripe" dxfId="1278"/>
      <tableStyleElement type="secondRowStripe" dxfId="1277"/>
    </tableStyle>
    <tableStyle name="BR v HR 2 Moro 1262026-style 4" pivot="0" count="4" xr9:uid="{00000000-0011-0000-FFFF-FFFFFE000000}">
      <tableStyleElement type="wholeTable" size="0" dxfId="1272"/>
      <tableStyleElement type="headerRow" dxfId="1275"/>
      <tableStyleElement type="firstRowStripe" dxfId="1274"/>
      <tableStyleElement type="secondRowStripe" dxfId="1273"/>
    </tableStyle>
    <tableStyle name="BR v HR 2 Moro 1262026-style 5" pivot="0" count="4" xr9:uid="{00000000-0011-0000-FFFF-FFFFFF000000}">
      <tableStyleElement type="wholeTable" size="0" dxfId="1268"/>
      <tableStyleElement type="headerRow" dxfId="1271"/>
      <tableStyleElement type="firstRowStripe" dxfId="1270"/>
      <tableStyleElement type="secondRowStripe" dxfId="1269"/>
    </tableStyle>
    <tableStyle name="BR v HR 2 Moro 1262026-style 6" pivot="0" count="4" xr9:uid="{00000000-0011-0000-FFFF-FFFF00010000}">
      <tableStyleElement type="wholeTable" size="0" dxfId="1264"/>
      <tableStyleElement type="headerRow" dxfId="1267"/>
      <tableStyleElement type="firstRowStripe" dxfId="1266"/>
      <tableStyleElement type="secondRowStripe" dxfId="1265"/>
    </tableStyle>
    <tableStyle name="BR v HR 2 Moro 1262026-style 7" pivot="0" count="4" xr9:uid="{00000000-0011-0000-FFFF-FFFF01010000}">
      <tableStyleElement type="wholeTable" size="0" dxfId="1260"/>
      <tableStyleElement type="headerRow" dxfId="1263"/>
      <tableStyleElement type="firstRowStripe" dxfId="1262"/>
      <tableStyleElement type="secondRowStripe" dxfId="1261"/>
    </tableStyle>
    <tableStyle name="BR v HR 2 Moro 1262026-style 8" pivot="0" count="4" xr9:uid="{00000000-0011-0000-FFFF-FFFF02010000}">
      <tableStyleElement type="wholeTable" size="0" dxfId="1256"/>
      <tableStyleElement type="headerRow" dxfId="1259"/>
      <tableStyleElement type="firstRowStripe" dxfId="1258"/>
      <tableStyleElement type="secondRowStripe" dxfId="1257"/>
    </tableStyle>
    <tableStyle name="BR v HR 2 Moro 1262026-style 9" pivot="0" count="4" xr9:uid="{00000000-0011-0000-FFFF-FFFF03010000}">
      <tableStyleElement type="wholeTable" size="0" dxfId="1252"/>
      <tableStyleElement type="headerRow" dxfId="1255"/>
      <tableStyleElement type="firstRowStripe" dxfId="1254"/>
      <tableStyleElement type="secondRowStripe" dxfId="1253"/>
    </tableStyle>
    <tableStyle name="BR v HR 2 Moro 1262026-style 10" pivot="0" count="4" xr9:uid="{00000000-0011-0000-FFFF-FFFF04010000}">
      <tableStyleElement type="wholeTable" size="0" dxfId="1248"/>
      <tableStyleElement type="headerRow" dxfId="1251"/>
      <tableStyleElement type="firstRowStripe" dxfId="1250"/>
      <tableStyleElement type="secondRowStripe" dxfId="1249"/>
    </tableStyle>
    <tableStyle name="BR v HR 2 Moro 1262026-style 11" pivot="0" count="4" xr9:uid="{00000000-0011-0000-FFFF-FFFF05010000}">
      <tableStyleElement type="wholeTable" size="0" dxfId="1244"/>
      <tableStyleElement type="headerRow" dxfId="1247"/>
      <tableStyleElement type="firstRowStripe" dxfId="1246"/>
      <tableStyleElement type="secondRowStripe" dxfId="1245"/>
    </tableStyle>
    <tableStyle name="BR v HR 2 Moro 1262026-style 12" pivot="0" count="4" xr9:uid="{00000000-0011-0000-FFFF-FFFF06010000}">
      <tableStyleElement type="wholeTable" size="0" dxfId="1240"/>
      <tableStyleElement type="headerRow" dxfId="1243"/>
      <tableStyleElement type="firstRowStripe" dxfId="1242"/>
      <tableStyleElement type="secondRowStripe" dxfId="1241"/>
    </tableStyle>
    <tableStyle name="BR v HR 2 Moro 1262026-style 13" pivot="0" count="4" xr9:uid="{00000000-0011-0000-FFFF-FFFF07010000}">
      <tableStyleElement type="wholeTable" size="0" dxfId="1236"/>
      <tableStyleElement type="headerRow" dxfId="1239"/>
      <tableStyleElement type="firstRowStripe" dxfId="1238"/>
      <tableStyleElement type="secondRowStripe" dxfId="1237"/>
    </tableStyle>
    <tableStyle name="BR v HR 2 Moro 1262026-style 14" pivot="0" count="4" xr9:uid="{00000000-0011-0000-FFFF-FFFF08010000}">
      <tableStyleElement type="wholeTable" size="0" dxfId="1232"/>
      <tableStyleElement type="headerRow" dxfId="1235"/>
      <tableStyleElement type="firstRowStripe" dxfId="1234"/>
      <tableStyleElement type="secondRowStripe" dxfId="1233"/>
    </tableStyle>
    <tableStyle name="BR v HR 2 Moro 1262026-style 15" pivot="0" count="4" xr9:uid="{00000000-0011-0000-FFFF-FFFF09010000}">
      <tableStyleElement type="wholeTable" size="0" dxfId="1228"/>
      <tableStyleElement type="headerRow" dxfId="1231"/>
      <tableStyleElement type="firstRowStripe" dxfId="1230"/>
      <tableStyleElement type="secondRowStripe" dxfId="1229"/>
    </tableStyle>
    <tableStyle name="BR v HR 2 Moro 1262026-style 16" pivot="0" count="4" xr9:uid="{00000000-0011-0000-FFFF-FFFF0A010000}">
      <tableStyleElement type="wholeTable" size="0" dxfId="1224"/>
      <tableStyleElement type="headerRow" dxfId="1227"/>
      <tableStyleElement type="firstRowStripe" dxfId="1226"/>
      <tableStyleElement type="secondRowStripe" dxfId="1225"/>
    </tableStyle>
    <tableStyle name="BR v HR 2 Moro 1262026-style 17" pivot="0" count="4" xr9:uid="{00000000-0011-0000-FFFF-FFFF0B010000}">
      <tableStyleElement type="wholeTable" size="0" dxfId="1220"/>
      <tableStyleElement type="headerRow" dxfId="1223"/>
      <tableStyleElement type="firstRowStripe" dxfId="1222"/>
      <tableStyleElement type="secondRowStripe" dxfId="1221"/>
    </tableStyle>
    <tableStyle name="BR v HR 1 Talus 1262026-style" pivot="0" count="4" xr9:uid="{00000000-0011-0000-FFFF-FFFF0C010000}">
      <tableStyleElement type="wholeTable" size="0" dxfId="1216"/>
      <tableStyleElement type="headerRow" dxfId="1219"/>
      <tableStyleElement type="firstRowStripe" dxfId="1218"/>
      <tableStyleElement type="secondRowStripe" dxfId="1217"/>
    </tableStyle>
    <tableStyle name="BR v HR 1 Talus 1262026-style 2" pivot="0" count="4" xr9:uid="{00000000-0011-0000-FFFF-FFFF0D010000}">
      <tableStyleElement type="wholeTable" size="0" dxfId="1212"/>
      <tableStyleElement type="headerRow" dxfId="1215"/>
      <tableStyleElement type="firstRowStripe" dxfId="1214"/>
      <tableStyleElement type="secondRowStripe" dxfId="1213"/>
    </tableStyle>
    <tableStyle name="BR v HR 1 Talus 1262026-style 3" pivot="0" count="4" xr9:uid="{00000000-0011-0000-FFFF-FFFF0E010000}">
      <tableStyleElement type="wholeTable" size="0" dxfId="1208"/>
      <tableStyleElement type="headerRow" dxfId="1211"/>
      <tableStyleElement type="firstRowStripe" dxfId="1210"/>
      <tableStyleElement type="secondRowStripe" dxfId="1209"/>
    </tableStyle>
    <tableStyle name="BR v HR 1 Talus 1262026-style 4" pivot="0" count="4" xr9:uid="{00000000-0011-0000-FFFF-FFFF0F010000}">
      <tableStyleElement type="wholeTable" size="0" dxfId="1204"/>
      <tableStyleElement type="headerRow" dxfId="1207"/>
      <tableStyleElement type="firstRowStripe" dxfId="1206"/>
      <tableStyleElement type="secondRowStripe" dxfId="1205"/>
    </tableStyle>
    <tableStyle name="BR v HR 1 Talus 1262026-style 5" pivot="0" count="4" xr9:uid="{00000000-0011-0000-FFFF-FFFF10010000}">
      <tableStyleElement type="wholeTable" size="0" dxfId="1200"/>
      <tableStyleElement type="headerRow" dxfId="1203"/>
      <tableStyleElement type="firstRowStripe" dxfId="1202"/>
      <tableStyleElement type="secondRowStripe" dxfId="1201"/>
    </tableStyle>
    <tableStyle name="BR v HR 1 Talus 1262026-style 6" pivot="0" count="4" xr9:uid="{00000000-0011-0000-FFFF-FFFF11010000}">
      <tableStyleElement type="wholeTable" size="0" dxfId="1196"/>
      <tableStyleElement type="headerRow" dxfId="1199"/>
      <tableStyleElement type="firstRowStripe" dxfId="1198"/>
      <tableStyleElement type="secondRowStripe" dxfId="1197"/>
    </tableStyle>
    <tableStyle name="BR v HR 1 Talus 1262026-style 7" pivot="0" count="4" xr9:uid="{00000000-0011-0000-FFFF-FFFF12010000}">
      <tableStyleElement type="wholeTable" size="0" dxfId="1192"/>
      <tableStyleElement type="headerRow" dxfId="1195"/>
      <tableStyleElement type="firstRowStripe" dxfId="1194"/>
      <tableStyleElement type="secondRowStripe" dxfId="1193"/>
    </tableStyle>
    <tableStyle name="BR v HR 1 Talus 1262026-style 8" pivot="0" count="4" xr9:uid="{00000000-0011-0000-FFFF-FFFF13010000}">
      <tableStyleElement type="wholeTable" size="0" dxfId="1188"/>
      <tableStyleElement type="headerRow" dxfId="1191"/>
      <tableStyleElement type="firstRowStripe" dxfId="1190"/>
      <tableStyleElement type="secondRowStripe" dxfId="1189"/>
    </tableStyle>
    <tableStyle name="BR v HR 1 Talus 1262026-style 9" pivot="0" count="4" xr9:uid="{00000000-0011-0000-FFFF-FFFF14010000}">
      <tableStyleElement type="wholeTable" size="0" dxfId="1184"/>
      <tableStyleElement type="headerRow" dxfId="1187"/>
      <tableStyleElement type="firstRowStripe" dxfId="1186"/>
      <tableStyleElement type="secondRowStripe" dxfId="1185"/>
    </tableStyle>
    <tableStyle name="BR v HR 1 Talus 1262026-style 10" pivot="0" count="4" xr9:uid="{00000000-0011-0000-FFFF-FFFF15010000}">
      <tableStyleElement type="wholeTable" size="0" dxfId="1180"/>
      <tableStyleElement type="headerRow" dxfId="1183"/>
      <tableStyleElement type="firstRowStripe" dxfId="1182"/>
      <tableStyleElement type="secondRowStripe" dxfId="1181"/>
    </tableStyle>
    <tableStyle name="BR v HR 1 Talus 1262026-style 11" pivot="0" count="4" xr9:uid="{00000000-0011-0000-FFFF-FFFF16010000}">
      <tableStyleElement type="wholeTable" size="0" dxfId="1176"/>
      <tableStyleElement type="headerRow" dxfId="1179"/>
      <tableStyleElement type="firstRowStripe" dxfId="1178"/>
      <tableStyleElement type="secondRowStripe" dxfId="1177"/>
    </tableStyle>
    <tableStyle name="BR v HR 1 Talus 1262026-style 12" pivot="0" count="4" xr9:uid="{00000000-0011-0000-FFFF-FFFF17010000}">
      <tableStyleElement type="wholeTable" size="0" dxfId="1172"/>
      <tableStyleElement type="headerRow" dxfId="1175"/>
      <tableStyleElement type="firstRowStripe" dxfId="1174"/>
      <tableStyleElement type="secondRowStripe" dxfId="1173"/>
    </tableStyle>
    <tableStyle name="BR v HR 1 Talus 1262026-style 13" pivot="0" count="4" xr9:uid="{00000000-0011-0000-FFFF-FFFF18010000}">
      <tableStyleElement type="wholeTable" size="0" dxfId="1168"/>
      <tableStyleElement type="headerRow" dxfId="1171"/>
      <tableStyleElement type="firstRowStripe" dxfId="1170"/>
      <tableStyleElement type="secondRowStripe" dxfId="1169"/>
    </tableStyle>
    <tableStyle name="BR v HR 1 Talus 1262026-style 14" pivot="0" count="4" xr9:uid="{00000000-0011-0000-FFFF-FFFF19010000}">
      <tableStyleElement type="wholeTable" size="0" dxfId="1164"/>
      <tableStyleElement type="headerRow" dxfId="1167"/>
      <tableStyleElement type="firstRowStripe" dxfId="1166"/>
      <tableStyleElement type="secondRowStripe" dxfId="1165"/>
    </tableStyle>
    <tableStyle name="BR v HR 1 Talus 1262026-style 15" pivot="0" count="4" xr9:uid="{00000000-0011-0000-FFFF-FFFF1A010000}">
      <tableStyleElement type="wholeTable" size="0" dxfId="1160"/>
      <tableStyleElement type="headerRow" dxfId="1163"/>
      <tableStyleElement type="firstRowStripe" dxfId="1162"/>
      <tableStyleElement type="secondRowStripe" dxfId="1161"/>
    </tableStyle>
    <tableStyle name="BR v HR Ahz 1252026-style" pivot="0" count="4" xr9:uid="{00000000-0011-0000-FFFF-FFFF1B010000}">
      <tableStyleElement type="wholeTable" size="0" dxfId="1156"/>
      <tableStyleElement type="headerRow" dxfId="1159"/>
      <tableStyleElement type="firstRowStripe" dxfId="1158"/>
      <tableStyleElement type="secondRowStripe" dxfId="1157"/>
    </tableStyle>
    <tableStyle name="BR v HR Ahz 1252026-style 2" pivot="0" count="4" xr9:uid="{00000000-0011-0000-FFFF-FFFF1C010000}">
      <tableStyleElement type="wholeTable" size="0" dxfId="1152"/>
      <tableStyleElement type="headerRow" dxfId="1155"/>
      <tableStyleElement type="firstRowStripe" dxfId="1154"/>
      <tableStyleElement type="secondRowStripe" dxfId="1153"/>
    </tableStyle>
    <tableStyle name="BR v HR Ahz 1252026-style 3" pivot="0" count="4" xr9:uid="{00000000-0011-0000-FFFF-FFFF1D010000}">
      <tableStyleElement type="wholeTable" size="0" dxfId="1148"/>
      <tableStyleElement type="headerRow" dxfId="1151"/>
      <tableStyleElement type="firstRowStripe" dxfId="1150"/>
      <tableStyleElement type="secondRowStripe" dxfId="1149"/>
    </tableStyle>
    <tableStyle name="BR v HR Ahz 1252026-style 4" pivot="0" count="4" xr9:uid="{00000000-0011-0000-FFFF-FFFF1E010000}">
      <tableStyleElement type="wholeTable" size="0" dxfId="1144"/>
      <tableStyleElement type="headerRow" dxfId="1147"/>
      <tableStyleElement type="firstRowStripe" dxfId="1146"/>
      <tableStyleElement type="secondRowStripe" dxfId="1145"/>
    </tableStyle>
    <tableStyle name="BR v HR Ahz 1252026-style 5" pivot="0" count="4" xr9:uid="{00000000-0011-0000-FFFF-FFFF1F010000}">
      <tableStyleElement type="wholeTable" size="0" dxfId="1140"/>
      <tableStyleElement type="headerRow" dxfId="1143"/>
      <tableStyleElement type="firstRowStripe" dxfId="1142"/>
      <tableStyleElement type="secondRowStripe" dxfId="1141"/>
    </tableStyle>
    <tableStyle name="BR v HR Ahz 1252026-style 6" pivot="0" count="4" xr9:uid="{00000000-0011-0000-FFFF-FFFF20010000}">
      <tableStyleElement type="wholeTable" size="0" dxfId="1136"/>
      <tableStyleElement type="headerRow" dxfId="1139"/>
      <tableStyleElement type="firstRowStripe" dxfId="1138"/>
      <tableStyleElement type="secondRowStripe" dxfId="1137"/>
    </tableStyle>
    <tableStyle name="BR v HR Ahz 1252026-style 7" pivot="0" count="4" xr9:uid="{00000000-0011-0000-FFFF-FFFF21010000}">
      <tableStyleElement type="wholeTable" size="0" dxfId="1132"/>
      <tableStyleElement type="headerRow" dxfId="1135"/>
      <tableStyleElement type="firstRowStripe" dxfId="1134"/>
      <tableStyleElement type="secondRowStripe" dxfId="1133"/>
    </tableStyle>
    <tableStyle name="BR v HR Ahz 1252026-style 8" pivot="0" count="4" xr9:uid="{00000000-0011-0000-FFFF-FFFF22010000}">
      <tableStyleElement type="wholeTable" size="0" dxfId="1128"/>
      <tableStyleElement type="headerRow" dxfId="1131"/>
      <tableStyleElement type="firstRowStripe" dxfId="1130"/>
      <tableStyleElement type="secondRowStripe" dxfId="1129"/>
    </tableStyle>
    <tableStyle name="BR v HR Ahz 1252026-style 9" pivot="0" count="4" xr9:uid="{00000000-0011-0000-FFFF-FFFF23010000}">
      <tableStyleElement type="wholeTable" size="0" dxfId="1124"/>
      <tableStyleElement type="headerRow" dxfId="1127"/>
      <tableStyleElement type="firstRowStripe" dxfId="1126"/>
      <tableStyleElement type="secondRowStripe" dxfId="1125"/>
    </tableStyle>
    <tableStyle name="BR v HR Ahz 1252026-style 10" pivot="0" count="4" xr9:uid="{00000000-0011-0000-FFFF-FFFF24010000}">
      <tableStyleElement type="wholeTable" size="0" dxfId="1120"/>
      <tableStyleElement type="headerRow" dxfId="1123"/>
      <tableStyleElement type="firstRowStripe" dxfId="1122"/>
      <tableStyleElement type="secondRowStripe" dxfId="1121"/>
    </tableStyle>
    <tableStyle name="BR v HR Ahz 1252026-style 11" pivot="0" count="4" xr9:uid="{00000000-0011-0000-FFFF-FFFF25010000}">
      <tableStyleElement type="wholeTable" size="0" dxfId="1116"/>
      <tableStyleElement type="headerRow" dxfId="1119"/>
      <tableStyleElement type="firstRowStripe" dxfId="1118"/>
      <tableStyleElement type="secondRowStripe" dxfId="1117"/>
    </tableStyle>
    <tableStyle name="BR v HR Ahz 1252026-style 12" pivot="0" count="4" xr9:uid="{00000000-0011-0000-FFFF-FFFF26010000}">
      <tableStyleElement type="wholeTable" size="0" dxfId="1112"/>
      <tableStyleElement type="headerRow" dxfId="1115"/>
      <tableStyleElement type="firstRowStripe" dxfId="1114"/>
      <tableStyleElement type="secondRowStripe" dxfId="1113"/>
    </tableStyle>
    <tableStyle name="BR v HR Ahz 1252026-style 13" pivot="0" count="4" xr9:uid="{00000000-0011-0000-FFFF-FFFF27010000}">
      <tableStyleElement type="wholeTable" size="0" dxfId="1108"/>
      <tableStyleElement type="headerRow" dxfId="1111"/>
      <tableStyleElement type="firstRowStripe" dxfId="1110"/>
      <tableStyleElement type="secondRowStripe" dxfId="1109"/>
    </tableStyle>
    <tableStyle name="BR v HR Ahz 1252026-style 14" pivot="0" count="4" xr9:uid="{00000000-0011-0000-FFFF-FFFF28010000}">
      <tableStyleElement type="wholeTable" size="0" dxfId="1104"/>
      <tableStyleElement type="headerRow" dxfId="1107"/>
      <tableStyleElement type="firstRowStripe" dxfId="1106"/>
      <tableStyleElement type="secondRowStripe" dxfId="1105"/>
    </tableStyle>
    <tableStyle name="BR v HR Ahz 1252026-style 15" pivot="0" count="4" xr9:uid="{00000000-0011-0000-FFFF-FFFF29010000}">
      <tableStyleElement type="wholeTable" size="0" dxfId="1100"/>
      <tableStyleElement type="headerRow" dxfId="1103"/>
      <tableStyleElement type="firstRowStripe" dxfId="1102"/>
      <tableStyleElement type="secondRowStripe" dxfId="1101"/>
    </tableStyle>
    <tableStyle name="FTP v Unhinged Ahz 1142026-style" pivot="0" count="4" xr9:uid="{00000000-0011-0000-FFFF-FFFF2A010000}">
      <tableStyleElement type="wholeTable" size="0" dxfId="1096"/>
      <tableStyleElement type="headerRow" dxfId="1099"/>
      <tableStyleElement type="firstRowStripe" dxfId="1098"/>
      <tableStyleElement type="secondRowStripe" dxfId="1097"/>
    </tableStyle>
    <tableStyle name="FTP v Unhinged Ahz 1142026-style 2" pivot="0" count="4" xr9:uid="{00000000-0011-0000-FFFF-FFFF2B010000}">
      <tableStyleElement type="wholeTable" size="0" dxfId="1092"/>
      <tableStyleElement type="headerRow" dxfId="1095"/>
      <tableStyleElement type="firstRowStripe" dxfId="1094"/>
      <tableStyleElement type="secondRowStripe" dxfId="1093"/>
    </tableStyle>
    <tableStyle name="FTP v Unhinged Ahz 1142026-style 3" pivot="0" count="4" xr9:uid="{00000000-0011-0000-FFFF-FFFF2C010000}">
      <tableStyleElement type="wholeTable" size="0" dxfId="1088"/>
      <tableStyleElement type="headerRow" dxfId="1091"/>
      <tableStyleElement type="firstRowStripe" dxfId="1090"/>
      <tableStyleElement type="secondRowStripe" dxfId="1089"/>
    </tableStyle>
    <tableStyle name="FTP v Unhinged Ahz 1142026-style 4" pivot="0" count="4" xr9:uid="{00000000-0011-0000-FFFF-FFFF2D010000}">
      <tableStyleElement type="wholeTable" size="0" dxfId="1084"/>
      <tableStyleElement type="headerRow" dxfId="1087"/>
      <tableStyleElement type="firstRowStripe" dxfId="1086"/>
      <tableStyleElement type="secondRowStripe" dxfId="1085"/>
    </tableStyle>
    <tableStyle name="FTP v Unhinged Ahz 1142026-style 5" pivot="0" count="4" xr9:uid="{00000000-0011-0000-FFFF-FFFF2E010000}">
      <tableStyleElement type="wholeTable" size="0" dxfId="1080"/>
      <tableStyleElement type="headerRow" dxfId="1083"/>
      <tableStyleElement type="firstRowStripe" dxfId="1082"/>
      <tableStyleElement type="secondRowStripe" dxfId="1081"/>
    </tableStyle>
    <tableStyle name="FTP v Unhinged Ahz 1142026-style 6" pivot="0" count="4" xr9:uid="{00000000-0011-0000-FFFF-FFFF2F010000}">
      <tableStyleElement type="wholeTable" size="0" dxfId="1076"/>
      <tableStyleElement type="headerRow" dxfId="1079"/>
      <tableStyleElement type="firstRowStripe" dxfId="1078"/>
      <tableStyleElement type="secondRowStripe" dxfId="1077"/>
    </tableStyle>
    <tableStyle name="FTP v Unhinged Ahz 1142026-style 7" pivot="0" count="4" xr9:uid="{00000000-0011-0000-FFFF-FFFF30010000}">
      <tableStyleElement type="wholeTable" size="0" dxfId="1072"/>
      <tableStyleElement type="headerRow" dxfId="1075"/>
      <tableStyleElement type="firstRowStripe" dxfId="1074"/>
      <tableStyleElement type="secondRowStripe" dxfId="1073"/>
    </tableStyle>
    <tableStyle name="FTP v Unhinged Ahz 1142026-style 8" pivot="0" count="4" xr9:uid="{00000000-0011-0000-FFFF-FFFF31010000}">
      <tableStyleElement type="wholeTable" size="0" dxfId="1068"/>
      <tableStyleElement type="headerRow" dxfId="1071"/>
      <tableStyleElement type="firstRowStripe" dxfId="1070"/>
      <tableStyleElement type="secondRowStripe" dxfId="1069"/>
    </tableStyle>
    <tableStyle name="FTP v Unhinged Ahz 1142026-style 9" pivot="0" count="4" xr9:uid="{00000000-0011-0000-FFFF-FFFF32010000}">
      <tableStyleElement type="wholeTable" size="0" dxfId="1064"/>
      <tableStyleElement type="headerRow" dxfId="1067"/>
      <tableStyleElement type="firstRowStripe" dxfId="1066"/>
      <tableStyleElement type="secondRowStripe" dxfId="1065"/>
    </tableStyle>
    <tableStyle name="FTP v Unhinged Ahz 1142026-style 10" pivot="0" count="4" xr9:uid="{00000000-0011-0000-FFFF-FFFF33010000}">
      <tableStyleElement type="wholeTable" size="0" dxfId="1060"/>
      <tableStyleElement type="headerRow" dxfId="1063"/>
      <tableStyleElement type="firstRowStripe" dxfId="1062"/>
      <tableStyleElement type="secondRowStripe" dxfId="1061"/>
    </tableStyle>
    <tableStyle name="FTP v Unhinged Ahz 1142026-style 11" pivot="0" count="4" xr9:uid="{00000000-0011-0000-FFFF-FFFF34010000}">
      <tableStyleElement type="wholeTable" size="0" dxfId="1056"/>
      <tableStyleElement type="headerRow" dxfId="1059"/>
      <tableStyleElement type="firstRowStripe" dxfId="1058"/>
      <tableStyleElement type="secondRowStripe" dxfId="1057"/>
    </tableStyle>
    <tableStyle name="FTP v Unhinged Ahz 1142026-style 12" pivot="0" count="4" xr9:uid="{00000000-0011-0000-FFFF-FFFF35010000}">
      <tableStyleElement type="wholeTable" size="0" dxfId="1052"/>
      <tableStyleElement type="headerRow" dxfId="1055"/>
      <tableStyleElement type="firstRowStripe" dxfId="1054"/>
      <tableStyleElement type="secondRowStripe" dxfId="1053"/>
    </tableStyle>
    <tableStyle name="FTP v Unhinged Ahz 1142026-style 13" pivot="0" count="4" xr9:uid="{00000000-0011-0000-FFFF-FFFF36010000}">
      <tableStyleElement type="wholeTable" size="0" dxfId="1048"/>
      <tableStyleElement type="headerRow" dxfId="1051"/>
      <tableStyleElement type="firstRowStripe" dxfId="1050"/>
      <tableStyleElement type="secondRowStripe" dxfId="1049"/>
    </tableStyle>
    <tableStyle name="FTP v Unhinged Ahz 1142026-style 14" pivot="0" count="4" xr9:uid="{00000000-0011-0000-FFFF-FFFF37010000}">
      <tableStyleElement type="wholeTable" size="0" dxfId="1044"/>
      <tableStyleElement type="headerRow" dxfId="1047"/>
      <tableStyleElement type="firstRowStripe" dxfId="1046"/>
      <tableStyleElement type="secondRowStripe" dxfId="1045"/>
    </tableStyle>
    <tableStyle name="FTP v Unhinged Ahz 1142026-style 15" pivot="0" count="4" xr9:uid="{00000000-0011-0000-FFFF-FFFF38010000}">
      <tableStyleElement type="wholeTable" size="0" dxfId="1040"/>
      <tableStyleElement type="headerRow" dxfId="1043"/>
      <tableStyleElement type="firstRowStripe" dxfId="1042"/>
      <tableStyleElement type="secondRowStripe" dxfId="1041"/>
    </tableStyle>
    <tableStyle name="FTP m Undercooked 162026 Aden-style" pivot="0" count="4" xr9:uid="{00000000-0011-0000-FFFF-FFFF39010000}">
      <tableStyleElement type="wholeTable" size="0" dxfId="1036"/>
      <tableStyleElement type="headerRow" dxfId="1039"/>
      <tableStyleElement type="firstRowStripe" dxfId="1038"/>
      <tableStyleElement type="secondRowStripe" dxfId="1037"/>
    </tableStyle>
    <tableStyle name="FTP m Undercooked 162026 Aden-style 2" pivot="0" count="4" xr9:uid="{00000000-0011-0000-FFFF-FFFF3A010000}">
      <tableStyleElement type="wholeTable" size="0" dxfId="1032"/>
      <tableStyleElement type="headerRow" dxfId="1035"/>
      <tableStyleElement type="firstRowStripe" dxfId="1034"/>
      <tableStyleElement type="secondRowStripe" dxfId="1033"/>
    </tableStyle>
    <tableStyle name="FTP m Undercooked 162026 Aden-style 3" pivot="0" count="4" xr9:uid="{00000000-0011-0000-FFFF-FFFF3B010000}">
      <tableStyleElement type="wholeTable" size="0" dxfId="1028"/>
      <tableStyleElement type="headerRow" dxfId="1031"/>
      <tableStyleElement type="firstRowStripe" dxfId="1030"/>
      <tableStyleElement type="secondRowStripe" dxfId="1029"/>
    </tableStyle>
    <tableStyle name="FTP m Undercooked 162026 Aden-style 4" pivot="0" count="4" xr9:uid="{00000000-0011-0000-FFFF-FFFF3C010000}">
      <tableStyleElement type="wholeTable" size="0" dxfId="1024"/>
      <tableStyleElement type="headerRow" dxfId="1027"/>
      <tableStyleElement type="firstRowStripe" dxfId="1026"/>
      <tableStyleElement type="secondRowStripe" dxfId="1025"/>
    </tableStyle>
    <tableStyle name="FTP m Undercooked 162026 Aden-style 5" pivot="0" count="4" xr9:uid="{00000000-0011-0000-FFFF-FFFF3D010000}">
      <tableStyleElement type="wholeTable" size="0" dxfId="1020"/>
      <tableStyleElement type="headerRow" dxfId="1023"/>
      <tableStyleElement type="firstRowStripe" dxfId="1022"/>
      <tableStyleElement type="secondRowStripe" dxfId="1021"/>
    </tableStyle>
    <tableStyle name="FTP m Undercooked 162026 Aden-style 6" pivot="0" count="4" xr9:uid="{00000000-0011-0000-FFFF-FFFF3E010000}">
      <tableStyleElement type="wholeTable" size="0" dxfId="1016"/>
      <tableStyleElement type="headerRow" dxfId="1019"/>
      <tableStyleElement type="firstRowStripe" dxfId="1018"/>
      <tableStyleElement type="secondRowStripe" dxfId="1017"/>
    </tableStyle>
    <tableStyle name="FTP m Undercooked 162026 Aden-style 7" pivot="0" count="4" xr9:uid="{00000000-0011-0000-FFFF-FFFF3F010000}">
      <tableStyleElement type="wholeTable" size="0" dxfId="1012"/>
      <tableStyleElement type="headerRow" dxfId="1015"/>
      <tableStyleElement type="firstRowStripe" dxfId="1014"/>
      <tableStyleElement type="secondRowStripe" dxfId="1013"/>
    </tableStyle>
    <tableStyle name="FTP m Undercooked 162026 Aden-style 8" pivot="0" count="4" xr9:uid="{00000000-0011-0000-FFFF-FFFF40010000}">
      <tableStyleElement type="wholeTable" size="0" dxfId="1008"/>
      <tableStyleElement type="headerRow" dxfId="1011"/>
      <tableStyleElement type="firstRowStripe" dxfId="1010"/>
      <tableStyleElement type="secondRowStripe" dxfId="1009"/>
    </tableStyle>
    <tableStyle name="FTP m Undercooked 162026 Aden-style 9" pivot="0" count="4" xr9:uid="{00000000-0011-0000-FFFF-FFFF41010000}">
      <tableStyleElement type="wholeTable" size="0" dxfId="1004"/>
      <tableStyleElement type="headerRow" dxfId="1007"/>
      <tableStyleElement type="firstRowStripe" dxfId="1006"/>
      <tableStyleElement type="secondRowStripe" dxfId="1005"/>
    </tableStyle>
    <tableStyle name="FTP m Undercooked 162026 Aden-style 10" pivot="0" count="4" xr9:uid="{00000000-0011-0000-FFFF-FFFF42010000}">
      <tableStyleElement type="wholeTable" size="0" dxfId="1000"/>
      <tableStyleElement type="headerRow" dxfId="1003"/>
      <tableStyleElement type="firstRowStripe" dxfId="1002"/>
      <tableStyleElement type="secondRowStripe" dxfId="1001"/>
    </tableStyle>
    <tableStyle name="FTP m Undercooked 162026 Aden-style 11" pivot="0" count="4" xr9:uid="{00000000-0011-0000-FFFF-FFFF43010000}">
      <tableStyleElement type="wholeTable" size="0" dxfId="996"/>
      <tableStyleElement type="headerRow" dxfId="999"/>
      <tableStyleElement type="firstRowStripe" dxfId="998"/>
      <tableStyleElement type="secondRowStripe" dxfId="997"/>
    </tableStyle>
    <tableStyle name="FTP m Undercooked 162026 Aden-style 12" pivot="0" count="4" xr9:uid="{00000000-0011-0000-FFFF-FFFF44010000}">
      <tableStyleElement type="wholeTable" size="0" dxfId="992"/>
      <tableStyleElement type="headerRow" dxfId="995"/>
      <tableStyleElement type="firstRowStripe" dxfId="994"/>
      <tableStyleElement type="secondRowStripe" dxfId="993"/>
    </tableStyle>
    <tableStyle name="FTP m Undercooked 162026 Aden-style 13" pivot="0" count="4" xr9:uid="{00000000-0011-0000-FFFF-FFFF45010000}">
      <tableStyleElement type="wholeTable" size="0" dxfId="988"/>
      <tableStyleElement type="headerRow" dxfId="991"/>
      <tableStyleElement type="firstRowStripe" dxfId="990"/>
      <tableStyleElement type="secondRowStripe" dxfId="989"/>
    </tableStyle>
    <tableStyle name="FTP m Undercooked 162026 Aden-style 14" pivot="0" count="4" xr9:uid="{00000000-0011-0000-FFFF-FFFF46010000}">
      <tableStyleElement type="wholeTable" size="0" dxfId="984"/>
      <tableStyleElement type="headerRow" dxfId="987"/>
      <tableStyleElement type="firstRowStripe" dxfId="986"/>
      <tableStyleElement type="secondRowStripe" dxfId="985"/>
    </tableStyle>
    <tableStyle name="FTP m Undercooked 162026 Aden-style 15" pivot="0" count="4" xr9:uid="{00000000-0011-0000-FFFF-FFFF47010000}">
      <tableStyleElement type="wholeTable" size="0" dxfId="980"/>
      <tableStyleElement type="headerRow" dxfId="983"/>
      <tableStyleElement type="firstRowStripe" dxfId="982"/>
      <tableStyleElement type="secondRowStripe" dxfId="981"/>
    </tableStyle>
    <tableStyle name="FTP m Undercooked 162026 Cherno-style" pivot="0" count="4" xr9:uid="{00000000-0011-0000-FFFF-FFFF48010000}">
      <tableStyleElement type="wholeTable" size="0" dxfId="976"/>
      <tableStyleElement type="headerRow" dxfId="979"/>
      <tableStyleElement type="firstRowStripe" dxfId="978"/>
      <tableStyleElement type="secondRowStripe" dxfId="977"/>
    </tableStyle>
    <tableStyle name="FTP m Undercooked 162026 Cherno-style 2" pivot="0" count="4" xr9:uid="{00000000-0011-0000-FFFF-FFFF49010000}">
      <tableStyleElement type="wholeTable" size="0" dxfId="972"/>
      <tableStyleElement type="headerRow" dxfId="975"/>
      <tableStyleElement type="firstRowStripe" dxfId="974"/>
      <tableStyleElement type="secondRowStripe" dxfId="973"/>
    </tableStyle>
    <tableStyle name="FTP m Undercooked 162026 Cherno-style 3" pivot="0" count="4" xr9:uid="{00000000-0011-0000-FFFF-FFFF4A010000}">
      <tableStyleElement type="wholeTable" size="0" dxfId="968"/>
      <tableStyleElement type="headerRow" dxfId="971"/>
      <tableStyleElement type="firstRowStripe" dxfId="970"/>
      <tableStyleElement type="secondRowStripe" dxfId="969"/>
    </tableStyle>
    <tableStyle name="FTP m Undercooked 162026 Cherno-style 4" pivot="0" count="4" xr9:uid="{00000000-0011-0000-FFFF-FFFF4B010000}">
      <tableStyleElement type="wholeTable" size="0" dxfId="964"/>
      <tableStyleElement type="headerRow" dxfId="967"/>
      <tableStyleElement type="firstRowStripe" dxfId="966"/>
      <tableStyleElement type="secondRowStripe" dxfId="965"/>
    </tableStyle>
    <tableStyle name="FTP m Undercooked 162026 Cherno-style 5" pivot="0" count="4" xr9:uid="{00000000-0011-0000-FFFF-FFFF4C010000}">
      <tableStyleElement type="wholeTable" size="0" dxfId="960"/>
      <tableStyleElement type="headerRow" dxfId="963"/>
      <tableStyleElement type="firstRowStripe" dxfId="962"/>
      <tableStyleElement type="secondRowStripe" dxfId="961"/>
    </tableStyle>
    <tableStyle name="FTP m Undercooked 162026 Cherno-style 6" pivot="0" count="4" xr9:uid="{00000000-0011-0000-FFFF-FFFF4D010000}">
      <tableStyleElement type="wholeTable" size="0" dxfId="956"/>
      <tableStyleElement type="headerRow" dxfId="959"/>
      <tableStyleElement type="firstRowStripe" dxfId="958"/>
      <tableStyleElement type="secondRowStripe" dxfId="957"/>
    </tableStyle>
    <tableStyle name="FTP m Undercooked 162026 Cherno-style 7" pivot="0" count="4" xr9:uid="{00000000-0011-0000-FFFF-FFFF4E010000}">
      <tableStyleElement type="wholeTable" size="0" dxfId="952"/>
      <tableStyleElement type="headerRow" dxfId="955"/>
      <tableStyleElement type="firstRowStripe" dxfId="954"/>
      <tableStyleElement type="secondRowStripe" dxfId="953"/>
    </tableStyle>
    <tableStyle name="FTP m Undercooked 162026 Cherno-style 8" pivot="0" count="4" xr9:uid="{00000000-0011-0000-FFFF-FFFF4F010000}">
      <tableStyleElement type="wholeTable" size="0" dxfId="948"/>
      <tableStyleElement type="headerRow" dxfId="951"/>
      <tableStyleElement type="firstRowStripe" dxfId="950"/>
      <tableStyleElement type="secondRowStripe" dxfId="949"/>
    </tableStyle>
    <tableStyle name="FTP m Undercooked 162026 Cherno-style 9" pivot="0" count="4" xr9:uid="{00000000-0011-0000-FFFF-FFFF50010000}">
      <tableStyleElement type="wholeTable" size="0" dxfId="944"/>
      <tableStyleElement type="headerRow" dxfId="947"/>
      <tableStyleElement type="firstRowStripe" dxfId="946"/>
      <tableStyleElement type="secondRowStripe" dxfId="945"/>
    </tableStyle>
    <tableStyle name="FTP m Undercooked 162026 Cherno-style 10" pivot="0" count="4" xr9:uid="{00000000-0011-0000-FFFF-FFFF51010000}">
      <tableStyleElement type="wholeTable" size="0" dxfId="940"/>
      <tableStyleElement type="headerRow" dxfId="943"/>
      <tableStyleElement type="firstRowStripe" dxfId="942"/>
      <tableStyleElement type="secondRowStripe" dxfId="941"/>
    </tableStyle>
    <tableStyle name="FTP m Undercooked 162026 Cherno-style 11" pivot="0" count="4" xr9:uid="{00000000-0011-0000-FFFF-FFFF52010000}">
      <tableStyleElement type="wholeTable" size="0" dxfId="936"/>
      <tableStyleElement type="headerRow" dxfId="939"/>
      <tableStyleElement type="firstRowStripe" dxfId="938"/>
      <tableStyleElement type="secondRowStripe" dxfId="937"/>
    </tableStyle>
    <tableStyle name="FTP m Undercooked 162026 Cherno-style 12" pivot="0" count="4" xr9:uid="{00000000-0011-0000-FFFF-FFFF53010000}">
      <tableStyleElement type="wholeTable" size="0" dxfId="932"/>
      <tableStyleElement type="headerRow" dxfId="935"/>
      <tableStyleElement type="firstRowStripe" dxfId="934"/>
      <tableStyleElement type="secondRowStripe" dxfId="933"/>
    </tableStyle>
    <tableStyle name="FTP m Undercooked 162026 Cherno-style 13" pivot="0" count="4" xr9:uid="{00000000-0011-0000-FFFF-FFFF54010000}">
      <tableStyleElement type="wholeTable" size="0" dxfId="928"/>
      <tableStyleElement type="headerRow" dxfId="931"/>
      <tableStyleElement type="firstRowStripe" dxfId="930"/>
      <tableStyleElement type="secondRowStripe" dxfId="929"/>
    </tableStyle>
    <tableStyle name="FTP m Undercooked 162026 Cherno-style 14" pivot="0" count="4" xr9:uid="{00000000-0011-0000-FFFF-FFFF55010000}">
      <tableStyleElement type="wholeTable" size="0" dxfId="924"/>
      <tableStyleElement type="headerRow" dxfId="927"/>
      <tableStyleElement type="firstRowStripe" dxfId="926"/>
      <tableStyleElement type="secondRowStripe" dxfId="925"/>
    </tableStyle>
    <tableStyle name="FTP m Undercooked 162026 Cherno-style 15" pivot="0" count="4" xr9:uid="{00000000-0011-0000-FFFF-FFFF56010000}">
      <tableStyleElement type="wholeTable" size="0" dxfId="920"/>
      <tableStyleElement type="headerRow" dxfId="923"/>
      <tableStyleElement type="firstRowStripe" dxfId="922"/>
      <tableStyleElement type="secondRowStripe" dxfId="921"/>
    </tableStyle>
    <tableStyle name="FTP vs Gravity 11122025-style" pivot="0" count="4" xr9:uid="{00000000-0011-0000-FFFF-FFFF57010000}">
      <tableStyleElement type="wholeTable" size="0" dxfId="916"/>
      <tableStyleElement type="headerRow" dxfId="919"/>
      <tableStyleElement type="firstRowStripe" dxfId="918"/>
      <tableStyleElement type="secondRowStripe" dxfId="917"/>
    </tableStyle>
    <tableStyle name="FTP vs Gravity 11122025-style 2" pivot="0" count="4" xr9:uid="{00000000-0011-0000-FFFF-FFFF58010000}">
      <tableStyleElement type="wholeTable" size="0" dxfId="912"/>
      <tableStyleElement type="headerRow" dxfId="915"/>
      <tableStyleElement type="firstRowStripe" dxfId="914"/>
      <tableStyleElement type="secondRowStripe" dxfId="913"/>
    </tableStyle>
    <tableStyle name="FTP vs Gravity 11122025-style 3" pivot="0" count="4" xr9:uid="{00000000-0011-0000-FFFF-FFFF59010000}">
      <tableStyleElement type="wholeTable" size="0" dxfId="908"/>
      <tableStyleElement type="headerRow" dxfId="911"/>
      <tableStyleElement type="firstRowStripe" dxfId="910"/>
      <tableStyleElement type="secondRowStripe" dxfId="909"/>
    </tableStyle>
    <tableStyle name="FTP vs Gravity 11122025-style 4" pivot="0" count="4" xr9:uid="{00000000-0011-0000-FFFF-FFFF5A010000}">
      <tableStyleElement type="wholeTable" size="0" dxfId="904"/>
      <tableStyleElement type="headerRow" dxfId="907"/>
      <tableStyleElement type="firstRowStripe" dxfId="906"/>
      <tableStyleElement type="secondRowStripe" dxfId="905"/>
    </tableStyle>
    <tableStyle name="FTP vs Gravity 11122025-style 5" pivot="0" count="4" xr9:uid="{00000000-0011-0000-FFFF-FFFF5B010000}">
      <tableStyleElement type="wholeTable" size="0" dxfId="900"/>
      <tableStyleElement type="headerRow" dxfId="903"/>
      <tableStyleElement type="firstRowStripe" dxfId="902"/>
      <tableStyleElement type="secondRowStripe" dxfId="901"/>
    </tableStyle>
    <tableStyle name="FTP vs Gravity 11122025-style 6" pivot="0" count="4" xr9:uid="{00000000-0011-0000-FFFF-FFFF5C010000}">
      <tableStyleElement type="wholeTable" size="0" dxfId="896"/>
      <tableStyleElement type="headerRow" dxfId="899"/>
      <tableStyleElement type="firstRowStripe" dxfId="898"/>
      <tableStyleElement type="secondRowStripe" dxfId="897"/>
    </tableStyle>
    <tableStyle name="FTP vs Gravity 11122025-style 7" pivot="0" count="4" xr9:uid="{00000000-0011-0000-FFFF-FFFF5D010000}">
      <tableStyleElement type="wholeTable" size="0" dxfId="892"/>
      <tableStyleElement type="headerRow" dxfId="895"/>
      <tableStyleElement type="firstRowStripe" dxfId="894"/>
      <tableStyleElement type="secondRowStripe" dxfId="893"/>
    </tableStyle>
    <tableStyle name="FTP vs Gravity 11122025-style 8" pivot="0" count="4" xr9:uid="{00000000-0011-0000-FFFF-FFFF5E010000}">
      <tableStyleElement type="wholeTable" size="0" dxfId="888"/>
      <tableStyleElement type="headerRow" dxfId="891"/>
      <tableStyleElement type="firstRowStripe" dxfId="890"/>
      <tableStyleElement type="secondRowStripe" dxfId="889"/>
    </tableStyle>
    <tableStyle name="FTP vs Gravity 11122025-style 9" pivot="0" count="4" xr9:uid="{00000000-0011-0000-FFFF-FFFF5F010000}">
      <tableStyleElement type="wholeTable" size="0" dxfId="884"/>
      <tableStyleElement type="headerRow" dxfId="887"/>
      <tableStyleElement type="firstRowStripe" dxfId="886"/>
      <tableStyleElement type="secondRowStripe" dxfId="885"/>
    </tableStyle>
    <tableStyle name="FTP vs Gravity 11122025-style 10" pivot="0" count="4" xr9:uid="{00000000-0011-0000-FFFF-FFFF60010000}">
      <tableStyleElement type="wholeTable" size="0" dxfId="880"/>
      <tableStyleElement type="headerRow" dxfId="883"/>
      <tableStyleElement type="firstRowStripe" dxfId="882"/>
      <tableStyleElement type="secondRowStripe" dxfId="881"/>
    </tableStyle>
    <tableStyle name="FTP vs Unhinged Ahz 11112025-style" pivot="0" count="4" xr9:uid="{00000000-0011-0000-FFFF-FFFF61010000}">
      <tableStyleElement type="wholeTable" size="0" dxfId="876"/>
      <tableStyleElement type="headerRow" dxfId="879"/>
      <tableStyleElement type="firstRowStripe" dxfId="878"/>
      <tableStyleElement type="secondRowStripe" dxfId="877"/>
    </tableStyle>
    <tableStyle name="FTP vs Unhinged Ahz 11112025-style 2" pivot="0" count="4" xr9:uid="{00000000-0011-0000-FFFF-FFFF62010000}">
      <tableStyleElement type="wholeTable" size="0" dxfId="872"/>
      <tableStyleElement type="headerRow" dxfId="875"/>
      <tableStyleElement type="firstRowStripe" dxfId="874"/>
      <tableStyleElement type="secondRowStripe" dxfId="873"/>
    </tableStyle>
    <tableStyle name="FTP vs Unhinged Ahz 11112025-style 3" pivot="0" count="4" xr9:uid="{00000000-0011-0000-FFFF-FFFF63010000}">
      <tableStyleElement type="wholeTable" size="0" dxfId="868"/>
      <tableStyleElement type="headerRow" dxfId="871"/>
      <tableStyleElement type="firstRowStripe" dxfId="870"/>
      <tableStyleElement type="secondRowStripe" dxfId="869"/>
    </tableStyle>
    <tableStyle name="FTP vs Unhinged Ahz 11112025-style 4" pivot="0" count="4" xr9:uid="{00000000-0011-0000-FFFF-FFFF64010000}">
      <tableStyleElement type="wholeTable" size="0" dxfId="864"/>
      <tableStyleElement type="headerRow" dxfId="867"/>
      <tableStyleElement type="firstRowStripe" dxfId="866"/>
      <tableStyleElement type="secondRowStripe" dxfId="865"/>
    </tableStyle>
    <tableStyle name="FTP vs Unhinged Ahz 11112025-style 5" pivot="0" count="4" xr9:uid="{00000000-0011-0000-FFFF-FFFF65010000}">
      <tableStyleElement type="wholeTable" size="0" dxfId="860"/>
      <tableStyleElement type="headerRow" dxfId="863"/>
      <tableStyleElement type="firstRowStripe" dxfId="862"/>
      <tableStyleElement type="secondRowStripe" dxfId="861"/>
    </tableStyle>
    <tableStyle name="FTP vs Unhinged Ahz 11112025-style 6" pivot="0" count="4" xr9:uid="{00000000-0011-0000-FFFF-FFFF66010000}">
      <tableStyleElement type="wholeTable" size="0" dxfId="856"/>
      <tableStyleElement type="headerRow" dxfId="859"/>
      <tableStyleElement type="firstRowStripe" dxfId="858"/>
      <tableStyleElement type="secondRowStripe" dxfId="857"/>
    </tableStyle>
    <tableStyle name="FTP vs Unhinged Ahz 11112025-style 7" pivot="0" count="4" xr9:uid="{00000000-0011-0000-FFFF-FFFF67010000}">
      <tableStyleElement type="wholeTable" size="0" dxfId="852"/>
      <tableStyleElement type="headerRow" dxfId="855"/>
      <tableStyleElement type="firstRowStripe" dxfId="854"/>
      <tableStyleElement type="secondRowStripe" dxfId="853"/>
    </tableStyle>
    <tableStyle name="FTP vs Unhinged Ahz 11112025-style 8" pivot="0" count="4" xr9:uid="{00000000-0011-0000-FFFF-FFFF68010000}">
      <tableStyleElement type="wholeTable" size="0" dxfId="848"/>
      <tableStyleElement type="headerRow" dxfId="851"/>
      <tableStyleElement type="firstRowStripe" dxfId="850"/>
      <tableStyleElement type="secondRowStripe" dxfId="849"/>
    </tableStyle>
    <tableStyle name="FTP vs Unhinged Ahz 11112025-style 9" pivot="0" count="4" xr9:uid="{00000000-0011-0000-FFFF-FFFF69010000}">
      <tableStyleElement type="wholeTable" size="0" dxfId="844"/>
      <tableStyleElement type="headerRow" dxfId="847"/>
      <tableStyleElement type="firstRowStripe" dxfId="846"/>
      <tableStyleElement type="secondRowStripe" dxfId="845"/>
    </tableStyle>
    <tableStyle name="FTP vs Unhinged Ahz 11112025-style 10" pivot="0" count="4" xr9:uid="{00000000-0011-0000-FFFF-FFFF6A010000}">
      <tableStyleElement type="wholeTable" size="0" dxfId="840"/>
      <tableStyleElement type="headerRow" dxfId="843"/>
      <tableStyleElement type="firstRowStripe" dxfId="842"/>
      <tableStyleElement type="secondRowStripe" dxfId="841"/>
    </tableStyle>
    <tableStyle name="FTP vs Cursed Moro 11102025-style" pivot="0" count="4" xr9:uid="{00000000-0011-0000-FFFF-FFFF6B010000}">
      <tableStyleElement type="wholeTable" size="0" dxfId="836"/>
      <tableStyleElement type="headerRow" dxfId="839"/>
      <tableStyleElement type="firstRowStripe" dxfId="838"/>
      <tableStyleElement type="secondRowStripe" dxfId="837"/>
    </tableStyle>
    <tableStyle name="FTP vs Cursed Moro 11102025-style 2" pivot="0" count="4" xr9:uid="{00000000-0011-0000-FFFF-FFFF6C010000}">
      <tableStyleElement type="wholeTable" size="0" dxfId="832"/>
      <tableStyleElement type="headerRow" dxfId="835"/>
      <tableStyleElement type="firstRowStripe" dxfId="834"/>
      <tableStyleElement type="secondRowStripe" dxfId="833"/>
    </tableStyle>
    <tableStyle name="FTP vs Cursed Moro 11102025-style 3" pivot="0" count="4" xr9:uid="{00000000-0011-0000-FFFF-FFFF6D010000}">
      <tableStyleElement type="wholeTable" size="0" dxfId="828"/>
      <tableStyleElement type="headerRow" dxfId="831"/>
      <tableStyleElement type="firstRowStripe" dxfId="830"/>
      <tableStyleElement type="secondRowStripe" dxfId="829"/>
    </tableStyle>
    <tableStyle name="FTP vs Cursed Moro 11102025-style 4" pivot="0" count="4" xr9:uid="{00000000-0011-0000-FFFF-FFFF6E010000}">
      <tableStyleElement type="wholeTable" size="0" dxfId="824"/>
      <tableStyleElement type="headerRow" dxfId="827"/>
      <tableStyleElement type="firstRowStripe" dxfId="826"/>
      <tableStyleElement type="secondRowStripe" dxfId="825"/>
    </tableStyle>
    <tableStyle name="FTP vs Cursed Moro 11102025-style 5" pivot="0" count="4" xr9:uid="{00000000-0011-0000-FFFF-FFFF6F010000}">
      <tableStyleElement type="wholeTable" size="0" dxfId="820"/>
      <tableStyleElement type="headerRow" dxfId="823"/>
      <tableStyleElement type="firstRowStripe" dxfId="822"/>
      <tableStyleElement type="secondRowStripe" dxfId="821"/>
    </tableStyle>
    <tableStyle name="FTP vs Cursed Moro 11102025-style 6" pivot="0" count="4" xr9:uid="{00000000-0011-0000-FFFF-FFFF70010000}">
      <tableStyleElement type="wholeTable" size="0" dxfId="816"/>
      <tableStyleElement type="headerRow" dxfId="819"/>
      <tableStyleElement type="firstRowStripe" dxfId="818"/>
      <tableStyleElement type="secondRowStripe" dxfId="817"/>
    </tableStyle>
    <tableStyle name="FTP vs Cursed Moro 11102025-style 7" pivot="0" count="4" xr9:uid="{00000000-0011-0000-FFFF-FFFF71010000}">
      <tableStyleElement type="wholeTable" size="0" dxfId="812"/>
      <tableStyleElement type="headerRow" dxfId="815"/>
      <tableStyleElement type="firstRowStripe" dxfId="814"/>
      <tableStyleElement type="secondRowStripe" dxfId="813"/>
    </tableStyle>
    <tableStyle name="FTP vs Cursed Moro 11102025-style 8" pivot="0" count="4" xr9:uid="{00000000-0011-0000-FFFF-FFFF72010000}">
      <tableStyleElement type="wholeTable" size="0" dxfId="808"/>
      <tableStyleElement type="headerRow" dxfId="811"/>
      <tableStyleElement type="firstRowStripe" dxfId="810"/>
      <tableStyleElement type="secondRowStripe" dxfId="809"/>
    </tableStyle>
    <tableStyle name="FTP vs Cursed Moro 11102025-style 9" pivot="0" count="4" xr9:uid="{00000000-0011-0000-FFFF-FFFF73010000}">
      <tableStyleElement type="wholeTable" size="0" dxfId="804"/>
      <tableStyleElement type="headerRow" dxfId="807"/>
      <tableStyleElement type="firstRowStripe" dxfId="806"/>
      <tableStyleElement type="secondRowStripe" dxfId="805"/>
    </tableStyle>
    <tableStyle name="FTP vs Cursed Moro 11102025-style 10" pivot="0" count="4" xr9:uid="{00000000-0011-0000-FFFF-FFFF74010000}">
      <tableStyleElement type="wholeTable" size="0" dxfId="800"/>
      <tableStyleElement type="headerRow" dxfId="803"/>
      <tableStyleElement type="firstRowStripe" dxfId="802"/>
      <tableStyleElement type="secondRowStripe" dxfId="801"/>
    </tableStyle>
    <tableStyle name="FTP vs Gravity | Ahz | 110525-style" pivot="0" count="4" xr9:uid="{00000000-0011-0000-FFFF-FFFF75010000}">
      <tableStyleElement type="wholeTable" size="0" dxfId="796"/>
      <tableStyleElement type="headerRow" dxfId="799"/>
      <tableStyleElement type="firstRowStripe" dxfId="798"/>
      <tableStyleElement type="secondRowStripe" dxfId="797"/>
    </tableStyle>
    <tableStyle name="FTP vs Gravity | Ahz | 110525-style 2" pivot="0" count="4" xr9:uid="{00000000-0011-0000-FFFF-FFFF76010000}">
      <tableStyleElement type="wholeTable" size="0" dxfId="792"/>
      <tableStyleElement type="headerRow" dxfId="795"/>
      <tableStyleElement type="firstRowStripe" dxfId="794"/>
      <tableStyleElement type="secondRowStripe" dxfId="793"/>
    </tableStyle>
    <tableStyle name="FTP vs Gravity | Ahz | 110525-style 3" pivot="0" count="4" xr9:uid="{00000000-0011-0000-FFFF-FFFF77010000}">
      <tableStyleElement type="wholeTable" size="0" dxfId="788"/>
      <tableStyleElement type="headerRow" dxfId="791"/>
      <tableStyleElement type="firstRowStripe" dxfId="790"/>
      <tableStyleElement type="secondRowStripe" dxfId="789"/>
    </tableStyle>
    <tableStyle name="FTP vs Gravity | Ahz | 110525-style 4" pivot="0" count="4" xr9:uid="{00000000-0011-0000-FFFF-FFFF78010000}">
      <tableStyleElement type="wholeTable" size="0" dxfId="784"/>
      <tableStyleElement type="headerRow" dxfId="787"/>
      <tableStyleElement type="firstRowStripe" dxfId="786"/>
      <tableStyleElement type="secondRowStripe" dxfId="785"/>
    </tableStyle>
    <tableStyle name="FTP vs Gravity | Ahz | 110525-style 5" pivot="0" count="4" xr9:uid="{00000000-0011-0000-FFFF-FFFF79010000}">
      <tableStyleElement type="wholeTable" size="0" dxfId="780"/>
      <tableStyleElement type="headerRow" dxfId="783"/>
      <tableStyleElement type="firstRowStripe" dxfId="782"/>
      <tableStyleElement type="secondRowStripe" dxfId="781"/>
    </tableStyle>
    <tableStyle name="FTP vs Gravity | Ahz | 110525-style 6" pivot="0" count="4" xr9:uid="{00000000-0011-0000-FFFF-FFFF7A010000}">
      <tableStyleElement type="wholeTable" size="0" dxfId="776"/>
      <tableStyleElement type="headerRow" dxfId="779"/>
      <tableStyleElement type="firstRowStripe" dxfId="778"/>
      <tableStyleElement type="secondRowStripe" dxfId="777"/>
    </tableStyle>
    <tableStyle name="FTP vs Gravity | Ahz | 110525-style 7" pivot="0" count="4" xr9:uid="{00000000-0011-0000-FFFF-FFFF7B010000}">
      <tableStyleElement type="wholeTable" size="0" dxfId="772"/>
      <tableStyleElement type="headerRow" dxfId="775"/>
      <tableStyleElement type="firstRowStripe" dxfId="774"/>
      <tableStyleElement type="secondRowStripe" dxfId="773"/>
    </tableStyle>
    <tableStyle name="FTP vs Gravity | Ahz | 110525-style 8" pivot="0" count="4" xr9:uid="{00000000-0011-0000-FFFF-FFFF7C010000}">
      <tableStyleElement type="wholeTable" size="0" dxfId="768"/>
      <tableStyleElement type="headerRow" dxfId="771"/>
      <tableStyleElement type="firstRowStripe" dxfId="770"/>
      <tableStyleElement type="secondRowStripe" dxfId="769"/>
    </tableStyle>
    <tableStyle name="FTP vs Gravity | Ahz | 110525-style 9" pivot="0" count="4" xr9:uid="{00000000-0011-0000-FFFF-FFFF7D010000}">
      <tableStyleElement type="wholeTable" size="0" dxfId="764"/>
      <tableStyleElement type="headerRow" dxfId="767"/>
      <tableStyleElement type="firstRowStripe" dxfId="766"/>
      <tableStyleElement type="secondRowStripe" dxfId="765"/>
    </tableStyle>
    <tableStyle name="FTP vs Gravity | Ahz | 110525-style 10" pivot="0" count="4" xr9:uid="{00000000-0011-0000-FFFF-FFFF7E010000}">
      <tableStyleElement type="wholeTable" size="0" dxfId="760"/>
      <tableStyleElement type="headerRow" dxfId="763"/>
      <tableStyleElement type="firstRowStripe" dxfId="762"/>
      <tableStyleElement type="secondRowStripe" dxfId="761"/>
    </tableStyle>
    <tableStyle name="FTP vs Gravity | Talus | 110525-style" pivot="0" count="4" xr9:uid="{00000000-0011-0000-FFFF-FFFF7F010000}">
      <tableStyleElement type="wholeTable" size="0" dxfId="756"/>
      <tableStyleElement type="headerRow" dxfId="759"/>
      <tableStyleElement type="firstRowStripe" dxfId="758"/>
      <tableStyleElement type="secondRowStripe" dxfId="757"/>
    </tableStyle>
    <tableStyle name="FTP vs Gravity | Talus | 110525-style 2" pivot="0" count="4" xr9:uid="{00000000-0011-0000-FFFF-FFFF80010000}">
      <tableStyleElement type="wholeTable" size="0" dxfId="752"/>
      <tableStyleElement type="headerRow" dxfId="755"/>
      <tableStyleElement type="firstRowStripe" dxfId="754"/>
      <tableStyleElement type="secondRowStripe" dxfId="753"/>
    </tableStyle>
    <tableStyle name="FTP vs Gravity | Talus | 110525-style 3" pivot="0" count="4" xr9:uid="{00000000-0011-0000-FFFF-FFFF81010000}">
      <tableStyleElement type="wholeTable" size="0" dxfId="748"/>
      <tableStyleElement type="headerRow" dxfId="751"/>
      <tableStyleElement type="firstRowStripe" dxfId="750"/>
      <tableStyleElement type="secondRowStripe" dxfId="749"/>
    </tableStyle>
    <tableStyle name="FTP vs Gravity | Talus | 110525-style 4" pivot="0" count="4" xr9:uid="{00000000-0011-0000-FFFF-FFFF82010000}">
      <tableStyleElement type="wholeTable" size="0" dxfId="744"/>
      <tableStyleElement type="headerRow" dxfId="747"/>
      <tableStyleElement type="firstRowStripe" dxfId="746"/>
      <tableStyleElement type="secondRowStripe" dxfId="745"/>
    </tableStyle>
    <tableStyle name="FTP vs Gravity | Talus | 110525-style 5" pivot="0" count="4" xr9:uid="{00000000-0011-0000-FFFF-FFFF83010000}">
      <tableStyleElement type="wholeTable" size="0" dxfId="740"/>
      <tableStyleElement type="headerRow" dxfId="743"/>
      <tableStyleElement type="firstRowStripe" dxfId="742"/>
      <tableStyleElement type="secondRowStripe" dxfId="741"/>
    </tableStyle>
    <tableStyle name="FTP vs Gravity | Talus | 110525-style 6" pivot="0" count="4" xr9:uid="{00000000-0011-0000-FFFF-FFFF84010000}">
      <tableStyleElement type="wholeTable" size="0" dxfId="736"/>
      <tableStyleElement type="headerRow" dxfId="739"/>
      <tableStyleElement type="firstRowStripe" dxfId="738"/>
      <tableStyleElement type="secondRowStripe" dxfId="737"/>
    </tableStyle>
    <tableStyle name="FTP vs Gravity | Talus | 110525-style 7" pivot="0" count="4" xr9:uid="{00000000-0011-0000-FFFF-FFFF85010000}">
      <tableStyleElement type="wholeTable" size="0" dxfId="732"/>
      <tableStyleElement type="headerRow" dxfId="735"/>
      <tableStyleElement type="firstRowStripe" dxfId="734"/>
      <tableStyleElement type="secondRowStripe" dxfId="733"/>
    </tableStyle>
    <tableStyle name="FTP vs Gravity | Talus | 110525-style 8" pivot="0" count="4" xr9:uid="{00000000-0011-0000-FFFF-FFFF86010000}">
      <tableStyleElement type="wholeTable" size="0" dxfId="728"/>
      <tableStyleElement type="headerRow" dxfId="731"/>
      <tableStyleElement type="firstRowStripe" dxfId="730"/>
      <tableStyleElement type="secondRowStripe" dxfId="729"/>
    </tableStyle>
    <tableStyle name="FTP vs Gravity | Talus | 110525-style 9" pivot="0" count="4" xr9:uid="{00000000-0011-0000-FFFF-FFFF87010000}">
      <tableStyleElement type="wholeTable" size="0" dxfId="724"/>
      <tableStyleElement type="headerRow" dxfId="727"/>
      <tableStyleElement type="firstRowStripe" dxfId="726"/>
      <tableStyleElement type="secondRowStripe" dxfId="725"/>
    </tableStyle>
    <tableStyle name="FTP vs Gravity | Talus | 110525-style 10" pivot="0" count="4" xr9:uid="{00000000-0011-0000-FFFF-FFFF88010000}">
      <tableStyleElement type="wholeTable" size="0" dxfId="720"/>
      <tableStyleElement type="headerRow" dxfId="723"/>
      <tableStyleElement type="firstRowStripe" dxfId="722"/>
      <tableStyleElement type="secondRowStripe" dxfId="721"/>
    </tableStyle>
    <tableStyle name="FTP vs Wolves | Kowa | 102925-style" pivot="0" count="4" xr9:uid="{00000000-0011-0000-FFFF-FFFF89010000}">
      <tableStyleElement type="wholeTable" size="0" dxfId="716"/>
      <tableStyleElement type="headerRow" dxfId="719"/>
      <tableStyleElement type="firstRowStripe" dxfId="718"/>
      <tableStyleElement type="secondRowStripe" dxfId="717"/>
    </tableStyle>
    <tableStyle name="FTP vs Wolves | Kowa | 102925-style 2" pivot="0" count="4" xr9:uid="{00000000-0011-0000-FFFF-FFFF8A010000}">
      <tableStyleElement type="wholeTable" size="0" dxfId="712"/>
      <tableStyleElement type="headerRow" dxfId="715"/>
      <tableStyleElement type="firstRowStripe" dxfId="714"/>
      <tableStyleElement type="secondRowStripe" dxfId="713"/>
    </tableStyle>
    <tableStyle name="FTP vs Wolves | Kowa | 102925-style 3" pivot="0" count="4" xr9:uid="{00000000-0011-0000-FFFF-FFFF8B010000}">
      <tableStyleElement type="wholeTable" size="0" dxfId="708"/>
      <tableStyleElement type="headerRow" dxfId="711"/>
      <tableStyleElement type="firstRowStripe" dxfId="710"/>
      <tableStyleElement type="secondRowStripe" dxfId="709"/>
    </tableStyle>
    <tableStyle name="FTP vs Wolves | Kowa | 102925-style 4" pivot="0" count="4" xr9:uid="{00000000-0011-0000-FFFF-FFFF8C010000}">
      <tableStyleElement type="wholeTable" size="0" dxfId="704"/>
      <tableStyleElement type="headerRow" dxfId="707"/>
      <tableStyleElement type="firstRowStripe" dxfId="706"/>
      <tableStyleElement type="secondRowStripe" dxfId="705"/>
    </tableStyle>
    <tableStyle name="FTP vs Wolves | Kowa | 102925-style 5" pivot="0" count="4" xr9:uid="{00000000-0011-0000-FFFF-FFFF8D010000}">
      <tableStyleElement type="wholeTable" size="0" dxfId="700"/>
      <tableStyleElement type="headerRow" dxfId="703"/>
      <tableStyleElement type="firstRowStripe" dxfId="702"/>
      <tableStyleElement type="secondRowStripe" dxfId="701"/>
    </tableStyle>
    <tableStyle name="FTP vs Wolves | Kowa | 102925-style 6" pivot="0" count="4" xr9:uid="{00000000-0011-0000-FFFF-FFFF8E010000}">
      <tableStyleElement type="wholeTable" size="0" dxfId="696"/>
      <tableStyleElement type="headerRow" dxfId="699"/>
      <tableStyleElement type="firstRowStripe" dxfId="698"/>
      <tableStyleElement type="secondRowStripe" dxfId="697"/>
    </tableStyle>
    <tableStyle name="FTP vs Wolves | Kowa | 102925-style 7" pivot="0" count="4" xr9:uid="{00000000-0011-0000-FFFF-FFFF8F010000}">
      <tableStyleElement type="wholeTable" size="0" dxfId="692"/>
      <tableStyleElement type="headerRow" dxfId="695"/>
      <tableStyleElement type="firstRowStripe" dxfId="694"/>
      <tableStyleElement type="secondRowStripe" dxfId="693"/>
    </tableStyle>
    <tableStyle name="FTP vs Wolves | Kowa | 102925-style 8" pivot="0" count="4" xr9:uid="{00000000-0011-0000-FFFF-FFFF90010000}">
      <tableStyleElement type="wholeTable" size="0" dxfId="688"/>
      <tableStyleElement type="headerRow" dxfId="691"/>
      <tableStyleElement type="firstRowStripe" dxfId="690"/>
      <tableStyleElement type="secondRowStripe" dxfId="689"/>
    </tableStyle>
    <tableStyle name="FTP vs Wolves | Kowa | 102925-style 9" pivot="0" count="4" xr9:uid="{00000000-0011-0000-FFFF-FFFF91010000}">
      <tableStyleElement type="wholeTable" size="0" dxfId="684"/>
      <tableStyleElement type="headerRow" dxfId="687"/>
      <tableStyleElement type="firstRowStripe" dxfId="686"/>
      <tableStyleElement type="secondRowStripe" dxfId="685"/>
    </tableStyle>
    <tableStyle name="FTP vs Wolves | Kowa | 102925-style 10" pivot="0" count="4" xr9:uid="{00000000-0011-0000-FFFF-FFFF92010000}">
      <tableStyleElement type="wholeTable" size="0" dxfId="680"/>
      <tableStyleElement type="headerRow" dxfId="683"/>
      <tableStyleElement type="firstRowStripe" dxfId="682"/>
      <tableStyleElement type="secondRowStripe" dxfId="681"/>
    </tableStyle>
    <tableStyle name="FTP vs Wolves | Ahzreil | 10292-style" pivot="0" count="4" xr9:uid="{00000000-0011-0000-FFFF-FFFF93010000}">
      <tableStyleElement type="wholeTable" size="0" dxfId="676"/>
      <tableStyleElement type="headerRow" dxfId="679"/>
      <tableStyleElement type="firstRowStripe" dxfId="678"/>
      <tableStyleElement type="secondRowStripe" dxfId="677"/>
    </tableStyle>
    <tableStyle name="FTP vs Wolves | Ahzreil | 10292-style 2" pivot="0" count="4" xr9:uid="{00000000-0011-0000-FFFF-FFFF94010000}">
      <tableStyleElement type="wholeTable" size="0" dxfId="672"/>
      <tableStyleElement type="headerRow" dxfId="675"/>
      <tableStyleElement type="firstRowStripe" dxfId="674"/>
      <tableStyleElement type="secondRowStripe" dxfId="673"/>
    </tableStyle>
    <tableStyle name="FTP vs Wolves | Ahzreil | 10292-style 3" pivot="0" count="4" xr9:uid="{00000000-0011-0000-FFFF-FFFF95010000}">
      <tableStyleElement type="wholeTable" size="0" dxfId="668"/>
      <tableStyleElement type="headerRow" dxfId="671"/>
      <tableStyleElement type="firstRowStripe" dxfId="670"/>
      <tableStyleElement type="secondRowStripe" dxfId="669"/>
    </tableStyle>
    <tableStyle name="FTP vs Wolves | Ahzreil | 10292-style 4" pivot="0" count="4" xr9:uid="{00000000-0011-0000-FFFF-FFFF96010000}">
      <tableStyleElement type="wholeTable" size="0" dxfId="664"/>
      <tableStyleElement type="headerRow" dxfId="667"/>
      <tableStyleElement type="firstRowStripe" dxfId="666"/>
      <tableStyleElement type="secondRowStripe" dxfId="665"/>
    </tableStyle>
    <tableStyle name="FTP vs Wolves | Ahzreil | 10292-style 5" pivot="0" count="4" xr9:uid="{00000000-0011-0000-FFFF-FFFF97010000}">
      <tableStyleElement type="wholeTable" size="0" dxfId="660"/>
      <tableStyleElement type="headerRow" dxfId="663"/>
      <tableStyleElement type="firstRowStripe" dxfId="662"/>
      <tableStyleElement type="secondRowStripe" dxfId="661"/>
    </tableStyle>
    <tableStyle name="FTP vs Wolves | Ahzreil | 10292-style 6" pivot="0" count="4" xr9:uid="{00000000-0011-0000-FFFF-FFFF98010000}">
      <tableStyleElement type="wholeTable" size="0" dxfId="656"/>
      <tableStyleElement type="headerRow" dxfId="659"/>
      <tableStyleElement type="firstRowStripe" dxfId="658"/>
      <tableStyleElement type="secondRowStripe" dxfId="657"/>
    </tableStyle>
    <tableStyle name="FTP vs Wolves | Ahzreil | 10292-style 7" pivot="0" count="4" xr9:uid="{00000000-0011-0000-FFFF-FFFF99010000}">
      <tableStyleElement type="wholeTable" size="0" dxfId="652"/>
      <tableStyleElement type="headerRow" dxfId="655"/>
      <tableStyleElement type="firstRowStripe" dxfId="654"/>
      <tableStyleElement type="secondRowStripe" dxfId="653"/>
    </tableStyle>
    <tableStyle name="FTP vs Wolves | Ahzreil | 10292-style 8" pivot="0" count="4" xr9:uid="{00000000-0011-0000-FFFF-FFFF9A010000}">
      <tableStyleElement type="wholeTable" size="0" dxfId="648"/>
      <tableStyleElement type="headerRow" dxfId="651"/>
      <tableStyleElement type="firstRowStripe" dxfId="650"/>
      <tableStyleElement type="secondRowStripe" dxfId="649"/>
    </tableStyle>
    <tableStyle name="FTP vs Wolves | Ahzreil | 10292-style 9" pivot="0" count="4" xr9:uid="{00000000-0011-0000-FFFF-FFFF9B010000}">
      <tableStyleElement type="wholeTable" size="0" dxfId="644"/>
      <tableStyleElement type="headerRow" dxfId="647"/>
      <tableStyleElement type="firstRowStripe" dxfId="646"/>
      <tableStyleElement type="secondRowStripe" dxfId="645"/>
    </tableStyle>
    <tableStyle name="FTP vs Wolves | Ahzreil | 10292-style 10" pivot="0" count="4" xr9:uid="{00000000-0011-0000-FFFF-FFFF9C010000}">
      <tableStyleElement type="wholeTable" size="0" dxfId="640"/>
      <tableStyleElement type="headerRow" dxfId="643"/>
      <tableStyleElement type="firstRowStripe" dxfId="642"/>
      <tableStyleElement type="secondRowStripe" dxfId="641"/>
    </tableStyle>
    <tableStyle name="FTP vs Infamy| Ahzreil | 102225-style" pivot="0" count="4" xr9:uid="{00000000-0011-0000-FFFF-FFFF9D010000}">
      <tableStyleElement type="wholeTable" size="0" dxfId="636"/>
      <tableStyleElement type="headerRow" dxfId="639"/>
      <tableStyleElement type="firstRowStripe" dxfId="638"/>
      <tableStyleElement type="secondRowStripe" dxfId="637"/>
    </tableStyle>
    <tableStyle name="FTP vs Infamy| Ahzreil | 102225-style 2" pivot="0" count="4" xr9:uid="{00000000-0011-0000-FFFF-FFFF9E010000}">
      <tableStyleElement type="wholeTable" size="0" dxfId="632"/>
      <tableStyleElement type="headerRow" dxfId="635"/>
      <tableStyleElement type="firstRowStripe" dxfId="634"/>
      <tableStyleElement type="secondRowStripe" dxfId="633"/>
    </tableStyle>
    <tableStyle name="FTP vs Infamy| Ahzreil | 102225-style 3" pivot="0" count="4" xr9:uid="{00000000-0011-0000-FFFF-FFFF9F010000}">
      <tableStyleElement type="wholeTable" size="0" dxfId="628"/>
      <tableStyleElement type="headerRow" dxfId="631"/>
      <tableStyleElement type="firstRowStripe" dxfId="630"/>
      <tableStyleElement type="secondRowStripe" dxfId="629"/>
    </tableStyle>
    <tableStyle name="FTP vs Infamy| Ahzreil | 102225-style 4" pivot="0" count="4" xr9:uid="{00000000-0011-0000-FFFF-FFFFA0010000}">
      <tableStyleElement type="wholeTable" size="0" dxfId="624"/>
      <tableStyleElement type="headerRow" dxfId="627"/>
      <tableStyleElement type="firstRowStripe" dxfId="626"/>
      <tableStyleElement type="secondRowStripe" dxfId="625"/>
    </tableStyle>
    <tableStyle name="FTP vs Infamy| Ahzreil | 102225-style 5" pivot="0" count="4" xr9:uid="{00000000-0011-0000-FFFF-FFFFA1010000}">
      <tableStyleElement type="wholeTable" size="0" dxfId="620"/>
      <tableStyleElement type="headerRow" dxfId="623"/>
      <tableStyleElement type="firstRowStripe" dxfId="622"/>
      <tableStyleElement type="secondRowStripe" dxfId="621"/>
    </tableStyle>
    <tableStyle name="FTP vs Infamy| Ahzreil | 102225-style 6" pivot="0" count="4" xr9:uid="{00000000-0011-0000-FFFF-FFFFA2010000}">
      <tableStyleElement type="wholeTable" size="0" dxfId="616"/>
      <tableStyleElement type="headerRow" dxfId="619"/>
      <tableStyleElement type="firstRowStripe" dxfId="618"/>
      <tableStyleElement type="secondRowStripe" dxfId="617"/>
    </tableStyle>
    <tableStyle name="FTP vs Infamy| Ahzreil | 102225-style 7" pivot="0" count="4" xr9:uid="{00000000-0011-0000-FFFF-FFFFA3010000}">
      <tableStyleElement type="wholeTable" size="0" dxfId="612"/>
      <tableStyleElement type="headerRow" dxfId="615"/>
      <tableStyleElement type="firstRowStripe" dxfId="614"/>
      <tableStyleElement type="secondRowStripe" dxfId="613"/>
    </tableStyle>
    <tableStyle name="FTP vs Infamy| Ahzreil | 102225-style 8" pivot="0" count="4" xr9:uid="{00000000-0011-0000-FFFF-FFFFA4010000}">
      <tableStyleElement type="wholeTable" size="0" dxfId="608"/>
      <tableStyleElement type="headerRow" dxfId="611"/>
      <tableStyleElement type="firstRowStripe" dxfId="610"/>
      <tableStyleElement type="secondRowStripe" dxfId="609"/>
    </tableStyle>
    <tableStyle name="FTP vs Infamy| Ahzreil | 102225-style 9" pivot="0" count="4" xr9:uid="{00000000-0011-0000-FFFF-FFFFA5010000}">
      <tableStyleElement type="wholeTable" size="0" dxfId="604"/>
      <tableStyleElement type="headerRow" dxfId="607"/>
      <tableStyleElement type="firstRowStripe" dxfId="606"/>
      <tableStyleElement type="secondRowStripe" dxfId="605"/>
    </tableStyle>
    <tableStyle name="FTP vs Infamy| Ahzreil | 102225-style 10" pivot="0" count="4" xr9:uid="{00000000-0011-0000-FFFF-FFFFA6010000}">
      <tableStyleElement type="wholeTable" size="0" dxfId="600"/>
      <tableStyleElement type="headerRow" dxfId="603"/>
      <tableStyleElement type="firstRowStripe" dxfId="602"/>
      <tableStyleElement type="secondRowStripe" dxfId="601"/>
    </tableStyle>
    <tableStyle name="FTP vs Infamy| Aelon | 102225-style" pivot="0" count="4" xr9:uid="{00000000-0011-0000-FFFF-FFFFA7010000}">
      <tableStyleElement type="wholeTable" size="0" dxfId="596"/>
      <tableStyleElement type="headerRow" dxfId="599"/>
      <tableStyleElement type="firstRowStripe" dxfId="598"/>
      <tableStyleElement type="secondRowStripe" dxfId="597"/>
    </tableStyle>
    <tableStyle name="FTP vs Infamy| Aelon | 102225-style 2" pivot="0" count="4" xr9:uid="{00000000-0011-0000-FFFF-FFFFA8010000}">
      <tableStyleElement type="wholeTable" size="0" dxfId="592"/>
      <tableStyleElement type="headerRow" dxfId="595"/>
      <tableStyleElement type="firstRowStripe" dxfId="594"/>
      <tableStyleElement type="secondRowStripe" dxfId="593"/>
    </tableStyle>
    <tableStyle name="FTP vs Infamy| Aelon | 102225-style 3" pivot="0" count="4" xr9:uid="{00000000-0011-0000-FFFF-FFFFA9010000}">
      <tableStyleElement type="wholeTable" size="0" dxfId="588"/>
      <tableStyleElement type="headerRow" dxfId="591"/>
      <tableStyleElement type="firstRowStripe" dxfId="590"/>
      <tableStyleElement type="secondRowStripe" dxfId="589"/>
    </tableStyle>
    <tableStyle name="FTP vs Infamy| Aelon | 102225-style 4" pivot="0" count="4" xr9:uid="{00000000-0011-0000-FFFF-FFFFAA010000}">
      <tableStyleElement type="wholeTable" size="0" dxfId="584"/>
      <tableStyleElement type="headerRow" dxfId="587"/>
      <tableStyleElement type="firstRowStripe" dxfId="586"/>
      <tableStyleElement type="secondRowStripe" dxfId="585"/>
    </tableStyle>
    <tableStyle name="FTP vs Infamy| Aelon | 102225-style 5" pivot="0" count="4" xr9:uid="{00000000-0011-0000-FFFF-FFFFAB010000}">
      <tableStyleElement type="wholeTable" size="0" dxfId="580"/>
      <tableStyleElement type="headerRow" dxfId="583"/>
      <tableStyleElement type="firstRowStripe" dxfId="582"/>
      <tableStyleElement type="secondRowStripe" dxfId="581"/>
    </tableStyle>
    <tableStyle name="FTP vs Infamy| Aelon | 102225-style 6" pivot="0" count="4" xr9:uid="{00000000-0011-0000-FFFF-FFFFAC010000}">
      <tableStyleElement type="wholeTable" size="0" dxfId="576"/>
      <tableStyleElement type="headerRow" dxfId="579"/>
      <tableStyleElement type="firstRowStripe" dxfId="578"/>
      <tableStyleElement type="secondRowStripe" dxfId="577"/>
    </tableStyle>
    <tableStyle name="FTP vs Infamy| Aelon | 102225-style 7" pivot="0" count="4" xr9:uid="{00000000-0011-0000-FFFF-FFFFAD010000}">
      <tableStyleElement type="wholeTable" size="0" dxfId="572"/>
      <tableStyleElement type="headerRow" dxfId="575"/>
      <tableStyleElement type="firstRowStripe" dxfId="574"/>
      <tableStyleElement type="secondRowStripe" dxfId="573"/>
    </tableStyle>
    <tableStyle name="FTP vs Infamy| Aelon | 102225-style 8" pivot="0" count="4" xr9:uid="{00000000-0011-0000-FFFF-FFFFAE010000}">
      <tableStyleElement type="wholeTable" size="0" dxfId="568"/>
      <tableStyleElement type="headerRow" dxfId="571"/>
      <tableStyleElement type="firstRowStripe" dxfId="570"/>
      <tableStyleElement type="secondRowStripe" dxfId="569"/>
    </tableStyle>
    <tableStyle name="FTP vs Infamy| Aelon | 102225-style 9" pivot="0" count="4" xr9:uid="{00000000-0011-0000-FFFF-FFFFAF010000}">
      <tableStyleElement type="wholeTable" size="0" dxfId="564"/>
      <tableStyleElement type="headerRow" dxfId="567"/>
      <tableStyleElement type="firstRowStripe" dxfId="566"/>
      <tableStyleElement type="secondRowStripe" dxfId="565"/>
    </tableStyle>
    <tableStyle name="FTP vs Infamy| Aelon | 102225-style 10" pivot="0" count="4" xr9:uid="{00000000-0011-0000-FFFF-FFFFB0010000}">
      <tableStyleElement type="wholeTable" size="0" dxfId="560"/>
      <tableStyleElement type="headerRow" dxfId="563"/>
      <tableStyleElement type="firstRowStripe" dxfId="562"/>
      <tableStyleElement type="secondRowStripe" dxfId="561"/>
    </tableStyle>
    <tableStyle name="FTP vs Wolves | Adentus | 10212-style" pivot="0" count="4" xr9:uid="{00000000-0011-0000-FFFF-FFFFB1010000}">
      <tableStyleElement type="wholeTable" size="0" dxfId="556"/>
      <tableStyleElement type="headerRow" dxfId="559"/>
      <tableStyleElement type="firstRowStripe" dxfId="558"/>
      <tableStyleElement type="secondRowStripe" dxfId="557"/>
    </tableStyle>
    <tableStyle name="FTP vs Wolves | Adentus | 10212-style 2" pivot="0" count="4" xr9:uid="{00000000-0011-0000-FFFF-FFFFB2010000}">
      <tableStyleElement type="wholeTable" size="0" dxfId="552"/>
      <tableStyleElement type="headerRow" dxfId="555"/>
      <tableStyleElement type="firstRowStripe" dxfId="554"/>
      <tableStyleElement type="secondRowStripe" dxfId="553"/>
    </tableStyle>
    <tableStyle name="FTP vs Wolves | Adentus | 10212-style 3" pivot="0" count="4" xr9:uid="{00000000-0011-0000-FFFF-FFFFB3010000}">
      <tableStyleElement type="wholeTable" size="0" dxfId="548"/>
      <tableStyleElement type="headerRow" dxfId="551"/>
      <tableStyleElement type="firstRowStripe" dxfId="550"/>
      <tableStyleElement type="secondRowStripe" dxfId="549"/>
    </tableStyle>
    <tableStyle name="FTP vs Wolves | Adentus | 10212-style 4" pivot="0" count="4" xr9:uid="{00000000-0011-0000-FFFF-FFFFB4010000}">
      <tableStyleElement type="wholeTable" size="0" dxfId="544"/>
      <tableStyleElement type="headerRow" dxfId="547"/>
      <tableStyleElement type="firstRowStripe" dxfId="546"/>
      <tableStyleElement type="secondRowStripe" dxfId="545"/>
    </tableStyle>
    <tableStyle name="FTP vs Wolves | Adentus | 10212-style 5" pivot="0" count="4" xr9:uid="{00000000-0011-0000-FFFF-FFFFB5010000}">
      <tableStyleElement type="wholeTable" size="0" dxfId="540"/>
      <tableStyleElement type="headerRow" dxfId="543"/>
      <tableStyleElement type="firstRowStripe" dxfId="542"/>
      <tableStyleElement type="secondRowStripe" dxfId="541"/>
    </tableStyle>
    <tableStyle name="FTP vs Wolves | Adentus | 10212-style 6" pivot="0" count="4" xr9:uid="{00000000-0011-0000-FFFF-FFFFB6010000}">
      <tableStyleElement type="wholeTable" size="0" dxfId="536"/>
      <tableStyleElement type="headerRow" dxfId="539"/>
      <tableStyleElement type="firstRowStripe" dxfId="538"/>
      <tableStyleElement type="secondRowStripe" dxfId="537"/>
    </tableStyle>
    <tableStyle name="FTP vs Wolves | Adentus | 10212-style 7" pivot="0" count="4" xr9:uid="{00000000-0011-0000-FFFF-FFFFB7010000}">
      <tableStyleElement type="wholeTable" size="0" dxfId="532"/>
      <tableStyleElement type="headerRow" dxfId="535"/>
      <tableStyleElement type="firstRowStripe" dxfId="534"/>
      <tableStyleElement type="secondRowStripe" dxfId="533"/>
    </tableStyle>
    <tableStyle name="FTP vs Wolves | Adentus | 10212-style 8" pivot="0" count="4" xr9:uid="{00000000-0011-0000-FFFF-FFFFB8010000}">
      <tableStyleElement type="wholeTable" size="0" dxfId="528"/>
      <tableStyleElement type="headerRow" dxfId="531"/>
      <tableStyleElement type="firstRowStripe" dxfId="530"/>
      <tableStyleElement type="secondRowStripe" dxfId="529"/>
    </tableStyle>
    <tableStyle name="FTP vs Wolves | Adentus | 10212-style 9" pivot="0" count="4" xr9:uid="{00000000-0011-0000-FFFF-FFFFB9010000}">
      <tableStyleElement type="wholeTable" size="0" dxfId="524"/>
      <tableStyleElement type="headerRow" dxfId="527"/>
      <tableStyleElement type="firstRowStripe" dxfId="526"/>
      <tableStyleElement type="secondRowStripe" dxfId="525"/>
    </tableStyle>
    <tableStyle name="FTP vs Wolves | Adentus | 10212-style 10" pivot="0" count="4" xr9:uid="{00000000-0011-0000-FFFF-FFFFBA010000}">
      <tableStyleElement type="wholeTable" size="0" dxfId="520"/>
      <tableStyleElement type="headerRow" dxfId="523"/>
      <tableStyleElement type="firstRowStripe" dxfId="522"/>
      <tableStyleElement type="secondRowStripe" dxfId="521"/>
    </tableStyle>
    <tableStyle name="FTP vs Wolves | Morokai | 10212-style" pivot="0" count="4" xr9:uid="{00000000-0011-0000-FFFF-FFFFBB010000}">
      <tableStyleElement type="wholeTable" size="0" dxfId="516"/>
      <tableStyleElement type="headerRow" dxfId="519"/>
      <tableStyleElement type="firstRowStripe" dxfId="518"/>
      <tableStyleElement type="secondRowStripe" dxfId="517"/>
    </tableStyle>
    <tableStyle name="FTP vs Wolves | Morokai | 10212-style 2" pivot="0" count="4" xr9:uid="{00000000-0011-0000-FFFF-FFFFBC010000}">
      <tableStyleElement type="wholeTable" size="0" dxfId="512"/>
      <tableStyleElement type="headerRow" dxfId="515"/>
      <tableStyleElement type="firstRowStripe" dxfId="514"/>
      <tableStyleElement type="secondRowStripe" dxfId="513"/>
    </tableStyle>
    <tableStyle name="FTP vs Wolves | Morokai | 10212-style 3" pivot="0" count="4" xr9:uid="{00000000-0011-0000-FFFF-FFFFBD010000}">
      <tableStyleElement type="wholeTable" size="0" dxfId="508"/>
      <tableStyleElement type="headerRow" dxfId="511"/>
      <tableStyleElement type="firstRowStripe" dxfId="510"/>
      <tableStyleElement type="secondRowStripe" dxfId="509"/>
    </tableStyle>
    <tableStyle name="FTP vs Wolves | Morokai | 10212-style 4" pivot="0" count="4" xr9:uid="{00000000-0011-0000-FFFF-FFFFBE010000}">
      <tableStyleElement type="wholeTable" size="0" dxfId="504"/>
      <tableStyleElement type="headerRow" dxfId="507"/>
      <tableStyleElement type="firstRowStripe" dxfId="506"/>
      <tableStyleElement type="secondRowStripe" dxfId="505"/>
    </tableStyle>
    <tableStyle name="FTP vs Wolves | Morokai | 10212-style 5" pivot="0" count="4" xr9:uid="{00000000-0011-0000-FFFF-FFFFBF010000}">
      <tableStyleElement type="wholeTable" size="0" dxfId="500"/>
      <tableStyleElement type="headerRow" dxfId="503"/>
      <tableStyleElement type="firstRowStripe" dxfId="502"/>
      <tableStyleElement type="secondRowStripe" dxfId="501"/>
    </tableStyle>
    <tableStyle name="FTP vs Wolves | Morokai | 10212-style 6" pivot="0" count="4" xr9:uid="{00000000-0011-0000-FFFF-FFFFC0010000}">
      <tableStyleElement type="wholeTable" size="0" dxfId="496"/>
      <tableStyleElement type="headerRow" dxfId="499"/>
      <tableStyleElement type="firstRowStripe" dxfId="498"/>
      <tableStyleElement type="secondRowStripe" dxfId="497"/>
    </tableStyle>
    <tableStyle name="FTP vs Wolves | Morokai | 10212-style 7" pivot="0" count="4" xr9:uid="{00000000-0011-0000-FFFF-FFFFC1010000}">
      <tableStyleElement type="wholeTable" size="0" dxfId="492"/>
      <tableStyleElement type="headerRow" dxfId="495"/>
      <tableStyleElement type="firstRowStripe" dxfId="494"/>
      <tableStyleElement type="secondRowStripe" dxfId="493"/>
    </tableStyle>
    <tableStyle name="FTP vs Wolves | Morokai | 10212-style 8" pivot="0" count="4" xr9:uid="{00000000-0011-0000-FFFF-FFFFC2010000}">
      <tableStyleElement type="wholeTable" size="0" dxfId="488"/>
      <tableStyleElement type="headerRow" dxfId="491"/>
      <tableStyleElement type="firstRowStripe" dxfId="490"/>
      <tableStyleElement type="secondRowStripe" dxfId="489"/>
    </tableStyle>
    <tableStyle name="FTP vs Wolves | Morokai | 10212-style 9" pivot="0" count="4" xr9:uid="{00000000-0011-0000-FFFF-FFFFC3010000}">
      <tableStyleElement type="wholeTable" size="0" dxfId="484"/>
      <tableStyleElement type="headerRow" dxfId="487"/>
      <tableStyleElement type="firstRowStripe" dxfId="486"/>
      <tableStyleElement type="secondRowStripe" dxfId="485"/>
    </tableStyle>
    <tableStyle name="FTP vs Wolves | Morokai | 10212-style 10" pivot="0" count="4" xr9:uid="{00000000-0011-0000-FFFF-FFFFC4010000}">
      <tableStyleElement type="wholeTable" size="0" dxfId="480"/>
      <tableStyleElement type="headerRow" dxfId="483"/>
      <tableStyleElement type="firstRowStripe" dxfId="482"/>
      <tableStyleElement type="secondRowStripe" dxfId="481"/>
    </tableStyle>
    <tableStyle name="FTP vs Dwagon | Paki | 101525-style" pivot="0" count="4" xr9:uid="{00000000-0011-0000-FFFF-FFFFC5010000}">
      <tableStyleElement type="wholeTable" size="0" dxfId="476"/>
      <tableStyleElement type="headerRow" dxfId="479"/>
      <tableStyleElement type="firstRowStripe" dxfId="478"/>
      <tableStyleElement type="secondRowStripe" dxfId="477"/>
    </tableStyle>
    <tableStyle name="FTP vs Dwagon | Paki | 101525-style 2" pivot="0" count="4" xr9:uid="{00000000-0011-0000-FFFF-FFFFC6010000}">
      <tableStyleElement type="wholeTable" size="0" dxfId="472"/>
      <tableStyleElement type="headerRow" dxfId="475"/>
      <tableStyleElement type="firstRowStripe" dxfId="474"/>
      <tableStyleElement type="secondRowStripe" dxfId="473"/>
    </tableStyle>
    <tableStyle name="FTP vs Dwagon | Paki | 101525-style 3" pivot="0" count="4" xr9:uid="{00000000-0011-0000-FFFF-FFFFC7010000}">
      <tableStyleElement type="wholeTable" size="0" dxfId="468"/>
      <tableStyleElement type="headerRow" dxfId="471"/>
      <tableStyleElement type="firstRowStripe" dxfId="470"/>
      <tableStyleElement type="secondRowStripe" dxfId="469"/>
    </tableStyle>
    <tableStyle name="FTP vs Dwagon | Paki | 101525-style 4" pivot="0" count="4" xr9:uid="{00000000-0011-0000-FFFF-FFFFC8010000}">
      <tableStyleElement type="wholeTable" size="0" dxfId="464"/>
      <tableStyleElement type="headerRow" dxfId="467"/>
      <tableStyleElement type="firstRowStripe" dxfId="466"/>
      <tableStyleElement type="secondRowStripe" dxfId="465"/>
    </tableStyle>
    <tableStyle name="FTP vs Dwagon | Paki | 101525-style 5" pivot="0" count="4" xr9:uid="{00000000-0011-0000-FFFF-FFFFC9010000}">
      <tableStyleElement type="wholeTable" size="0" dxfId="460"/>
      <tableStyleElement type="headerRow" dxfId="463"/>
      <tableStyleElement type="firstRowStripe" dxfId="462"/>
      <tableStyleElement type="secondRowStripe" dxfId="461"/>
    </tableStyle>
    <tableStyle name="FTP vs Dwagon | Paki | 101525-style 6" pivot="0" count="4" xr9:uid="{00000000-0011-0000-FFFF-FFFFCA010000}">
      <tableStyleElement type="wholeTable" size="0" dxfId="456"/>
      <tableStyleElement type="headerRow" dxfId="459"/>
      <tableStyleElement type="firstRowStripe" dxfId="458"/>
      <tableStyleElement type="secondRowStripe" dxfId="457"/>
    </tableStyle>
    <tableStyle name="FTP vs Dwagon | Paki | 101525-style 7" pivot="0" count="4" xr9:uid="{00000000-0011-0000-FFFF-FFFFCB010000}">
      <tableStyleElement type="wholeTable" size="0" dxfId="452"/>
      <tableStyleElement type="headerRow" dxfId="455"/>
      <tableStyleElement type="firstRowStripe" dxfId="454"/>
      <tableStyleElement type="secondRowStripe" dxfId="453"/>
    </tableStyle>
    <tableStyle name="FTP vs Dwagon | Paki | 101525-style 8" pivot="0" count="4" xr9:uid="{00000000-0011-0000-FFFF-FFFFCC010000}">
      <tableStyleElement type="wholeTable" size="0" dxfId="448"/>
      <tableStyleElement type="headerRow" dxfId="451"/>
      <tableStyleElement type="firstRowStripe" dxfId="450"/>
      <tableStyleElement type="secondRowStripe" dxfId="449"/>
    </tableStyle>
    <tableStyle name="FTP vs Dwagon | Paki | 101525-style 9" pivot="0" count="4" xr9:uid="{00000000-0011-0000-FFFF-FFFFCD010000}">
      <tableStyleElement type="wholeTable" size="0" dxfId="444"/>
      <tableStyleElement type="headerRow" dxfId="447"/>
      <tableStyleElement type="firstRowStripe" dxfId="446"/>
      <tableStyleElement type="secondRowStripe" dxfId="445"/>
    </tableStyle>
    <tableStyle name="FTP vs Dwagon | Paki | 101525-style 10" pivot="0" count="4" xr9:uid="{00000000-0011-0000-FFFF-FFFFCE010000}">
      <tableStyleElement type="wholeTable" size="0" dxfId="440"/>
      <tableStyleElement type="headerRow" dxfId="443"/>
      <tableStyleElement type="firstRowStripe" dxfId="442"/>
      <tableStyleElement type="secondRowStripe" dxfId="441"/>
    </tableStyle>
    <tableStyle name="FTP vs Dwagon | Adentus | 10152-style" pivot="0" count="4" xr9:uid="{00000000-0011-0000-FFFF-FFFFCF010000}">
      <tableStyleElement type="wholeTable" size="0" dxfId="436"/>
      <tableStyleElement type="headerRow" dxfId="439"/>
      <tableStyleElement type="firstRowStripe" dxfId="438"/>
      <tableStyleElement type="secondRowStripe" dxfId="437"/>
    </tableStyle>
    <tableStyle name="FTP vs Dwagon | Adentus | 10152-style 2" pivot="0" count="4" xr9:uid="{00000000-0011-0000-FFFF-FFFFD0010000}">
      <tableStyleElement type="wholeTable" size="0" dxfId="432"/>
      <tableStyleElement type="headerRow" dxfId="435"/>
      <tableStyleElement type="firstRowStripe" dxfId="434"/>
      <tableStyleElement type="secondRowStripe" dxfId="433"/>
    </tableStyle>
    <tableStyle name="FTP vs Dwagon | Adentus | 10152-style 3" pivot="0" count="4" xr9:uid="{00000000-0011-0000-FFFF-FFFFD1010000}">
      <tableStyleElement type="wholeTable" size="0" dxfId="428"/>
      <tableStyleElement type="headerRow" dxfId="431"/>
      <tableStyleElement type="firstRowStripe" dxfId="430"/>
      <tableStyleElement type="secondRowStripe" dxfId="429"/>
    </tableStyle>
    <tableStyle name="FTP vs Dwagon | Adentus | 10152-style 4" pivot="0" count="4" xr9:uid="{00000000-0011-0000-FFFF-FFFFD2010000}">
      <tableStyleElement type="wholeTable" size="0" dxfId="424"/>
      <tableStyleElement type="headerRow" dxfId="427"/>
      <tableStyleElement type="firstRowStripe" dxfId="426"/>
      <tableStyleElement type="secondRowStripe" dxfId="425"/>
    </tableStyle>
    <tableStyle name="FTP vs Dwagon | Adentus | 10152-style 5" pivot="0" count="4" xr9:uid="{00000000-0011-0000-FFFF-FFFFD3010000}">
      <tableStyleElement type="wholeTable" size="0" dxfId="420"/>
      <tableStyleElement type="headerRow" dxfId="423"/>
      <tableStyleElement type="firstRowStripe" dxfId="422"/>
      <tableStyleElement type="secondRowStripe" dxfId="421"/>
    </tableStyle>
    <tableStyle name="FTP vs Dwagon | Adentus | 10152-style 6" pivot="0" count="4" xr9:uid="{00000000-0011-0000-FFFF-FFFFD4010000}">
      <tableStyleElement type="wholeTable" size="0" dxfId="416"/>
      <tableStyleElement type="headerRow" dxfId="419"/>
      <tableStyleElement type="firstRowStripe" dxfId="418"/>
      <tableStyleElement type="secondRowStripe" dxfId="417"/>
    </tableStyle>
    <tableStyle name="FTP vs Dwagon | Adentus | 10152-style 7" pivot="0" count="4" xr9:uid="{00000000-0011-0000-FFFF-FFFFD5010000}">
      <tableStyleElement type="wholeTable" size="0" dxfId="412"/>
      <tableStyleElement type="headerRow" dxfId="415"/>
      <tableStyleElement type="firstRowStripe" dxfId="414"/>
      <tableStyleElement type="secondRowStripe" dxfId="413"/>
    </tableStyle>
    <tableStyle name="FTP vs Dwagon | Adentus | 10152-style 8" pivot="0" count="4" xr9:uid="{00000000-0011-0000-FFFF-FFFFD6010000}">
      <tableStyleElement type="wholeTable" size="0" dxfId="408"/>
      <tableStyleElement type="headerRow" dxfId="411"/>
      <tableStyleElement type="firstRowStripe" dxfId="410"/>
      <tableStyleElement type="secondRowStripe" dxfId="409"/>
    </tableStyle>
    <tableStyle name="FTP vs Dwagon | Adentus | 10152-style 9" pivot="0" count="4" xr9:uid="{00000000-0011-0000-FFFF-FFFFD7010000}">
      <tableStyleElement type="wholeTable" size="0" dxfId="404"/>
      <tableStyleElement type="headerRow" dxfId="407"/>
      <tableStyleElement type="firstRowStripe" dxfId="406"/>
      <tableStyleElement type="secondRowStripe" dxfId="405"/>
    </tableStyle>
    <tableStyle name="FTP vs Dwagon | Adentus | 10152-style 10" pivot="0" count="4" xr9:uid="{00000000-0011-0000-FFFF-FFFFD8010000}">
      <tableStyleElement type="wholeTable" size="0" dxfId="400"/>
      <tableStyleElement type="headerRow" dxfId="403"/>
      <tableStyleElement type="firstRowStripe" dxfId="402"/>
      <tableStyleElement type="secondRowStripe" dxfId="401"/>
    </tableStyle>
    <tableStyle name="FTP vs Infwamy | Adentus | 1001-style" pivot="0" count="4" xr9:uid="{00000000-0011-0000-FFFF-FFFFD9010000}">
      <tableStyleElement type="wholeTable" size="0" dxfId="396"/>
      <tableStyleElement type="headerRow" dxfId="399"/>
      <tableStyleElement type="firstRowStripe" dxfId="398"/>
      <tableStyleElement type="secondRowStripe" dxfId="397"/>
    </tableStyle>
    <tableStyle name="FTP vs Infwamy | Adentus | 1001-style 2" pivot="0" count="4" xr9:uid="{00000000-0011-0000-FFFF-FFFFDA010000}">
      <tableStyleElement type="wholeTable" size="0" dxfId="392"/>
      <tableStyleElement type="headerRow" dxfId="395"/>
      <tableStyleElement type="firstRowStripe" dxfId="394"/>
      <tableStyleElement type="secondRowStripe" dxfId="393"/>
    </tableStyle>
    <tableStyle name="FTP vs Infwamy | Adentus | 1001-style 3" pivot="0" count="4" xr9:uid="{00000000-0011-0000-FFFF-FFFFDB010000}">
      <tableStyleElement type="wholeTable" size="0" dxfId="388"/>
      <tableStyleElement type="headerRow" dxfId="391"/>
      <tableStyleElement type="firstRowStripe" dxfId="390"/>
      <tableStyleElement type="secondRowStripe" dxfId="389"/>
    </tableStyle>
    <tableStyle name="FTP vs Infwamy | Adentus | 1001-style 4" pivot="0" count="4" xr9:uid="{00000000-0011-0000-FFFF-FFFFDC010000}">
      <tableStyleElement type="wholeTable" size="0" dxfId="384"/>
      <tableStyleElement type="headerRow" dxfId="387"/>
      <tableStyleElement type="firstRowStripe" dxfId="386"/>
      <tableStyleElement type="secondRowStripe" dxfId="385"/>
    </tableStyle>
    <tableStyle name="FTP vs Infwamy | Adentus | 1001-style 5" pivot="0" count="4" xr9:uid="{00000000-0011-0000-FFFF-FFFFDD010000}">
      <tableStyleElement type="wholeTable" size="0" dxfId="380"/>
      <tableStyleElement type="headerRow" dxfId="383"/>
      <tableStyleElement type="firstRowStripe" dxfId="382"/>
      <tableStyleElement type="secondRowStripe" dxfId="381"/>
    </tableStyle>
    <tableStyle name="FTP vs Infwamy | Adentus | 1001-style 6" pivot="0" count="4" xr9:uid="{00000000-0011-0000-FFFF-FFFFDE010000}">
      <tableStyleElement type="wholeTable" size="0" dxfId="376"/>
      <tableStyleElement type="headerRow" dxfId="379"/>
      <tableStyleElement type="firstRowStripe" dxfId="378"/>
      <tableStyleElement type="secondRowStripe" dxfId="377"/>
    </tableStyle>
    <tableStyle name="FTP vs Infwamy | Adentus | 1001-style 7" pivot="0" count="4" xr9:uid="{00000000-0011-0000-FFFF-FFFFDF010000}">
      <tableStyleElement type="wholeTable" size="0" dxfId="372"/>
      <tableStyleElement type="headerRow" dxfId="375"/>
      <tableStyleElement type="firstRowStripe" dxfId="374"/>
      <tableStyleElement type="secondRowStripe" dxfId="373"/>
    </tableStyle>
    <tableStyle name="FTP vs Infwamy | Adentus | 1001-style 8" pivot="0" count="4" xr9:uid="{00000000-0011-0000-FFFF-FFFFE0010000}">
      <tableStyleElement type="wholeTable" size="0" dxfId="368"/>
      <tableStyleElement type="headerRow" dxfId="371"/>
      <tableStyleElement type="firstRowStripe" dxfId="370"/>
      <tableStyleElement type="secondRowStripe" dxfId="369"/>
    </tableStyle>
    <tableStyle name="FTP vs Infwamy | Adentus | 1001-style 9" pivot="0" count="4" xr9:uid="{00000000-0011-0000-FFFF-FFFFE1010000}">
      <tableStyleElement type="wholeTable" size="0" dxfId="364"/>
      <tableStyleElement type="headerRow" dxfId="367"/>
      <tableStyleElement type="firstRowStripe" dxfId="366"/>
      <tableStyleElement type="secondRowStripe" dxfId="365"/>
    </tableStyle>
    <tableStyle name="FTP vs Infwamy | Adentus | 1001-style 10" pivot="0" count="4" xr9:uid="{00000000-0011-0000-FFFF-FFFFE2010000}">
      <tableStyleElement type="wholeTable" size="0" dxfId="360"/>
      <tableStyleElement type="headerRow" dxfId="363"/>
      <tableStyleElement type="firstRowStripe" dxfId="362"/>
      <tableStyleElement type="secondRowStripe" dxfId="361"/>
    </tableStyle>
    <tableStyle name="FTP vs Infwamy | Azh | 100125-style" pivot="0" count="4" xr9:uid="{00000000-0011-0000-FFFF-FFFFE3010000}">
      <tableStyleElement type="wholeTable" size="0" dxfId="356"/>
      <tableStyleElement type="headerRow" dxfId="359"/>
      <tableStyleElement type="firstRowStripe" dxfId="358"/>
      <tableStyleElement type="secondRowStripe" dxfId="357"/>
    </tableStyle>
    <tableStyle name="FTP vs Infwamy | Azh | 100125-style 2" pivot="0" count="4" xr9:uid="{00000000-0011-0000-FFFF-FFFFE4010000}">
      <tableStyleElement type="wholeTable" size="0" dxfId="352"/>
      <tableStyleElement type="headerRow" dxfId="355"/>
      <tableStyleElement type="firstRowStripe" dxfId="354"/>
      <tableStyleElement type="secondRowStripe" dxfId="353"/>
    </tableStyle>
    <tableStyle name="FTP vs Infwamy | Azh | 100125-style 3" pivot="0" count="4" xr9:uid="{00000000-0011-0000-FFFF-FFFFE5010000}">
      <tableStyleElement type="wholeTable" size="0" dxfId="348"/>
      <tableStyleElement type="headerRow" dxfId="351"/>
      <tableStyleElement type="firstRowStripe" dxfId="350"/>
      <tableStyleElement type="secondRowStripe" dxfId="349"/>
    </tableStyle>
    <tableStyle name="FTP vs Infwamy | Azh | 100125-style 4" pivot="0" count="4" xr9:uid="{00000000-0011-0000-FFFF-FFFFE6010000}">
      <tableStyleElement type="wholeTable" size="0" dxfId="344"/>
      <tableStyleElement type="headerRow" dxfId="347"/>
      <tableStyleElement type="firstRowStripe" dxfId="346"/>
      <tableStyleElement type="secondRowStripe" dxfId="345"/>
    </tableStyle>
    <tableStyle name="FTP vs Infwamy | Azh | 100125-style 5" pivot="0" count="4" xr9:uid="{00000000-0011-0000-FFFF-FFFFE7010000}">
      <tableStyleElement type="wholeTable" size="0" dxfId="340"/>
      <tableStyleElement type="headerRow" dxfId="343"/>
      <tableStyleElement type="firstRowStripe" dxfId="342"/>
      <tableStyleElement type="secondRowStripe" dxfId="341"/>
    </tableStyle>
    <tableStyle name="FTP vs Infwamy | Azh | 100125-style 6" pivot="0" count="4" xr9:uid="{00000000-0011-0000-FFFF-FFFFE8010000}">
      <tableStyleElement type="wholeTable" size="0" dxfId="336"/>
      <tableStyleElement type="headerRow" dxfId="339"/>
      <tableStyleElement type="firstRowStripe" dxfId="338"/>
      <tableStyleElement type="secondRowStripe" dxfId="337"/>
    </tableStyle>
    <tableStyle name="FTP vs Infwamy | Azh | 100125-style 7" pivot="0" count="4" xr9:uid="{00000000-0011-0000-FFFF-FFFFE9010000}">
      <tableStyleElement type="wholeTable" size="0" dxfId="332"/>
      <tableStyleElement type="headerRow" dxfId="335"/>
      <tableStyleElement type="firstRowStripe" dxfId="334"/>
      <tableStyleElement type="secondRowStripe" dxfId="333"/>
    </tableStyle>
    <tableStyle name="FTP vs Infwamy | Azh | 100125-style 8" pivot="0" count="4" xr9:uid="{00000000-0011-0000-FFFF-FFFFEA010000}">
      <tableStyleElement type="wholeTable" size="0" dxfId="328"/>
      <tableStyleElement type="headerRow" dxfId="331"/>
      <tableStyleElement type="firstRowStripe" dxfId="330"/>
      <tableStyleElement type="secondRowStripe" dxfId="329"/>
    </tableStyle>
    <tableStyle name="FTP vs Infwamy | Azh | 100125-style 9" pivot="0" count="4" xr9:uid="{00000000-0011-0000-FFFF-FFFFEB010000}">
      <tableStyleElement type="wholeTable" size="0" dxfId="324"/>
      <tableStyleElement type="headerRow" dxfId="327"/>
      <tableStyleElement type="firstRowStripe" dxfId="326"/>
      <tableStyleElement type="secondRowStripe" dxfId="325"/>
    </tableStyle>
    <tableStyle name="FTP vs Infwamy | Azh | 100125-style 10" pivot="0" count="4" xr9:uid="{00000000-0011-0000-FFFF-FFFFEC010000}">
      <tableStyleElement type="wholeTable" size="0" dxfId="320"/>
      <tableStyleElement type="headerRow" dxfId="323"/>
      <tableStyleElement type="firstRowStripe" dxfId="322"/>
      <tableStyleElement type="secondRowStripe" dxfId="321"/>
    </tableStyle>
    <tableStyle name="FTP vs Blank | Morokai | 093025-style" pivot="0" count="4" xr9:uid="{00000000-0011-0000-FFFF-FFFFED010000}">
      <tableStyleElement type="wholeTable" size="0" dxfId="316"/>
      <tableStyleElement type="headerRow" dxfId="319"/>
      <tableStyleElement type="firstRowStripe" dxfId="318"/>
      <tableStyleElement type="secondRowStripe" dxfId="317"/>
    </tableStyle>
    <tableStyle name="FTP vs Blank | Morokai | 093025-style 2" pivot="0" count="4" xr9:uid="{00000000-0011-0000-FFFF-FFFFEE010000}">
      <tableStyleElement type="wholeTable" size="0" dxfId="312"/>
      <tableStyleElement type="headerRow" dxfId="315"/>
      <tableStyleElement type="firstRowStripe" dxfId="314"/>
      <tableStyleElement type="secondRowStripe" dxfId="313"/>
    </tableStyle>
    <tableStyle name="FTP vs Blank | Morokai | 093025-style 3" pivot="0" count="4" xr9:uid="{00000000-0011-0000-FFFF-FFFFEF010000}">
      <tableStyleElement type="wholeTable" size="0" dxfId="308"/>
      <tableStyleElement type="headerRow" dxfId="311"/>
      <tableStyleElement type="firstRowStripe" dxfId="310"/>
      <tableStyleElement type="secondRowStripe" dxfId="309"/>
    </tableStyle>
    <tableStyle name="FTP vs Blank | Morokai | 093025-style 4" pivot="0" count="4" xr9:uid="{00000000-0011-0000-FFFF-FFFFF0010000}">
      <tableStyleElement type="wholeTable" size="0" dxfId="304"/>
      <tableStyleElement type="headerRow" dxfId="307"/>
      <tableStyleElement type="firstRowStripe" dxfId="306"/>
      <tableStyleElement type="secondRowStripe" dxfId="305"/>
    </tableStyle>
    <tableStyle name="FTP vs Blank | Morokai | 093025-style 5" pivot="0" count="4" xr9:uid="{00000000-0011-0000-FFFF-FFFFF1010000}">
      <tableStyleElement type="wholeTable" size="0" dxfId="300"/>
      <tableStyleElement type="headerRow" dxfId="303"/>
      <tableStyleElement type="firstRowStripe" dxfId="302"/>
      <tableStyleElement type="secondRowStripe" dxfId="301"/>
    </tableStyle>
    <tableStyle name="FTP vs Blank | Morokai | 093025-style 6" pivot="0" count="4" xr9:uid="{00000000-0011-0000-FFFF-FFFFF2010000}">
      <tableStyleElement type="wholeTable" size="0" dxfId="296"/>
      <tableStyleElement type="headerRow" dxfId="299"/>
      <tableStyleElement type="firstRowStripe" dxfId="298"/>
      <tableStyleElement type="secondRowStripe" dxfId="297"/>
    </tableStyle>
    <tableStyle name="FTP vs Blank | Morokai | 093025-style 7" pivot="0" count="4" xr9:uid="{00000000-0011-0000-FFFF-FFFFF3010000}">
      <tableStyleElement type="wholeTable" size="0" dxfId="292"/>
      <tableStyleElement type="headerRow" dxfId="295"/>
      <tableStyleElement type="firstRowStripe" dxfId="294"/>
      <tableStyleElement type="secondRowStripe" dxfId="293"/>
    </tableStyle>
    <tableStyle name="FTP vs Blank | Morokai | 093025-style 8" pivot="0" count="4" xr9:uid="{00000000-0011-0000-FFFF-FFFFF4010000}">
      <tableStyleElement type="wholeTable" size="0" dxfId="288"/>
      <tableStyleElement type="headerRow" dxfId="291"/>
      <tableStyleElement type="firstRowStripe" dxfId="290"/>
      <tableStyleElement type="secondRowStripe" dxfId="289"/>
    </tableStyle>
    <tableStyle name="FTP vs Blank | Morokai | 093025-style 9" pivot="0" count="4" xr9:uid="{00000000-0011-0000-FFFF-FFFFF5010000}">
      <tableStyleElement type="wholeTable" size="0" dxfId="284"/>
      <tableStyleElement type="headerRow" dxfId="287"/>
      <tableStyleElement type="firstRowStripe" dxfId="286"/>
      <tableStyleElement type="secondRowStripe" dxfId="285"/>
    </tableStyle>
    <tableStyle name="FTP vs Blank | Morokai | 093025-style 10" pivot="0" count="4" xr9:uid="{00000000-0011-0000-FFFF-FFFFF6010000}">
      <tableStyleElement type="wholeTable" size="0" dxfId="280"/>
      <tableStyleElement type="headerRow" dxfId="283"/>
      <tableStyleElement type="firstRowStripe" dxfId="282"/>
      <tableStyleElement type="secondRowStripe" dxfId="281"/>
    </tableStyle>
    <tableStyle name="FTP vs Blank | Talus | 093025-style" pivot="0" count="4" xr9:uid="{00000000-0011-0000-FFFF-FFFFF7010000}">
      <tableStyleElement type="wholeTable" size="0" dxfId="276"/>
      <tableStyleElement type="headerRow" dxfId="279"/>
      <tableStyleElement type="firstRowStripe" dxfId="278"/>
      <tableStyleElement type="secondRowStripe" dxfId="277"/>
    </tableStyle>
    <tableStyle name="FTP vs Blank | Talus | 093025-style 2" pivot="0" count="4" xr9:uid="{00000000-0011-0000-FFFF-FFFFF8010000}">
      <tableStyleElement type="wholeTable" size="0" dxfId="272"/>
      <tableStyleElement type="headerRow" dxfId="275"/>
      <tableStyleElement type="firstRowStripe" dxfId="274"/>
      <tableStyleElement type="secondRowStripe" dxfId="273"/>
    </tableStyle>
    <tableStyle name="FTP vs Blank | Talus | 093025-style 3" pivot="0" count="4" xr9:uid="{00000000-0011-0000-FFFF-FFFFF9010000}">
      <tableStyleElement type="wholeTable" size="0" dxfId="268"/>
      <tableStyleElement type="headerRow" dxfId="271"/>
      <tableStyleElement type="firstRowStripe" dxfId="270"/>
      <tableStyleElement type="secondRowStripe" dxfId="269"/>
    </tableStyle>
    <tableStyle name="FTP vs Blank | Talus | 093025-style 4" pivot="0" count="4" xr9:uid="{00000000-0011-0000-FFFF-FFFFFA010000}">
      <tableStyleElement type="wholeTable" size="0" dxfId="264"/>
      <tableStyleElement type="headerRow" dxfId="267"/>
      <tableStyleElement type="firstRowStripe" dxfId="266"/>
      <tableStyleElement type="secondRowStripe" dxfId="265"/>
    </tableStyle>
    <tableStyle name="FTP vs Blank | Talus | 093025-style 5" pivot="0" count="4" xr9:uid="{00000000-0011-0000-FFFF-FFFFFB010000}">
      <tableStyleElement type="wholeTable" size="0" dxfId="260"/>
      <tableStyleElement type="headerRow" dxfId="263"/>
      <tableStyleElement type="firstRowStripe" dxfId="262"/>
      <tableStyleElement type="secondRowStripe" dxfId="261"/>
    </tableStyle>
    <tableStyle name="FTP vs Blank | Talus | 093025-style 6" pivot="0" count="4" xr9:uid="{00000000-0011-0000-FFFF-FFFFFC010000}">
      <tableStyleElement type="wholeTable" size="0" dxfId="256"/>
      <tableStyleElement type="headerRow" dxfId="259"/>
      <tableStyleElement type="firstRowStripe" dxfId="258"/>
      <tableStyleElement type="secondRowStripe" dxfId="257"/>
    </tableStyle>
    <tableStyle name="FTP vs Blank | Talus | 093025-style 7" pivot="0" count="4" xr9:uid="{00000000-0011-0000-FFFF-FFFFFD010000}">
      <tableStyleElement type="wholeTable" size="0" dxfId="252"/>
      <tableStyleElement type="headerRow" dxfId="255"/>
      <tableStyleElement type="firstRowStripe" dxfId="254"/>
      <tableStyleElement type="secondRowStripe" dxfId="253"/>
    </tableStyle>
    <tableStyle name="FTP vs Blank | Talus | 093025-style 8" pivot="0" count="4" xr9:uid="{00000000-0011-0000-FFFF-FFFFFE010000}">
      <tableStyleElement type="wholeTable" size="0" dxfId="248"/>
      <tableStyleElement type="headerRow" dxfId="251"/>
      <tableStyleElement type="firstRowStripe" dxfId="250"/>
      <tableStyleElement type="secondRowStripe" dxfId="249"/>
    </tableStyle>
    <tableStyle name="FTP vs Blank | Talus | 093025-style 9" pivot="0" count="4" xr9:uid="{00000000-0011-0000-FFFF-FFFFFF010000}">
      <tableStyleElement type="wholeTable" size="0" dxfId="244"/>
      <tableStyleElement type="headerRow" dxfId="247"/>
      <tableStyleElement type="firstRowStripe" dxfId="246"/>
      <tableStyleElement type="secondRowStripe" dxfId="245"/>
    </tableStyle>
    <tableStyle name="FTP vs Blank | Talus | 093025-style 10" pivot="0" count="4" xr9:uid="{00000000-0011-0000-FFFF-FFFF00020000}">
      <tableStyleElement type="wholeTable" size="0" dxfId="240"/>
      <tableStyleElement type="headerRow" dxfId="243"/>
      <tableStyleElement type="firstRowStripe" dxfId="242"/>
      <tableStyleElement type="secondRowStripe" dxfId="241"/>
    </tableStyle>
    <tableStyle name="FTP vs Blank | Kowa | 092125-style" pivot="0" count="4" xr9:uid="{00000000-0011-0000-FFFF-FFFF01020000}">
      <tableStyleElement type="wholeTable" size="0" dxfId="236"/>
      <tableStyleElement type="headerRow" dxfId="239"/>
      <tableStyleElement type="firstRowStripe" dxfId="238"/>
      <tableStyleElement type="secondRowStripe" dxfId="237"/>
    </tableStyle>
    <tableStyle name="FTP vs Blank | Kowa | 092125-style 2" pivot="0" count="4" xr9:uid="{00000000-0011-0000-FFFF-FFFF02020000}">
      <tableStyleElement type="wholeTable" size="0" dxfId="232"/>
      <tableStyleElement type="headerRow" dxfId="235"/>
      <tableStyleElement type="firstRowStripe" dxfId="234"/>
      <tableStyleElement type="secondRowStripe" dxfId="233"/>
    </tableStyle>
    <tableStyle name="FTP vs Blank | Kowa | 092125-style 3" pivot="0" count="4" xr9:uid="{00000000-0011-0000-FFFF-FFFF03020000}">
      <tableStyleElement type="wholeTable" size="0" dxfId="228"/>
      <tableStyleElement type="headerRow" dxfId="231"/>
      <tableStyleElement type="firstRowStripe" dxfId="230"/>
      <tableStyleElement type="secondRowStripe" dxfId="229"/>
    </tableStyle>
    <tableStyle name="FTP vs Blank | Kowa | 092125-style 4" pivot="0" count="4" xr9:uid="{00000000-0011-0000-FFFF-FFFF04020000}">
      <tableStyleElement type="wholeTable" size="0" dxfId="224"/>
      <tableStyleElement type="headerRow" dxfId="227"/>
      <tableStyleElement type="firstRowStripe" dxfId="226"/>
      <tableStyleElement type="secondRowStripe" dxfId="225"/>
    </tableStyle>
    <tableStyle name="FTP vs Blank | Kowa | 092125-style 5" pivot="0" count="4" xr9:uid="{00000000-0011-0000-FFFF-FFFF05020000}">
      <tableStyleElement type="wholeTable" size="0" dxfId="220"/>
      <tableStyleElement type="headerRow" dxfId="223"/>
      <tableStyleElement type="firstRowStripe" dxfId="222"/>
      <tableStyleElement type="secondRowStripe" dxfId="221"/>
    </tableStyle>
    <tableStyle name="FTP vs Blank | Kowa | 092125-style 6" pivot="0" count="4" xr9:uid="{00000000-0011-0000-FFFF-FFFF06020000}">
      <tableStyleElement type="wholeTable" size="0" dxfId="216"/>
      <tableStyleElement type="headerRow" dxfId="219"/>
      <tableStyleElement type="firstRowStripe" dxfId="218"/>
      <tableStyleElement type="secondRowStripe" dxfId="217"/>
    </tableStyle>
    <tableStyle name="FTP vs Blank | Kowa | 092125-style 7" pivot="0" count="4" xr9:uid="{00000000-0011-0000-FFFF-FFFF07020000}">
      <tableStyleElement type="wholeTable" size="0" dxfId="212"/>
      <tableStyleElement type="headerRow" dxfId="215"/>
      <tableStyleElement type="firstRowStripe" dxfId="214"/>
      <tableStyleElement type="secondRowStripe" dxfId="213"/>
    </tableStyle>
    <tableStyle name="FTP vs Blank | Kowa | 092125-style 8" pivot="0" count="4" xr9:uid="{00000000-0011-0000-FFFF-FFFF08020000}">
      <tableStyleElement type="wholeTable" size="0" dxfId="208"/>
      <tableStyleElement type="headerRow" dxfId="211"/>
      <tableStyleElement type="firstRowStripe" dxfId="210"/>
      <tableStyleElement type="secondRowStripe" dxfId="209"/>
    </tableStyle>
    <tableStyle name="FTP vs Blank | Kowa | 092125-style 9" pivot="0" count="4" xr9:uid="{00000000-0011-0000-FFFF-FFFF09020000}">
      <tableStyleElement type="wholeTable" size="0" dxfId="204"/>
      <tableStyleElement type="headerRow" dxfId="207"/>
      <tableStyleElement type="firstRowStripe" dxfId="206"/>
      <tableStyleElement type="secondRowStripe" dxfId="205"/>
    </tableStyle>
    <tableStyle name="FTP vs Blank | Kowa | 092125-style 10" pivot="0" count="4" xr9:uid="{00000000-0011-0000-FFFF-FFFF0A020000}">
      <tableStyleElement type="wholeTable" size="0" dxfId="200"/>
      <tableStyleElement type="headerRow" dxfId="203"/>
      <tableStyleElement type="firstRowStripe" dxfId="202"/>
      <tableStyleElement type="secondRowStripe" dxfId="201"/>
    </tableStyle>
    <tableStyle name="FTP vs Blank | Azh | 092125-style" pivot="0" count="4" xr9:uid="{00000000-0011-0000-FFFF-FFFF0B020000}">
      <tableStyleElement type="wholeTable" size="0" dxfId="196"/>
      <tableStyleElement type="headerRow" dxfId="199"/>
      <tableStyleElement type="firstRowStripe" dxfId="198"/>
      <tableStyleElement type="secondRowStripe" dxfId="197"/>
    </tableStyle>
    <tableStyle name="FTP vs Blank | Azh | 092125-style 2" pivot="0" count="4" xr9:uid="{00000000-0011-0000-FFFF-FFFF0C020000}">
      <tableStyleElement type="wholeTable" size="0" dxfId="192"/>
      <tableStyleElement type="headerRow" dxfId="195"/>
      <tableStyleElement type="firstRowStripe" dxfId="194"/>
      <tableStyleElement type="secondRowStripe" dxfId="193"/>
    </tableStyle>
    <tableStyle name="FTP vs Blank | Azh | 092125-style 3" pivot="0" count="4" xr9:uid="{00000000-0011-0000-FFFF-FFFF0D020000}">
      <tableStyleElement type="wholeTable" size="0" dxfId="188"/>
      <tableStyleElement type="headerRow" dxfId="191"/>
      <tableStyleElement type="firstRowStripe" dxfId="190"/>
      <tableStyleElement type="secondRowStripe" dxfId="189"/>
    </tableStyle>
    <tableStyle name="FTP vs Blank | Azh | 092125-style 4" pivot="0" count="4" xr9:uid="{00000000-0011-0000-FFFF-FFFF0E020000}">
      <tableStyleElement type="wholeTable" size="0" dxfId="184"/>
      <tableStyleElement type="headerRow" dxfId="187"/>
      <tableStyleElement type="firstRowStripe" dxfId="186"/>
      <tableStyleElement type="secondRowStripe" dxfId="185"/>
    </tableStyle>
    <tableStyle name="FTP vs Blank | Azh | 092125-style 5" pivot="0" count="4" xr9:uid="{00000000-0011-0000-FFFF-FFFF0F020000}">
      <tableStyleElement type="wholeTable" size="0" dxfId="180"/>
      <tableStyleElement type="headerRow" dxfId="183"/>
      <tableStyleElement type="firstRowStripe" dxfId="182"/>
      <tableStyleElement type="secondRowStripe" dxfId="181"/>
    </tableStyle>
    <tableStyle name="FTP vs Blank | Azh | 092125-style 6" pivot="0" count="4" xr9:uid="{00000000-0011-0000-FFFF-FFFF10020000}">
      <tableStyleElement type="wholeTable" size="0" dxfId="176"/>
      <tableStyleElement type="headerRow" dxfId="179"/>
      <tableStyleElement type="firstRowStripe" dxfId="178"/>
      <tableStyleElement type="secondRowStripe" dxfId="177"/>
    </tableStyle>
    <tableStyle name="FTP vs Blank | Azh | 092125-style 7" pivot="0" count="4" xr9:uid="{00000000-0011-0000-FFFF-FFFF11020000}">
      <tableStyleElement type="wholeTable" size="0" dxfId="172"/>
      <tableStyleElement type="headerRow" dxfId="175"/>
      <tableStyleElement type="firstRowStripe" dxfId="174"/>
      <tableStyleElement type="secondRowStripe" dxfId="173"/>
    </tableStyle>
    <tableStyle name="FTP vs Blank | Azh | 092125-style 8" pivot="0" count="4" xr9:uid="{00000000-0011-0000-FFFF-FFFF12020000}">
      <tableStyleElement type="wholeTable" size="0" dxfId="168"/>
      <tableStyleElement type="headerRow" dxfId="171"/>
      <tableStyleElement type="firstRowStripe" dxfId="170"/>
      <tableStyleElement type="secondRowStripe" dxfId="169"/>
    </tableStyle>
    <tableStyle name="FTP vs Blank | Azh | 092125-style 9" pivot="0" count="4" xr9:uid="{00000000-0011-0000-FFFF-FFFF13020000}">
      <tableStyleElement type="wholeTable" size="0" dxfId="164"/>
      <tableStyleElement type="headerRow" dxfId="167"/>
      <tableStyleElement type="firstRowStripe" dxfId="166"/>
      <tableStyleElement type="secondRowStripe" dxfId="165"/>
    </tableStyle>
    <tableStyle name="FTP vs Blank | Azh | 092125-style 10" pivot="0" count="4" xr9:uid="{00000000-0011-0000-FFFF-FFFF14020000}">
      <tableStyleElement type="wholeTable" size="0" dxfId="160"/>
      <tableStyleElement type="headerRow" dxfId="163"/>
      <tableStyleElement type="firstRowStripe" dxfId="162"/>
      <tableStyleElement type="secondRowStripe" dxfId="161"/>
    </tableStyle>
    <tableStyle name="FTP vs Wolves | Talus | 091525-style" pivot="0" count="4" xr9:uid="{00000000-0011-0000-FFFF-FFFF15020000}">
      <tableStyleElement type="wholeTable" size="0" dxfId="156"/>
      <tableStyleElement type="headerRow" dxfId="159"/>
      <tableStyleElement type="firstRowStripe" dxfId="158"/>
      <tableStyleElement type="secondRowStripe" dxfId="157"/>
    </tableStyle>
    <tableStyle name="FTP vs Wolves | Talus | 091525-style 2" pivot="0" count="4" xr9:uid="{00000000-0011-0000-FFFF-FFFF16020000}">
      <tableStyleElement type="wholeTable" size="0" dxfId="152"/>
      <tableStyleElement type="headerRow" dxfId="155"/>
      <tableStyleElement type="firstRowStripe" dxfId="154"/>
      <tableStyleElement type="secondRowStripe" dxfId="153"/>
    </tableStyle>
    <tableStyle name="FTP vs Wolves | Talus | 091525-style 3" pivot="0" count="4" xr9:uid="{00000000-0011-0000-FFFF-FFFF17020000}">
      <tableStyleElement type="wholeTable" size="0" dxfId="148"/>
      <tableStyleElement type="headerRow" dxfId="151"/>
      <tableStyleElement type="firstRowStripe" dxfId="150"/>
      <tableStyleElement type="secondRowStripe" dxfId="149"/>
    </tableStyle>
    <tableStyle name="FTP vs Wolves | Talus | 091525-style 4" pivot="0" count="4" xr9:uid="{00000000-0011-0000-FFFF-FFFF18020000}">
      <tableStyleElement type="wholeTable" size="0" dxfId="144"/>
      <tableStyleElement type="headerRow" dxfId="147"/>
      <tableStyleElement type="firstRowStripe" dxfId="146"/>
      <tableStyleElement type="secondRowStripe" dxfId="145"/>
    </tableStyle>
    <tableStyle name="FTP vs Wolves | Talus | 091525-style 5" pivot="0" count="4" xr9:uid="{00000000-0011-0000-FFFF-FFFF19020000}">
      <tableStyleElement type="wholeTable" size="0" dxfId="140"/>
      <tableStyleElement type="headerRow" dxfId="143"/>
      <tableStyleElement type="firstRowStripe" dxfId="142"/>
      <tableStyleElement type="secondRowStripe" dxfId="141"/>
    </tableStyle>
    <tableStyle name="FTP vs Wolves | Talus | 091525-style 6" pivot="0" count="4" xr9:uid="{00000000-0011-0000-FFFF-FFFF1A020000}">
      <tableStyleElement type="wholeTable" size="0" dxfId="136"/>
      <tableStyleElement type="headerRow" dxfId="139"/>
      <tableStyleElement type="firstRowStripe" dxfId="138"/>
      <tableStyleElement type="secondRowStripe" dxfId="137"/>
    </tableStyle>
    <tableStyle name="FTP vs Wolves | Talus | 091525-style 7" pivot="0" count="4" xr9:uid="{00000000-0011-0000-FFFF-FFFF1B020000}">
      <tableStyleElement type="wholeTable" size="0" dxfId="132"/>
      <tableStyleElement type="headerRow" dxfId="135"/>
      <tableStyleElement type="firstRowStripe" dxfId="134"/>
      <tableStyleElement type="secondRowStripe" dxfId="133"/>
    </tableStyle>
    <tableStyle name="FTP vs Wolves | Talus | 091525-style 8" pivot="0" count="4" xr9:uid="{00000000-0011-0000-FFFF-FFFF1C020000}">
      <tableStyleElement type="wholeTable" size="0" dxfId="128"/>
      <tableStyleElement type="headerRow" dxfId="131"/>
      <tableStyleElement type="firstRowStripe" dxfId="130"/>
      <tableStyleElement type="secondRowStripe" dxfId="129"/>
    </tableStyle>
    <tableStyle name="FTP vs Wolves | Talus | 091525-style 9" pivot="0" count="4" xr9:uid="{00000000-0011-0000-FFFF-FFFF1D020000}">
      <tableStyleElement type="wholeTable" size="0" dxfId="124"/>
      <tableStyleElement type="headerRow" dxfId="127"/>
      <tableStyleElement type="firstRowStripe" dxfId="126"/>
      <tableStyleElement type="secondRowStripe" dxfId="125"/>
    </tableStyle>
    <tableStyle name="FTP vs Wolves | Talus | 091525-style 10" pivot="0" count="4" xr9:uid="{00000000-0011-0000-FFFF-FFFF1E020000}">
      <tableStyleElement type="wholeTable" size="0" dxfId="120"/>
      <tableStyleElement type="headerRow" dxfId="123"/>
      <tableStyleElement type="firstRowStripe" dxfId="122"/>
      <tableStyleElement type="secondRowStripe" dxfId="121"/>
    </tableStyle>
    <tableStyle name="FTP vs Wolves | Kowa | 091525-style" pivot="0" count="4" xr9:uid="{00000000-0011-0000-FFFF-FFFF1F020000}">
      <tableStyleElement type="wholeTable" size="0" dxfId="116"/>
      <tableStyleElement type="headerRow" dxfId="119"/>
      <tableStyleElement type="firstRowStripe" dxfId="118"/>
      <tableStyleElement type="secondRowStripe" dxfId="117"/>
    </tableStyle>
    <tableStyle name="FTP vs Wolves | Kowa | 091525-style 2" pivot="0" count="4" xr9:uid="{00000000-0011-0000-FFFF-FFFF20020000}">
      <tableStyleElement type="wholeTable" size="0" dxfId="112"/>
      <tableStyleElement type="headerRow" dxfId="115"/>
      <tableStyleElement type="firstRowStripe" dxfId="114"/>
      <tableStyleElement type="secondRowStripe" dxfId="113"/>
    </tableStyle>
    <tableStyle name="FTP vs Wolves | Kowa | 091525-style 3" pivot="0" count="4" xr9:uid="{00000000-0011-0000-FFFF-FFFF21020000}">
      <tableStyleElement type="wholeTable" size="0" dxfId="108"/>
      <tableStyleElement type="headerRow" dxfId="111"/>
      <tableStyleElement type="firstRowStripe" dxfId="110"/>
      <tableStyleElement type="secondRowStripe" dxfId="109"/>
    </tableStyle>
    <tableStyle name="FTP vs Wolves | Kowa | 091525-style 4" pivot="0" count="4" xr9:uid="{00000000-0011-0000-FFFF-FFFF22020000}">
      <tableStyleElement type="wholeTable" size="0" dxfId="104"/>
      <tableStyleElement type="headerRow" dxfId="107"/>
      <tableStyleElement type="firstRowStripe" dxfId="106"/>
      <tableStyleElement type="secondRowStripe" dxfId="105"/>
    </tableStyle>
    <tableStyle name="FTP vs Wolves | Kowa | 091525-style 5" pivot="0" count="4" xr9:uid="{00000000-0011-0000-FFFF-FFFF23020000}">
      <tableStyleElement type="wholeTable" size="0" dxfId="100"/>
      <tableStyleElement type="headerRow" dxfId="103"/>
      <tableStyleElement type="firstRowStripe" dxfId="102"/>
      <tableStyleElement type="secondRowStripe" dxfId="101"/>
    </tableStyle>
    <tableStyle name="FTP vs Wolves | Kowa | 091525-style 6" pivot="0" count="4" xr9:uid="{00000000-0011-0000-FFFF-FFFF24020000}">
      <tableStyleElement type="wholeTable" size="0" dxfId="96"/>
      <tableStyleElement type="headerRow" dxfId="99"/>
      <tableStyleElement type="firstRowStripe" dxfId="98"/>
      <tableStyleElement type="secondRowStripe" dxfId="97"/>
    </tableStyle>
    <tableStyle name="FTP vs Wolves | Kowa | 091525-style 7" pivot="0" count="4" xr9:uid="{00000000-0011-0000-FFFF-FFFF25020000}">
      <tableStyleElement type="wholeTable" size="0" dxfId="92"/>
      <tableStyleElement type="headerRow" dxfId="95"/>
      <tableStyleElement type="firstRowStripe" dxfId="94"/>
      <tableStyleElement type="secondRowStripe" dxfId="93"/>
    </tableStyle>
    <tableStyle name="FTP vs Wolves | Kowa | 091525-style 8" pivot="0" count="4" xr9:uid="{00000000-0011-0000-FFFF-FFFF26020000}">
      <tableStyleElement type="wholeTable" size="0" dxfId="88"/>
      <tableStyleElement type="headerRow" dxfId="91"/>
      <tableStyleElement type="firstRowStripe" dxfId="90"/>
      <tableStyleElement type="secondRowStripe" dxfId="89"/>
    </tableStyle>
    <tableStyle name="FTP vs Wolves | Kowa | 091525-style 9" pivot="0" count="4" xr9:uid="{00000000-0011-0000-FFFF-FFFF27020000}">
      <tableStyleElement type="wholeTable" size="0" dxfId="84"/>
      <tableStyleElement type="headerRow" dxfId="87"/>
      <tableStyleElement type="firstRowStripe" dxfId="86"/>
      <tableStyleElement type="secondRowStripe" dxfId="85"/>
    </tableStyle>
    <tableStyle name="FTP vs Wolves | Kowa | 091525-style 10" pivot="0" count="4" xr9:uid="{00000000-0011-0000-FFFF-FFFF28020000}">
      <tableStyleElement type="wholeTable" size="0" dxfId="80"/>
      <tableStyleElement type="headerRow" dxfId="83"/>
      <tableStyleElement type="firstRowStripe" dxfId="82"/>
      <tableStyleElement type="secondRowStripe" dxfId="81"/>
    </tableStyle>
    <tableStyle name="FTP vs Sp00ky | Talus | 091025-style" pivot="0" count="4" xr9:uid="{00000000-0011-0000-FFFF-FFFF29020000}">
      <tableStyleElement type="wholeTable" size="0" dxfId="76"/>
      <tableStyleElement type="headerRow" dxfId="79"/>
      <tableStyleElement type="firstRowStripe" dxfId="78"/>
      <tableStyleElement type="secondRowStripe" dxfId="77"/>
    </tableStyle>
    <tableStyle name="FTP vs Sp00ky | Talus | 091025-style 2" pivot="0" count="4" xr9:uid="{00000000-0011-0000-FFFF-FFFF2A020000}">
      <tableStyleElement type="wholeTable" size="0" dxfId="72"/>
      <tableStyleElement type="headerRow" dxfId="75"/>
      <tableStyleElement type="firstRowStripe" dxfId="74"/>
      <tableStyleElement type="secondRowStripe" dxfId="73"/>
    </tableStyle>
    <tableStyle name="FTP vs Sp00ky | Talus | 091025-style 3" pivot="0" count="4" xr9:uid="{00000000-0011-0000-FFFF-FFFF2B020000}">
      <tableStyleElement type="wholeTable" size="0" dxfId="68"/>
      <tableStyleElement type="headerRow" dxfId="71"/>
      <tableStyleElement type="firstRowStripe" dxfId="70"/>
      <tableStyleElement type="secondRowStripe" dxfId="69"/>
    </tableStyle>
    <tableStyle name="FTP vs Sp00ky | Talus | 091025-style 4" pivot="0" count="4" xr9:uid="{00000000-0011-0000-FFFF-FFFF2C020000}">
      <tableStyleElement type="wholeTable" size="0" dxfId="64"/>
      <tableStyleElement type="headerRow" dxfId="67"/>
      <tableStyleElement type="firstRowStripe" dxfId="66"/>
      <tableStyleElement type="secondRowStripe" dxfId="65"/>
    </tableStyle>
    <tableStyle name="FTP vs Sp00ky | Talus | 091025-style 5" pivot="0" count="4" xr9:uid="{00000000-0011-0000-FFFF-FFFF2D020000}">
      <tableStyleElement type="wholeTable" size="0" dxfId="60"/>
      <tableStyleElement type="headerRow" dxfId="63"/>
      <tableStyleElement type="firstRowStripe" dxfId="62"/>
      <tableStyleElement type="secondRowStripe" dxfId="61"/>
    </tableStyle>
    <tableStyle name="FTP vs Sp00ky | Talus | 091025-style 6" pivot="0" count="4" xr9:uid="{00000000-0011-0000-FFFF-FFFF2E020000}">
      <tableStyleElement type="wholeTable" size="0" dxfId="56"/>
      <tableStyleElement type="headerRow" dxfId="59"/>
      <tableStyleElement type="firstRowStripe" dxfId="58"/>
      <tableStyleElement type="secondRowStripe" dxfId="57"/>
    </tableStyle>
    <tableStyle name="FTP vs Sp00ky | Talus | 091025-style 7" pivot="0" count="4" xr9:uid="{00000000-0011-0000-FFFF-FFFF2F020000}">
      <tableStyleElement type="wholeTable" size="0" dxfId="52"/>
      <tableStyleElement type="headerRow" dxfId="55"/>
      <tableStyleElement type="firstRowStripe" dxfId="54"/>
      <tableStyleElement type="secondRowStripe" dxfId="53"/>
    </tableStyle>
    <tableStyle name="FTP vs Sp00ky | Talus | 091025-style 8" pivot="0" count="4" xr9:uid="{00000000-0011-0000-FFFF-FFFF30020000}">
      <tableStyleElement type="wholeTable" size="0" dxfId="48"/>
      <tableStyleElement type="headerRow" dxfId="51"/>
      <tableStyleElement type="firstRowStripe" dxfId="50"/>
      <tableStyleElement type="secondRowStripe" dxfId="49"/>
    </tableStyle>
    <tableStyle name="FTP vs Sp00ky | Talus | 091025-style 9" pivot="0" count="4" xr9:uid="{00000000-0011-0000-FFFF-FFFF31020000}">
      <tableStyleElement type="wholeTable" size="0" dxfId="44"/>
      <tableStyleElement type="headerRow" dxfId="47"/>
      <tableStyleElement type="firstRowStripe" dxfId="46"/>
      <tableStyleElement type="secondRowStripe" dxfId="45"/>
    </tableStyle>
    <tableStyle name="FTP vs Sp00ky | Talus | 091025-style 10" pivot="0" count="4" xr9:uid="{00000000-0011-0000-FFFF-FFFF32020000}">
      <tableStyleElement type="wholeTable" size="0" dxfId="40"/>
      <tableStyleElement type="headerRow" dxfId="43"/>
      <tableStyleElement type="firstRowStripe" dxfId="42"/>
      <tableStyleElement type="secondRowStripe" dxfId="41"/>
    </tableStyle>
    <tableStyle name="FTP vs Sp00ky | Cherno | 091025-style" pivot="0" count="4" xr9:uid="{00000000-0011-0000-FFFF-FFFF33020000}">
      <tableStyleElement type="wholeTable" size="0" dxfId="36"/>
      <tableStyleElement type="headerRow" dxfId="39"/>
      <tableStyleElement type="firstRowStripe" dxfId="38"/>
      <tableStyleElement type="secondRowStripe" dxfId="37"/>
    </tableStyle>
    <tableStyle name="FTP vs Sp00ky | Cherno | 091025-style 2" pivot="0" count="4" xr9:uid="{00000000-0011-0000-FFFF-FFFF34020000}">
      <tableStyleElement type="wholeTable" size="0" dxfId="32"/>
      <tableStyleElement type="headerRow" dxfId="35"/>
      <tableStyleElement type="firstRowStripe" dxfId="34"/>
      <tableStyleElement type="secondRowStripe" dxfId="33"/>
    </tableStyle>
    <tableStyle name="FTP vs Sp00ky | Cherno | 091025-style 3" pivot="0" count="4" xr9:uid="{00000000-0011-0000-FFFF-FFFF35020000}">
      <tableStyleElement type="wholeTable" size="0" dxfId="28"/>
      <tableStyleElement type="headerRow" dxfId="31"/>
      <tableStyleElement type="firstRowStripe" dxfId="30"/>
      <tableStyleElement type="secondRowStripe" dxfId="29"/>
    </tableStyle>
    <tableStyle name="FTP vs Sp00ky | Cherno | 091025-style 4" pivot="0" count="4" xr9:uid="{00000000-0011-0000-FFFF-FFFF36020000}">
      <tableStyleElement type="wholeTable" size="0" dxfId="24"/>
      <tableStyleElement type="headerRow" dxfId="27"/>
      <tableStyleElement type="firstRowStripe" dxfId="26"/>
      <tableStyleElement type="secondRowStripe" dxfId="25"/>
    </tableStyle>
    <tableStyle name="FTP vs Sp00ky | Cherno | 091025-style 5" pivot="0" count="4" xr9:uid="{00000000-0011-0000-FFFF-FFFF37020000}">
      <tableStyleElement type="wholeTable" size="0" dxfId="20"/>
      <tableStyleElement type="headerRow" dxfId="23"/>
      <tableStyleElement type="firstRowStripe" dxfId="22"/>
      <tableStyleElement type="secondRowStripe" dxfId="21"/>
    </tableStyle>
    <tableStyle name="FTP vs Sp00ky | Cherno | 091025-style 6" pivot="0" count="4" xr9:uid="{00000000-0011-0000-FFFF-FFFF38020000}">
      <tableStyleElement type="wholeTable" size="0" dxfId="16"/>
      <tableStyleElement type="headerRow" dxfId="19"/>
      <tableStyleElement type="firstRowStripe" dxfId="18"/>
      <tableStyleElement type="secondRowStripe" dxfId="17"/>
    </tableStyle>
    <tableStyle name="FTP vs Sp00ky | Cherno | 091025-style 7" pivot="0" count="4" xr9:uid="{00000000-0011-0000-FFFF-FFFF39020000}">
      <tableStyleElement type="wholeTable" size="0" dxfId="12"/>
      <tableStyleElement type="headerRow" dxfId="15"/>
      <tableStyleElement type="firstRowStripe" dxfId="14"/>
      <tableStyleElement type="secondRowStripe" dxfId="13"/>
    </tableStyle>
    <tableStyle name="FTP vs Sp00ky | Cherno | 091025-style 8" pivot="0" count="4" xr9:uid="{00000000-0011-0000-FFFF-FFFF3A020000}">
      <tableStyleElement type="wholeTable" size="0" dxfId="8"/>
      <tableStyleElement type="headerRow" dxfId="11"/>
      <tableStyleElement type="firstRowStripe" dxfId="10"/>
      <tableStyleElement type="secondRowStripe" dxfId="9"/>
    </tableStyle>
    <tableStyle name="FTP vs Sp00ky | Cherno | 091025-style 9" pivot="0" count="4" xr9:uid="{00000000-0011-0000-FFFF-FFFF3B020000}">
      <tableStyleElement type="wholeTable" size="0" dxfId="4"/>
      <tableStyleElement type="headerRow" dxfId="7"/>
      <tableStyleElement type="firstRowStripe" dxfId="6"/>
      <tableStyleElement type="secondRowStripe" dxfId="5"/>
    </tableStyle>
    <tableStyle name="FTP vs Sp00ky | Cherno | 091025-style 10" pivot="0" count="4" xr9:uid="{00000000-0011-0000-FFFF-FFFF3C02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16</xdr:col>
      <xdr:colOff>533400</xdr:colOff>
      <xdr:row>45</xdr:row>
      <xdr:rowOff>285750</xdr:rowOff>
    </xdr:from>
    <xdr:ext cx="8401050" cy="4457700"/>
    <xdr:pic>
      <xdr:nvPicPr>
        <xdr:cNvPr id="2" name="image1.png" title="Image">
          <a:extLst>
            <a:ext uri="{FF2B5EF4-FFF2-40B4-BE49-F238E27FC236}">
              <a16:creationId xmlns:a16="http://schemas.microsoft.com/office/drawing/2014/main" id="{00000000-0008-0000-2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533400</xdr:colOff>
      <xdr:row>45</xdr:row>
      <xdr:rowOff>285750</xdr:rowOff>
    </xdr:from>
    <xdr:ext cx="8334375" cy="4438650"/>
    <xdr:pic>
      <xdr:nvPicPr>
        <xdr:cNvPr id="2" name="image2.png" title="Image">
          <a:extLst>
            <a:ext uri="{FF2B5EF4-FFF2-40B4-BE49-F238E27FC236}">
              <a16:creationId xmlns:a16="http://schemas.microsoft.com/office/drawing/2014/main" id="{00000000-0008-0000-2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16</xdr:col>
      <xdr:colOff>533400</xdr:colOff>
      <xdr:row>45</xdr:row>
      <xdr:rowOff>285750</xdr:rowOff>
    </xdr:from>
    <xdr:ext cx="8448675" cy="4552950"/>
    <xdr:pic>
      <xdr:nvPicPr>
        <xdr:cNvPr id="2" name="image3.png" title="Image">
          <a:extLst>
            <a:ext uri="{FF2B5EF4-FFF2-40B4-BE49-F238E27FC236}">
              <a16:creationId xmlns:a16="http://schemas.microsoft.com/office/drawing/2014/main" id="{00000000-0008-0000-2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16</xdr:col>
      <xdr:colOff>533400</xdr:colOff>
      <xdr:row>45</xdr:row>
      <xdr:rowOff>285750</xdr:rowOff>
    </xdr:from>
    <xdr:ext cx="8429625" cy="4543425"/>
    <xdr:pic>
      <xdr:nvPicPr>
        <xdr:cNvPr id="2" name="image4.png" title="Image">
          <a:extLst>
            <a:ext uri="{FF2B5EF4-FFF2-40B4-BE49-F238E27FC236}">
              <a16:creationId xmlns:a16="http://schemas.microsoft.com/office/drawing/2014/main" id="{00000000-0008-0000-2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2:F49" headerRowCount="0">
  <tableColumns count="3">
    <tableColumn id="1" xr3:uid="{00000000-0010-0000-0000-000001000000}" name="Column1"/>
    <tableColumn id="2" xr3:uid="{00000000-0010-0000-0000-000002000000}" name="Column2"/>
    <tableColumn id="3" xr3:uid="{00000000-0010-0000-0000-000003000000}" name="Column3"/>
  </tableColumns>
  <tableStyleInfo name="Lis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D99:F122" headerRowCount="0">
  <tableColumns count="3">
    <tableColumn id="1" xr3:uid="{00000000-0010-0000-0100-000001000000}" name="Column1"/>
    <tableColumn id="2" xr3:uid="{00000000-0010-0000-0100-000002000000}" name="Column2"/>
    <tableColumn id="3" xr3:uid="{00000000-0010-0000-0100-000003000000}" name="Column3"/>
  </tableColumns>
  <tableStyleInfo name="List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73:E180" headerRowCount="0">
  <tableColumns count="2">
    <tableColumn id="1" xr3:uid="{00000000-0010-0000-0200-000001000000}" name="Column1"/>
    <tableColumn id="2" xr3:uid="{00000000-0010-0000-0200-000002000000}" name="Column2"/>
  </tableColumns>
  <tableStyleInfo name="List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D184:F204" headerRowCount="0">
  <tableColumns count="3">
    <tableColumn id="1" xr3:uid="{00000000-0010-0000-0300-000001000000}" name="Column1"/>
    <tableColumn id="2" xr3:uid="{00000000-0010-0000-0300-000002000000}" name="Column2"/>
    <tableColumn id="3" xr3:uid="{00000000-0010-0000-0300-000003000000}" name="Column3"/>
  </tableColumns>
  <tableStyleInfo name="List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D250:E261" headerRowCount="0">
  <tableColumns count="2">
    <tableColumn id="1" xr3:uid="{00000000-0010-0000-0400-000001000000}" name="Column1"/>
    <tableColumn id="2" xr3:uid="{00000000-0010-0000-0400-000002000000}" name="Column2"/>
  </tableColumns>
  <tableStyleInfo name="List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D262:F285" headerRowCount="0">
  <tableColumns count="3">
    <tableColumn id="1" xr3:uid="{00000000-0010-0000-0500-000001000000}" name="Column1"/>
    <tableColumn id="2" xr3:uid="{00000000-0010-0000-0500-000002000000}" name="Column2"/>
    <tableColumn id="3" xr3:uid="{00000000-0010-0000-0500-000003000000}" name="Column3"/>
  </tableColumns>
  <tableStyleInfo name="List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D289:E293" headerRowCount="0">
  <tableColumns count="2">
    <tableColumn id="1" xr3:uid="{00000000-0010-0000-0600-000001000000}" name="Column1"/>
    <tableColumn id="2" xr3:uid="{00000000-0010-0000-0600-000002000000}" name="Column2"/>
  </tableColumns>
  <tableStyleInfo name="List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D315:F419" headerRowCount="0">
  <tableColumns count="3">
    <tableColumn id="1" xr3:uid="{00000000-0010-0000-0700-000001000000}" name="Column1"/>
    <tableColumn id="2" xr3:uid="{00000000-0010-0000-0700-000002000000}" name="Column2"/>
    <tableColumn id="3" xr3:uid="{00000000-0010-0000-0700-000003000000}" name="Column3"/>
  </tableColumns>
  <tableStyleInfo name="List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D424:F487" headerRowCount="0">
  <tableColumns count="3">
    <tableColumn id="1" xr3:uid="{00000000-0010-0000-0800-000001000000}" name="Column1"/>
    <tableColumn id="2" xr3:uid="{00000000-0010-0000-0800-000002000000}" name="Column2"/>
    <tableColumn id="3" xr3:uid="{00000000-0010-0000-0800-000003000000}" name="Column3"/>
  </tableColumns>
  <tableStyleInfo name="List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E491:G509" headerRowCount="0">
  <tableColumns count="3">
    <tableColumn id="1" xr3:uid="{00000000-0010-0000-0900-000001000000}" name="Column1"/>
    <tableColumn id="2" xr3:uid="{00000000-0010-0000-0900-000002000000}" name="Column2"/>
    <tableColumn id="3" xr3:uid="{00000000-0010-0000-0900-000003000000}" name="Column3"/>
  </tableColumns>
  <tableStyleInfo name="List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E513:E517" headerRowCount="0">
  <tableColumns count="1">
    <tableColumn id="1" xr3:uid="{00000000-0010-0000-0A00-000001000000}" name="Column1"/>
  </tableColumns>
  <tableStyleInfo name="List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E538:E580" headerRowCount="0">
  <tableColumns count="1">
    <tableColumn id="1" xr3:uid="{00000000-0010-0000-0B00-000001000000}" name="Column1"/>
  </tableColumns>
  <tableStyleInfo name="List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D583:E586" headerRowCount="0">
  <tableColumns count="2">
    <tableColumn id="1" xr3:uid="{00000000-0010-0000-0C00-000001000000}" name="Column1"/>
    <tableColumn id="2" xr3:uid="{00000000-0010-0000-0C00-000002000000}" name="Column2"/>
  </tableColumns>
  <tableStyleInfo name="Lists-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coreboard_43" displayName="Scoreboard_43" ref="A1:P163">
  <tableColumns count="16">
    <tableColumn id="1" xr3:uid="{00000000-0010-0000-0D00-000001000000}" name="/"/>
    <tableColumn id="2" xr3:uid="{00000000-0010-0000-0D00-000002000000}" name="Role"/>
    <tableColumn id="3" xr3:uid="{00000000-0010-0000-0D00-000003000000}" name="Weapons"/>
    <tableColumn id="4" xr3:uid="{00000000-0010-0000-0D00-000004000000}" name="Guild"/>
    <tableColumn id="5" xr3:uid="{00000000-0010-0000-0D00-000005000000}" name="Name"/>
    <tableColumn id="6" xr3:uid="{00000000-0010-0000-0D00-000006000000}" name="Team"/>
    <tableColumn id="7" xr3:uid="{00000000-0010-0000-0D00-000007000000}" name="Kills"/>
    <tableColumn id="8" xr3:uid="{00000000-0010-0000-0D00-000008000000}" name="Assists"/>
    <tableColumn id="9" xr3:uid="{00000000-0010-0000-0D00-000009000000}" name="K + A"/>
    <tableColumn id="10" xr3:uid="{00000000-0010-0000-0D00-00000A000000}" name="Damage Dealt"/>
    <tableColumn id="11" xr3:uid="{00000000-0010-0000-0D00-00000B000000}" name="Damage Taken"/>
    <tableColumn id="12" xr3:uid="{00000000-0010-0000-0D00-00000C000000}" name="Amount Healed"/>
    <tableColumn id="13" xr3:uid="{00000000-0010-0000-0D00-00000D000000}" name="K+A Eff"/>
    <tableColumn id="14" xr3:uid="{00000000-0010-0000-0D00-00000E000000}" name="Dmg Dealt Eff"/>
    <tableColumn id="15" xr3:uid="{00000000-0010-0000-0D00-00000F000000}" name="Dmg Taken Eff"/>
    <tableColumn id="16" xr3:uid="{00000000-0010-0000-0D00-000010000000}" name="Amt Healed Eff"/>
  </tableColumns>
  <tableStyleInfo name="House R m UC 2 Aelon 2242026-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am_Composition_43" displayName="Team_Composition_43" ref="R3:T14">
  <tableColumns count="3">
    <tableColumn id="1" xr3:uid="{00000000-0010-0000-0E00-000001000000}" name="Data"/>
    <tableColumn id="2" xr3:uid="{00000000-0010-0000-0E00-000002000000}" name="Yellow"/>
    <tableColumn id="3" xr3:uid="{00000000-0010-0000-0E00-000003000000}" name="Red"/>
  </tableColumns>
  <tableStyleInfo name="House R m UC 2 Aelon 2242026-style 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_43" displayName="Table1_43" ref="V3:W13">
  <tableColumns count="2">
    <tableColumn id="1" xr3:uid="{00000000-0010-0000-0F00-000001000000}" name="Name"/>
    <tableColumn id="2" xr3:uid="{00000000-0010-0000-0F00-000002000000}" name="K + A"/>
  </tableColumns>
  <tableStyleInfo name="House R m UC 2 Aelon 2242026-style 3"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opDamage_43" displayName="TopDamage_43" ref="Y3:Z13">
  <tableColumns count="2">
    <tableColumn id="1" xr3:uid="{00000000-0010-0000-1000-000001000000}" name="Name"/>
    <tableColumn id="2" xr3:uid="{00000000-0010-0000-1000-000002000000}" name="Damage"/>
  </tableColumns>
  <tableStyleInfo name="House R m UC 2 Aelon 2242026-style 4"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0_19" displayName="Table10_19" ref="AB3:AD14">
  <tableColumns count="3">
    <tableColumn id="1" xr3:uid="{00000000-0010-0000-1100-000001000000}" name="Data"/>
    <tableColumn id="2" xr3:uid="{00000000-0010-0000-1100-000002000000}" name="BR"/>
    <tableColumn id="3" xr3:uid="{00000000-0010-0000-1100-000003000000}" name="Undercooked"/>
  </tableColumns>
  <tableStyleInfo name="House R m UC 2 Aelon 2242026-style 5"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Melee_DPS_43" displayName="Melee_DPS_43" ref="R16:T25">
  <tableColumns count="3">
    <tableColumn id="1" xr3:uid="{00000000-0010-0000-1200-000001000000}" name="Data"/>
    <tableColumn id="2" xr3:uid="{00000000-0010-0000-1200-000002000000}" name="Yellow"/>
    <tableColumn id="3" xr3:uid="{00000000-0010-0000-1200-000003000000}" name="Red"/>
  </tableColumns>
  <tableStyleInfo name="House R m UC 2 Aelon 2242026-style 6"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3_43" displayName="Table3_43" ref="V16:W26">
  <tableColumns count="2">
    <tableColumn id="1" xr3:uid="{00000000-0010-0000-1300-000001000000}" name="Name"/>
    <tableColumn id="2" xr3:uid="{00000000-0010-0000-1300-000002000000}" name="DT"/>
  </tableColumns>
  <tableStyleInfo name="House R m UC 2 Aelon 2242026-style 7"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_43" displayName="Table2_43" ref="Y16:Z26">
  <tableColumns count="2">
    <tableColumn id="1" xr3:uid="{00000000-0010-0000-1400-000001000000}" name="Name"/>
    <tableColumn id="2" xr3:uid="{00000000-0010-0000-1400-000002000000}" name="Healed"/>
  </tableColumns>
  <tableStyleInfo name="House R m UC 2 Aelon 2242026-style 8"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9_19" displayName="Table9_19" ref="AB16:AD25">
  <tableColumns count="3">
    <tableColumn id="1" xr3:uid="{00000000-0010-0000-1500-000001000000}" name="Data"/>
    <tableColumn id="2" xr3:uid="{00000000-0010-0000-1500-000002000000}" name="BR"/>
    <tableColumn id="3" xr3:uid="{00000000-0010-0000-1500-000003000000}" name="Undercooked"/>
  </tableColumns>
  <tableStyleInfo name="House R m UC 2 Aelon 2242026-style 9"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Ranged_DPS_43" displayName="Ranged_DPS_43" ref="R29:T46">
  <tableColumns count="3">
    <tableColumn id="1" xr3:uid="{00000000-0010-0000-1600-000001000000}" name="Data"/>
    <tableColumn id="2" xr3:uid="{00000000-0010-0000-1600-000002000000}" name="Yellow"/>
    <tableColumn id="3" xr3:uid="{00000000-0010-0000-1600-000003000000}" name="Red"/>
  </tableColumns>
  <tableStyleInfo name="House R m UC 2 Aelon 2242026-style 10"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11_19" displayName="Table11_19" ref="AB29:AD46">
  <tableColumns count="3">
    <tableColumn id="1" xr3:uid="{00000000-0010-0000-1700-000001000000}" name="Data"/>
    <tableColumn id="2" xr3:uid="{00000000-0010-0000-1700-000002000000}" name="BR"/>
    <tableColumn id="3" xr3:uid="{00000000-0010-0000-1700-000003000000}" name="Undercooked"/>
  </tableColumns>
  <tableStyleInfo name="House R m UC 2 Aelon 2242026-style 11"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nk_43" displayName="Tank_43" ref="R50:T60">
  <tableColumns count="3">
    <tableColumn id="1" xr3:uid="{00000000-0010-0000-1800-000001000000}" name="Data"/>
    <tableColumn id="2" xr3:uid="{00000000-0010-0000-1800-000002000000}" name="Yellow"/>
    <tableColumn id="3" xr3:uid="{00000000-0010-0000-1800-000003000000}" name="Red"/>
  </tableColumns>
  <tableStyleInfo name="House R m UC 2 Aelon 2242026-style 12"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12_19" displayName="Table12_19" ref="AB50:AD60">
  <tableColumns count="3">
    <tableColumn id="1" xr3:uid="{00000000-0010-0000-1900-000001000000}" name="Data"/>
    <tableColumn id="2" xr3:uid="{00000000-0010-0000-1900-000002000000}" name="BR"/>
    <tableColumn id="3" xr3:uid="{00000000-0010-0000-1900-000003000000}" name="Undercooked"/>
  </tableColumns>
  <tableStyleInfo name="House R m UC 2 Aelon 2242026-style 13"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Healer_43" displayName="Healer_43" ref="R64:T72">
  <tableColumns count="3">
    <tableColumn id="1" xr3:uid="{00000000-0010-0000-1A00-000001000000}" name="Data"/>
    <tableColumn id="2" xr3:uid="{00000000-0010-0000-1A00-000002000000}" name="Yellow"/>
    <tableColumn id="3" xr3:uid="{00000000-0010-0000-1A00-000003000000}" name="Red"/>
  </tableColumns>
  <tableStyleInfo name="House R m UC 2 Aelon 2242026-style 14"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3_19" displayName="Table13_19" ref="AB64:AD72">
  <tableColumns count="3">
    <tableColumn id="1" xr3:uid="{00000000-0010-0000-1B00-000001000000}" name="Data"/>
    <tableColumn id="2" xr3:uid="{00000000-0010-0000-1B00-000002000000}" name="BR"/>
    <tableColumn id="3" xr3:uid="{00000000-0010-0000-1B00-000003000000}" name="Undercooked"/>
  </tableColumns>
  <tableStyleInfo name="House R m UC 2 Aelon 2242026-style 15"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4_14" displayName="Table14_14" ref="R76:T84">
  <tableColumns count="3">
    <tableColumn id="1" xr3:uid="{00000000-0010-0000-1C00-000001000000}" name="Data"/>
    <tableColumn id="2" xr3:uid="{00000000-0010-0000-1C00-000002000000}" name="Yellow"/>
    <tableColumn id="3" xr3:uid="{00000000-0010-0000-1C00-000003000000}" name="Red"/>
  </tableColumns>
  <tableStyleInfo name="House R m UC 2 Aelon 2242026-style 16"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17_14" displayName="Table17_14" ref="AB76:AD84">
  <tableColumns count="3">
    <tableColumn id="1" xr3:uid="{00000000-0010-0000-1D00-000001000000}" name="Data"/>
    <tableColumn id="2" xr3:uid="{00000000-0010-0000-1D00-000002000000}" name="BR"/>
    <tableColumn id="3" xr3:uid="{00000000-0010-0000-1D00-000003000000}" name="Undercooked"/>
  </tableColumns>
  <tableStyleInfo name="House R m UC 2 Aelon 2242026-style 17"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Scoreboard_44" displayName="Scoreboard_44" ref="A1:P163">
  <tableColumns count="16">
    <tableColumn id="1" xr3:uid="{00000000-0010-0000-1E00-000001000000}" name="/"/>
    <tableColumn id="2" xr3:uid="{00000000-0010-0000-1E00-000002000000}" name="Role"/>
    <tableColumn id="3" xr3:uid="{00000000-0010-0000-1E00-000003000000}" name="Weapons"/>
    <tableColumn id="4" xr3:uid="{00000000-0010-0000-1E00-000004000000}" name="Guild"/>
    <tableColumn id="5" xr3:uid="{00000000-0010-0000-1E00-000005000000}" name="Name"/>
    <tableColumn id="6" xr3:uid="{00000000-0010-0000-1E00-000006000000}" name="Team"/>
    <tableColumn id="7" xr3:uid="{00000000-0010-0000-1E00-000007000000}" name="Kills"/>
    <tableColumn id="8" xr3:uid="{00000000-0010-0000-1E00-000008000000}" name="Assists"/>
    <tableColumn id="9" xr3:uid="{00000000-0010-0000-1E00-000009000000}" name="K + A"/>
    <tableColumn id="10" xr3:uid="{00000000-0010-0000-1E00-00000A000000}" name="Damage Dealt"/>
    <tableColumn id="11" xr3:uid="{00000000-0010-0000-1E00-00000B000000}" name="Damage Taken"/>
    <tableColumn id="12" xr3:uid="{00000000-0010-0000-1E00-00000C000000}" name="Amount Healed"/>
    <tableColumn id="13" xr3:uid="{00000000-0010-0000-1E00-00000D000000}" name="K+A Eff"/>
    <tableColumn id="14" xr3:uid="{00000000-0010-0000-1E00-00000E000000}" name="Dmg Dealt Eff"/>
    <tableColumn id="15" xr3:uid="{00000000-0010-0000-1E00-00000F000000}" name="Dmg Taken Eff"/>
    <tableColumn id="16" xr3:uid="{00000000-0010-0000-1E00-000010000000}" name="Amt Healed Eff"/>
  </tableColumns>
  <tableStyleInfo name="House R m UC Aden 1 2242026-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eam_Composition_44" displayName="Team_Composition_44" ref="R3:T14">
  <tableColumns count="3">
    <tableColumn id="1" xr3:uid="{00000000-0010-0000-1F00-000001000000}" name="Data"/>
    <tableColumn id="2" xr3:uid="{00000000-0010-0000-1F00-000002000000}" name="Yellow"/>
    <tableColumn id="3" xr3:uid="{00000000-0010-0000-1F00-000003000000}" name="Red"/>
  </tableColumns>
  <tableStyleInfo name="House R m UC Aden 1 2242026-style 2"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1_44" displayName="Table1_44" ref="V3:W13">
  <tableColumns count="2">
    <tableColumn id="1" xr3:uid="{00000000-0010-0000-2000-000001000000}" name="Name"/>
    <tableColumn id="2" xr3:uid="{00000000-0010-0000-2000-000002000000}" name="K + A"/>
  </tableColumns>
  <tableStyleInfo name="House R m UC Aden 1 2242026-style 3"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opDamage_44" displayName="TopDamage_44" ref="Y3:Z13">
  <tableColumns count="2">
    <tableColumn id="1" xr3:uid="{00000000-0010-0000-2100-000001000000}" name="Name"/>
    <tableColumn id="2" xr3:uid="{00000000-0010-0000-2100-000002000000}" name="Damage"/>
  </tableColumns>
  <tableStyleInfo name="House R m UC Aden 1 2242026-style 4"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10_20" displayName="Table10_20" ref="AB3:AD14">
  <tableColumns count="3">
    <tableColumn id="1" xr3:uid="{00000000-0010-0000-2200-000001000000}" name="Data"/>
    <tableColumn id="2" xr3:uid="{00000000-0010-0000-2200-000002000000}" name="BR"/>
    <tableColumn id="3" xr3:uid="{00000000-0010-0000-2200-000003000000}" name="Undercooked"/>
  </tableColumns>
  <tableStyleInfo name="House R m UC Aden 1 2242026-style 5"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Melee_DPS_44" displayName="Melee_DPS_44" ref="R16:T25">
  <tableColumns count="3">
    <tableColumn id="1" xr3:uid="{00000000-0010-0000-2300-000001000000}" name="Data"/>
    <tableColumn id="2" xr3:uid="{00000000-0010-0000-2300-000002000000}" name="Yellow"/>
    <tableColumn id="3" xr3:uid="{00000000-0010-0000-2300-000003000000}" name="Red"/>
  </tableColumns>
  <tableStyleInfo name="House R m UC Aden 1 2242026-style 6"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_44" displayName="Table3_44" ref="V16:W26">
  <tableColumns count="2">
    <tableColumn id="1" xr3:uid="{00000000-0010-0000-2400-000001000000}" name="Name"/>
    <tableColumn id="2" xr3:uid="{00000000-0010-0000-2400-000002000000}" name="DT"/>
  </tableColumns>
  <tableStyleInfo name="House R m UC Aden 1 2242026-style 7"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2_44" displayName="Table2_44" ref="Y16:Z26">
  <tableColumns count="2">
    <tableColumn id="1" xr3:uid="{00000000-0010-0000-2500-000001000000}" name="Name"/>
    <tableColumn id="2" xr3:uid="{00000000-0010-0000-2500-000002000000}" name="Healed"/>
  </tableColumns>
  <tableStyleInfo name="House R m UC Aden 1 2242026-style 8"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9_20" displayName="Table9_20" ref="AB16:AD25">
  <tableColumns count="3">
    <tableColumn id="1" xr3:uid="{00000000-0010-0000-2600-000001000000}" name="Data"/>
    <tableColumn id="2" xr3:uid="{00000000-0010-0000-2600-000002000000}" name="BR"/>
    <tableColumn id="3" xr3:uid="{00000000-0010-0000-2600-000003000000}" name="Undercooked"/>
  </tableColumns>
  <tableStyleInfo name="House R m UC Aden 1 2242026-style 9"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Ranged_DPS_44" displayName="Ranged_DPS_44" ref="R29:T46">
  <tableColumns count="3">
    <tableColumn id="1" xr3:uid="{00000000-0010-0000-2700-000001000000}" name="Data"/>
    <tableColumn id="2" xr3:uid="{00000000-0010-0000-2700-000002000000}" name="Yellow"/>
    <tableColumn id="3" xr3:uid="{00000000-0010-0000-2700-000003000000}" name="Red"/>
  </tableColumns>
  <tableStyleInfo name="House R m UC Aden 1 2242026-style 10"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11_20" displayName="Table11_20" ref="AB29:AD46">
  <tableColumns count="3">
    <tableColumn id="1" xr3:uid="{00000000-0010-0000-2800-000001000000}" name="Data"/>
    <tableColumn id="2" xr3:uid="{00000000-0010-0000-2800-000002000000}" name="BR"/>
    <tableColumn id="3" xr3:uid="{00000000-0010-0000-2800-000003000000}" name="Undercooked"/>
  </tableColumns>
  <tableStyleInfo name="House R m UC Aden 1 2242026-style 11"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nk_44" displayName="Tank_44" ref="R50:T60">
  <tableColumns count="3">
    <tableColumn id="1" xr3:uid="{00000000-0010-0000-2900-000001000000}" name="Data"/>
    <tableColumn id="2" xr3:uid="{00000000-0010-0000-2900-000002000000}" name="Yellow"/>
    <tableColumn id="3" xr3:uid="{00000000-0010-0000-2900-000003000000}" name="Red"/>
  </tableColumns>
  <tableStyleInfo name="House R m UC Aden 1 2242026-style 12"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12_20" displayName="Table12_20" ref="AB50:AD60">
  <tableColumns count="3">
    <tableColumn id="1" xr3:uid="{00000000-0010-0000-2A00-000001000000}" name="Data"/>
    <tableColumn id="2" xr3:uid="{00000000-0010-0000-2A00-000002000000}" name="BR"/>
    <tableColumn id="3" xr3:uid="{00000000-0010-0000-2A00-000003000000}" name="Undercooked"/>
  </tableColumns>
  <tableStyleInfo name="House R m UC Aden 1 2242026-style 13"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Healer_44" displayName="Healer_44" ref="R64:T72">
  <tableColumns count="3">
    <tableColumn id="1" xr3:uid="{00000000-0010-0000-2B00-000001000000}" name="Data"/>
    <tableColumn id="2" xr3:uid="{00000000-0010-0000-2B00-000002000000}" name="Yellow"/>
    <tableColumn id="3" xr3:uid="{00000000-0010-0000-2B00-000003000000}" name="Red"/>
  </tableColumns>
  <tableStyleInfo name="House R m UC Aden 1 2242026-style 14"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3_20" displayName="Table13_20" ref="AB64:AD72">
  <tableColumns count="3">
    <tableColumn id="1" xr3:uid="{00000000-0010-0000-2C00-000001000000}" name="Data"/>
    <tableColumn id="2" xr3:uid="{00000000-0010-0000-2C00-000002000000}" name="BR"/>
    <tableColumn id="3" xr3:uid="{00000000-0010-0000-2C00-000003000000}" name="Undercooked"/>
  </tableColumns>
  <tableStyleInfo name="House R m UC Aden 1 2242026-style 15"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4_15" displayName="Table14_15" ref="R76:T84">
  <tableColumns count="3">
    <tableColumn id="1" xr3:uid="{00000000-0010-0000-2D00-000001000000}" name="Data"/>
    <tableColumn id="2" xr3:uid="{00000000-0010-0000-2D00-000002000000}" name="Yellow"/>
    <tableColumn id="3" xr3:uid="{00000000-0010-0000-2D00-000003000000}" name="Red"/>
  </tableColumns>
  <tableStyleInfo name="House R m UC Aden 1 2242026-style 16"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7_15" displayName="Table17_15" ref="AB76:AD84">
  <tableColumns count="3">
    <tableColumn id="1" xr3:uid="{00000000-0010-0000-2E00-000001000000}" name="Data"/>
    <tableColumn id="2" xr3:uid="{00000000-0010-0000-2E00-000002000000}" name="BR"/>
    <tableColumn id="3" xr3:uid="{00000000-0010-0000-2E00-000003000000}" name="Undercooked"/>
  </tableColumns>
  <tableStyleInfo name="House R m UC Aden 1 2242026-style 17"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Scoreboard_40" displayName="Scoreboard_40" ref="A1:P163">
  <tableColumns count="16">
    <tableColumn id="1" xr3:uid="{00000000-0010-0000-2F00-000001000000}" name="/"/>
    <tableColumn id="2" xr3:uid="{00000000-0010-0000-2F00-000002000000}" name="Role"/>
    <tableColumn id="3" xr3:uid="{00000000-0010-0000-2F00-000003000000}" name="Weapons"/>
    <tableColumn id="4" xr3:uid="{00000000-0010-0000-2F00-000004000000}" name="Guild"/>
    <tableColumn id="5" xr3:uid="{00000000-0010-0000-2F00-000005000000}" name="Name"/>
    <tableColumn id="6" xr3:uid="{00000000-0010-0000-2F00-000006000000}" name="Team"/>
    <tableColumn id="7" xr3:uid="{00000000-0010-0000-2F00-000007000000}" name="Kills"/>
    <tableColumn id="8" xr3:uid="{00000000-0010-0000-2F00-000008000000}" name="Assists"/>
    <tableColumn id="9" xr3:uid="{00000000-0010-0000-2F00-000009000000}" name="K + A"/>
    <tableColumn id="10" xr3:uid="{00000000-0010-0000-2F00-00000A000000}" name="Damage Dealt"/>
    <tableColumn id="11" xr3:uid="{00000000-0010-0000-2F00-00000B000000}" name="Damage Taken"/>
    <tableColumn id="12" xr3:uid="{00000000-0010-0000-2F00-00000C000000}" name="Amount Healed"/>
    <tableColumn id="13" xr3:uid="{00000000-0010-0000-2F00-00000D000000}" name="K+A Eff"/>
    <tableColumn id="14" xr3:uid="{00000000-0010-0000-2F00-00000E000000}" name="Dmg Dealt Eff"/>
    <tableColumn id="15" xr3:uid="{00000000-0010-0000-2F00-00000F000000}" name="Dmg Taken Eff"/>
    <tableColumn id="16" xr3:uid="{00000000-0010-0000-2F00-000010000000}" name="Amt Healed Eff"/>
  </tableColumns>
  <tableStyleInfo name="House R v HR aelon 2 2182026-style"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eam_Composition_40" displayName="Team_Composition_40" ref="R3:T14">
  <tableColumns count="3">
    <tableColumn id="1" xr3:uid="{00000000-0010-0000-3000-000001000000}" name="Data"/>
    <tableColumn id="2" xr3:uid="{00000000-0010-0000-3000-000002000000}" name="Yellow"/>
    <tableColumn id="3" xr3:uid="{00000000-0010-0000-3000-000003000000}" name="Red"/>
  </tableColumns>
  <tableStyleInfo name="House R v HR aelon 2 2182026-style 2"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1_40" displayName="Table1_40" ref="V3:W13">
  <tableColumns count="2">
    <tableColumn id="1" xr3:uid="{00000000-0010-0000-3100-000001000000}" name="Name"/>
    <tableColumn id="2" xr3:uid="{00000000-0010-0000-3100-000002000000}" name="K + A"/>
  </tableColumns>
  <tableStyleInfo name="House R v HR aelon 2 2182026-style 3"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opDamage_40" displayName="TopDamage_40" ref="Y3:Z13">
  <tableColumns count="2">
    <tableColumn id="1" xr3:uid="{00000000-0010-0000-3200-000001000000}" name="Name"/>
    <tableColumn id="2" xr3:uid="{00000000-0010-0000-3200-000002000000}" name="Damage"/>
  </tableColumns>
  <tableStyleInfo name="House R v HR aelon 2 2182026-style 4"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10_16" displayName="Table10_16" ref="AB3:AD14">
  <tableColumns count="3">
    <tableColumn id="1" xr3:uid="{00000000-0010-0000-3300-000001000000}" name="Data"/>
    <tableColumn id="2" xr3:uid="{00000000-0010-0000-3300-000002000000}" name="BR"/>
    <tableColumn id="3" xr3:uid="{00000000-0010-0000-3300-000003000000}" name="Unhinged肉"/>
  </tableColumns>
  <tableStyleInfo name="House R v HR aelon 2 2182026-style 5"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Melee_DPS_40" displayName="Melee_DPS_40" ref="R16:T25">
  <tableColumns count="3">
    <tableColumn id="1" xr3:uid="{00000000-0010-0000-3400-000001000000}" name="Data"/>
    <tableColumn id="2" xr3:uid="{00000000-0010-0000-3400-000002000000}" name="Yellow"/>
    <tableColumn id="3" xr3:uid="{00000000-0010-0000-3400-000003000000}" name="Red"/>
  </tableColumns>
  <tableStyleInfo name="House R v HR aelon 2 2182026-style 6"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3_40" displayName="Table3_40" ref="V16:W26">
  <tableColumns count="2">
    <tableColumn id="1" xr3:uid="{00000000-0010-0000-3500-000001000000}" name="Name"/>
    <tableColumn id="2" xr3:uid="{00000000-0010-0000-3500-000002000000}" name="DT"/>
  </tableColumns>
  <tableStyleInfo name="House R v HR aelon 2 2182026-style 7"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2_40" displayName="Table2_40" ref="Y16:Z26">
  <tableColumns count="2">
    <tableColumn id="1" xr3:uid="{00000000-0010-0000-3600-000001000000}" name="Name"/>
    <tableColumn id="2" xr3:uid="{00000000-0010-0000-3600-000002000000}" name="Healed"/>
  </tableColumns>
  <tableStyleInfo name="House R v HR aelon 2 2182026-style 8"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9_16" displayName="Table9_16" ref="AB16:AD25">
  <tableColumns count="3">
    <tableColumn id="1" xr3:uid="{00000000-0010-0000-3700-000001000000}" name="Data"/>
    <tableColumn id="2" xr3:uid="{00000000-0010-0000-3700-000002000000}" name="BR"/>
    <tableColumn id="3" xr3:uid="{00000000-0010-0000-3700-000003000000}" name="Unhinged肉"/>
  </tableColumns>
  <tableStyleInfo name="House R v HR aelon 2 2182026-style 9"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Ranged_DPS_40" displayName="Ranged_DPS_40" ref="R29:T46">
  <tableColumns count="3">
    <tableColumn id="1" xr3:uid="{00000000-0010-0000-3800-000001000000}" name="Data"/>
    <tableColumn id="2" xr3:uid="{00000000-0010-0000-3800-000002000000}" name="Yellow"/>
    <tableColumn id="3" xr3:uid="{00000000-0010-0000-3800-000003000000}" name="Red"/>
  </tableColumns>
  <tableStyleInfo name="House R v HR aelon 2 2182026-style 10"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1_16" displayName="Table11_16" ref="AB29:AD46">
  <tableColumns count="3">
    <tableColumn id="1" xr3:uid="{00000000-0010-0000-3900-000001000000}" name="Data"/>
    <tableColumn id="2" xr3:uid="{00000000-0010-0000-3900-000002000000}" name="BR"/>
    <tableColumn id="3" xr3:uid="{00000000-0010-0000-3900-000003000000}" name="Unhinged肉"/>
  </tableColumns>
  <tableStyleInfo name="House R v HR aelon 2 2182026-style 11"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nk_40" displayName="Tank_40" ref="R50:T60">
  <tableColumns count="3">
    <tableColumn id="1" xr3:uid="{00000000-0010-0000-3A00-000001000000}" name="Data"/>
    <tableColumn id="2" xr3:uid="{00000000-0010-0000-3A00-000002000000}" name="Yellow"/>
    <tableColumn id="3" xr3:uid="{00000000-0010-0000-3A00-000003000000}" name="Red"/>
  </tableColumns>
  <tableStyleInfo name="House R v HR aelon 2 2182026-style 12"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12_16" displayName="Table12_16" ref="AB50:AD60">
  <tableColumns count="3">
    <tableColumn id="1" xr3:uid="{00000000-0010-0000-3B00-000001000000}" name="Data"/>
    <tableColumn id="2" xr3:uid="{00000000-0010-0000-3B00-000002000000}" name="BR"/>
    <tableColumn id="3" xr3:uid="{00000000-0010-0000-3B00-000003000000}" name="Unhinged肉"/>
  </tableColumns>
  <tableStyleInfo name="House R v HR aelon 2 2182026-style 13" showFirstColumn="1" showLastColumn="1"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Healer_40" displayName="Healer_40" ref="R64:T72">
  <tableColumns count="3">
    <tableColumn id="1" xr3:uid="{00000000-0010-0000-3C00-000001000000}" name="Data"/>
    <tableColumn id="2" xr3:uid="{00000000-0010-0000-3C00-000002000000}" name="Yellow"/>
    <tableColumn id="3" xr3:uid="{00000000-0010-0000-3C00-000003000000}" name="Red"/>
  </tableColumns>
  <tableStyleInfo name="House R v HR aelon 2 2182026-style 14" showFirstColumn="1" showLastColumn="1"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13_16" displayName="Table13_16" ref="AB64:AD72">
  <tableColumns count="3">
    <tableColumn id="1" xr3:uid="{00000000-0010-0000-3D00-000001000000}" name="Data"/>
    <tableColumn id="2" xr3:uid="{00000000-0010-0000-3D00-000002000000}" name="BR"/>
    <tableColumn id="3" xr3:uid="{00000000-0010-0000-3D00-000003000000}" name="Unhinged肉"/>
  </tableColumns>
  <tableStyleInfo name="House R v HR aelon 2 2182026-style 15" showFirstColumn="1" showLastColumn="1"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14_11" displayName="Table14_11" ref="R76:T84">
  <tableColumns count="3">
    <tableColumn id="1" xr3:uid="{00000000-0010-0000-3E00-000001000000}" name="Data"/>
    <tableColumn id="2" xr3:uid="{00000000-0010-0000-3E00-000002000000}" name="Yellow"/>
    <tableColumn id="3" xr3:uid="{00000000-0010-0000-3E00-000003000000}" name="Red"/>
  </tableColumns>
  <tableStyleInfo name="House R v HR aelon 2 2182026-style 16" showFirstColumn="1" showLastColumn="1"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17_11" displayName="Table17_11" ref="AB76:AD84">
  <tableColumns count="3">
    <tableColumn id="1" xr3:uid="{00000000-0010-0000-3F00-000001000000}" name="Data"/>
    <tableColumn id="2" xr3:uid="{00000000-0010-0000-3F00-000002000000}" name="BR"/>
    <tableColumn id="3" xr3:uid="{00000000-0010-0000-3F00-000003000000}" name="Unhinged肉"/>
  </tableColumns>
  <tableStyleInfo name="House R v HR aelon 2 2182026-style 17" showFirstColumn="1" showLastColumn="1"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Scoreboard_41" displayName="Scoreboard_41" ref="A1:P163">
  <tableColumns count="16">
    <tableColumn id="1" xr3:uid="{00000000-0010-0000-4000-000001000000}" name="/"/>
    <tableColumn id="2" xr3:uid="{00000000-0010-0000-4000-000002000000}" name="Role"/>
    <tableColumn id="3" xr3:uid="{00000000-0010-0000-4000-000003000000}" name="Weapons"/>
    <tableColumn id="4" xr3:uid="{00000000-0010-0000-4000-000004000000}" name="Guild"/>
    <tableColumn id="5" xr3:uid="{00000000-0010-0000-4000-000005000000}" name="Name"/>
    <tableColumn id="6" xr3:uid="{00000000-0010-0000-4000-000006000000}" name="Team"/>
    <tableColumn id="7" xr3:uid="{00000000-0010-0000-4000-000007000000}" name="Kills"/>
    <tableColumn id="8" xr3:uid="{00000000-0010-0000-4000-000008000000}" name="Assists"/>
    <tableColumn id="9" xr3:uid="{00000000-0010-0000-4000-000009000000}" name="K + A"/>
    <tableColumn id="10" xr3:uid="{00000000-0010-0000-4000-00000A000000}" name="Damage Dealt"/>
    <tableColumn id="11" xr3:uid="{00000000-0010-0000-4000-00000B000000}" name="Damage Taken"/>
    <tableColumn id="12" xr3:uid="{00000000-0010-0000-4000-00000C000000}" name="Amount Healed"/>
    <tableColumn id="13" xr3:uid="{00000000-0010-0000-4000-00000D000000}" name="K+A Eff"/>
    <tableColumn id="14" xr3:uid="{00000000-0010-0000-4000-00000E000000}" name="Dmg Dealt Eff"/>
    <tableColumn id="15" xr3:uid="{00000000-0010-0000-4000-00000F000000}" name="Dmg Taken Eff"/>
    <tableColumn id="16" xr3:uid="{00000000-0010-0000-4000-000010000000}" name="Amt Healed Eff"/>
  </tableColumns>
  <tableStyleInfo name="House R v HR moro 1 2182026-style" showFirstColumn="1" showLastColumn="1"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eam_Composition_41" displayName="Team_Composition_41" ref="R3:T14">
  <tableColumns count="3">
    <tableColumn id="1" xr3:uid="{00000000-0010-0000-4100-000001000000}" name="Data"/>
    <tableColumn id="2" xr3:uid="{00000000-0010-0000-4100-000002000000}" name="Yellow"/>
    <tableColumn id="3" xr3:uid="{00000000-0010-0000-4100-000003000000}" name="Red"/>
  </tableColumns>
  <tableStyleInfo name="House R v HR moro 1 2182026-style 2" showFirstColumn="1" showLastColumn="1"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Table1_41" displayName="Table1_41" ref="V3:W13">
  <tableColumns count="2">
    <tableColumn id="1" xr3:uid="{00000000-0010-0000-4200-000001000000}" name="Name"/>
    <tableColumn id="2" xr3:uid="{00000000-0010-0000-4200-000002000000}" name="K + A"/>
  </tableColumns>
  <tableStyleInfo name="House R v HR moro 1 2182026-style 3" showFirstColumn="1" showLastColumn="1"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opDamage_41" displayName="TopDamage_41" ref="Y3:Z13">
  <tableColumns count="2">
    <tableColumn id="1" xr3:uid="{00000000-0010-0000-4300-000001000000}" name="Name"/>
    <tableColumn id="2" xr3:uid="{00000000-0010-0000-4300-000002000000}" name="Damage"/>
  </tableColumns>
  <tableStyleInfo name="House R v HR moro 1 2182026-style 4" showFirstColumn="1" showLastColumn="1"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Table10_17" displayName="Table10_17" ref="AB3:AD14">
  <tableColumns count="3">
    <tableColumn id="1" xr3:uid="{00000000-0010-0000-4400-000001000000}" name="Data"/>
    <tableColumn id="2" xr3:uid="{00000000-0010-0000-4400-000002000000}" name="BR"/>
    <tableColumn id="3" xr3:uid="{00000000-0010-0000-4400-000003000000}" name="Unhinged肉"/>
  </tableColumns>
  <tableStyleInfo name="House R v HR moro 1 2182026-style 5" showFirstColumn="1" showLastColumn="1"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Melee_DPS_41" displayName="Melee_DPS_41" ref="R16:T25">
  <tableColumns count="3">
    <tableColumn id="1" xr3:uid="{00000000-0010-0000-4500-000001000000}" name="Data"/>
    <tableColumn id="2" xr3:uid="{00000000-0010-0000-4500-000002000000}" name="Yellow"/>
    <tableColumn id="3" xr3:uid="{00000000-0010-0000-4500-000003000000}" name="Red"/>
  </tableColumns>
  <tableStyleInfo name="House R v HR moro 1 2182026-style 6" showFirstColumn="1" showLastColumn="1"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Table3_41" displayName="Table3_41" ref="V16:W26">
  <tableColumns count="2">
    <tableColumn id="1" xr3:uid="{00000000-0010-0000-4600-000001000000}" name="Name"/>
    <tableColumn id="2" xr3:uid="{00000000-0010-0000-4600-000002000000}" name="DT"/>
  </tableColumns>
  <tableStyleInfo name="House R v HR moro 1 2182026-style 7" showFirstColumn="1" showLastColumn="1"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Table2_41" displayName="Table2_41" ref="Y16:Z26">
  <tableColumns count="2">
    <tableColumn id="1" xr3:uid="{00000000-0010-0000-4700-000001000000}" name="Name"/>
    <tableColumn id="2" xr3:uid="{00000000-0010-0000-4700-000002000000}" name="Healed"/>
  </tableColumns>
  <tableStyleInfo name="House R v HR moro 1 2182026-style 8" showFirstColumn="1" showLastColumn="1"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Table9_17" displayName="Table9_17" ref="AB16:AD25">
  <tableColumns count="3">
    <tableColumn id="1" xr3:uid="{00000000-0010-0000-4800-000001000000}" name="Data"/>
    <tableColumn id="2" xr3:uid="{00000000-0010-0000-4800-000002000000}" name="BR"/>
    <tableColumn id="3" xr3:uid="{00000000-0010-0000-4800-000003000000}" name="Unhinged肉"/>
  </tableColumns>
  <tableStyleInfo name="House R v HR moro 1 2182026-style 9" showFirstColumn="1" showLastColumn="1"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Ranged_DPS_41" displayName="Ranged_DPS_41" ref="R29:T46">
  <tableColumns count="3">
    <tableColumn id="1" xr3:uid="{00000000-0010-0000-4900-000001000000}" name="Data"/>
    <tableColumn id="2" xr3:uid="{00000000-0010-0000-4900-000002000000}" name="Yellow"/>
    <tableColumn id="3" xr3:uid="{00000000-0010-0000-4900-000003000000}" name="Red"/>
  </tableColumns>
  <tableStyleInfo name="House R v HR moro 1 2182026-style 10" showFirstColumn="1" showLastColumn="1"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Table11_17" displayName="Table11_17" ref="AB29:AD46">
  <tableColumns count="3">
    <tableColumn id="1" xr3:uid="{00000000-0010-0000-4A00-000001000000}" name="Data"/>
    <tableColumn id="2" xr3:uid="{00000000-0010-0000-4A00-000002000000}" name="BR"/>
    <tableColumn id="3" xr3:uid="{00000000-0010-0000-4A00-000003000000}" name="Unhinged肉"/>
  </tableColumns>
  <tableStyleInfo name="House R v HR moro 1 2182026-style 11" showFirstColumn="1" showLastColumn="1"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Tank_41" displayName="Tank_41" ref="R50:T60">
  <tableColumns count="3">
    <tableColumn id="1" xr3:uid="{00000000-0010-0000-4B00-000001000000}" name="Data"/>
    <tableColumn id="2" xr3:uid="{00000000-0010-0000-4B00-000002000000}" name="Yellow"/>
    <tableColumn id="3" xr3:uid="{00000000-0010-0000-4B00-000003000000}" name="Red"/>
  </tableColumns>
  <tableStyleInfo name="House R v HR moro 1 2182026-style 12" showFirstColumn="1" showLastColumn="1"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Table12_17" displayName="Table12_17" ref="AB50:AD60">
  <tableColumns count="3">
    <tableColumn id="1" xr3:uid="{00000000-0010-0000-4C00-000001000000}" name="Data"/>
    <tableColumn id="2" xr3:uid="{00000000-0010-0000-4C00-000002000000}" name="BR"/>
    <tableColumn id="3" xr3:uid="{00000000-0010-0000-4C00-000003000000}" name="Unhinged肉"/>
  </tableColumns>
  <tableStyleInfo name="House R v HR moro 1 2182026-style 13" showFirstColumn="1" showLastColumn="1"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Healer_41" displayName="Healer_41" ref="R64:T72">
  <tableColumns count="3">
    <tableColumn id="1" xr3:uid="{00000000-0010-0000-4D00-000001000000}" name="Data"/>
    <tableColumn id="2" xr3:uid="{00000000-0010-0000-4D00-000002000000}" name="Yellow"/>
    <tableColumn id="3" xr3:uid="{00000000-0010-0000-4D00-000003000000}" name="Red"/>
  </tableColumns>
  <tableStyleInfo name="House R v HR moro 1 2182026-style 14" showFirstColumn="1" showLastColumn="1"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Table13_17" displayName="Table13_17" ref="AB64:AD72">
  <tableColumns count="3">
    <tableColumn id="1" xr3:uid="{00000000-0010-0000-4E00-000001000000}" name="Data"/>
    <tableColumn id="2" xr3:uid="{00000000-0010-0000-4E00-000002000000}" name="BR"/>
    <tableColumn id="3" xr3:uid="{00000000-0010-0000-4E00-000003000000}" name="Unhinged肉"/>
  </tableColumns>
  <tableStyleInfo name="House R v HR moro 1 2182026-style 15" showFirstColumn="1" showLastColumn="1"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Table14_12" displayName="Table14_12" ref="R76:T84">
  <tableColumns count="3">
    <tableColumn id="1" xr3:uid="{00000000-0010-0000-4F00-000001000000}" name="Data"/>
    <tableColumn id="2" xr3:uid="{00000000-0010-0000-4F00-000002000000}" name="Yellow"/>
    <tableColumn id="3" xr3:uid="{00000000-0010-0000-4F00-000003000000}" name="Red"/>
  </tableColumns>
  <tableStyleInfo name="House R v HR moro 1 2182026-style 16" showFirstColumn="1" showLastColumn="1"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Table17_12" displayName="Table17_12" ref="AB76:AD84">
  <tableColumns count="3">
    <tableColumn id="1" xr3:uid="{00000000-0010-0000-5000-000001000000}" name="Data"/>
    <tableColumn id="2" xr3:uid="{00000000-0010-0000-5000-000002000000}" name="BR"/>
    <tableColumn id="3" xr3:uid="{00000000-0010-0000-5000-000003000000}" name="Unhinged肉"/>
  </tableColumns>
  <tableStyleInfo name="House R v HR moro 1 2182026-style 17" showFirstColumn="1" showLastColumn="1"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Scoreboard_38" displayName="Scoreboard_38" ref="A1:P163">
  <tableColumns count="16">
    <tableColumn id="1" xr3:uid="{00000000-0010-0000-5100-000001000000}" name="/"/>
    <tableColumn id="2" xr3:uid="{00000000-0010-0000-5100-000002000000}" name="Role"/>
    <tableColumn id="3" xr3:uid="{00000000-0010-0000-5100-000003000000}" name="Weapons"/>
    <tableColumn id="4" xr3:uid="{00000000-0010-0000-5100-000004000000}" name="Guild"/>
    <tableColumn id="5" xr3:uid="{00000000-0010-0000-5100-000005000000}" name="Name"/>
    <tableColumn id="6" xr3:uid="{00000000-0010-0000-5100-000006000000}" name="Team"/>
    <tableColumn id="7" xr3:uid="{00000000-0010-0000-5100-000007000000}" name="Kills"/>
    <tableColumn id="8" xr3:uid="{00000000-0010-0000-5100-000008000000}" name="Assists"/>
    <tableColumn id="9" xr3:uid="{00000000-0010-0000-5100-000009000000}" name="K + A"/>
    <tableColumn id="10" xr3:uid="{00000000-0010-0000-5100-00000A000000}" name="Damage Dealt"/>
    <tableColumn id="11" xr3:uid="{00000000-0010-0000-5100-00000B000000}" name="Damage Taken"/>
    <tableColumn id="12" xr3:uid="{00000000-0010-0000-5100-00000C000000}" name="Amount Healed"/>
    <tableColumn id="13" xr3:uid="{00000000-0010-0000-5100-00000D000000}" name="K+A Eff"/>
    <tableColumn id="14" xr3:uid="{00000000-0010-0000-5100-00000E000000}" name="Dmg Dealt Eff"/>
    <tableColumn id="15" xr3:uid="{00000000-0010-0000-5100-00000F000000}" name="Dmg Taken Eff"/>
    <tableColumn id="16" xr3:uid="{00000000-0010-0000-5100-000010000000}" name="Amt Healed Eff"/>
  </tableColumns>
  <tableStyleInfo name="BR m Unhinged Pakilo 2 2172026-style" showFirstColumn="1" showLastColumn="1"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eam_Composition_38" displayName="Team_Composition_38" ref="R3:T14">
  <tableColumns count="3">
    <tableColumn id="1" xr3:uid="{00000000-0010-0000-5200-000001000000}" name="Data"/>
    <tableColumn id="2" xr3:uid="{00000000-0010-0000-5200-000002000000}" name="Yellow"/>
    <tableColumn id="3" xr3:uid="{00000000-0010-0000-5200-000003000000}" name="Red"/>
  </tableColumns>
  <tableStyleInfo name="BR m Unhinged Pakilo 2 2172026-style 2" showFirstColumn="1" showLastColumn="1"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Table1_38" displayName="Table1_38" ref="V3:W13">
  <tableColumns count="2">
    <tableColumn id="1" xr3:uid="{00000000-0010-0000-5300-000001000000}" name="Name"/>
    <tableColumn id="2" xr3:uid="{00000000-0010-0000-5300-000002000000}" name="K + A"/>
  </tableColumns>
  <tableStyleInfo name="BR m Unhinged Pakilo 2 2172026-style 3" showFirstColumn="1" showLastColumn="1"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TopDamage_38" displayName="TopDamage_38" ref="Y3:Z13">
  <tableColumns count="2">
    <tableColumn id="1" xr3:uid="{00000000-0010-0000-5400-000001000000}" name="Name"/>
    <tableColumn id="2" xr3:uid="{00000000-0010-0000-5400-000002000000}" name="Damage"/>
  </tableColumns>
  <tableStyleInfo name="BR m Unhinged Pakilo 2 2172026-style 4" showFirstColumn="1" showLastColumn="1"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Table10_14" displayName="Table10_14" ref="AB3:AD14">
  <tableColumns count="3">
    <tableColumn id="1" xr3:uid="{00000000-0010-0000-5500-000001000000}" name="Data"/>
    <tableColumn id="2" xr3:uid="{00000000-0010-0000-5500-000002000000}" name="BR"/>
    <tableColumn id="3" xr3:uid="{00000000-0010-0000-5500-000003000000}" name="Unhinged肉"/>
  </tableColumns>
  <tableStyleInfo name="BR m Unhinged Pakilo 2 2172026-style 5" showFirstColumn="1" showLastColumn="1"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Melee_DPS_38" displayName="Melee_DPS_38" ref="R16:T25">
  <tableColumns count="3">
    <tableColumn id="1" xr3:uid="{00000000-0010-0000-5600-000001000000}" name="Data"/>
    <tableColumn id="2" xr3:uid="{00000000-0010-0000-5600-000002000000}" name="Yellow"/>
    <tableColumn id="3" xr3:uid="{00000000-0010-0000-5600-000003000000}" name="Red"/>
  </tableColumns>
  <tableStyleInfo name="BR m Unhinged Pakilo 2 2172026-style 6" showFirstColumn="1" showLastColumn="1"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Table3_38" displayName="Table3_38" ref="V16:W26">
  <tableColumns count="2">
    <tableColumn id="1" xr3:uid="{00000000-0010-0000-5700-000001000000}" name="Name"/>
    <tableColumn id="2" xr3:uid="{00000000-0010-0000-5700-000002000000}" name="DT"/>
  </tableColumns>
  <tableStyleInfo name="BR m Unhinged Pakilo 2 2172026-style 7" showFirstColumn="1" showLastColumn="1"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Table2_38" displayName="Table2_38" ref="Y16:Z26">
  <tableColumns count="2">
    <tableColumn id="1" xr3:uid="{00000000-0010-0000-5800-000001000000}" name="Name"/>
    <tableColumn id="2" xr3:uid="{00000000-0010-0000-5800-000002000000}" name="Healed"/>
  </tableColumns>
  <tableStyleInfo name="BR m Unhinged Pakilo 2 2172026-style 8" showFirstColumn="1" showLastColumn="1"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Table9_14" displayName="Table9_14" ref="AB16:AD25">
  <tableColumns count="3">
    <tableColumn id="1" xr3:uid="{00000000-0010-0000-5900-000001000000}" name="Data"/>
    <tableColumn id="2" xr3:uid="{00000000-0010-0000-5900-000002000000}" name="BR"/>
    <tableColumn id="3" xr3:uid="{00000000-0010-0000-5900-000003000000}" name="Unhinged肉"/>
  </tableColumns>
  <tableStyleInfo name="BR m Unhinged Pakilo 2 2172026-style 9" showFirstColumn="1" showLastColumn="1"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Ranged_DPS_38" displayName="Ranged_DPS_38" ref="R29:T46">
  <tableColumns count="3">
    <tableColumn id="1" xr3:uid="{00000000-0010-0000-5A00-000001000000}" name="Data"/>
    <tableColumn id="2" xr3:uid="{00000000-0010-0000-5A00-000002000000}" name="Yellow"/>
    <tableColumn id="3" xr3:uid="{00000000-0010-0000-5A00-000003000000}" name="Red"/>
  </tableColumns>
  <tableStyleInfo name="BR m Unhinged Pakilo 2 2172026-style 10" showFirstColumn="1" showLastColumn="1"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Table11_14" displayName="Table11_14" ref="AB29:AD46">
  <tableColumns count="3">
    <tableColumn id="1" xr3:uid="{00000000-0010-0000-5B00-000001000000}" name="Data"/>
    <tableColumn id="2" xr3:uid="{00000000-0010-0000-5B00-000002000000}" name="BR"/>
    <tableColumn id="3" xr3:uid="{00000000-0010-0000-5B00-000003000000}" name="Unhinged肉"/>
  </tableColumns>
  <tableStyleInfo name="BR m Unhinged Pakilo 2 2172026-style 11" showFirstColumn="1" showLastColumn="1"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Tank_38" displayName="Tank_38" ref="R50:T60">
  <tableColumns count="3">
    <tableColumn id="1" xr3:uid="{00000000-0010-0000-5C00-000001000000}" name="Data"/>
    <tableColumn id="2" xr3:uid="{00000000-0010-0000-5C00-000002000000}" name="Yellow"/>
    <tableColumn id="3" xr3:uid="{00000000-0010-0000-5C00-000003000000}" name="Red"/>
  </tableColumns>
  <tableStyleInfo name="BR m Unhinged Pakilo 2 2172026-style 12" showFirstColumn="1" showLastColumn="1"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Table12_14" displayName="Table12_14" ref="AB50:AD60">
  <tableColumns count="3">
    <tableColumn id="1" xr3:uid="{00000000-0010-0000-5D00-000001000000}" name="Data"/>
    <tableColumn id="2" xr3:uid="{00000000-0010-0000-5D00-000002000000}" name="BR"/>
    <tableColumn id="3" xr3:uid="{00000000-0010-0000-5D00-000003000000}" name="Unhinged肉"/>
  </tableColumns>
  <tableStyleInfo name="BR m Unhinged Pakilo 2 2172026-style 13" showFirstColumn="1" showLastColumn="1"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Healer_38" displayName="Healer_38" ref="R64:T72">
  <tableColumns count="3">
    <tableColumn id="1" xr3:uid="{00000000-0010-0000-5E00-000001000000}" name="Data"/>
    <tableColumn id="2" xr3:uid="{00000000-0010-0000-5E00-000002000000}" name="Yellow"/>
    <tableColumn id="3" xr3:uid="{00000000-0010-0000-5E00-000003000000}" name="Red"/>
  </tableColumns>
  <tableStyleInfo name="BR m Unhinged Pakilo 2 2172026-style 14" showFirstColumn="1" showLastColumn="1"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Table13_14" displayName="Table13_14" ref="AB64:AD72">
  <tableColumns count="3">
    <tableColumn id="1" xr3:uid="{00000000-0010-0000-5F00-000001000000}" name="Data"/>
    <tableColumn id="2" xr3:uid="{00000000-0010-0000-5F00-000002000000}" name="BR"/>
    <tableColumn id="3" xr3:uid="{00000000-0010-0000-5F00-000003000000}" name="Unhinged肉"/>
  </tableColumns>
  <tableStyleInfo name="BR m Unhinged Pakilo 2 2172026-style 15" showFirstColumn="1" showLastColumn="1"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Table14_9" displayName="Table14_9" ref="R76:T84">
  <tableColumns count="3">
    <tableColumn id="1" xr3:uid="{00000000-0010-0000-6000-000001000000}" name="Data"/>
    <tableColumn id="2" xr3:uid="{00000000-0010-0000-6000-000002000000}" name="Yellow"/>
    <tableColumn id="3" xr3:uid="{00000000-0010-0000-6000-000003000000}" name="Red"/>
  </tableColumns>
  <tableStyleInfo name="BR m Unhinged Pakilo 2 2172026-style 16" showFirstColumn="1" showLastColumn="1"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Table17_9" displayName="Table17_9" ref="AB76:AD84">
  <tableColumns count="3">
    <tableColumn id="1" xr3:uid="{00000000-0010-0000-6100-000001000000}" name="Data"/>
    <tableColumn id="2" xr3:uid="{00000000-0010-0000-6100-000002000000}" name="BR"/>
    <tableColumn id="3" xr3:uid="{00000000-0010-0000-6100-000003000000}" name="Unhinged肉"/>
  </tableColumns>
  <tableStyleInfo name="BR m Unhinged Pakilo 2 2172026-style 17" showFirstColumn="1" showLastColumn="1"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Scoreboard_39" displayName="Scoreboard_39" ref="A1:P163">
  <tableColumns count="16">
    <tableColumn id="1" xr3:uid="{00000000-0010-0000-6200-000001000000}" name="/"/>
    <tableColumn id="2" xr3:uid="{00000000-0010-0000-6200-000002000000}" name="Role"/>
    <tableColumn id="3" xr3:uid="{00000000-0010-0000-6200-000003000000}" name="Weapons"/>
    <tableColumn id="4" xr3:uid="{00000000-0010-0000-6200-000004000000}" name="Guild"/>
    <tableColumn id="5" xr3:uid="{00000000-0010-0000-6200-000005000000}" name="Name"/>
    <tableColumn id="6" xr3:uid="{00000000-0010-0000-6200-000006000000}" name="Team"/>
    <tableColumn id="7" xr3:uid="{00000000-0010-0000-6200-000007000000}" name="Kills"/>
    <tableColumn id="8" xr3:uid="{00000000-0010-0000-6200-000008000000}" name="Assists"/>
    <tableColumn id="9" xr3:uid="{00000000-0010-0000-6200-000009000000}" name="K + A"/>
    <tableColumn id="10" xr3:uid="{00000000-0010-0000-6200-00000A000000}" name="Damage Dealt"/>
    <tableColumn id="11" xr3:uid="{00000000-0010-0000-6200-00000B000000}" name="Damage Taken"/>
    <tableColumn id="12" xr3:uid="{00000000-0010-0000-6200-00000C000000}" name="Amount Healed"/>
    <tableColumn id="13" xr3:uid="{00000000-0010-0000-6200-00000D000000}" name="K+A Eff"/>
    <tableColumn id="14" xr3:uid="{00000000-0010-0000-6200-00000E000000}" name="Dmg Dealt Eff"/>
    <tableColumn id="15" xr3:uid="{00000000-0010-0000-6200-00000F000000}" name="Dmg Taken Eff"/>
    <tableColumn id="16" xr3:uid="{00000000-0010-0000-6200-000010000000}" name="Amt Healed Eff"/>
  </tableColumns>
  <tableStyleInfo name="BR m Unhinged Kowa 1 2172026-style" showFirstColumn="1" showLastColumn="1"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Team_Composition_39" displayName="Team_Composition_39" ref="R3:T14">
  <tableColumns count="3">
    <tableColumn id="1" xr3:uid="{00000000-0010-0000-6300-000001000000}" name="Data"/>
    <tableColumn id="2" xr3:uid="{00000000-0010-0000-6300-000002000000}" name="Yellow"/>
    <tableColumn id="3" xr3:uid="{00000000-0010-0000-6300-000003000000}" name="Red"/>
  </tableColumns>
  <tableStyleInfo name="BR m Unhinged Kowa 1 2172026-style 2" showFirstColumn="1" showLastColumn="1"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Table1_39" displayName="Table1_39" ref="V3:W13">
  <tableColumns count="2">
    <tableColumn id="1" xr3:uid="{00000000-0010-0000-6400-000001000000}" name="Name"/>
    <tableColumn id="2" xr3:uid="{00000000-0010-0000-6400-000002000000}" name="K + A"/>
  </tableColumns>
  <tableStyleInfo name="BR m Unhinged Kowa 1 2172026-style 3" showFirstColumn="1" showLastColumn="1"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TopDamage_39" displayName="TopDamage_39" ref="Y3:Z13">
  <tableColumns count="2">
    <tableColumn id="1" xr3:uid="{00000000-0010-0000-6500-000001000000}" name="Name"/>
    <tableColumn id="2" xr3:uid="{00000000-0010-0000-6500-000002000000}" name="Damage"/>
  </tableColumns>
  <tableStyleInfo name="BR m Unhinged Kowa 1 2172026-style 4" showFirstColumn="1" showLastColumn="1"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Table10_15" displayName="Table10_15" ref="AB3:AD14">
  <tableColumns count="3">
    <tableColumn id="1" xr3:uid="{00000000-0010-0000-6600-000001000000}" name="Data"/>
    <tableColumn id="2" xr3:uid="{00000000-0010-0000-6600-000002000000}" name="BR"/>
    <tableColumn id="3" xr3:uid="{00000000-0010-0000-6600-000003000000}" name="Unhinged肉"/>
  </tableColumns>
  <tableStyleInfo name="BR m Unhinged Kowa 1 2172026-style 5" showFirstColumn="1" showLastColumn="1"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Melee_DPS_39" displayName="Melee_DPS_39" ref="R16:T25">
  <tableColumns count="3">
    <tableColumn id="1" xr3:uid="{00000000-0010-0000-6700-000001000000}" name="Data"/>
    <tableColumn id="2" xr3:uid="{00000000-0010-0000-6700-000002000000}" name="Yellow"/>
    <tableColumn id="3" xr3:uid="{00000000-0010-0000-6700-000003000000}" name="Red"/>
  </tableColumns>
  <tableStyleInfo name="BR m Unhinged Kowa 1 2172026-style 6" showFirstColumn="1" showLastColumn="1"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Table3_39" displayName="Table3_39" ref="V16:W26">
  <tableColumns count="2">
    <tableColumn id="1" xr3:uid="{00000000-0010-0000-6800-000001000000}" name="Name"/>
    <tableColumn id="2" xr3:uid="{00000000-0010-0000-6800-000002000000}" name="DT"/>
  </tableColumns>
  <tableStyleInfo name="BR m Unhinged Kowa 1 2172026-style 7" showFirstColumn="1" showLastColumn="1"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Table2_39" displayName="Table2_39" ref="Y16:Z26">
  <tableColumns count="2">
    <tableColumn id="1" xr3:uid="{00000000-0010-0000-6900-000001000000}" name="Name"/>
    <tableColumn id="2" xr3:uid="{00000000-0010-0000-6900-000002000000}" name="Healed"/>
  </tableColumns>
  <tableStyleInfo name="BR m Unhinged Kowa 1 2172026-style 8" showFirstColumn="1" showLastColumn="1"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Table9_15" displayName="Table9_15" ref="AB16:AD25">
  <tableColumns count="3">
    <tableColumn id="1" xr3:uid="{00000000-0010-0000-6A00-000001000000}" name="Data"/>
    <tableColumn id="2" xr3:uid="{00000000-0010-0000-6A00-000002000000}" name="BR"/>
    <tableColumn id="3" xr3:uid="{00000000-0010-0000-6A00-000003000000}" name="Unhinged肉"/>
  </tableColumns>
  <tableStyleInfo name="BR m Unhinged Kowa 1 2172026-style 9" showFirstColumn="1" showLastColumn="1"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Ranged_DPS_39" displayName="Ranged_DPS_39" ref="R29:T46">
  <tableColumns count="3">
    <tableColumn id="1" xr3:uid="{00000000-0010-0000-6B00-000001000000}" name="Data"/>
    <tableColumn id="2" xr3:uid="{00000000-0010-0000-6B00-000002000000}" name="Yellow"/>
    <tableColumn id="3" xr3:uid="{00000000-0010-0000-6B00-000003000000}" name="Red"/>
  </tableColumns>
  <tableStyleInfo name="BR m Unhinged Kowa 1 2172026-style 10" showFirstColumn="1" showLastColumn="1"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Table11_15" displayName="Table11_15" ref="AB29:AD46">
  <tableColumns count="3">
    <tableColumn id="1" xr3:uid="{00000000-0010-0000-6C00-000001000000}" name="Data"/>
    <tableColumn id="2" xr3:uid="{00000000-0010-0000-6C00-000002000000}" name="BR"/>
    <tableColumn id="3" xr3:uid="{00000000-0010-0000-6C00-000003000000}" name="Unhinged肉"/>
  </tableColumns>
  <tableStyleInfo name="BR m Unhinged Kowa 1 2172026-style 11" showFirstColumn="1" showLastColumn="1"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Tank_39" displayName="Tank_39" ref="R50:T60">
  <tableColumns count="3">
    <tableColumn id="1" xr3:uid="{00000000-0010-0000-6D00-000001000000}" name="Data"/>
    <tableColumn id="2" xr3:uid="{00000000-0010-0000-6D00-000002000000}" name="Yellow"/>
    <tableColumn id="3" xr3:uid="{00000000-0010-0000-6D00-000003000000}" name="Red"/>
  </tableColumns>
  <tableStyleInfo name="BR m Unhinged Kowa 1 2172026-style 12" showFirstColumn="1" showLastColumn="1"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Table12_15" displayName="Table12_15" ref="AB50:AD60">
  <tableColumns count="3">
    <tableColumn id="1" xr3:uid="{00000000-0010-0000-6E00-000001000000}" name="Data"/>
    <tableColumn id="2" xr3:uid="{00000000-0010-0000-6E00-000002000000}" name="BR"/>
    <tableColumn id="3" xr3:uid="{00000000-0010-0000-6E00-000003000000}" name="Unhinged肉"/>
  </tableColumns>
  <tableStyleInfo name="BR m Unhinged Kowa 1 2172026-style 13" showFirstColumn="1" showLastColumn="1"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Healer_39" displayName="Healer_39" ref="R64:T72">
  <tableColumns count="3">
    <tableColumn id="1" xr3:uid="{00000000-0010-0000-6F00-000001000000}" name="Data"/>
    <tableColumn id="2" xr3:uid="{00000000-0010-0000-6F00-000002000000}" name="Yellow"/>
    <tableColumn id="3" xr3:uid="{00000000-0010-0000-6F00-000003000000}" name="Red"/>
  </tableColumns>
  <tableStyleInfo name="BR m Unhinged Kowa 1 2172026-style 14" showFirstColumn="1" showLastColumn="1"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Table13_15" displayName="Table13_15" ref="AB64:AD72">
  <tableColumns count="3">
    <tableColumn id="1" xr3:uid="{00000000-0010-0000-7000-000001000000}" name="Data"/>
    <tableColumn id="2" xr3:uid="{00000000-0010-0000-7000-000002000000}" name="BR"/>
    <tableColumn id="3" xr3:uid="{00000000-0010-0000-7000-000003000000}" name="Unhinged肉"/>
  </tableColumns>
  <tableStyleInfo name="BR m Unhinged Kowa 1 2172026-style 15" showFirstColumn="1" showLastColumn="1"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Table14_10" displayName="Table14_10" ref="R76:T84">
  <tableColumns count="3">
    <tableColumn id="1" xr3:uid="{00000000-0010-0000-7100-000001000000}" name="Data"/>
    <tableColumn id="2" xr3:uid="{00000000-0010-0000-7100-000002000000}" name="Yellow"/>
    <tableColumn id="3" xr3:uid="{00000000-0010-0000-7100-000003000000}" name="Red"/>
  </tableColumns>
  <tableStyleInfo name="BR m Unhinged Kowa 1 2172026-style 16" showFirstColumn="1" showLastColumn="1"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Table17_10" displayName="Table17_10" ref="AB76:AD84">
  <tableColumns count="3">
    <tableColumn id="1" xr3:uid="{00000000-0010-0000-7200-000001000000}" name="Data"/>
    <tableColumn id="2" xr3:uid="{00000000-0010-0000-7200-000002000000}" name="BR"/>
    <tableColumn id="3" xr3:uid="{00000000-0010-0000-7200-000003000000}" name="Unhinged肉"/>
  </tableColumns>
  <tableStyleInfo name="BR m Unhinged Kowa 1 2172026-style 17" showFirstColumn="1" showLastColumn="1"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Scoreboard_37" displayName="Scoreboard_37" ref="A1:P163">
  <tableColumns count="16">
    <tableColumn id="1" xr3:uid="{00000000-0010-0000-7300-000001000000}" name="B"/>
    <tableColumn id="2" xr3:uid="{00000000-0010-0000-7300-000002000000}" name="Role"/>
    <tableColumn id="3" xr3:uid="{00000000-0010-0000-7300-000003000000}" name="Weapons"/>
    <tableColumn id="4" xr3:uid="{00000000-0010-0000-7300-000004000000}" name="Guild"/>
    <tableColumn id="5" xr3:uid="{00000000-0010-0000-7300-000005000000}" name="Name"/>
    <tableColumn id="6" xr3:uid="{00000000-0010-0000-7300-000006000000}" name="Team"/>
    <tableColumn id="7" xr3:uid="{00000000-0010-0000-7300-000007000000}" name="Kills"/>
    <tableColumn id="8" xr3:uid="{00000000-0010-0000-7300-000008000000}" name="Assists"/>
    <tableColumn id="9" xr3:uid="{00000000-0010-0000-7300-000009000000}" name="K + A"/>
    <tableColumn id="10" xr3:uid="{00000000-0010-0000-7300-00000A000000}" name="Damage Dealt"/>
    <tableColumn id="11" xr3:uid="{00000000-0010-0000-7300-00000B000000}" name="Damage Taken"/>
    <tableColumn id="12" xr3:uid="{00000000-0010-0000-7300-00000C000000}" name="Amount Healed"/>
    <tableColumn id="13" xr3:uid="{00000000-0010-0000-7300-00000D000000}" name="K+A Eff"/>
    <tableColumn id="14" xr3:uid="{00000000-0010-0000-7300-00000E000000}" name="Dmg Dealt Eff"/>
    <tableColumn id="15" xr3:uid="{00000000-0010-0000-7300-00000F000000}" name="Dmg Taken Eff"/>
    <tableColumn id="16" xr3:uid="{00000000-0010-0000-7300-000010000000}" name="Amt Healed Eff"/>
  </tableColumns>
  <tableStyleInfo name="BR v Highly Regarded 2 Cherno 2-style" showFirstColumn="1" showLastColumn="1"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Team_Composition_37" displayName="Team_Composition_37" ref="R3:T14">
  <tableColumns count="3">
    <tableColumn id="1" xr3:uid="{00000000-0010-0000-7400-000001000000}" name="Data"/>
    <tableColumn id="2" xr3:uid="{00000000-0010-0000-7400-000002000000}" name="Yellow"/>
    <tableColumn id="3" xr3:uid="{00000000-0010-0000-7400-000003000000}" name="Red"/>
  </tableColumns>
  <tableStyleInfo name="BR v Highly Regarded 2 Cherno 2-style 2" showFirstColumn="1" showLastColumn="1"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Table1_37" displayName="Table1_37" ref="V3:W13">
  <tableColumns count="2">
    <tableColumn id="1" xr3:uid="{00000000-0010-0000-7500-000001000000}" name="Name"/>
    <tableColumn id="2" xr3:uid="{00000000-0010-0000-7500-000002000000}" name="K + A"/>
  </tableColumns>
  <tableStyleInfo name="BR v Highly Regarded 2 Cherno 2-style 3" showFirstColumn="1" showLastColumn="1"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TopDamage_37" displayName="TopDamage_37" ref="Y3:Z13">
  <tableColumns count="2">
    <tableColumn id="1" xr3:uid="{00000000-0010-0000-7600-000001000000}" name="Name"/>
    <tableColumn id="2" xr3:uid="{00000000-0010-0000-7600-000002000000}" name="Damage"/>
  </tableColumns>
  <tableStyleInfo name="BR v Highly Regarded 2 Cherno 2-style 4" showFirstColumn="1" showLastColumn="1"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Table10_13" displayName="Table10_13" ref="AB3:AD14">
  <tableColumns count="3">
    <tableColumn id="1" xr3:uid="{00000000-0010-0000-7700-000001000000}" name="Data"/>
    <tableColumn id="2" xr3:uid="{00000000-0010-0000-7700-000002000000}" name="BR"/>
    <tableColumn id="3" xr3:uid="{00000000-0010-0000-7700-000003000000}" name="Undercooked"/>
  </tableColumns>
  <tableStyleInfo name="BR v Highly Regarded 2 Cherno 2-style 5" showFirstColumn="1" showLastColumn="1"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Melee_DPS_37" displayName="Melee_DPS_37" ref="R16:T25">
  <tableColumns count="3">
    <tableColumn id="1" xr3:uid="{00000000-0010-0000-7800-000001000000}" name="Data"/>
    <tableColumn id="2" xr3:uid="{00000000-0010-0000-7800-000002000000}" name="Yellow"/>
    <tableColumn id="3" xr3:uid="{00000000-0010-0000-7800-000003000000}" name="Red"/>
  </tableColumns>
  <tableStyleInfo name="BR v Highly Regarded 2 Cherno 2-style 6" showFirstColumn="1" showLastColumn="1"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Table3_37" displayName="Table3_37" ref="V16:W26">
  <tableColumns count="2">
    <tableColumn id="1" xr3:uid="{00000000-0010-0000-7900-000001000000}" name="Name"/>
    <tableColumn id="2" xr3:uid="{00000000-0010-0000-7900-000002000000}" name="DT"/>
  </tableColumns>
  <tableStyleInfo name="BR v Highly Regarded 2 Cherno 2-style 7" showFirstColumn="1" showLastColumn="1"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Table2_37" displayName="Table2_37" ref="Y16:Z26">
  <tableColumns count="2">
    <tableColumn id="1" xr3:uid="{00000000-0010-0000-7A00-000001000000}" name="Name"/>
    <tableColumn id="2" xr3:uid="{00000000-0010-0000-7A00-000002000000}" name="Healed"/>
  </tableColumns>
  <tableStyleInfo name="BR v Highly Regarded 2 Cherno 2-style 8" showFirstColumn="1" showLastColumn="1"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Table9_13" displayName="Table9_13" ref="AB16:AD25">
  <tableColumns count="3">
    <tableColumn id="1" xr3:uid="{00000000-0010-0000-7B00-000001000000}" name="Data"/>
    <tableColumn id="2" xr3:uid="{00000000-0010-0000-7B00-000002000000}" name="BR"/>
    <tableColumn id="3" xr3:uid="{00000000-0010-0000-7B00-000003000000}" name="Undercooked"/>
  </tableColumns>
  <tableStyleInfo name="BR v Highly Regarded 2 Cherno 2-style 9" showFirstColumn="1" showLastColumn="1"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Ranged_DPS_37" displayName="Ranged_DPS_37" ref="R29:T46">
  <tableColumns count="3">
    <tableColumn id="1" xr3:uid="{00000000-0010-0000-7C00-000001000000}" name="Data"/>
    <tableColumn id="2" xr3:uid="{00000000-0010-0000-7C00-000002000000}" name="Yellow"/>
    <tableColumn id="3" xr3:uid="{00000000-0010-0000-7C00-000003000000}" name="Red"/>
  </tableColumns>
  <tableStyleInfo name="BR v Highly Regarded 2 Cherno 2-style 10" showFirstColumn="1" showLastColumn="1"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Table11_13" displayName="Table11_13" ref="AB29:AD46">
  <tableColumns count="3">
    <tableColumn id="1" xr3:uid="{00000000-0010-0000-7D00-000001000000}" name="Data"/>
    <tableColumn id="2" xr3:uid="{00000000-0010-0000-7D00-000002000000}" name="BR"/>
    <tableColumn id="3" xr3:uid="{00000000-0010-0000-7D00-000003000000}" name="Undercooked"/>
  </tableColumns>
  <tableStyleInfo name="BR v Highly Regarded 2 Cherno 2-style 11" showFirstColumn="1" showLastColumn="1"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E000000}" name="Tank_37" displayName="Tank_37" ref="R50:T60">
  <tableColumns count="3">
    <tableColumn id="1" xr3:uid="{00000000-0010-0000-7E00-000001000000}" name="Data"/>
    <tableColumn id="2" xr3:uid="{00000000-0010-0000-7E00-000002000000}" name="Yellow"/>
    <tableColumn id="3" xr3:uid="{00000000-0010-0000-7E00-000003000000}" name="Red"/>
  </tableColumns>
  <tableStyleInfo name="BR v Highly Regarded 2 Cherno 2-style 12" showFirstColumn="1" showLastColumn="1"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F000000}" name="Table12_13" displayName="Table12_13" ref="AB50:AD60">
  <tableColumns count="3">
    <tableColumn id="1" xr3:uid="{00000000-0010-0000-7F00-000001000000}" name="Data"/>
    <tableColumn id="2" xr3:uid="{00000000-0010-0000-7F00-000002000000}" name="BR"/>
    <tableColumn id="3" xr3:uid="{00000000-0010-0000-7F00-000003000000}" name="Undercooked"/>
  </tableColumns>
  <tableStyleInfo name="BR v Highly Regarded 2 Cherno 2-style 13" showFirstColumn="1" showLastColumn="1"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80000000}" name="Healer_37" displayName="Healer_37" ref="R64:T72">
  <tableColumns count="3">
    <tableColumn id="1" xr3:uid="{00000000-0010-0000-8000-000001000000}" name="Data"/>
    <tableColumn id="2" xr3:uid="{00000000-0010-0000-8000-000002000000}" name="Yellow"/>
    <tableColumn id="3" xr3:uid="{00000000-0010-0000-8000-000003000000}" name="Red"/>
  </tableColumns>
  <tableStyleInfo name="BR v Highly Regarded 2 Cherno 2-style 14" showFirstColumn="1" showLastColumn="1"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81000000}" name="Table13_13" displayName="Table13_13" ref="AB64:AD72">
  <tableColumns count="3">
    <tableColumn id="1" xr3:uid="{00000000-0010-0000-8100-000001000000}" name="Data"/>
    <tableColumn id="2" xr3:uid="{00000000-0010-0000-8100-000002000000}" name="BR"/>
    <tableColumn id="3" xr3:uid="{00000000-0010-0000-8100-000003000000}" name="Undercooked"/>
  </tableColumns>
  <tableStyleInfo name="BR v Highly Regarded 2 Cherno 2-style 15" showFirstColumn="1" showLastColumn="1"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82000000}" name="Table14_8" displayName="Table14_8" ref="R76:T84">
  <tableColumns count="3">
    <tableColumn id="1" xr3:uid="{00000000-0010-0000-8200-000001000000}" name="Data"/>
    <tableColumn id="2" xr3:uid="{00000000-0010-0000-8200-000002000000}" name="Yellow"/>
    <tableColumn id="3" xr3:uid="{00000000-0010-0000-8200-000003000000}" name="Red"/>
  </tableColumns>
  <tableStyleInfo name="BR v Highly Regarded 2 Cherno 2-style 16" showFirstColumn="1" showLastColumn="1"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83000000}" name="Table17_8" displayName="Table17_8" ref="AB76:AD84">
  <tableColumns count="3">
    <tableColumn id="1" xr3:uid="{00000000-0010-0000-8300-000001000000}" name="Data"/>
    <tableColumn id="2" xr3:uid="{00000000-0010-0000-8300-000002000000}" name="BR"/>
    <tableColumn id="3" xr3:uid="{00000000-0010-0000-8300-000003000000}" name="Undercooked"/>
  </tableColumns>
  <tableStyleInfo name="BR v Highly Regarded 2 Cherno 2-style 17" showFirstColumn="1" showLastColumn="1"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84000000}" name="Scoreboard_36" displayName="Scoreboard_36" ref="A1:P163">
  <tableColumns count="16">
    <tableColumn id="1" xr3:uid="{00000000-0010-0000-8400-000001000000}" name="/"/>
    <tableColumn id="2" xr3:uid="{00000000-0010-0000-8400-000002000000}" name="Role"/>
    <tableColumn id="3" xr3:uid="{00000000-0010-0000-8400-000003000000}" name="Weapons"/>
    <tableColumn id="4" xr3:uid="{00000000-0010-0000-8400-000004000000}" name="Guild"/>
    <tableColumn id="5" xr3:uid="{00000000-0010-0000-8400-000005000000}" name="Name"/>
    <tableColumn id="6" xr3:uid="{00000000-0010-0000-8400-000006000000}" name="Team"/>
    <tableColumn id="7" xr3:uid="{00000000-0010-0000-8400-000007000000}" name="Kills"/>
    <tableColumn id="8" xr3:uid="{00000000-0010-0000-8400-000008000000}" name="Assists"/>
    <tableColumn id="9" xr3:uid="{00000000-0010-0000-8400-000009000000}" name="K + A"/>
    <tableColumn id="10" xr3:uid="{00000000-0010-0000-8400-00000A000000}" name="Damage Dealt"/>
    <tableColumn id="11" xr3:uid="{00000000-0010-0000-8400-00000B000000}" name="Damage Taken"/>
    <tableColumn id="12" xr3:uid="{00000000-0010-0000-8400-00000C000000}" name="Amount Healed"/>
    <tableColumn id="13" xr3:uid="{00000000-0010-0000-8400-00000D000000}" name="K+A Eff"/>
    <tableColumn id="14" xr3:uid="{00000000-0010-0000-8400-00000E000000}" name="Dmg Dealt Eff"/>
    <tableColumn id="15" xr3:uid="{00000000-0010-0000-8400-00000F000000}" name="Dmg Taken Eff"/>
    <tableColumn id="16" xr3:uid="{00000000-0010-0000-8400-000010000000}" name="Amt Healed Eff"/>
  </tableColumns>
  <tableStyleInfo name="BR v Highly Regarded 1 Talus 21-style" showFirstColumn="1" showLastColumn="1"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85000000}" name="Team_Composition_36" displayName="Team_Composition_36" ref="R3:T14">
  <tableColumns count="3">
    <tableColumn id="1" xr3:uid="{00000000-0010-0000-8500-000001000000}" name="Data"/>
    <tableColumn id="2" xr3:uid="{00000000-0010-0000-8500-000002000000}" name="Yellow"/>
    <tableColumn id="3" xr3:uid="{00000000-0010-0000-8500-000003000000}" name="Red"/>
  </tableColumns>
  <tableStyleInfo name="BR v Highly Regarded 1 Talus 21-style 2" showFirstColumn="1" showLastColumn="1"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86000000}" name="Table1_36" displayName="Table1_36" ref="V3:W13">
  <tableColumns count="2">
    <tableColumn id="1" xr3:uid="{00000000-0010-0000-8600-000001000000}" name="Name"/>
    <tableColumn id="2" xr3:uid="{00000000-0010-0000-8600-000002000000}" name="K + A"/>
  </tableColumns>
  <tableStyleInfo name="BR v Highly Regarded 1 Talus 21-style 3" showFirstColumn="1" showLastColumn="1"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87000000}" name="TopDamage_36" displayName="TopDamage_36" ref="Y3:Z13">
  <tableColumns count="2">
    <tableColumn id="1" xr3:uid="{00000000-0010-0000-8700-000001000000}" name="Name"/>
    <tableColumn id="2" xr3:uid="{00000000-0010-0000-8700-000002000000}" name="Damage"/>
  </tableColumns>
  <tableStyleInfo name="BR v Highly Regarded 1 Talus 21-style 4" showFirstColumn="1" showLastColumn="1"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88000000}" name="Table10_12" displayName="Table10_12" ref="AB3:AD14">
  <tableColumns count="3">
    <tableColumn id="1" xr3:uid="{00000000-0010-0000-8800-000001000000}" name="Data"/>
    <tableColumn id="2" xr3:uid="{00000000-0010-0000-8800-000002000000}" name="BR"/>
    <tableColumn id="3" xr3:uid="{00000000-0010-0000-8800-000003000000}" name="Undercooked"/>
  </tableColumns>
  <tableStyleInfo name="BR v Highly Regarded 1 Talus 21-style 5" showFirstColumn="1" showLastColumn="1"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89000000}" name="Melee_DPS_36" displayName="Melee_DPS_36" ref="R16:T25">
  <tableColumns count="3">
    <tableColumn id="1" xr3:uid="{00000000-0010-0000-8900-000001000000}" name="Data"/>
    <tableColumn id="2" xr3:uid="{00000000-0010-0000-8900-000002000000}" name="Yellow"/>
    <tableColumn id="3" xr3:uid="{00000000-0010-0000-8900-000003000000}" name="Red"/>
  </tableColumns>
  <tableStyleInfo name="BR v Highly Regarded 1 Talus 21-style 6" showFirstColumn="1" showLastColumn="1"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8A000000}" name="Table3_36" displayName="Table3_36" ref="V16:W26">
  <tableColumns count="2">
    <tableColumn id="1" xr3:uid="{00000000-0010-0000-8A00-000001000000}" name="Name"/>
    <tableColumn id="2" xr3:uid="{00000000-0010-0000-8A00-000002000000}" name="DT"/>
  </tableColumns>
  <tableStyleInfo name="BR v Highly Regarded 1 Talus 21-style 7" showFirstColumn="1" showLastColumn="1"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8B000000}" name="Table2_36" displayName="Table2_36" ref="Y16:Z26">
  <tableColumns count="2">
    <tableColumn id="1" xr3:uid="{00000000-0010-0000-8B00-000001000000}" name="Name"/>
    <tableColumn id="2" xr3:uid="{00000000-0010-0000-8B00-000002000000}" name="Healed"/>
  </tableColumns>
  <tableStyleInfo name="BR v Highly Regarded 1 Talus 21-style 8" showFirstColumn="1" showLastColumn="1"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8C000000}" name="Table9_12" displayName="Table9_12" ref="AB16:AD25">
  <tableColumns count="3">
    <tableColumn id="1" xr3:uid="{00000000-0010-0000-8C00-000001000000}" name="Data"/>
    <tableColumn id="2" xr3:uid="{00000000-0010-0000-8C00-000002000000}" name="BR"/>
    <tableColumn id="3" xr3:uid="{00000000-0010-0000-8C00-000003000000}" name="Undercooked"/>
  </tableColumns>
  <tableStyleInfo name="BR v Highly Regarded 1 Talus 21-style 9" showFirstColumn="1" showLastColumn="1"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8D000000}" name="Ranged_DPS_36" displayName="Ranged_DPS_36" ref="R29:T46">
  <tableColumns count="3">
    <tableColumn id="1" xr3:uid="{00000000-0010-0000-8D00-000001000000}" name="Data"/>
    <tableColumn id="2" xr3:uid="{00000000-0010-0000-8D00-000002000000}" name="Yellow"/>
    <tableColumn id="3" xr3:uid="{00000000-0010-0000-8D00-000003000000}" name="Red"/>
  </tableColumns>
  <tableStyleInfo name="BR v Highly Regarded 1 Talus 21-style 10" showFirstColumn="1" showLastColumn="1"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8E000000}" name="Table11_12" displayName="Table11_12" ref="AB29:AD46">
  <tableColumns count="3">
    <tableColumn id="1" xr3:uid="{00000000-0010-0000-8E00-000001000000}" name="Data"/>
    <tableColumn id="2" xr3:uid="{00000000-0010-0000-8E00-000002000000}" name="BR"/>
    <tableColumn id="3" xr3:uid="{00000000-0010-0000-8E00-000003000000}" name="Undercooked"/>
  </tableColumns>
  <tableStyleInfo name="BR v Highly Regarded 1 Talus 21-style 11" showFirstColumn="1" showLastColumn="1"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8F000000}" name="Tank_36" displayName="Tank_36" ref="R50:T60">
  <tableColumns count="3">
    <tableColumn id="1" xr3:uid="{00000000-0010-0000-8F00-000001000000}" name="Data"/>
    <tableColumn id="2" xr3:uid="{00000000-0010-0000-8F00-000002000000}" name="Yellow"/>
    <tableColumn id="3" xr3:uid="{00000000-0010-0000-8F00-000003000000}" name="Red"/>
  </tableColumns>
  <tableStyleInfo name="BR v Highly Regarded 1 Talus 21-style 12" showFirstColumn="1" showLastColumn="1"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90000000}" name="Table12_12" displayName="Table12_12" ref="AB50:AD60">
  <tableColumns count="3">
    <tableColumn id="1" xr3:uid="{00000000-0010-0000-9000-000001000000}" name="Data"/>
    <tableColumn id="2" xr3:uid="{00000000-0010-0000-9000-000002000000}" name="BR"/>
    <tableColumn id="3" xr3:uid="{00000000-0010-0000-9000-000003000000}" name="Undercooked"/>
  </tableColumns>
  <tableStyleInfo name="BR v Highly Regarded 1 Talus 21-style 13" showFirstColumn="1" showLastColumn="1"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91000000}" name="Healer_36" displayName="Healer_36" ref="R64:T72">
  <tableColumns count="3">
    <tableColumn id="1" xr3:uid="{00000000-0010-0000-9100-000001000000}" name="Data"/>
    <tableColumn id="2" xr3:uid="{00000000-0010-0000-9100-000002000000}" name="Yellow"/>
    <tableColumn id="3" xr3:uid="{00000000-0010-0000-9100-000003000000}" name="Red"/>
  </tableColumns>
  <tableStyleInfo name="BR v Highly Regarded 1 Talus 21-style 14" showFirstColumn="1" showLastColumn="1"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92000000}" name="Table13_12" displayName="Table13_12" ref="AB64:AD72">
  <tableColumns count="3">
    <tableColumn id="1" xr3:uid="{00000000-0010-0000-9200-000001000000}" name="Data"/>
    <tableColumn id="2" xr3:uid="{00000000-0010-0000-9200-000002000000}" name="BR"/>
    <tableColumn id="3" xr3:uid="{00000000-0010-0000-9200-000003000000}" name="Undercooked"/>
  </tableColumns>
  <tableStyleInfo name="BR v Highly Regarded 1 Talus 21-style 15" showFirstColumn="1" showLastColumn="1"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93000000}" name="Table14_7" displayName="Table14_7" ref="R76:T84">
  <tableColumns count="3">
    <tableColumn id="1" xr3:uid="{00000000-0010-0000-9300-000001000000}" name="Data"/>
    <tableColumn id="2" xr3:uid="{00000000-0010-0000-9300-000002000000}" name="Yellow"/>
    <tableColumn id="3" xr3:uid="{00000000-0010-0000-9300-000003000000}" name="Red"/>
  </tableColumns>
  <tableStyleInfo name="BR v Highly Regarded 1 Talus 21-style 16" showFirstColumn="1" showLastColumn="1"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94000000}" name="Table17_7" displayName="Table17_7" ref="AB76:AD84">
  <tableColumns count="3">
    <tableColumn id="1" xr3:uid="{00000000-0010-0000-9400-000001000000}" name="Data"/>
    <tableColumn id="2" xr3:uid="{00000000-0010-0000-9400-000002000000}" name="BR"/>
    <tableColumn id="3" xr3:uid="{00000000-0010-0000-9400-000003000000}" name="Undercooked"/>
  </tableColumns>
  <tableStyleInfo name="BR v Highly Regarded 1 Talus 21-style 17" showFirstColumn="1" showLastColumn="1"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0000000-000C-0000-FFFF-FFFF95000000}" name="Scoreboard_35" displayName="Scoreboard_35" ref="A1:P163">
  <tableColumns count="16">
    <tableColumn id="1" xr3:uid="{00000000-0010-0000-9500-000001000000}" name="/"/>
    <tableColumn id="2" xr3:uid="{00000000-0010-0000-9500-000002000000}" name="Role"/>
    <tableColumn id="3" xr3:uid="{00000000-0010-0000-9500-000003000000}" name="Weapons"/>
    <tableColumn id="4" xr3:uid="{00000000-0010-0000-9500-000004000000}" name="Guild"/>
    <tableColumn id="5" xr3:uid="{00000000-0010-0000-9500-000005000000}" name="Name"/>
    <tableColumn id="6" xr3:uid="{00000000-0010-0000-9500-000006000000}" name="Team"/>
    <tableColumn id="7" xr3:uid="{00000000-0010-0000-9500-000007000000}" name="Kills"/>
    <tableColumn id="8" xr3:uid="{00000000-0010-0000-9500-000008000000}" name="Assists"/>
    <tableColumn id="9" xr3:uid="{00000000-0010-0000-9500-000009000000}" name="K + A"/>
    <tableColumn id="10" xr3:uid="{00000000-0010-0000-9500-00000A000000}" name="Damage Dealt"/>
    <tableColumn id="11" xr3:uid="{00000000-0010-0000-9500-00000B000000}" name="Damage Taken"/>
    <tableColumn id="12" xr3:uid="{00000000-0010-0000-9500-00000C000000}" name="Amount Healed"/>
    <tableColumn id="13" xr3:uid="{00000000-0010-0000-9500-00000D000000}" name="K+A Eff"/>
    <tableColumn id="14" xr3:uid="{00000000-0010-0000-9500-00000E000000}" name="Dmg Dealt Eff"/>
    <tableColumn id="15" xr3:uid="{00000000-0010-0000-9500-00000F000000}" name="Dmg Taken Eff"/>
    <tableColumn id="16" xr3:uid="{00000000-0010-0000-9500-000010000000}" name="Amt Healed Eff"/>
  </tableColumns>
  <tableStyleInfo name="BR m Undercooked Aden 2 2112026-style" showFirstColumn="1" showLastColumn="1"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0000000-000C-0000-FFFF-FFFF96000000}" name="Team_Composition_35" displayName="Team_Composition_35" ref="R3:T14">
  <tableColumns count="3">
    <tableColumn id="1" xr3:uid="{00000000-0010-0000-9600-000001000000}" name="Data"/>
    <tableColumn id="2" xr3:uid="{00000000-0010-0000-9600-000002000000}" name="Yellow"/>
    <tableColumn id="3" xr3:uid="{00000000-0010-0000-9600-000003000000}" name="Red"/>
  </tableColumns>
  <tableStyleInfo name="BR m Undercooked Aden 2 2112026-style 2" showFirstColumn="1" showLastColumn="1"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97000000}" name="Table1_35" displayName="Table1_35" ref="V3:W13">
  <tableColumns count="2">
    <tableColumn id="1" xr3:uid="{00000000-0010-0000-9700-000001000000}" name="Name"/>
    <tableColumn id="2" xr3:uid="{00000000-0010-0000-9700-000002000000}" name="K + A"/>
  </tableColumns>
  <tableStyleInfo name="BR m Undercooked Aden 2 2112026-style 3" showFirstColumn="1" showLastColumn="1"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98000000}" name="TopDamage_35" displayName="TopDamage_35" ref="Y3:Z13">
  <tableColumns count="2">
    <tableColumn id="1" xr3:uid="{00000000-0010-0000-9800-000001000000}" name="Name"/>
    <tableColumn id="2" xr3:uid="{00000000-0010-0000-9800-000002000000}" name="Damage"/>
  </tableColumns>
  <tableStyleInfo name="BR m Undercooked Aden 2 2112026-style 4" showFirstColumn="1" showLastColumn="1"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0000000-000C-0000-FFFF-FFFF99000000}" name="Table10_11" displayName="Table10_11" ref="AB3:AD14">
  <tableColumns count="3">
    <tableColumn id="1" xr3:uid="{00000000-0010-0000-9900-000001000000}" name="Data"/>
    <tableColumn id="2" xr3:uid="{00000000-0010-0000-9900-000002000000}" name="BR"/>
    <tableColumn id="3" xr3:uid="{00000000-0010-0000-9900-000003000000}" name="Undercooked"/>
  </tableColumns>
  <tableStyleInfo name="BR m Undercooked Aden 2 2112026-style 5" showFirstColumn="1" showLastColumn="1"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00000000-000C-0000-FFFF-FFFF9A000000}" name="Melee_DPS_35" displayName="Melee_DPS_35" ref="R16:T25">
  <tableColumns count="3">
    <tableColumn id="1" xr3:uid="{00000000-0010-0000-9A00-000001000000}" name="Data"/>
    <tableColumn id="2" xr3:uid="{00000000-0010-0000-9A00-000002000000}" name="Yellow"/>
    <tableColumn id="3" xr3:uid="{00000000-0010-0000-9A00-000003000000}" name="Red"/>
  </tableColumns>
  <tableStyleInfo name="BR m Undercooked Aden 2 2112026-style 6" showFirstColumn="1" showLastColumn="1"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0000000-000C-0000-FFFF-FFFF9B000000}" name="Table3_35" displayName="Table3_35" ref="V16:W26">
  <tableColumns count="2">
    <tableColumn id="1" xr3:uid="{00000000-0010-0000-9B00-000001000000}" name="Name"/>
    <tableColumn id="2" xr3:uid="{00000000-0010-0000-9B00-000002000000}" name="DT"/>
  </tableColumns>
  <tableStyleInfo name="BR m Undercooked Aden 2 2112026-style 7" showFirstColumn="1" showLastColumn="1"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9C000000}" name="Table2_35" displayName="Table2_35" ref="Y16:Z26">
  <tableColumns count="2">
    <tableColumn id="1" xr3:uid="{00000000-0010-0000-9C00-000001000000}" name="Name"/>
    <tableColumn id="2" xr3:uid="{00000000-0010-0000-9C00-000002000000}" name="Healed"/>
  </tableColumns>
  <tableStyleInfo name="BR m Undercooked Aden 2 2112026-style 8" showFirstColumn="1" showLastColumn="1"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9D000000}" name="Table9_11" displayName="Table9_11" ref="AB16:AD25">
  <tableColumns count="3">
    <tableColumn id="1" xr3:uid="{00000000-0010-0000-9D00-000001000000}" name="Data"/>
    <tableColumn id="2" xr3:uid="{00000000-0010-0000-9D00-000002000000}" name="BR"/>
    <tableColumn id="3" xr3:uid="{00000000-0010-0000-9D00-000003000000}" name="Undercooked"/>
  </tableColumns>
  <tableStyleInfo name="BR m Undercooked Aden 2 2112026-style 9" showFirstColumn="1" showLastColumn="1"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0000000-000C-0000-FFFF-FFFF9E000000}" name="Ranged_DPS_35" displayName="Ranged_DPS_35" ref="R29:T46">
  <tableColumns count="3">
    <tableColumn id="1" xr3:uid="{00000000-0010-0000-9E00-000001000000}" name="Data"/>
    <tableColumn id="2" xr3:uid="{00000000-0010-0000-9E00-000002000000}" name="Yellow"/>
    <tableColumn id="3" xr3:uid="{00000000-0010-0000-9E00-000003000000}" name="Red"/>
  </tableColumns>
  <tableStyleInfo name="BR m Undercooked Aden 2 2112026-style 10" showFirstColumn="1" showLastColumn="1"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00000000-000C-0000-FFFF-FFFF9F000000}" name="Table11_11" displayName="Table11_11" ref="AB29:AD46">
  <tableColumns count="3">
    <tableColumn id="1" xr3:uid="{00000000-0010-0000-9F00-000001000000}" name="Data"/>
    <tableColumn id="2" xr3:uid="{00000000-0010-0000-9F00-000002000000}" name="BR"/>
    <tableColumn id="3" xr3:uid="{00000000-0010-0000-9F00-000003000000}" name="Undercooked"/>
  </tableColumns>
  <tableStyleInfo name="BR m Undercooked Aden 2 2112026-style 11" showFirstColumn="1" showLastColumn="1"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00000000-000C-0000-FFFF-FFFFA0000000}" name="Tank_35" displayName="Tank_35" ref="R50:T60">
  <tableColumns count="3">
    <tableColumn id="1" xr3:uid="{00000000-0010-0000-A000-000001000000}" name="Data"/>
    <tableColumn id="2" xr3:uid="{00000000-0010-0000-A000-000002000000}" name="Yellow"/>
    <tableColumn id="3" xr3:uid="{00000000-0010-0000-A000-000003000000}" name="Red"/>
  </tableColumns>
  <tableStyleInfo name="BR m Undercooked Aden 2 2112026-style 12" showFirstColumn="1" showLastColumn="1"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0000000-000C-0000-FFFF-FFFFA1000000}" name="Table12_11" displayName="Table12_11" ref="AB50:AD60">
  <tableColumns count="3">
    <tableColumn id="1" xr3:uid="{00000000-0010-0000-A100-000001000000}" name="Data"/>
    <tableColumn id="2" xr3:uid="{00000000-0010-0000-A100-000002000000}" name="BR"/>
    <tableColumn id="3" xr3:uid="{00000000-0010-0000-A100-000003000000}" name="Undercooked"/>
  </tableColumns>
  <tableStyleInfo name="BR m Undercooked Aden 2 2112026-style 13" showFirstColumn="1" showLastColumn="1"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00000000-000C-0000-FFFF-FFFFA2000000}" name="Healer_35" displayName="Healer_35" ref="R64:T72">
  <tableColumns count="3">
    <tableColumn id="1" xr3:uid="{00000000-0010-0000-A200-000001000000}" name="Data"/>
    <tableColumn id="2" xr3:uid="{00000000-0010-0000-A200-000002000000}" name="Yellow"/>
    <tableColumn id="3" xr3:uid="{00000000-0010-0000-A200-000003000000}" name="Red"/>
  </tableColumns>
  <tableStyleInfo name="BR m Undercooked Aden 2 2112026-style 14" showFirstColumn="1" showLastColumn="1"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00000000-000C-0000-FFFF-FFFFA3000000}" name="Table13_11" displayName="Table13_11" ref="AB64:AD72">
  <tableColumns count="3">
    <tableColumn id="1" xr3:uid="{00000000-0010-0000-A300-000001000000}" name="Data"/>
    <tableColumn id="2" xr3:uid="{00000000-0010-0000-A300-000002000000}" name="BR"/>
    <tableColumn id="3" xr3:uid="{00000000-0010-0000-A300-000003000000}" name="Undercooked"/>
  </tableColumns>
  <tableStyleInfo name="BR m Undercooked Aden 2 2112026-style 15" showFirstColumn="1" showLastColumn="1"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00000000-000C-0000-FFFF-FFFFA4000000}" name="Table14_6" displayName="Table14_6" ref="R76:T84">
  <tableColumns count="3">
    <tableColumn id="1" xr3:uid="{00000000-0010-0000-A400-000001000000}" name="Data"/>
    <tableColumn id="2" xr3:uid="{00000000-0010-0000-A400-000002000000}" name="Yellow"/>
    <tableColumn id="3" xr3:uid="{00000000-0010-0000-A400-000003000000}" name="Red"/>
  </tableColumns>
  <tableStyleInfo name="BR m Undercooked Aden 2 2112026-style 16" showFirstColumn="1" showLastColumn="1"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00000000-000C-0000-FFFF-FFFFA5000000}" name="Table17_6" displayName="Table17_6" ref="AB76:AD84">
  <tableColumns count="3">
    <tableColumn id="1" xr3:uid="{00000000-0010-0000-A500-000001000000}" name="Data"/>
    <tableColumn id="2" xr3:uid="{00000000-0010-0000-A500-000002000000}" name="BR"/>
    <tableColumn id="3" xr3:uid="{00000000-0010-0000-A500-000003000000}" name="Undercooked"/>
  </tableColumns>
  <tableStyleInfo name="BR m Undercooked Aden 2 2112026-style 17" showFirstColumn="1" showLastColumn="1"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A6000000}" name="Scoreboard_26" displayName="Scoreboard_26" ref="A1:P163">
  <tableColumns count="16">
    <tableColumn id="1" xr3:uid="{00000000-0010-0000-A600-000001000000}" name="/"/>
    <tableColumn id="2" xr3:uid="{00000000-0010-0000-A600-000002000000}" name="Role"/>
    <tableColumn id="3" xr3:uid="{00000000-0010-0000-A600-000003000000}" name="Weapons"/>
    <tableColumn id="4" xr3:uid="{00000000-0010-0000-A600-000004000000}" name="Guild"/>
    <tableColumn id="5" xr3:uid="{00000000-0010-0000-A600-000005000000}" name="Name"/>
    <tableColumn id="6" xr3:uid="{00000000-0010-0000-A600-000006000000}" name="Team"/>
    <tableColumn id="7" xr3:uid="{00000000-0010-0000-A600-000007000000}" name="Kills"/>
    <tableColumn id="8" xr3:uid="{00000000-0010-0000-A600-000008000000}" name="Assists"/>
    <tableColumn id="9" xr3:uid="{00000000-0010-0000-A600-000009000000}" name="K + A"/>
    <tableColumn id="10" xr3:uid="{00000000-0010-0000-A600-00000A000000}" name="Damage Dealt"/>
    <tableColumn id="11" xr3:uid="{00000000-0010-0000-A600-00000B000000}" name="Damage Taken"/>
    <tableColumn id="12" xr3:uid="{00000000-0010-0000-A600-00000C000000}" name="Amount Healed"/>
    <tableColumn id="13" xr3:uid="{00000000-0010-0000-A600-00000D000000}" name="K+A Eff"/>
    <tableColumn id="14" xr3:uid="{00000000-0010-0000-A600-00000E000000}" name="Dmg Dealt Eff"/>
    <tableColumn id="15" xr3:uid="{00000000-0010-0000-A600-00000F000000}" name="Dmg Taken Eff"/>
    <tableColumn id="16" xr3:uid="{00000000-0010-0000-A600-000010000000}" name="Amt Healed Eff"/>
  </tableColumns>
  <tableStyleInfo name="BR m Undercooked Talus 1 211202-style" showFirstColumn="1" showLastColumn="1"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A7000000}" name="Team_Composition_26" displayName="Team_Composition_26" ref="R3:T14">
  <tableColumns count="3">
    <tableColumn id="1" xr3:uid="{00000000-0010-0000-A700-000001000000}" name="Data"/>
    <tableColumn id="2" xr3:uid="{00000000-0010-0000-A700-000002000000}" name="Yellow"/>
    <tableColumn id="3" xr3:uid="{00000000-0010-0000-A700-000003000000}" name="Red"/>
  </tableColumns>
  <tableStyleInfo name="BR m Undercooked Talus 1 211202-style 2" showFirstColumn="1" showLastColumn="1"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00000000-000C-0000-FFFF-FFFFA8000000}" name="Table1_26" displayName="Table1_26" ref="V3:W13">
  <tableColumns count="2">
    <tableColumn id="1" xr3:uid="{00000000-0010-0000-A800-000001000000}" name="Name"/>
    <tableColumn id="2" xr3:uid="{00000000-0010-0000-A800-000002000000}" name="K + A"/>
  </tableColumns>
  <tableStyleInfo name="BR m Undercooked Talus 1 211202-style 3" showFirstColumn="1" showLastColumn="1"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00000000-000C-0000-FFFF-FFFFA9000000}" name="TopDamage_26" displayName="TopDamage_26" ref="Y3:Z13">
  <tableColumns count="2">
    <tableColumn id="1" xr3:uid="{00000000-0010-0000-A900-000001000000}" name="Name"/>
    <tableColumn id="2" xr3:uid="{00000000-0010-0000-A900-000002000000}" name="Damage"/>
  </tableColumns>
  <tableStyleInfo name="BR m Undercooked Talus 1 211202-style 4" showFirstColumn="1" showLastColumn="1"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0000000-000C-0000-FFFF-FFFFAA000000}" name="Table10_6" displayName="Table10_6" ref="AB3:AD14">
  <tableColumns count="3">
    <tableColumn id="1" xr3:uid="{00000000-0010-0000-AA00-000001000000}" name="Data"/>
    <tableColumn id="2" xr3:uid="{00000000-0010-0000-AA00-000002000000}" name="BR"/>
    <tableColumn id="3" xr3:uid="{00000000-0010-0000-AA00-000003000000}" name="Undercooked"/>
  </tableColumns>
  <tableStyleInfo name="BR m Undercooked Talus 1 211202-style 5" showFirstColumn="1" showLastColumn="1"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00000000-000C-0000-FFFF-FFFFAB000000}" name="Melee_DPS_26" displayName="Melee_DPS_26" ref="R16:T25">
  <tableColumns count="3">
    <tableColumn id="1" xr3:uid="{00000000-0010-0000-AB00-000001000000}" name="Data"/>
    <tableColumn id="2" xr3:uid="{00000000-0010-0000-AB00-000002000000}" name="Yellow"/>
    <tableColumn id="3" xr3:uid="{00000000-0010-0000-AB00-000003000000}" name="Red"/>
  </tableColumns>
  <tableStyleInfo name="BR m Undercooked Talus 1 211202-style 6" showFirstColumn="1" showLastColumn="1"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0000000-000C-0000-FFFF-FFFFAC000000}" name="Table3_26" displayName="Table3_26" ref="V16:W26">
  <tableColumns count="2">
    <tableColumn id="1" xr3:uid="{00000000-0010-0000-AC00-000001000000}" name="Name"/>
    <tableColumn id="2" xr3:uid="{00000000-0010-0000-AC00-000002000000}" name="DT"/>
  </tableColumns>
  <tableStyleInfo name="BR m Undercooked Talus 1 211202-style 7" showFirstColumn="1" showLastColumn="1"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00000000-000C-0000-FFFF-FFFFAD000000}" name="Table2_26" displayName="Table2_26" ref="Y16:Z26">
  <tableColumns count="2">
    <tableColumn id="1" xr3:uid="{00000000-0010-0000-AD00-000001000000}" name="Name"/>
    <tableColumn id="2" xr3:uid="{00000000-0010-0000-AD00-000002000000}" name="Healed"/>
  </tableColumns>
  <tableStyleInfo name="BR m Undercooked Talus 1 211202-style 8" showFirstColumn="1" showLastColumn="1"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0000000-000C-0000-FFFF-FFFFAE000000}" name="Table9_6" displayName="Table9_6" ref="AB16:AD25">
  <tableColumns count="3">
    <tableColumn id="1" xr3:uid="{00000000-0010-0000-AE00-000001000000}" name="Data"/>
    <tableColumn id="2" xr3:uid="{00000000-0010-0000-AE00-000002000000}" name="BR"/>
    <tableColumn id="3" xr3:uid="{00000000-0010-0000-AE00-000003000000}" name="Undercooked"/>
  </tableColumns>
  <tableStyleInfo name="BR m Undercooked Talus 1 211202-style 9" showFirstColumn="1" showLastColumn="1"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00000000-000C-0000-FFFF-FFFFAF000000}" name="Ranged_DPS_26" displayName="Ranged_DPS_26" ref="R29:T46">
  <tableColumns count="3">
    <tableColumn id="1" xr3:uid="{00000000-0010-0000-AF00-000001000000}" name="Data"/>
    <tableColumn id="2" xr3:uid="{00000000-0010-0000-AF00-000002000000}" name="Yellow"/>
    <tableColumn id="3" xr3:uid="{00000000-0010-0000-AF00-000003000000}" name="Red"/>
  </tableColumns>
  <tableStyleInfo name="BR m Undercooked Talus 1 211202-style 10" showFirstColumn="1" showLastColumn="1"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0000000-000C-0000-FFFF-FFFFB0000000}" name="Table11_6" displayName="Table11_6" ref="AB29:AD46">
  <tableColumns count="3">
    <tableColumn id="1" xr3:uid="{00000000-0010-0000-B000-000001000000}" name="Data"/>
    <tableColumn id="2" xr3:uid="{00000000-0010-0000-B000-000002000000}" name="BR"/>
    <tableColumn id="3" xr3:uid="{00000000-0010-0000-B000-000003000000}" name="Undercooked"/>
  </tableColumns>
  <tableStyleInfo name="BR m Undercooked Talus 1 211202-style 11" showFirstColumn="1" showLastColumn="1"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00000000-000C-0000-FFFF-FFFFB1000000}" name="Tank_26" displayName="Tank_26" ref="R50:T60">
  <tableColumns count="3">
    <tableColumn id="1" xr3:uid="{00000000-0010-0000-B100-000001000000}" name="Data"/>
    <tableColumn id="2" xr3:uid="{00000000-0010-0000-B100-000002000000}" name="Yellow"/>
    <tableColumn id="3" xr3:uid="{00000000-0010-0000-B100-000003000000}" name="Red"/>
  </tableColumns>
  <tableStyleInfo name="BR m Undercooked Talus 1 211202-style 12" showFirstColumn="1" showLastColumn="1"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00000000-000C-0000-FFFF-FFFFB2000000}" name="Table12_6" displayName="Table12_6" ref="AB50:AD60">
  <tableColumns count="3">
    <tableColumn id="1" xr3:uid="{00000000-0010-0000-B200-000001000000}" name="Data"/>
    <tableColumn id="2" xr3:uid="{00000000-0010-0000-B200-000002000000}" name="BR"/>
    <tableColumn id="3" xr3:uid="{00000000-0010-0000-B200-000003000000}" name="Undercooked"/>
  </tableColumns>
  <tableStyleInfo name="BR m Undercooked Talus 1 211202-style 13" showFirstColumn="1" showLastColumn="1"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00000000-000C-0000-FFFF-FFFFB3000000}" name="Healer_26" displayName="Healer_26" ref="R64:T72">
  <tableColumns count="3">
    <tableColumn id="1" xr3:uid="{00000000-0010-0000-B300-000001000000}" name="Data"/>
    <tableColumn id="2" xr3:uid="{00000000-0010-0000-B300-000002000000}" name="Yellow"/>
    <tableColumn id="3" xr3:uid="{00000000-0010-0000-B300-000003000000}" name="Red"/>
  </tableColumns>
  <tableStyleInfo name="BR m Undercooked Talus 1 211202-style 14" showFirstColumn="1" showLastColumn="1"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00000000-000C-0000-FFFF-FFFFB4000000}" name="Table13_6" displayName="Table13_6" ref="AB64:AD72">
  <tableColumns count="3">
    <tableColumn id="1" xr3:uid="{00000000-0010-0000-B400-000001000000}" name="Data"/>
    <tableColumn id="2" xr3:uid="{00000000-0010-0000-B400-000002000000}" name="BR"/>
    <tableColumn id="3" xr3:uid="{00000000-0010-0000-B400-000003000000}" name="Undercooked"/>
  </tableColumns>
  <tableStyleInfo name="BR m Undercooked Talus 1 211202-style 15" showFirstColumn="1" showLastColumn="1"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00000000-000C-0000-FFFF-FFFFB5000000}" name="Table14_4" displayName="Table14_4" ref="R76:T84">
  <tableColumns count="3">
    <tableColumn id="1" xr3:uid="{00000000-0010-0000-B500-000001000000}" name="Data"/>
    <tableColumn id="2" xr3:uid="{00000000-0010-0000-B500-000002000000}" name="Yellow"/>
    <tableColumn id="3" xr3:uid="{00000000-0010-0000-B500-000003000000}" name="Red"/>
  </tableColumns>
  <tableStyleInfo name="BR m Undercooked Talus 1 211202-style 16" showFirstColumn="1" showLastColumn="1"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00000000-000C-0000-FFFF-FFFFB6000000}" name="Table17_4" displayName="Table17_4" ref="AB76:AD84">
  <tableColumns count="3">
    <tableColumn id="1" xr3:uid="{00000000-0010-0000-B600-000001000000}" name="Data"/>
    <tableColumn id="2" xr3:uid="{00000000-0010-0000-B600-000002000000}" name="BR"/>
    <tableColumn id="3" xr3:uid="{00000000-0010-0000-B600-000003000000}" name="Undercooked"/>
  </tableColumns>
  <tableStyleInfo name="BR m Undercooked Talus 1 211202-style 17" showFirstColumn="1" showLastColumn="1"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00000000-000C-0000-FFFF-FFFFB7000000}" name="Scoreboard_34" displayName="Scoreboard_34" ref="A1:P163">
  <tableColumns count="16">
    <tableColumn id="1" xr3:uid="{00000000-0010-0000-B700-000001000000}" name="/"/>
    <tableColumn id="2" xr3:uid="{00000000-0010-0000-B700-000002000000}" name="Role"/>
    <tableColumn id="3" xr3:uid="{00000000-0010-0000-B700-000003000000}" name="Weapons"/>
    <tableColumn id="4" xr3:uid="{00000000-0010-0000-B700-000004000000}" name="Guild"/>
    <tableColumn id="5" xr3:uid="{00000000-0010-0000-B700-000005000000}" name="Name"/>
    <tableColumn id="6" xr3:uid="{00000000-0010-0000-B700-000006000000}" name="Team"/>
    <tableColumn id="7" xr3:uid="{00000000-0010-0000-B700-000007000000}" name="Kills"/>
    <tableColumn id="8" xr3:uid="{00000000-0010-0000-B700-000008000000}" name="Assists"/>
    <tableColumn id="9" xr3:uid="{00000000-0010-0000-B700-000009000000}" name="K + A"/>
    <tableColumn id="10" xr3:uid="{00000000-0010-0000-B700-00000A000000}" name="Damage Dealt"/>
    <tableColumn id="11" xr3:uid="{00000000-0010-0000-B700-00000B000000}" name="Damage Taken"/>
    <tableColumn id="12" xr3:uid="{00000000-0010-0000-B700-00000C000000}" name="Amount Healed"/>
    <tableColumn id="13" xr3:uid="{00000000-0010-0000-B700-00000D000000}" name="K+A Eff"/>
    <tableColumn id="14" xr3:uid="{00000000-0010-0000-B700-00000E000000}" name="Dmg Dealt Eff"/>
    <tableColumn id="15" xr3:uid="{00000000-0010-0000-B700-00000F000000}" name="Dmg Taken Eff"/>
    <tableColumn id="16" xr3:uid="{00000000-0010-0000-B700-000010000000}" name="Amt Healed Eff"/>
  </tableColumns>
  <tableStyleInfo name="BR v HR Diagon 2 242026-style" showFirstColumn="1" showLastColumn="1"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00000000-000C-0000-FFFF-FFFFB8000000}" name="Team_Composition_34" displayName="Team_Composition_34" ref="R3:U14">
  <tableColumns count="4">
    <tableColumn id="1" xr3:uid="{00000000-0010-0000-B800-000001000000}" name="Data"/>
    <tableColumn id="2" xr3:uid="{00000000-0010-0000-B800-000002000000}" name="Yellow"/>
    <tableColumn id="3" xr3:uid="{00000000-0010-0000-B800-000003000000}" name="Red"/>
    <tableColumn id="4" xr3:uid="{00000000-0010-0000-B800-000004000000}" name="Column 1"/>
  </tableColumns>
  <tableStyleInfo name="BR v HR Diagon 2 242026-style 2" showFirstColumn="1" showLastColumn="1"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00000000-000C-0000-FFFF-FFFFB9000000}" name="Table1_34" displayName="Table1_34" ref="V3:W13">
  <tableColumns count="2">
    <tableColumn id="1" xr3:uid="{00000000-0010-0000-B900-000001000000}" name="Name"/>
    <tableColumn id="2" xr3:uid="{00000000-0010-0000-B900-000002000000}" name="K + A"/>
  </tableColumns>
  <tableStyleInfo name="BR v HR Diagon 2 242026-style 3" showFirstColumn="1" showLastColumn="1"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00000000-000C-0000-FFFF-FFFFBA000000}" name="TopDamage_34" displayName="TopDamage_34" ref="Y3:Z13">
  <tableColumns count="2">
    <tableColumn id="1" xr3:uid="{00000000-0010-0000-BA00-000001000000}" name="Name"/>
    <tableColumn id="2" xr3:uid="{00000000-0010-0000-BA00-000002000000}" name="Damage"/>
  </tableColumns>
  <tableStyleInfo name="BR v HR Diagon 2 242026-style 4" showFirstColumn="1" showLastColumn="1"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00000000-000C-0000-FFFF-FFFFBB000000}" name="Table10_10" displayName="Table10_10" ref="AB3:AD14">
  <tableColumns count="3">
    <tableColumn id="1" xr3:uid="{00000000-0010-0000-BB00-000001000000}" name="Data"/>
    <tableColumn id="2" xr3:uid="{00000000-0010-0000-BB00-000002000000}" name="BR"/>
    <tableColumn id="3" xr3:uid="{00000000-0010-0000-BB00-000003000000}" name="Unhinged肉"/>
  </tableColumns>
  <tableStyleInfo name="BR v HR Diagon 2 242026-style 5" showFirstColumn="1" showLastColumn="1"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00000000-000C-0000-FFFF-FFFFBC000000}" name="Melee_DPS_34" displayName="Melee_DPS_34" ref="R16:T25">
  <tableColumns count="3">
    <tableColumn id="1" xr3:uid="{00000000-0010-0000-BC00-000001000000}" name="Data"/>
    <tableColumn id="2" xr3:uid="{00000000-0010-0000-BC00-000002000000}" name="Yellow"/>
    <tableColumn id="3" xr3:uid="{00000000-0010-0000-BC00-000003000000}" name="Red"/>
  </tableColumns>
  <tableStyleInfo name="BR v HR Diagon 2 242026-style 6" showFirstColumn="1" showLastColumn="1"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00000000-000C-0000-FFFF-FFFFBD000000}" name="Table3_34" displayName="Table3_34" ref="V16:W26">
  <tableColumns count="2">
    <tableColumn id="1" xr3:uid="{00000000-0010-0000-BD00-000001000000}" name="Name"/>
    <tableColumn id="2" xr3:uid="{00000000-0010-0000-BD00-000002000000}" name="DT"/>
  </tableColumns>
  <tableStyleInfo name="BR v HR Diagon 2 242026-style 7" showFirstColumn="1" showLastColumn="1"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00000000-000C-0000-FFFF-FFFFBE000000}" name="Table2_34" displayName="Table2_34" ref="Y16:Z26">
  <tableColumns count="2">
    <tableColumn id="1" xr3:uid="{00000000-0010-0000-BE00-000001000000}" name="Name"/>
    <tableColumn id="2" xr3:uid="{00000000-0010-0000-BE00-000002000000}" name="Healed"/>
  </tableColumns>
  <tableStyleInfo name="BR v HR Diagon 2 242026-style 8" showFirstColumn="1" showLastColumn="1"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00000000-000C-0000-FFFF-FFFFBF000000}" name="Table9_10" displayName="Table9_10" ref="AB16:AD25">
  <tableColumns count="3">
    <tableColumn id="1" xr3:uid="{00000000-0010-0000-BF00-000001000000}" name="Data"/>
    <tableColumn id="2" xr3:uid="{00000000-0010-0000-BF00-000002000000}" name="BR"/>
    <tableColumn id="3" xr3:uid="{00000000-0010-0000-BF00-000003000000}" name="Unhinged肉"/>
  </tableColumns>
  <tableStyleInfo name="BR v HR Diagon 2 242026-style 9" showFirstColumn="1" showLastColumn="1"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00000000-000C-0000-FFFF-FFFFC0000000}" name="Ranged_DPS_34" displayName="Ranged_DPS_34" ref="R29:T46">
  <tableColumns count="3">
    <tableColumn id="1" xr3:uid="{00000000-0010-0000-C000-000001000000}" name="Data"/>
    <tableColumn id="2" xr3:uid="{00000000-0010-0000-C000-000002000000}" name="Yellow"/>
    <tableColumn id="3" xr3:uid="{00000000-0010-0000-C000-000003000000}" name="Red"/>
  </tableColumns>
  <tableStyleInfo name="BR v HR Diagon 2 242026-style 10" showFirstColumn="1" showLastColumn="1"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00000000-000C-0000-FFFF-FFFFC1000000}" name="Table11_10" displayName="Table11_10" ref="AB29:AD46">
  <tableColumns count="3">
    <tableColumn id="1" xr3:uid="{00000000-0010-0000-C100-000001000000}" name="Data"/>
    <tableColumn id="2" xr3:uid="{00000000-0010-0000-C100-000002000000}" name="BR"/>
    <tableColumn id="3" xr3:uid="{00000000-0010-0000-C100-000003000000}" name="Unhinged肉"/>
  </tableColumns>
  <tableStyleInfo name="BR v HR Diagon 2 242026-style 11" showFirstColumn="1" showLastColumn="1"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00000000-000C-0000-FFFF-FFFFC2000000}" name="Tank_34" displayName="Tank_34" ref="R50:T60">
  <tableColumns count="3">
    <tableColumn id="1" xr3:uid="{00000000-0010-0000-C200-000001000000}" name="Data"/>
    <tableColumn id="2" xr3:uid="{00000000-0010-0000-C200-000002000000}" name="Yellow"/>
    <tableColumn id="3" xr3:uid="{00000000-0010-0000-C200-000003000000}" name="Red"/>
  </tableColumns>
  <tableStyleInfo name="BR v HR Diagon 2 242026-style 12" showFirstColumn="1" showLastColumn="1"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00000000-000C-0000-FFFF-FFFFC3000000}" name="Table12_10" displayName="Table12_10" ref="AB50:AD60">
  <tableColumns count="3">
    <tableColumn id="1" xr3:uid="{00000000-0010-0000-C300-000001000000}" name="Data"/>
    <tableColumn id="2" xr3:uid="{00000000-0010-0000-C300-000002000000}" name="BR"/>
    <tableColumn id="3" xr3:uid="{00000000-0010-0000-C300-000003000000}" name="Unhinged肉"/>
  </tableColumns>
  <tableStyleInfo name="BR v HR Diagon 2 242026-style 13" showFirstColumn="1" showLastColumn="1"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00000000-000C-0000-FFFF-FFFFC4000000}" name="Healer_34" displayName="Healer_34" ref="R64:T72">
  <tableColumns count="3">
    <tableColumn id="1" xr3:uid="{00000000-0010-0000-C400-000001000000}" name="Data"/>
    <tableColumn id="2" xr3:uid="{00000000-0010-0000-C400-000002000000}" name="Yellow"/>
    <tableColumn id="3" xr3:uid="{00000000-0010-0000-C400-000003000000}" name="Red"/>
  </tableColumns>
  <tableStyleInfo name="BR v HR Diagon 2 242026-style 14" showFirstColumn="1" showLastColumn="1"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00000000-000C-0000-FFFF-FFFFC5000000}" name="Table13_10" displayName="Table13_10" ref="AB64:AD72">
  <tableColumns count="3">
    <tableColumn id="1" xr3:uid="{00000000-0010-0000-C500-000001000000}" name="Data"/>
    <tableColumn id="2" xr3:uid="{00000000-0010-0000-C500-000002000000}" name="BR"/>
    <tableColumn id="3" xr3:uid="{00000000-0010-0000-C500-000003000000}" name="Unhinged肉"/>
  </tableColumns>
  <tableStyleInfo name="BR v HR Diagon 2 242026-style 15" showFirstColumn="1" showLastColumn="1"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00000000-000C-0000-FFFF-FFFFC6000000}" name="Table14_5" displayName="Table14_5" ref="R76:T84">
  <tableColumns count="3">
    <tableColumn id="1" xr3:uid="{00000000-0010-0000-C600-000001000000}" name="Data"/>
    <tableColumn id="2" xr3:uid="{00000000-0010-0000-C600-000002000000}" name="Yellow"/>
    <tableColumn id="3" xr3:uid="{00000000-0010-0000-C600-000003000000}" name="Red"/>
  </tableColumns>
  <tableStyleInfo name="BR v HR Diagon 2 242026-style 16" showFirstColumn="1" showLastColumn="1"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00000000-000C-0000-FFFF-FFFFC7000000}" name="Table17_5" displayName="Table17_5" ref="AB76:AD84">
  <tableColumns count="3">
    <tableColumn id="1" xr3:uid="{00000000-0010-0000-C700-000001000000}" name="Data"/>
    <tableColumn id="2" xr3:uid="{00000000-0010-0000-C700-000002000000}" name="BR"/>
    <tableColumn id="3" xr3:uid="{00000000-0010-0000-C700-000003000000}" name="Unhinged肉"/>
  </tableColumns>
  <tableStyleInfo name="BR v HR Diagon 2 242026-style 17" showFirstColumn="1" showLastColumn="1"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00000000-000C-0000-FFFF-FFFFC8000000}" name="Scoreboard_32" displayName="Scoreboard_32" ref="A1:P163">
  <tableColumns count="16">
    <tableColumn id="1" xr3:uid="{00000000-0010-0000-C800-000001000000}" name="/"/>
    <tableColumn id="2" xr3:uid="{00000000-0010-0000-C800-000002000000}" name="Role"/>
    <tableColumn id="3" xr3:uid="{00000000-0010-0000-C800-000003000000}" name="Weapons"/>
    <tableColumn id="4" xr3:uid="{00000000-0010-0000-C800-000004000000}" name="Guild"/>
    <tableColumn id="5" xr3:uid="{00000000-0010-0000-C800-000005000000}" name="Name"/>
    <tableColumn id="6" xr3:uid="{00000000-0010-0000-C800-000006000000}" name="Team"/>
    <tableColumn id="7" xr3:uid="{00000000-0010-0000-C800-000007000000}" name="Kills"/>
    <tableColumn id="8" xr3:uid="{00000000-0010-0000-C800-000008000000}" name="Assists"/>
    <tableColumn id="9" xr3:uid="{00000000-0010-0000-C800-000009000000}" name="K + A"/>
    <tableColumn id="10" xr3:uid="{00000000-0010-0000-C800-00000A000000}" name="Damage Dealt"/>
    <tableColumn id="11" xr3:uid="{00000000-0010-0000-C800-00000B000000}" name="Damage Taken"/>
    <tableColumn id="12" xr3:uid="{00000000-0010-0000-C800-00000C000000}" name="Amount Healed"/>
    <tableColumn id="13" xr3:uid="{00000000-0010-0000-C800-00000D000000}" name="K+A Eff"/>
    <tableColumn id="14" xr3:uid="{00000000-0010-0000-C800-00000E000000}" name="Dmg Dealt Eff"/>
    <tableColumn id="15" xr3:uid="{00000000-0010-0000-C800-00000F000000}" name="Dmg Taken Eff"/>
    <tableColumn id="16" xr3:uid="{00000000-0010-0000-C800-000010000000}" name="Amt Healed Eff"/>
  </tableColumns>
  <tableStyleInfo name="BR v HR Morokai 242026-style" showFirstColumn="1" showLastColumn="1"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00000000-000C-0000-FFFF-FFFFC9000000}" name="Team_Composition_32" displayName="Team_Composition_32" ref="R3:T14">
  <tableColumns count="3">
    <tableColumn id="1" xr3:uid="{00000000-0010-0000-C900-000001000000}" name="Data"/>
    <tableColumn id="2" xr3:uid="{00000000-0010-0000-C900-000002000000}" name="Yellow"/>
    <tableColumn id="3" xr3:uid="{00000000-0010-0000-C900-000003000000}" name="Red"/>
  </tableColumns>
  <tableStyleInfo name="BR v HR Morokai 242026-style 2" showFirstColumn="1" showLastColumn="1"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00000000-000C-0000-FFFF-FFFFCA000000}" name="Table1_32" displayName="Table1_32" ref="V3:W13">
  <tableColumns count="2">
    <tableColumn id="1" xr3:uid="{00000000-0010-0000-CA00-000001000000}" name="Name"/>
    <tableColumn id="2" xr3:uid="{00000000-0010-0000-CA00-000002000000}" name="K + A"/>
  </tableColumns>
  <tableStyleInfo name="BR v HR Morokai 242026-style 3" showFirstColumn="1" showLastColumn="1"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00000000-000C-0000-FFFF-FFFFCB000000}" name="TopDamage_32" displayName="TopDamage_32" ref="Y3:Z13">
  <tableColumns count="2">
    <tableColumn id="1" xr3:uid="{00000000-0010-0000-CB00-000001000000}" name="Name"/>
    <tableColumn id="2" xr3:uid="{00000000-0010-0000-CB00-000002000000}" name="Damage"/>
  </tableColumns>
  <tableStyleInfo name="BR v HR Morokai 242026-style 4" showFirstColumn="1" showLastColumn="1"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00000000-000C-0000-FFFF-FFFFCC000000}" name="Table10_8" displayName="Table10_8" ref="AB3:AD14">
  <tableColumns count="3">
    <tableColumn id="1" xr3:uid="{00000000-0010-0000-CC00-000001000000}" name="Data"/>
    <tableColumn id="2" xr3:uid="{00000000-0010-0000-CC00-000002000000}" name="BR"/>
    <tableColumn id="3" xr3:uid="{00000000-0010-0000-CC00-000003000000}" name="Unhinged肉"/>
  </tableColumns>
  <tableStyleInfo name="BR v HR Morokai 242026-style 5" showFirstColumn="1" showLastColumn="1"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00000000-000C-0000-FFFF-FFFFCD000000}" name="Melee_DPS_32" displayName="Melee_DPS_32" ref="R16:T25">
  <tableColumns count="3">
    <tableColumn id="1" xr3:uid="{00000000-0010-0000-CD00-000001000000}" name="Data"/>
    <tableColumn id="2" xr3:uid="{00000000-0010-0000-CD00-000002000000}" name="Yellow"/>
    <tableColumn id="3" xr3:uid="{00000000-0010-0000-CD00-000003000000}" name="Red"/>
  </tableColumns>
  <tableStyleInfo name="BR v HR Morokai 242026-style 6" showFirstColumn="1" showLastColumn="1"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00000000-000C-0000-FFFF-FFFFCE000000}" name="Table3_32" displayName="Table3_32" ref="V16:W26">
  <tableColumns count="2">
    <tableColumn id="1" xr3:uid="{00000000-0010-0000-CE00-000001000000}" name="Name"/>
    <tableColumn id="2" xr3:uid="{00000000-0010-0000-CE00-000002000000}" name="DT"/>
  </tableColumns>
  <tableStyleInfo name="BR v HR Morokai 242026-style 7" showFirstColumn="1" showLastColumn="1"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00000000-000C-0000-FFFF-FFFFCF000000}" name="Table2_32" displayName="Table2_32" ref="Y16:Z26">
  <tableColumns count="2">
    <tableColumn id="1" xr3:uid="{00000000-0010-0000-CF00-000001000000}" name="Name"/>
    <tableColumn id="2" xr3:uid="{00000000-0010-0000-CF00-000002000000}" name="Healed"/>
  </tableColumns>
  <tableStyleInfo name="BR v HR Morokai 242026-style 8" showFirstColumn="1" showLastColumn="1"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0000000-000C-0000-FFFF-FFFFD0000000}" name="Table9_8" displayName="Table9_8" ref="AB16:AD25">
  <tableColumns count="3">
    <tableColumn id="1" xr3:uid="{00000000-0010-0000-D000-000001000000}" name="Data"/>
    <tableColumn id="2" xr3:uid="{00000000-0010-0000-D000-000002000000}" name="BR"/>
    <tableColumn id="3" xr3:uid="{00000000-0010-0000-D000-000003000000}" name="Unhinged肉"/>
  </tableColumns>
  <tableStyleInfo name="BR v HR Morokai 242026-style 9" showFirstColumn="1" showLastColumn="1"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00000000-000C-0000-FFFF-FFFFD1000000}" name="Ranged_DPS_32" displayName="Ranged_DPS_32" ref="R29:T46">
  <tableColumns count="3">
    <tableColumn id="1" xr3:uid="{00000000-0010-0000-D100-000001000000}" name="Data"/>
    <tableColumn id="2" xr3:uid="{00000000-0010-0000-D100-000002000000}" name="Yellow"/>
    <tableColumn id="3" xr3:uid="{00000000-0010-0000-D100-000003000000}" name="Red"/>
  </tableColumns>
  <tableStyleInfo name="BR v HR Morokai 242026-style 10" showFirstColumn="1" showLastColumn="1"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00000000-000C-0000-FFFF-FFFFD2000000}" name="Table11_8" displayName="Table11_8" ref="AB29:AD46">
  <tableColumns count="3">
    <tableColumn id="1" xr3:uid="{00000000-0010-0000-D200-000001000000}" name="Data"/>
    <tableColumn id="2" xr3:uid="{00000000-0010-0000-D200-000002000000}" name="BR"/>
    <tableColumn id="3" xr3:uid="{00000000-0010-0000-D200-000003000000}" name="Unhinged肉"/>
  </tableColumns>
  <tableStyleInfo name="BR v HR Morokai 242026-style 11" showFirstColumn="1" showLastColumn="1"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00000000-000C-0000-FFFF-FFFFD3000000}" name="Tank_32" displayName="Tank_32" ref="R50:T60">
  <tableColumns count="3">
    <tableColumn id="1" xr3:uid="{00000000-0010-0000-D300-000001000000}" name="Data"/>
    <tableColumn id="2" xr3:uid="{00000000-0010-0000-D300-000002000000}" name="Yellow"/>
    <tableColumn id="3" xr3:uid="{00000000-0010-0000-D300-000003000000}" name="Red"/>
  </tableColumns>
  <tableStyleInfo name="BR v HR Morokai 242026-style 12" showFirstColumn="1" showLastColumn="1"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00000000-000C-0000-FFFF-FFFFD4000000}" name="Table12_8" displayName="Table12_8" ref="AB50:AD60">
  <tableColumns count="3">
    <tableColumn id="1" xr3:uid="{00000000-0010-0000-D400-000001000000}" name="Data"/>
    <tableColumn id="2" xr3:uid="{00000000-0010-0000-D400-000002000000}" name="BR"/>
    <tableColumn id="3" xr3:uid="{00000000-0010-0000-D400-000003000000}" name="Unhinged肉"/>
  </tableColumns>
  <tableStyleInfo name="BR v HR Morokai 242026-style 13" showFirstColumn="1" showLastColumn="1"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00000000-000C-0000-FFFF-FFFFD5000000}" name="Healer_32" displayName="Healer_32" ref="R64:T72">
  <tableColumns count="3">
    <tableColumn id="1" xr3:uid="{00000000-0010-0000-D500-000001000000}" name="Data"/>
    <tableColumn id="2" xr3:uid="{00000000-0010-0000-D500-000002000000}" name="Yellow"/>
    <tableColumn id="3" xr3:uid="{00000000-0010-0000-D500-000003000000}" name="Red"/>
  </tableColumns>
  <tableStyleInfo name="BR v HR Morokai 242026-style 14" showFirstColumn="1" showLastColumn="1"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00000000-000C-0000-FFFF-FFFFD6000000}" name="Table13_8" displayName="Table13_8" ref="AB64:AD72">
  <tableColumns count="3">
    <tableColumn id="1" xr3:uid="{00000000-0010-0000-D600-000001000000}" name="Data"/>
    <tableColumn id="2" xr3:uid="{00000000-0010-0000-D600-000002000000}" name="BR"/>
    <tableColumn id="3" xr3:uid="{00000000-0010-0000-D600-000003000000}" name="Unhinged肉"/>
  </tableColumns>
  <tableStyleInfo name="BR v HR Morokai 242026-style 15" showFirstColumn="1" showLastColumn="1"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00000000-000C-0000-FFFF-FFFFD7000000}" name="Table14_2" displayName="Table14_2" ref="R76:T84">
  <tableColumns count="3">
    <tableColumn id="1" xr3:uid="{00000000-0010-0000-D700-000001000000}" name="Data"/>
    <tableColumn id="2" xr3:uid="{00000000-0010-0000-D700-000002000000}" name="Yellow"/>
    <tableColumn id="3" xr3:uid="{00000000-0010-0000-D700-000003000000}" name="Red"/>
  </tableColumns>
  <tableStyleInfo name="BR v HR Morokai 242026-style 16" showFirstColumn="1" showLastColumn="1"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00000000-000C-0000-FFFF-FFFFD8000000}" name="Table17_2" displayName="Table17_2" ref="AB76:AD84">
  <tableColumns count="3">
    <tableColumn id="1" xr3:uid="{00000000-0010-0000-D800-000001000000}" name="Data"/>
    <tableColumn id="2" xr3:uid="{00000000-0010-0000-D800-000002000000}" name="BR"/>
    <tableColumn id="3" xr3:uid="{00000000-0010-0000-D800-000003000000}" name="Unhinged肉"/>
  </tableColumns>
  <tableStyleInfo name="BR v HR Morokai 242026-style 17" showFirstColumn="1" showLastColumn="1"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00000000-000C-0000-FFFF-FFFFD9000000}" name="Scoreboard_33" displayName="Scoreboard_33" ref="A1:P163">
  <tableColumns count="16">
    <tableColumn id="1" xr3:uid="{00000000-0010-0000-D900-000001000000}" name="/"/>
    <tableColumn id="2" xr3:uid="{00000000-0010-0000-D900-000002000000}" name="Role"/>
    <tableColumn id="3" xr3:uid="{00000000-0010-0000-D900-000003000000}" name="Weapons"/>
    <tableColumn id="4" xr3:uid="{00000000-0010-0000-D900-000004000000}" name="Guild"/>
    <tableColumn id="5" xr3:uid="{00000000-0010-0000-D900-000005000000}" name="Name"/>
    <tableColumn id="6" xr3:uid="{00000000-0010-0000-D900-000006000000}" name="Team"/>
    <tableColumn id="7" xr3:uid="{00000000-0010-0000-D900-000007000000}" name="Kills"/>
    <tableColumn id="8" xr3:uid="{00000000-0010-0000-D900-000008000000}" name="Assists"/>
    <tableColumn id="9" xr3:uid="{00000000-0010-0000-D900-000009000000}" name="K + A"/>
    <tableColumn id="10" xr3:uid="{00000000-0010-0000-D900-00000A000000}" name="Damage Dealt"/>
    <tableColumn id="11" xr3:uid="{00000000-0010-0000-D900-00000B000000}" name="Damage Taken"/>
    <tableColumn id="12" xr3:uid="{00000000-0010-0000-D900-00000C000000}" name="Amount Healed"/>
    <tableColumn id="13" xr3:uid="{00000000-0010-0000-D900-00000D000000}" name="K+A Eff"/>
    <tableColumn id="14" xr3:uid="{00000000-0010-0000-D900-00000E000000}" name="Dmg Dealt Eff"/>
    <tableColumn id="15" xr3:uid="{00000000-0010-0000-D900-00000F000000}" name="Dmg Taken Eff"/>
    <tableColumn id="16" xr3:uid="{00000000-0010-0000-D900-000010000000}" name="Amt Healed Eff"/>
  </tableColumns>
  <tableStyleInfo name="BR v HR Adentus 1 212026-style" showFirstColumn="1" showLastColumn="1"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00000000-000C-0000-FFFF-FFFFDA000000}" name="Team_Composition_33" displayName="Team_Composition_33" ref="R3:T14">
  <tableColumns count="3">
    <tableColumn id="1" xr3:uid="{00000000-0010-0000-DA00-000001000000}" name="Data"/>
    <tableColumn id="2" xr3:uid="{00000000-0010-0000-DA00-000002000000}" name="Yellow"/>
    <tableColumn id="3" xr3:uid="{00000000-0010-0000-DA00-000003000000}" name="Red"/>
  </tableColumns>
  <tableStyleInfo name="BR v HR Adentus 1 212026-style 2" showFirstColumn="1" showLastColumn="1"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00000000-000C-0000-FFFF-FFFFDB000000}" name="Table1_33" displayName="Table1_33" ref="V3:W13">
  <tableColumns count="2">
    <tableColumn id="1" xr3:uid="{00000000-0010-0000-DB00-000001000000}" name="Name"/>
    <tableColumn id="2" xr3:uid="{00000000-0010-0000-DB00-000002000000}" name="K + A"/>
  </tableColumns>
  <tableStyleInfo name="BR v HR Adentus 1 212026-style 3" showFirstColumn="1" showLastColumn="1"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00000000-000C-0000-FFFF-FFFFDC000000}" name="TopDamage_33" displayName="TopDamage_33" ref="Y3:Z13">
  <tableColumns count="2">
    <tableColumn id="1" xr3:uid="{00000000-0010-0000-DC00-000001000000}" name="Name"/>
    <tableColumn id="2" xr3:uid="{00000000-0010-0000-DC00-000002000000}" name="Damage"/>
  </tableColumns>
  <tableStyleInfo name="BR v HR Adentus 1 212026-style 4" showFirstColumn="1" showLastColumn="1"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00000000-000C-0000-FFFF-FFFFDD000000}" name="Table10_9" displayName="Table10_9" ref="AB3:AD14">
  <tableColumns count="3">
    <tableColumn id="1" xr3:uid="{00000000-0010-0000-DD00-000001000000}" name="Data"/>
    <tableColumn id="2" xr3:uid="{00000000-0010-0000-DD00-000002000000}" name="BR"/>
    <tableColumn id="3" xr3:uid="{00000000-0010-0000-DD00-000003000000}" name="Unhinged肉"/>
  </tableColumns>
  <tableStyleInfo name="BR v HR Adentus 1 212026-style 5" showFirstColumn="1" showLastColumn="1"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00000000-000C-0000-FFFF-FFFFDE000000}" name="Melee_DPS_33" displayName="Melee_DPS_33" ref="R16:T25">
  <tableColumns count="3">
    <tableColumn id="1" xr3:uid="{00000000-0010-0000-DE00-000001000000}" name="Data"/>
    <tableColumn id="2" xr3:uid="{00000000-0010-0000-DE00-000002000000}" name="Yellow"/>
    <tableColumn id="3" xr3:uid="{00000000-0010-0000-DE00-000003000000}" name="Red"/>
  </tableColumns>
  <tableStyleInfo name="BR v HR Adentus 1 212026-style 6" showFirstColumn="1" showLastColumn="1"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00000000-000C-0000-FFFF-FFFFDF000000}" name="Table3_33" displayName="Table3_33" ref="V16:W26">
  <tableColumns count="2">
    <tableColumn id="1" xr3:uid="{00000000-0010-0000-DF00-000001000000}" name="Name"/>
    <tableColumn id="2" xr3:uid="{00000000-0010-0000-DF00-000002000000}" name="DT"/>
  </tableColumns>
  <tableStyleInfo name="BR v HR Adentus 1 212026-style 7" showFirstColumn="1" showLastColumn="1"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00000000-000C-0000-FFFF-FFFFE0000000}" name="Table2_33" displayName="Table2_33" ref="Y16:Z26">
  <tableColumns count="2">
    <tableColumn id="1" xr3:uid="{00000000-0010-0000-E000-000001000000}" name="Name"/>
    <tableColumn id="2" xr3:uid="{00000000-0010-0000-E000-000002000000}" name="Healed"/>
  </tableColumns>
  <tableStyleInfo name="BR v HR Adentus 1 212026-style 8" showFirstColumn="1" showLastColumn="1"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00000000-000C-0000-FFFF-FFFFE1000000}" name="Table9_9" displayName="Table9_9" ref="AB16:AD25">
  <tableColumns count="3">
    <tableColumn id="1" xr3:uid="{00000000-0010-0000-E100-000001000000}" name="Data"/>
    <tableColumn id="2" xr3:uid="{00000000-0010-0000-E100-000002000000}" name="BR"/>
    <tableColumn id="3" xr3:uid="{00000000-0010-0000-E100-000003000000}" name="Unhinged肉"/>
  </tableColumns>
  <tableStyleInfo name="BR v HR Adentus 1 212026-style 9" showFirstColumn="1" showLastColumn="1"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00000000-000C-0000-FFFF-FFFFE2000000}" name="Ranged_DPS_33" displayName="Ranged_DPS_33" ref="R29:T46">
  <tableColumns count="3">
    <tableColumn id="1" xr3:uid="{00000000-0010-0000-E200-000001000000}" name="Data"/>
    <tableColumn id="2" xr3:uid="{00000000-0010-0000-E200-000002000000}" name="Yellow"/>
    <tableColumn id="3" xr3:uid="{00000000-0010-0000-E200-000003000000}" name="Red"/>
  </tableColumns>
  <tableStyleInfo name="BR v HR Adentus 1 212026-style 10" showFirstColumn="1" showLastColumn="1"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00000000-000C-0000-FFFF-FFFFE3000000}" name="Table11_9" displayName="Table11_9" ref="AB29:AD46">
  <tableColumns count="3">
    <tableColumn id="1" xr3:uid="{00000000-0010-0000-E300-000001000000}" name="Data"/>
    <tableColumn id="2" xr3:uid="{00000000-0010-0000-E300-000002000000}" name="BR"/>
    <tableColumn id="3" xr3:uid="{00000000-0010-0000-E300-000003000000}" name="Unhinged肉"/>
  </tableColumns>
  <tableStyleInfo name="BR v HR Adentus 1 212026-style 11" showFirstColumn="1" showLastColumn="1"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00000000-000C-0000-FFFF-FFFFE4000000}" name="Tank_33" displayName="Tank_33" ref="R50:T60">
  <tableColumns count="3">
    <tableColumn id="1" xr3:uid="{00000000-0010-0000-E400-000001000000}" name="Data"/>
    <tableColumn id="2" xr3:uid="{00000000-0010-0000-E400-000002000000}" name="Yellow"/>
    <tableColumn id="3" xr3:uid="{00000000-0010-0000-E400-000003000000}" name="Red"/>
  </tableColumns>
  <tableStyleInfo name="BR v HR Adentus 1 212026-style 12" showFirstColumn="1" showLastColumn="1"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00000000-000C-0000-FFFF-FFFFE5000000}" name="Table12_9" displayName="Table12_9" ref="AB50:AD60">
  <tableColumns count="3">
    <tableColumn id="1" xr3:uid="{00000000-0010-0000-E500-000001000000}" name="Data"/>
    <tableColumn id="2" xr3:uid="{00000000-0010-0000-E500-000002000000}" name="BR"/>
    <tableColumn id="3" xr3:uid="{00000000-0010-0000-E500-000003000000}" name="Unhinged肉"/>
  </tableColumns>
  <tableStyleInfo name="BR v HR Adentus 1 212026-style 13" showFirstColumn="1" showLastColumn="1" showRowStripes="1" showColumnStripes="0"/>
</table>
</file>

<file path=xl/tables/table2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00000000-000C-0000-FFFF-FFFFE6000000}" name="Healer_33" displayName="Healer_33" ref="R64:T72">
  <tableColumns count="3">
    <tableColumn id="1" xr3:uid="{00000000-0010-0000-E600-000001000000}" name="Data"/>
    <tableColumn id="2" xr3:uid="{00000000-0010-0000-E600-000002000000}" name="Yellow"/>
    <tableColumn id="3" xr3:uid="{00000000-0010-0000-E600-000003000000}" name="Red"/>
  </tableColumns>
  <tableStyleInfo name="BR v HR Adentus 1 212026-style 14" showFirstColumn="1" showLastColumn="1" showRowStripes="1" showColumnStripes="0"/>
</table>
</file>

<file path=xl/tables/table2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00000000-000C-0000-FFFF-FFFFE7000000}" name="Table13_9" displayName="Table13_9" ref="AB64:AD72">
  <tableColumns count="3">
    <tableColumn id="1" xr3:uid="{00000000-0010-0000-E700-000001000000}" name="Data"/>
    <tableColumn id="2" xr3:uid="{00000000-0010-0000-E700-000002000000}" name="BR"/>
    <tableColumn id="3" xr3:uid="{00000000-0010-0000-E700-000003000000}" name="Unhinged肉"/>
  </tableColumns>
  <tableStyleInfo name="BR v HR Adentus 1 212026-style 15" showFirstColumn="1" showLastColumn="1" showRowStripes="1" showColumnStripes="0"/>
</table>
</file>

<file path=xl/tables/table2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00000000-000C-0000-FFFF-FFFFE8000000}" name="Table14_3" displayName="Table14_3" ref="R76:T84">
  <tableColumns count="3">
    <tableColumn id="1" xr3:uid="{00000000-0010-0000-E800-000001000000}" name="Data"/>
    <tableColumn id="2" xr3:uid="{00000000-0010-0000-E800-000002000000}" name="Yellow"/>
    <tableColumn id="3" xr3:uid="{00000000-0010-0000-E800-000003000000}" name="Red"/>
  </tableColumns>
  <tableStyleInfo name="BR v HR Adentus 1 212026-style 16" showFirstColumn="1" showLastColumn="1" showRowStripes="1" showColumnStripes="0"/>
</table>
</file>

<file path=xl/tables/table2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00000000-000C-0000-FFFF-FFFFE9000000}" name="Table17_3" displayName="Table17_3" ref="AB76:AD84">
  <tableColumns count="3">
    <tableColumn id="1" xr3:uid="{00000000-0010-0000-E900-000001000000}" name="Data"/>
    <tableColumn id="2" xr3:uid="{00000000-0010-0000-E900-000002000000}" name="BR"/>
    <tableColumn id="3" xr3:uid="{00000000-0010-0000-E900-000003000000}" name="Unhinged肉"/>
  </tableColumns>
  <tableStyleInfo name="BR v HR Adentus 1 212026-style 17" showFirstColumn="1" showLastColumn="1" showRowStripes="1" showColumnStripes="0"/>
</table>
</file>

<file path=xl/tables/table2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00000000-000C-0000-FFFF-FFFFEA000000}" name="Scoreboard_31" displayName="Scoreboard_31" ref="A1:P163">
  <tableColumns count="16">
    <tableColumn id="1" xr3:uid="{00000000-0010-0000-EA00-000001000000}" name="/"/>
    <tableColumn id="2" xr3:uid="{00000000-0010-0000-EA00-000002000000}" name="Role"/>
    <tableColumn id="3" xr3:uid="{00000000-0010-0000-EA00-000003000000}" name="Weapons"/>
    <tableColumn id="4" xr3:uid="{00000000-0010-0000-EA00-000004000000}" name="Guild"/>
    <tableColumn id="5" xr3:uid="{00000000-0010-0000-EA00-000005000000}" name="Name"/>
    <tableColumn id="6" xr3:uid="{00000000-0010-0000-EA00-000006000000}" name="Team"/>
    <tableColumn id="7" xr3:uid="{00000000-0010-0000-EA00-000007000000}" name="Kills"/>
    <tableColumn id="8" xr3:uid="{00000000-0010-0000-EA00-000008000000}" name="Assists"/>
    <tableColumn id="9" xr3:uid="{00000000-0010-0000-EA00-000009000000}" name="K + A"/>
    <tableColumn id="10" xr3:uid="{00000000-0010-0000-EA00-00000A000000}" name="Damage Dealt"/>
    <tableColumn id="11" xr3:uid="{00000000-0010-0000-EA00-00000B000000}" name="Damage Taken"/>
    <tableColumn id="12" xr3:uid="{00000000-0010-0000-EA00-00000C000000}" name="Amount Healed"/>
    <tableColumn id="13" xr3:uid="{00000000-0010-0000-EA00-00000D000000}" name="K+A Eff"/>
    <tableColumn id="14" xr3:uid="{00000000-0010-0000-EA00-00000E000000}" name="Dmg Dealt Eff"/>
    <tableColumn id="15" xr3:uid="{00000000-0010-0000-EA00-00000F000000}" name="Dmg Taken Eff"/>
    <tableColumn id="16" xr3:uid="{00000000-0010-0000-EA00-000010000000}" name="Amt Healed Eff"/>
  </tableColumns>
  <tableStyleInfo name="BR m Unhinged Adentus 1272026-style" showFirstColumn="1" showLastColumn="1" showRowStripes="1" showColumnStripes="0"/>
</table>
</file>

<file path=xl/tables/table2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00000000-000C-0000-FFFF-FFFFEB000000}" name="Team_Composition_31" displayName="Team_Composition_31" ref="R3:T14">
  <tableColumns count="3">
    <tableColumn id="1" xr3:uid="{00000000-0010-0000-EB00-000001000000}" name="Data"/>
    <tableColumn id="2" xr3:uid="{00000000-0010-0000-EB00-000002000000}" name="Yellow"/>
    <tableColumn id="3" xr3:uid="{00000000-0010-0000-EB00-000003000000}" name="Red"/>
  </tableColumns>
  <tableStyleInfo name="BR m Unhinged Adentus 1272026-style 2" showFirstColumn="1" showLastColumn="1" showRowStripes="1" showColumnStripes="0"/>
</table>
</file>

<file path=xl/tables/table2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00000000-000C-0000-FFFF-FFFFEC000000}" name="Table1_31" displayName="Table1_31" ref="V3:W13">
  <tableColumns count="2">
    <tableColumn id="1" xr3:uid="{00000000-0010-0000-EC00-000001000000}" name="Name"/>
    <tableColumn id="2" xr3:uid="{00000000-0010-0000-EC00-000002000000}" name="K + A"/>
  </tableColumns>
  <tableStyleInfo name="BR m Unhinged Adentus 1272026-style 3" showFirstColumn="1" showLastColumn="1" showRowStripes="1" showColumnStripes="0"/>
</table>
</file>

<file path=xl/tables/table2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00000000-000C-0000-FFFF-FFFFED000000}" name="TopDamage_31" displayName="TopDamage_31" ref="Y3:Z13">
  <tableColumns count="2">
    <tableColumn id="1" xr3:uid="{00000000-0010-0000-ED00-000001000000}" name="Name"/>
    <tableColumn id="2" xr3:uid="{00000000-0010-0000-ED00-000002000000}" name="Damage"/>
  </tableColumns>
  <tableStyleInfo name="BR m Unhinged Adentus 1272026-style 4" showFirstColumn="1" showLastColumn="1" showRowStripes="1" showColumnStripes="0"/>
</table>
</file>

<file path=xl/tables/table2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00000000-000C-0000-FFFF-FFFFEE000000}" name="Table10_7" displayName="Table10_7" ref="AB3:AD14">
  <tableColumns count="3">
    <tableColumn id="1" xr3:uid="{00000000-0010-0000-EE00-000001000000}" name="Data"/>
    <tableColumn id="2" xr3:uid="{00000000-0010-0000-EE00-000002000000}" name="BR"/>
    <tableColumn id="3" xr3:uid="{00000000-0010-0000-EE00-000003000000}" name="Unhinged肉"/>
  </tableColumns>
  <tableStyleInfo name="BR m Unhinged Adentus 1272026-style 5" showFirstColumn="1" showLastColumn="1" showRowStripes="1" showColumnStripes="0"/>
</table>
</file>

<file path=xl/tables/table2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00000000-000C-0000-FFFF-FFFFEF000000}" name="Melee_DPS_31" displayName="Melee_DPS_31" ref="R16:T25">
  <tableColumns count="3">
    <tableColumn id="1" xr3:uid="{00000000-0010-0000-EF00-000001000000}" name="Data"/>
    <tableColumn id="2" xr3:uid="{00000000-0010-0000-EF00-000002000000}" name="Yellow"/>
    <tableColumn id="3" xr3:uid="{00000000-0010-0000-EF00-000003000000}" name="Red"/>
  </tableColumns>
  <tableStyleInfo name="BR m Unhinged Adentus 1272026-style 6" showFirstColumn="1" showLastColumn="1" showRowStripes="1" showColumnStripes="0"/>
</table>
</file>

<file path=xl/tables/table2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1" xr:uid="{00000000-000C-0000-FFFF-FFFFF0000000}" name="Table3_31" displayName="Table3_31" ref="V16:W26">
  <tableColumns count="2">
    <tableColumn id="1" xr3:uid="{00000000-0010-0000-F000-000001000000}" name="Name"/>
    <tableColumn id="2" xr3:uid="{00000000-0010-0000-F000-000002000000}" name="DT"/>
  </tableColumns>
  <tableStyleInfo name="BR m Unhinged Adentus 1272026-style 7" showFirstColumn="1" showLastColumn="1" showRowStripes="1" showColumnStripes="0"/>
</table>
</file>

<file path=xl/tables/table2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2" xr:uid="{00000000-000C-0000-FFFF-FFFFF1000000}" name="Table2_31" displayName="Table2_31" ref="Y16:Z26">
  <tableColumns count="2">
    <tableColumn id="1" xr3:uid="{00000000-0010-0000-F100-000001000000}" name="Name"/>
    <tableColumn id="2" xr3:uid="{00000000-0010-0000-F100-000002000000}" name="Healed"/>
  </tableColumns>
  <tableStyleInfo name="BR m Unhinged Adentus 1272026-style 8" showFirstColumn="1" showLastColumn="1" showRowStripes="1" showColumnStripes="0"/>
</table>
</file>

<file path=xl/tables/table2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3" xr:uid="{00000000-000C-0000-FFFF-FFFFF2000000}" name="Table9_7" displayName="Table9_7" ref="AB16:AD25">
  <tableColumns count="3">
    <tableColumn id="1" xr3:uid="{00000000-0010-0000-F200-000001000000}" name="Data"/>
    <tableColumn id="2" xr3:uid="{00000000-0010-0000-F200-000002000000}" name="BR"/>
    <tableColumn id="3" xr3:uid="{00000000-0010-0000-F200-000003000000}" name="Unhinged肉"/>
  </tableColumns>
  <tableStyleInfo name="BR m Unhinged Adentus 1272026-style 9" showFirstColumn="1" showLastColumn="1" showRowStripes="1" showColumnStripes="0"/>
</table>
</file>

<file path=xl/tables/table2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4" xr:uid="{00000000-000C-0000-FFFF-FFFFF3000000}" name="Ranged_DPS_31" displayName="Ranged_DPS_31" ref="R29:T46">
  <tableColumns count="3">
    <tableColumn id="1" xr3:uid="{00000000-0010-0000-F300-000001000000}" name="Data"/>
    <tableColumn id="2" xr3:uid="{00000000-0010-0000-F300-000002000000}" name="Yellow"/>
    <tableColumn id="3" xr3:uid="{00000000-0010-0000-F300-000003000000}" name="Red"/>
  </tableColumns>
  <tableStyleInfo name="BR m Unhinged Adentus 1272026-style 10" showFirstColumn="1" showLastColumn="1" showRowStripes="1" showColumnStripes="0"/>
</table>
</file>

<file path=xl/tables/table2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5" xr:uid="{00000000-000C-0000-FFFF-FFFFF4000000}" name="Table11_7" displayName="Table11_7" ref="AB29:AD46">
  <tableColumns count="3">
    <tableColumn id="1" xr3:uid="{00000000-0010-0000-F400-000001000000}" name="Data"/>
    <tableColumn id="2" xr3:uid="{00000000-0010-0000-F400-000002000000}" name="BR"/>
    <tableColumn id="3" xr3:uid="{00000000-0010-0000-F400-000003000000}" name="Unhinged肉"/>
  </tableColumns>
  <tableStyleInfo name="BR m Unhinged Adentus 1272026-style 11" showFirstColumn="1" showLastColumn="1" showRowStripes="1" showColumnStripes="0"/>
</table>
</file>

<file path=xl/tables/table2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6" xr:uid="{00000000-000C-0000-FFFF-FFFFF5000000}" name="Tank_31" displayName="Tank_31" ref="R50:T60">
  <tableColumns count="3">
    <tableColumn id="1" xr3:uid="{00000000-0010-0000-F500-000001000000}" name="Data"/>
    <tableColumn id="2" xr3:uid="{00000000-0010-0000-F500-000002000000}" name="Yellow"/>
    <tableColumn id="3" xr3:uid="{00000000-0010-0000-F500-000003000000}" name="Red"/>
  </tableColumns>
  <tableStyleInfo name="BR m Unhinged Adentus 1272026-style 12" showFirstColumn="1" showLastColumn="1" showRowStripes="1" showColumnStripes="0"/>
</table>
</file>

<file path=xl/tables/table2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7" xr:uid="{00000000-000C-0000-FFFF-FFFFF6000000}" name="Table12_7" displayName="Table12_7" ref="AB50:AD60">
  <tableColumns count="3">
    <tableColumn id="1" xr3:uid="{00000000-0010-0000-F600-000001000000}" name="Data"/>
    <tableColumn id="2" xr3:uid="{00000000-0010-0000-F600-000002000000}" name="BR"/>
    <tableColumn id="3" xr3:uid="{00000000-0010-0000-F600-000003000000}" name="Unhinged肉"/>
  </tableColumns>
  <tableStyleInfo name="BR m Unhinged Adentus 1272026-style 13" showFirstColumn="1" showLastColumn="1" showRowStripes="1" showColumnStripes="0"/>
</table>
</file>

<file path=xl/tables/table2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8" xr:uid="{00000000-000C-0000-FFFF-FFFFF7000000}" name="Healer_31" displayName="Healer_31" ref="R64:T72">
  <tableColumns count="3">
    <tableColumn id="1" xr3:uid="{00000000-0010-0000-F700-000001000000}" name="Data"/>
    <tableColumn id="2" xr3:uid="{00000000-0010-0000-F700-000002000000}" name="Yellow"/>
    <tableColumn id="3" xr3:uid="{00000000-0010-0000-F700-000003000000}" name="Red"/>
  </tableColumns>
  <tableStyleInfo name="BR m Unhinged Adentus 1272026-style 14" showFirstColumn="1" showLastColumn="1" showRowStripes="1" showColumnStripes="0"/>
</table>
</file>

<file path=xl/tables/table2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9" xr:uid="{00000000-000C-0000-FFFF-FFFFF8000000}" name="Table13_7" displayName="Table13_7" ref="AB64:AD72">
  <tableColumns count="3">
    <tableColumn id="1" xr3:uid="{00000000-0010-0000-F800-000001000000}" name="Data"/>
    <tableColumn id="2" xr3:uid="{00000000-0010-0000-F800-000002000000}" name="BR"/>
    <tableColumn id="3" xr3:uid="{00000000-0010-0000-F800-000003000000}" name="Unhinged肉"/>
  </tableColumns>
  <tableStyleInfo name="BR m Unhinged Adentus 1272026-style 15" showFirstColumn="1" showLastColumn="1" showRowStripes="1" showColumnStripes="0"/>
</table>
</file>

<file path=xl/tables/table2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0" xr:uid="{00000000-000C-0000-FFFF-FFFFF9000000}" name="Table14" displayName="Table14" ref="R76:T84">
  <tableColumns count="3">
    <tableColumn id="1" xr3:uid="{00000000-0010-0000-F900-000001000000}" name="Data"/>
    <tableColumn id="2" xr3:uid="{00000000-0010-0000-F900-000002000000}" name="Yellow"/>
    <tableColumn id="3" xr3:uid="{00000000-0010-0000-F900-000003000000}" name="Red"/>
  </tableColumns>
  <tableStyleInfo name="BR m Unhinged Adentus 1272026-style 16" showFirstColumn="1" showLastColumn="1" showRowStripes="1" showColumnStripes="0"/>
</table>
</file>

<file path=xl/tables/table2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1" xr:uid="{00000000-000C-0000-FFFF-FFFFFA000000}" name="Table17" displayName="Table17" ref="AB76:AD84">
  <tableColumns count="3">
    <tableColumn id="1" xr3:uid="{00000000-0010-0000-FA00-000001000000}" name="Data"/>
    <tableColumn id="2" xr3:uid="{00000000-0010-0000-FA00-000002000000}" name="BR"/>
    <tableColumn id="3" xr3:uid="{00000000-0010-0000-FA00-000003000000}" name="Unhinged肉"/>
  </tableColumns>
  <tableStyleInfo name="BR m Unhinged Adentus 1272026-style 17" showFirstColumn="1" showLastColumn="1" showRowStripes="1" showColumnStripes="0"/>
</table>
</file>

<file path=xl/tables/table2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2" xr:uid="{00000000-000C-0000-FFFF-FFFFFB000000}" name="Scoreboard_30" displayName="Scoreboard_30" ref="A1:P163">
  <tableColumns count="16">
    <tableColumn id="1" xr3:uid="{00000000-0010-0000-FB00-000001000000}" name="/"/>
    <tableColumn id="2" xr3:uid="{00000000-0010-0000-FB00-000002000000}" name="Role"/>
    <tableColumn id="3" xr3:uid="{00000000-0010-0000-FB00-000003000000}" name="Weapons"/>
    <tableColumn id="4" xr3:uid="{00000000-0010-0000-FB00-000004000000}" name="Guild"/>
    <tableColumn id="5" xr3:uid="{00000000-0010-0000-FB00-000005000000}" name="Name"/>
    <tableColumn id="6" xr3:uid="{00000000-0010-0000-FB00-000006000000}" name="Team"/>
    <tableColumn id="7" xr3:uid="{00000000-0010-0000-FB00-000007000000}" name="Kills"/>
    <tableColumn id="8" xr3:uid="{00000000-0010-0000-FB00-000008000000}" name="Assists"/>
    <tableColumn id="9" xr3:uid="{00000000-0010-0000-FB00-000009000000}" name="K + A"/>
    <tableColumn id="10" xr3:uid="{00000000-0010-0000-FB00-00000A000000}" name="Damage Dealt"/>
    <tableColumn id="11" xr3:uid="{00000000-0010-0000-FB00-00000B000000}" name="Damage Taken"/>
    <tableColumn id="12" xr3:uid="{00000000-0010-0000-FB00-00000C000000}" name="Amount Healed"/>
    <tableColumn id="13" xr3:uid="{00000000-0010-0000-FB00-00000D000000}" name="K+A Eff"/>
    <tableColumn id="14" xr3:uid="{00000000-0010-0000-FB00-00000E000000}" name="Dmg Dealt Eff"/>
    <tableColumn id="15" xr3:uid="{00000000-0010-0000-FB00-00000F000000}" name="Dmg Taken Eff"/>
    <tableColumn id="16" xr3:uid="{00000000-0010-0000-FB00-000010000000}" name="Amt Healed Eff"/>
  </tableColumns>
  <tableStyleInfo name="BR v HR 2 Moro 1262026-style" showFirstColumn="1" showLastColumn="1" showRowStripes="1" showColumnStripes="0"/>
</table>
</file>

<file path=xl/tables/table2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3" xr:uid="{00000000-000C-0000-FFFF-FFFFFC000000}" name="Team_Composition_30" displayName="Team_Composition_30" ref="R3:T14">
  <tableColumns count="3">
    <tableColumn id="1" xr3:uid="{00000000-0010-0000-FC00-000001000000}" name="Data"/>
    <tableColumn id="2" xr3:uid="{00000000-0010-0000-FC00-000002000000}" name="Yellow"/>
    <tableColumn id="3" xr3:uid="{00000000-0010-0000-FC00-000003000000}" name="Red"/>
  </tableColumns>
  <tableStyleInfo name="BR v HR 2 Moro 1262026-style 2" showFirstColumn="1" showLastColumn="1" showRowStripes="1" showColumnStripes="0"/>
</table>
</file>

<file path=xl/tables/table2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4" xr:uid="{00000000-000C-0000-FFFF-FFFFFD000000}" name="Table1_30" displayName="Table1_30" ref="V3:W13">
  <tableColumns count="2">
    <tableColumn id="1" xr3:uid="{00000000-0010-0000-FD00-000001000000}" name="Name"/>
    <tableColumn id="2" xr3:uid="{00000000-0010-0000-FD00-000002000000}" name="K + A"/>
  </tableColumns>
  <tableStyleInfo name="BR v HR 2 Moro 1262026-style 3" showFirstColumn="1" showLastColumn="1" showRowStripes="1" showColumnStripes="0"/>
</table>
</file>

<file path=xl/tables/table2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5" xr:uid="{00000000-000C-0000-FFFF-FFFFFE000000}" name="TopDamage_30" displayName="TopDamage_30" ref="Y3:Z13">
  <tableColumns count="2">
    <tableColumn id="1" xr3:uid="{00000000-0010-0000-FE00-000001000000}" name="Name"/>
    <tableColumn id="2" xr3:uid="{00000000-0010-0000-FE00-000002000000}" name="Damage"/>
  </tableColumns>
  <tableStyleInfo name="BR v HR 2 Moro 1262026-style 4" showFirstColumn="1" showLastColumn="1" showRowStripes="1" showColumnStripes="0"/>
</table>
</file>

<file path=xl/tables/table2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6" xr:uid="{00000000-000C-0000-FFFF-FFFFFF000000}" name="Table10_5" displayName="Table10_5" ref="AB3:AD14">
  <tableColumns count="3">
    <tableColumn id="1" xr3:uid="{00000000-0010-0000-FF00-000001000000}" name="Data"/>
    <tableColumn id="2" xr3:uid="{00000000-0010-0000-FF00-000002000000}" name="FTP"/>
    <tableColumn id="3" xr3:uid="{00000000-0010-0000-FF00-000003000000}" name="Other"/>
  </tableColumns>
  <tableStyleInfo name="BR v HR 2 Moro 1262026-style 5" showFirstColumn="1" showLastColumn="1" showRowStripes="1" showColumnStripes="0"/>
</table>
</file>

<file path=xl/tables/table2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00000000-000C-0000-FFFF-FFFF00010000}" name="Melee_DPS_30" displayName="Melee_DPS_30" ref="R16:T25">
  <tableColumns count="3">
    <tableColumn id="1" xr3:uid="{00000000-0010-0000-0001-000001000000}" name="Data"/>
    <tableColumn id="2" xr3:uid="{00000000-0010-0000-0001-000002000000}" name="Yellow"/>
    <tableColumn id="3" xr3:uid="{00000000-0010-0000-0001-000003000000}" name="Red"/>
  </tableColumns>
  <tableStyleInfo name="BR v HR 2 Moro 1262026-style 6" showFirstColumn="1" showLastColumn="1" showRowStripes="1" showColumnStripes="0"/>
</table>
</file>

<file path=xl/tables/table2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8" xr:uid="{00000000-000C-0000-FFFF-FFFF01010000}" name="Table3_30" displayName="Table3_30" ref="V16:W26">
  <tableColumns count="2">
    <tableColumn id="1" xr3:uid="{00000000-0010-0000-0101-000001000000}" name="Name"/>
    <tableColumn id="2" xr3:uid="{00000000-0010-0000-0101-000002000000}" name="DT"/>
  </tableColumns>
  <tableStyleInfo name="BR v HR 2 Moro 1262026-style 7" showFirstColumn="1" showLastColumn="1" showRowStripes="1" showColumnStripes="0"/>
</table>
</file>

<file path=xl/tables/table2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9" xr:uid="{00000000-000C-0000-FFFF-FFFF02010000}" name="Table2_30" displayName="Table2_30" ref="Y16:Z26">
  <tableColumns count="2">
    <tableColumn id="1" xr3:uid="{00000000-0010-0000-0201-000001000000}" name="Name"/>
    <tableColumn id="2" xr3:uid="{00000000-0010-0000-0201-000002000000}" name="Healed"/>
  </tableColumns>
  <tableStyleInfo name="BR v HR 2 Moro 1262026-style 8" showFirstColumn="1" showLastColumn="1" showRowStripes="1" showColumnStripes="0"/>
</table>
</file>

<file path=xl/tables/table2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0" xr:uid="{00000000-000C-0000-FFFF-FFFF03010000}" name="Table9_5" displayName="Table9_5" ref="AB16:AD25">
  <tableColumns count="3">
    <tableColumn id="1" xr3:uid="{00000000-0010-0000-0301-000001000000}" name="Data"/>
    <tableColumn id="2" xr3:uid="{00000000-0010-0000-0301-000002000000}" name="FTP"/>
    <tableColumn id="3" xr3:uid="{00000000-0010-0000-0301-000003000000}" name="Other"/>
  </tableColumns>
  <tableStyleInfo name="BR v HR 2 Moro 1262026-style 9" showFirstColumn="1" showLastColumn="1" showRowStripes="1" showColumnStripes="0"/>
</table>
</file>

<file path=xl/tables/table2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1" xr:uid="{00000000-000C-0000-FFFF-FFFF04010000}" name="Ranged_DPS_30" displayName="Ranged_DPS_30" ref="R29:T46">
  <tableColumns count="3">
    <tableColumn id="1" xr3:uid="{00000000-0010-0000-0401-000001000000}" name="Data"/>
    <tableColumn id="2" xr3:uid="{00000000-0010-0000-0401-000002000000}" name="Yellow"/>
    <tableColumn id="3" xr3:uid="{00000000-0010-0000-0401-000003000000}" name="Red"/>
  </tableColumns>
  <tableStyleInfo name="BR v HR 2 Moro 1262026-style 10" showFirstColumn="1" showLastColumn="1" showRowStripes="1" showColumnStripes="0"/>
</table>
</file>

<file path=xl/tables/table2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2" xr:uid="{00000000-000C-0000-FFFF-FFFF05010000}" name="Table11_5" displayName="Table11_5" ref="AB29:AD46">
  <tableColumns count="3">
    <tableColumn id="1" xr3:uid="{00000000-0010-0000-0501-000001000000}" name="Data"/>
    <tableColumn id="2" xr3:uid="{00000000-0010-0000-0501-000002000000}" name="FTP"/>
    <tableColumn id="3" xr3:uid="{00000000-0010-0000-0501-000003000000}" name="Other"/>
  </tableColumns>
  <tableStyleInfo name="BR v HR 2 Moro 1262026-style 11" showFirstColumn="1" showLastColumn="1" showRowStripes="1" showColumnStripes="0"/>
</table>
</file>

<file path=xl/tables/table2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3" xr:uid="{00000000-000C-0000-FFFF-FFFF06010000}" name="Tank_30" displayName="Tank_30" ref="R50:T60">
  <tableColumns count="3">
    <tableColumn id="1" xr3:uid="{00000000-0010-0000-0601-000001000000}" name="Data"/>
    <tableColumn id="2" xr3:uid="{00000000-0010-0000-0601-000002000000}" name="Yellow"/>
    <tableColumn id="3" xr3:uid="{00000000-0010-0000-0601-000003000000}" name="Red"/>
  </tableColumns>
  <tableStyleInfo name="BR v HR 2 Moro 1262026-style 12" showFirstColumn="1" showLastColumn="1" showRowStripes="1" showColumnStripes="0"/>
</table>
</file>

<file path=xl/tables/table2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00000000-000C-0000-FFFF-FFFF07010000}" name="Table12_5" displayName="Table12_5" ref="AB50:AD60">
  <tableColumns count="3">
    <tableColumn id="1" xr3:uid="{00000000-0010-0000-0701-000001000000}" name="Data"/>
    <tableColumn id="2" xr3:uid="{00000000-0010-0000-0701-000002000000}" name="FTP"/>
    <tableColumn id="3" xr3:uid="{00000000-0010-0000-0701-000003000000}" name="Other"/>
  </tableColumns>
  <tableStyleInfo name="BR v HR 2 Moro 1262026-style 13" showFirstColumn="1" showLastColumn="1" showRowStripes="1" showColumnStripes="0"/>
</table>
</file>

<file path=xl/tables/table2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00000000-000C-0000-FFFF-FFFF08010000}" name="Healer_30" displayName="Healer_30" ref="R64:T72">
  <tableColumns count="3">
    <tableColumn id="1" xr3:uid="{00000000-0010-0000-0801-000001000000}" name="Data"/>
    <tableColumn id="2" xr3:uid="{00000000-0010-0000-0801-000002000000}" name="Yellow"/>
    <tableColumn id="3" xr3:uid="{00000000-0010-0000-0801-000003000000}" name="Red"/>
  </tableColumns>
  <tableStyleInfo name="BR v HR 2 Moro 1262026-style 14" showFirstColumn="1" showLastColumn="1" showRowStripes="1" showColumnStripes="0"/>
</table>
</file>

<file path=xl/tables/table2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00000000-000C-0000-FFFF-FFFF09010000}" name="Table13_5" displayName="Table13_5" ref="AB64:AD72">
  <tableColumns count="3">
    <tableColumn id="1" xr3:uid="{00000000-0010-0000-0901-000001000000}" name="Data"/>
    <tableColumn id="2" xr3:uid="{00000000-0010-0000-0901-000002000000}" name="FTP"/>
    <tableColumn id="3" xr3:uid="{00000000-0010-0000-0901-000003000000}" name="Other"/>
  </tableColumns>
  <tableStyleInfo name="BR v HR 2 Moro 1262026-style 15" showFirstColumn="1" showLastColumn="1" showRowStripes="1" showColumnStripes="0"/>
</table>
</file>

<file path=xl/tables/table2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00000000-000C-0000-FFFF-FFFF0A010000}" name="Table16" displayName="Table16" ref="R76:T84">
  <tableColumns count="3">
    <tableColumn id="1" xr3:uid="{00000000-0010-0000-0A01-000001000000}" name="Data"/>
    <tableColumn id="2" xr3:uid="{00000000-0010-0000-0A01-000002000000}" name="Yellow"/>
    <tableColumn id="3" xr3:uid="{00000000-0010-0000-0A01-000003000000}" name="Red"/>
  </tableColumns>
  <tableStyleInfo name="BR v HR 2 Moro 1262026-style 16" showFirstColumn="1" showLastColumn="1" showRowStripes="1" showColumnStripes="0"/>
</table>
</file>

<file path=xl/tables/table2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00000000-000C-0000-FFFF-FFFF0B010000}" name="Table15" displayName="Table15" ref="AB76:AD84">
  <tableColumns count="3">
    <tableColumn id="1" xr3:uid="{00000000-0010-0000-0B01-000001000000}" name="Data"/>
    <tableColumn id="2" xr3:uid="{00000000-0010-0000-0B01-000002000000}" name="BR"/>
    <tableColumn id="3" xr3:uid="{00000000-0010-0000-0B01-000003000000}" name="Unhinged肉"/>
  </tableColumns>
  <tableStyleInfo name="BR v HR 2 Moro 1262026-style 17" showFirstColumn="1" showLastColumn="1" showRowStripes="1" showColumnStripes="0"/>
</table>
</file>

<file path=xl/tables/table2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9" xr:uid="{00000000-000C-0000-FFFF-FFFF0C010000}" name="Scoreboard_29" displayName="Scoreboard_29" ref="A1:P163">
  <tableColumns count="16">
    <tableColumn id="1" xr3:uid="{00000000-0010-0000-0C01-000001000000}" name="/"/>
    <tableColumn id="2" xr3:uid="{00000000-0010-0000-0C01-000002000000}" name="Role"/>
    <tableColumn id="3" xr3:uid="{00000000-0010-0000-0C01-000003000000}" name="Weapons"/>
    <tableColumn id="4" xr3:uid="{00000000-0010-0000-0C01-000004000000}" name="Guild"/>
    <tableColumn id="5" xr3:uid="{00000000-0010-0000-0C01-000005000000}" name="Name"/>
    <tableColumn id="6" xr3:uid="{00000000-0010-0000-0C01-000006000000}" name="Team"/>
    <tableColumn id="7" xr3:uid="{00000000-0010-0000-0C01-000007000000}" name="Kills"/>
    <tableColumn id="8" xr3:uid="{00000000-0010-0000-0C01-000008000000}" name="Assists"/>
    <tableColumn id="9" xr3:uid="{00000000-0010-0000-0C01-000009000000}" name="K + A"/>
    <tableColumn id="10" xr3:uid="{00000000-0010-0000-0C01-00000A000000}" name="Damage Dealt"/>
    <tableColumn id="11" xr3:uid="{00000000-0010-0000-0C01-00000B000000}" name="Damage Taken"/>
    <tableColumn id="12" xr3:uid="{00000000-0010-0000-0C01-00000C000000}" name="Amount Healed"/>
    <tableColumn id="13" xr3:uid="{00000000-0010-0000-0C01-00000D000000}" name="K+A Eff"/>
    <tableColumn id="14" xr3:uid="{00000000-0010-0000-0C01-00000E000000}" name="Dmg Dealt Eff"/>
    <tableColumn id="15" xr3:uid="{00000000-0010-0000-0C01-00000F000000}" name="Dmg Taken Eff"/>
    <tableColumn id="16" xr3:uid="{00000000-0010-0000-0C01-000010000000}" name="Amt Healed Eff"/>
  </tableColumns>
  <tableStyleInfo name="BR v HR 1 Talus 1262026-style" showFirstColumn="1" showLastColumn="1" showRowStripes="1" showColumnStripes="0"/>
</table>
</file>

<file path=xl/tables/table2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0" xr:uid="{00000000-000C-0000-FFFF-FFFF0D010000}" name="Team_Composition_29" displayName="Team_Composition_29" ref="R3:T14">
  <tableColumns count="3">
    <tableColumn id="1" xr3:uid="{00000000-0010-0000-0D01-000001000000}" name="Data"/>
    <tableColumn id="2" xr3:uid="{00000000-0010-0000-0D01-000002000000}" name="Yellow"/>
    <tableColumn id="3" xr3:uid="{00000000-0010-0000-0D01-000003000000}" name="Red"/>
  </tableColumns>
  <tableStyleInfo name="BR v HR 1 Talus 1262026-style 2" showFirstColumn="1" showLastColumn="1" showRowStripes="1" showColumnStripes="0"/>
</table>
</file>

<file path=xl/tables/table2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1" xr:uid="{00000000-000C-0000-FFFF-FFFF0E010000}" name="Table1_29" displayName="Table1_29" ref="V3:W13">
  <tableColumns count="2">
    <tableColumn id="1" xr3:uid="{00000000-0010-0000-0E01-000001000000}" name="Name"/>
    <tableColumn id="2" xr3:uid="{00000000-0010-0000-0E01-000002000000}" name="K + A"/>
  </tableColumns>
  <tableStyleInfo name="BR v HR 1 Talus 1262026-style 3" showFirstColumn="1" showLastColumn="1" showRowStripes="1" showColumnStripes="0"/>
</table>
</file>

<file path=xl/tables/table2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2" xr:uid="{00000000-000C-0000-FFFF-FFFF0F010000}" name="TopDamage_29" displayName="TopDamage_29" ref="Y3:Z13">
  <tableColumns count="2">
    <tableColumn id="1" xr3:uid="{00000000-0010-0000-0F01-000001000000}" name="Name"/>
    <tableColumn id="2" xr3:uid="{00000000-0010-0000-0F01-000002000000}" name="Damage"/>
  </tableColumns>
  <tableStyleInfo name="BR v HR 1 Talus 1262026-style 4" showFirstColumn="1" showLastColumn="1" showRowStripes="1" showColumnStripes="0"/>
</table>
</file>

<file path=xl/tables/table2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3" xr:uid="{00000000-000C-0000-FFFF-FFFF10010000}" name="Table10_4" displayName="Table10_4" ref="AB3:AD14">
  <tableColumns count="3">
    <tableColumn id="1" xr3:uid="{00000000-0010-0000-1001-000001000000}" name="Data"/>
    <tableColumn id="2" xr3:uid="{00000000-0010-0000-1001-000002000000}" name="FTP"/>
    <tableColumn id="3" xr3:uid="{00000000-0010-0000-1001-000003000000}" name="Other"/>
  </tableColumns>
  <tableStyleInfo name="BR v HR 1 Talus 1262026-style 5" showFirstColumn="1" showLastColumn="1" showRowStripes="1" showColumnStripes="0"/>
</table>
</file>

<file path=xl/tables/table2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4" xr:uid="{00000000-000C-0000-FFFF-FFFF11010000}" name="Melee_DPS_29" displayName="Melee_DPS_29" ref="R16:T25">
  <tableColumns count="3">
    <tableColumn id="1" xr3:uid="{00000000-0010-0000-1101-000001000000}" name="Data"/>
    <tableColumn id="2" xr3:uid="{00000000-0010-0000-1101-000002000000}" name="Yellow"/>
    <tableColumn id="3" xr3:uid="{00000000-0010-0000-1101-000003000000}" name="Red"/>
  </tableColumns>
  <tableStyleInfo name="BR v HR 1 Talus 1262026-style 6" showFirstColumn="1" showLastColumn="1" showRowStripes="1" showColumnStripes="0"/>
</table>
</file>

<file path=xl/tables/table2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5" xr:uid="{00000000-000C-0000-FFFF-FFFF12010000}" name="Table3_29" displayName="Table3_29" ref="V16:W26">
  <tableColumns count="2">
    <tableColumn id="1" xr3:uid="{00000000-0010-0000-1201-000001000000}" name="Name"/>
    <tableColumn id="2" xr3:uid="{00000000-0010-0000-1201-000002000000}" name="DT"/>
  </tableColumns>
  <tableStyleInfo name="BR v HR 1 Talus 1262026-style 7" showFirstColumn="1" showLastColumn="1" showRowStripes="1" showColumnStripes="0"/>
</table>
</file>

<file path=xl/tables/table2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6" xr:uid="{00000000-000C-0000-FFFF-FFFF13010000}" name="Table2_29" displayName="Table2_29" ref="Y16:Z26">
  <tableColumns count="2">
    <tableColumn id="1" xr3:uid="{00000000-0010-0000-1301-000001000000}" name="Name"/>
    <tableColumn id="2" xr3:uid="{00000000-0010-0000-1301-000002000000}" name="Healed"/>
  </tableColumns>
  <tableStyleInfo name="BR v HR 1 Talus 1262026-style 8" showFirstColumn="1" showLastColumn="1" showRowStripes="1" showColumnStripes="0"/>
</table>
</file>

<file path=xl/tables/table2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7" xr:uid="{00000000-000C-0000-FFFF-FFFF14010000}" name="Table9_4" displayName="Table9_4" ref="AB16:AD25">
  <tableColumns count="3">
    <tableColumn id="1" xr3:uid="{00000000-0010-0000-1401-000001000000}" name="Data"/>
    <tableColumn id="2" xr3:uid="{00000000-0010-0000-1401-000002000000}" name="FTP"/>
    <tableColumn id="3" xr3:uid="{00000000-0010-0000-1401-000003000000}" name="Other"/>
  </tableColumns>
  <tableStyleInfo name="BR v HR 1 Talus 1262026-style 9" showFirstColumn="1" showLastColumn="1" showRowStripes="1" showColumnStripes="0"/>
</table>
</file>

<file path=xl/tables/table2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8" xr:uid="{00000000-000C-0000-FFFF-FFFF15010000}" name="Ranged_DPS_29" displayName="Ranged_DPS_29" ref="R29:T46">
  <tableColumns count="3">
    <tableColumn id="1" xr3:uid="{00000000-0010-0000-1501-000001000000}" name="Data"/>
    <tableColumn id="2" xr3:uid="{00000000-0010-0000-1501-000002000000}" name="Yellow"/>
    <tableColumn id="3" xr3:uid="{00000000-0010-0000-1501-000003000000}" name="Red"/>
  </tableColumns>
  <tableStyleInfo name="BR v HR 1 Talus 1262026-style 10" showFirstColumn="1" showLastColumn="1" showRowStripes="1" showColumnStripes="0"/>
</table>
</file>

<file path=xl/tables/table2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9" xr:uid="{00000000-000C-0000-FFFF-FFFF16010000}" name="Table11_4" displayName="Table11_4" ref="AB29:AD46">
  <tableColumns count="3">
    <tableColumn id="1" xr3:uid="{00000000-0010-0000-1601-000001000000}" name="Data"/>
    <tableColumn id="2" xr3:uid="{00000000-0010-0000-1601-000002000000}" name="FTP"/>
    <tableColumn id="3" xr3:uid="{00000000-0010-0000-1601-000003000000}" name="Other"/>
  </tableColumns>
  <tableStyleInfo name="BR v HR 1 Talus 1262026-style 11" showFirstColumn="1" showLastColumn="1" showRowStripes="1" showColumnStripes="0"/>
</table>
</file>

<file path=xl/tables/table2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0" xr:uid="{00000000-000C-0000-FFFF-FFFF17010000}" name="Tank_29" displayName="Tank_29" ref="R50:T60">
  <tableColumns count="3">
    <tableColumn id="1" xr3:uid="{00000000-0010-0000-1701-000001000000}" name="Data"/>
    <tableColumn id="2" xr3:uid="{00000000-0010-0000-1701-000002000000}" name="Yellow"/>
    <tableColumn id="3" xr3:uid="{00000000-0010-0000-1701-000003000000}" name="Red"/>
  </tableColumns>
  <tableStyleInfo name="BR v HR 1 Talus 1262026-style 12" showFirstColumn="1" showLastColumn="1" showRowStripes="1" showColumnStripes="0"/>
</table>
</file>

<file path=xl/tables/table2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1" xr:uid="{00000000-000C-0000-FFFF-FFFF18010000}" name="Table12_4" displayName="Table12_4" ref="AB50:AD60">
  <tableColumns count="3">
    <tableColumn id="1" xr3:uid="{00000000-0010-0000-1801-000001000000}" name="Data"/>
    <tableColumn id="2" xr3:uid="{00000000-0010-0000-1801-000002000000}" name="FTP"/>
    <tableColumn id="3" xr3:uid="{00000000-0010-0000-1801-000003000000}" name="Other"/>
  </tableColumns>
  <tableStyleInfo name="BR v HR 1 Talus 1262026-style 13" showFirstColumn="1" showLastColumn="1" showRowStripes="1" showColumnStripes="0"/>
</table>
</file>

<file path=xl/tables/table2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2" xr:uid="{00000000-000C-0000-FFFF-FFFF19010000}" name="Healer_29" displayName="Healer_29" ref="R64:T72">
  <tableColumns count="3">
    <tableColumn id="1" xr3:uid="{00000000-0010-0000-1901-000001000000}" name="Data"/>
    <tableColumn id="2" xr3:uid="{00000000-0010-0000-1901-000002000000}" name="Yellow"/>
    <tableColumn id="3" xr3:uid="{00000000-0010-0000-1901-000003000000}" name="Red"/>
  </tableColumns>
  <tableStyleInfo name="BR v HR 1 Talus 1262026-style 14" showFirstColumn="1" showLastColumn="1" showRowStripes="1" showColumnStripes="0"/>
</table>
</file>

<file path=xl/tables/table2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3" xr:uid="{00000000-000C-0000-FFFF-FFFF1A010000}" name="Table13_4" displayName="Table13_4" ref="AB64:AD72">
  <tableColumns count="3">
    <tableColumn id="1" xr3:uid="{00000000-0010-0000-1A01-000001000000}" name="Data"/>
    <tableColumn id="2" xr3:uid="{00000000-0010-0000-1A01-000002000000}" name="FTP"/>
    <tableColumn id="3" xr3:uid="{00000000-0010-0000-1A01-000003000000}" name="Other"/>
  </tableColumns>
  <tableStyleInfo name="BR v HR 1 Talus 1262026-style 15" showFirstColumn="1" showLastColumn="1" showRowStripes="1" showColumnStripes="0"/>
</table>
</file>

<file path=xl/tables/table2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4" xr:uid="{00000000-000C-0000-FFFF-FFFF1B010000}" name="Scoreboard_28" displayName="Scoreboard_28" ref="A1:P163">
  <tableColumns count="16">
    <tableColumn id="1" xr3:uid="{00000000-0010-0000-1B01-000001000000}" name="/"/>
    <tableColumn id="2" xr3:uid="{00000000-0010-0000-1B01-000002000000}" name="Role"/>
    <tableColumn id="3" xr3:uid="{00000000-0010-0000-1B01-000003000000}" name="Weapons"/>
    <tableColumn id="4" xr3:uid="{00000000-0010-0000-1B01-000004000000}" name="Guild"/>
    <tableColumn id="5" xr3:uid="{00000000-0010-0000-1B01-000005000000}" name="Name"/>
    <tableColumn id="6" xr3:uid="{00000000-0010-0000-1B01-000006000000}" name="Team"/>
    <tableColumn id="7" xr3:uid="{00000000-0010-0000-1B01-000007000000}" name="Kills"/>
    <tableColumn id="8" xr3:uid="{00000000-0010-0000-1B01-000008000000}" name="Assists"/>
    <tableColumn id="9" xr3:uid="{00000000-0010-0000-1B01-000009000000}" name="K + A"/>
    <tableColumn id="10" xr3:uid="{00000000-0010-0000-1B01-00000A000000}" name="Damage Dealt"/>
    <tableColumn id="11" xr3:uid="{00000000-0010-0000-1B01-00000B000000}" name="Damage Taken"/>
    <tableColumn id="12" xr3:uid="{00000000-0010-0000-1B01-00000C000000}" name="Amount Healed"/>
    <tableColumn id="13" xr3:uid="{00000000-0010-0000-1B01-00000D000000}" name="K+A Eff"/>
    <tableColumn id="14" xr3:uid="{00000000-0010-0000-1B01-00000E000000}" name="Dmg Dealt Eff"/>
    <tableColumn id="15" xr3:uid="{00000000-0010-0000-1B01-00000F000000}" name="Dmg Taken Eff"/>
    <tableColumn id="16" xr3:uid="{00000000-0010-0000-1B01-000010000000}" name="Amt Healed Eff"/>
  </tableColumns>
  <tableStyleInfo name="BR v HR Ahz 1252026-style" showFirstColumn="1" showLastColumn="1" showRowStripes="1" showColumnStripes="0"/>
</table>
</file>

<file path=xl/tables/table2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5" xr:uid="{00000000-000C-0000-FFFF-FFFF1C010000}" name="Team_Composition_28" displayName="Team_Composition_28" ref="R3:T14">
  <tableColumns count="3">
    <tableColumn id="1" xr3:uid="{00000000-0010-0000-1C01-000001000000}" name="Data"/>
    <tableColumn id="2" xr3:uid="{00000000-0010-0000-1C01-000002000000}" name="Yellow"/>
    <tableColumn id="3" xr3:uid="{00000000-0010-0000-1C01-000003000000}" name="Red"/>
  </tableColumns>
  <tableStyleInfo name="BR v HR Ahz 1252026-style 2" showFirstColumn="1" showLastColumn="1" showRowStripes="1" showColumnStripes="0"/>
</table>
</file>

<file path=xl/tables/table2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6" xr:uid="{00000000-000C-0000-FFFF-FFFF1D010000}" name="Table1_28" displayName="Table1_28" ref="V3:W13">
  <tableColumns count="2">
    <tableColumn id="1" xr3:uid="{00000000-0010-0000-1D01-000001000000}" name="Name"/>
    <tableColumn id="2" xr3:uid="{00000000-0010-0000-1D01-000002000000}" name="K + A"/>
  </tableColumns>
  <tableStyleInfo name="BR v HR Ahz 1252026-style 3" showFirstColumn="1" showLastColumn="1" showRowStripes="1" showColumnStripes="0"/>
</table>
</file>

<file path=xl/tables/table2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7" xr:uid="{00000000-000C-0000-FFFF-FFFF1E010000}" name="TopDamage_28" displayName="TopDamage_28" ref="Y3:Z13">
  <tableColumns count="2">
    <tableColumn id="1" xr3:uid="{00000000-0010-0000-1E01-000001000000}" name="Name"/>
    <tableColumn id="2" xr3:uid="{00000000-0010-0000-1E01-000002000000}" name="Damage"/>
  </tableColumns>
  <tableStyleInfo name="BR v HR Ahz 1252026-style 4" showFirstColumn="1" showLastColumn="1" showRowStripes="1" showColumnStripes="0"/>
</table>
</file>

<file path=xl/tables/table2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8" xr:uid="{00000000-000C-0000-FFFF-FFFF1F010000}" name="Table10_3" displayName="Table10_3" ref="AB3:AD14">
  <tableColumns count="3">
    <tableColumn id="1" xr3:uid="{00000000-0010-0000-1F01-000001000000}" name="Data"/>
    <tableColumn id="2" xr3:uid="{00000000-0010-0000-1F01-000002000000}" name="FTP"/>
    <tableColumn id="3" xr3:uid="{00000000-0010-0000-1F01-000003000000}" name="Other"/>
  </tableColumns>
  <tableStyleInfo name="BR v HR Ahz 1252026-style 5" showFirstColumn="1" showLastColumn="1" showRowStripes="1" showColumnStripes="0"/>
</table>
</file>

<file path=xl/tables/table2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9" xr:uid="{00000000-000C-0000-FFFF-FFFF20010000}" name="Melee_DPS_28" displayName="Melee_DPS_28" ref="R16:T25">
  <tableColumns count="3">
    <tableColumn id="1" xr3:uid="{00000000-0010-0000-2001-000001000000}" name="Data"/>
    <tableColumn id="2" xr3:uid="{00000000-0010-0000-2001-000002000000}" name="Yellow"/>
    <tableColumn id="3" xr3:uid="{00000000-0010-0000-2001-000003000000}" name="Red"/>
  </tableColumns>
  <tableStyleInfo name="BR v HR Ahz 1252026-style 6" showFirstColumn="1" showLastColumn="1" showRowStripes="1" showColumnStripes="0"/>
</table>
</file>

<file path=xl/tables/table2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00000000-000C-0000-FFFF-FFFF21010000}" name="Table3_28" displayName="Table3_28" ref="V16:W26">
  <tableColumns count="2">
    <tableColumn id="1" xr3:uid="{00000000-0010-0000-2101-000001000000}" name="Name"/>
    <tableColumn id="2" xr3:uid="{00000000-0010-0000-2101-000002000000}" name="DT"/>
  </tableColumns>
  <tableStyleInfo name="BR v HR Ahz 1252026-style 7" showFirstColumn="1" showLastColumn="1" showRowStripes="1" showColumnStripes="0"/>
</table>
</file>

<file path=xl/tables/table2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1" xr:uid="{00000000-000C-0000-FFFF-FFFF22010000}" name="Table2_28" displayName="Table2_28" ref="Y16:Z26">
  <tableColumns count="2">
    <tableColumn id="1" xr3:uid="{00000000-0010-0000-2201-000001000000}" name="Name"/>
    <tableColumn id="2" xr3:uid="{00000000-0010-0000-2201-000002000000}" name="Healed"/>
  </tableColumns>
  <tableStyleInfo name="BR v HR Ahz 1252026-style 8" showFirstColumn="1" showLastColumn="1" showRowStripes="1" showColumnStripes="0"/>
</table>
</file>

<file path=xl/tables/table2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2" xr:uid="{00000000-000C-0000-FFFF-FFFF23010000}" name="Table9_3" displayName="Table9_3" ref="AB16:AD25">
  <tableColumns count="3">
    <tableColumn id="1" xr3:uid="{00000000-0010-0000-2301-000001000000}" name="Data"/>
    <tableColumn id="2" xr3:uid="{00000000-0010-0000-2301-000002000000}" name="FTP"/>
    <tableColumn id="3" xr3:uid="{00000000-0010-0000-2301-000003000000}" name="Other"/>
  </tableColumns>
  <tableStyleInfo name="BR v HR Ahz 1252026-style 9" showFirstColumn="1" showLastColumn="1" showRowStripes="1" showColumnStripes="0"/>
</table>
</file>

<file path=xl/tables/table2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3" xr:uid="{00000000-000C-0000-FFFF-FFFF24010000}" name="Ranged_DPS_28" displayName="Ranged_DPS_28" ref="R29:T46">
  <tableColumns count="3">
    <tableColumn id="1" xr3:uid="{00000000-0010-0000-2401-000001000000}" name="Data"/>
    <tableColumn id="2" xr3:uid="{00000000-0010-0000-2401-000002000000}" name="Yellow"/>
    <tableColumn id="3" xr3:uid="{00000000-0010-0000-2401-000003000000}" name="Red"/>
  </tableColumns>
  <tableStyleInfo name="BR v HR Ahz 1252026-style 10" showFirstColumn="1" showLastColumn="1" showRowStripes="1" showColumnStripes="0"/>
</table>
</file>

<file path=xl/tables/table2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4" xr:uid="{00000000-000C-0000-FFFF-FFFF25010000}" name="Table11_3" displayName="Table11_3" ref="AB29:AD46">
  <tableColumns count="3">
    <tableColumn id="1" xr3:uid="{00000000-0010-0000-2501-000001000000}" name="Data"/>
    <tableColumn id="2" xr3:uid="{00000000-0010-0000-2501-000002000000}" name="FTP"/>
    <tableColumn id="3" xr3:uid="{00000000-0010-0000-2501-000003000000}" name="Other"/>
  </tableColumns>
  <tableStyleInfo name="BR v HR Ahz 1252026-style 11" showFirstColumn="1" showLastColumn="1" showRowStripes="1" showColumnStripes="0"/>
</table>
</file>

<file path=xl/tables/table2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5" xr:uid="{00000000-000C-0000-FFFF-FFFF26010000}" name="Tank_28" displayName="Tank_28" ref="R50:T60">
  <tableColumns count="3">
    <tableColumn id="1" xr3:uid="{00000000-0010-0000-2601-000001000000}" name="Data"/>
    <tableColumn id="2" xr3:uid="{00000000-0010-0000-2601-000002000000}" name="Yellow"/>
    <tableColumn id="3" xr3:uid="{00000000-0010-0000-2601-000003000000}" name="Red"/>
  </tableColumns>
  <tableStyleInfo name="BR v HR Ahz 1252026-style 12" showFirstColumn="1" showLastColumn="1" showRowStripes="1" showColumnStripes="0"/>
</table>
</file>

<file path=xl/tables/table2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6" xr:uid="{00000000-000C-0000-FFFF-FFFF27010000}" name="Table12_3" displayName="Table12_3" ref="AB50:AD60">
  <tableColumns count="3">
    <tableColumn id="1" xr3:uid="{00000000-0010-0000-2701-000001000000}" name="Data"/>
    <tableColumn id="2" xr3:uid="{00000000-0010-0000-2701-000002000000}" name="FTP"/>
    <tableColumn id="3" xr3:uid="{00000000-0010-0000-2701-000003000000}" name="Other"/>
  </tableColumns>
  <tableStyleInfo name="BR v HR Ahz 1252026-style 13" showFirstColumn="1" showLastColumn="1" showRowStripes="1" showColumnStripes="0"/>
</table>
</file>

<file path=xl/tables/table2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7" xr:uid="{00000000-000C-0000-FFFF-FFFF28010000}" name="Healer_28" displayName="Healer_28" ref="R64:T72">
  <tableColumns count="3">
    <tableColumn id="1" xr3:uid="{00000000-0010-0000-2801-000001000000}" name="Data"/>
    <tableColumn id="2" xr3:uid="{00000000-0010-0000-2801-000002000000}" name="Yellow"/>
    <tableColumn id="3" xr3:uid="{00000000-0010-0000-2801-000003000000}" name="Red"/>
  </tableColumns>
  <tableStyleInfo name="BR v HR Ahz 1252026-style 14" showFirstColumn="1" showLastColumn="1" showRowStripes="1" showColumnStripes="0"/>
</table>
</file>

<file path=xl/tables/table2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8" xr:uid="{00000000-000C-0000-FFFF-FFFF29010000}" name="Table13_3" displayName="Table13_3" ref="AB64:AD72">
  <tableColumns count="3">
    <tableColumn id="1" xr3:uid="{00000000-0010-0000-2901-000001000000}" name="Data"/>
    <tableColumn id="2" xr3:uid="{00000000-0010-0000-2901-000002000000}" name="FTP"/>
    <tableColumn id="3" xr3:uid="{00000000-0010-0000-2901-000003000000}" name="Other"/>
  </tableColumns>
  <tableStyleInfo name="BR v HR Ahz 1252026-style 15" showFirstColumn="1" showLastColumn="1" showRowStripes="1" showColumnStripes="0"/>
</table>
</file>

<file path=xl/tables/table2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9" xr:uid="{00000000-000C-0000-FFFF-FFFF2A010000}" name="Scoreboard_27" displayName="Scoreboard_27" ref="A1:P163">
  <tableColumns count="16">
    <tableColumn id="1" xr3:uid="{00000000-0010-0000-2A01-000001000000}" name="/"/>
    <tableColumn id="2" xr3:uid="{00000000-0010-0000-2A01-000002000000}" name="Role"/>
    <tableColumn id="3" xr3:uid="{00000000-0010-0000-2A01-000003000000}" name="Weapons"/>
    <tableColumn id="4" xr3:uid="{00000000-0010-0000-2A01-000004000000}" name="Guild"/>
    <tableColumn id="5" xr3:uid="{00000000-0010-0000-2A01-000005000000}" name="Name"/>
    <tableColumn id="6" xr3:uid="{00000000-0010-0000-2A01-000006000000}" name="Team"/>
    <tableColumn id="7" xr3:uid="{00000000-0010-0000-2A01-000007000000}" name="Kills"/>
    <tableColumn id="8" xr3:uid="{00000000-0010-0000-2A01-000008000000}" name="Assists"/>
    <tableColumn id="9" xr3:uid="{00000000-0010-0000-2A01-000009000000}" name="K + A"/>
    <tableColumn id="10" xr3:uid="{00000000-0010-0000-2A01-00000A000000}" name="Damage Dealt"/>
    <tableColumn id="11" xr3:uid="{00000000-0010-0000-2A01-00000B000000}" name="Damage Taken"/>
    <tableColumn id="12" xr3:uid="{00000000-0010-0000-2A01-00000C000000}" name="Amount Healed"/>
    <tableColumn id="13" xr3:uid="{00000000-0010-0000-2A01-00000D000000}" name="K+A Eff"/>
    <tableColumn id="14" xr3:uid="{00000000-0010-0000-2A01-00000E000000}" name="Dmg Dealt Eff"/>
    <tableColumn id="15" xr3:uid="{00000000-0010-0000-2A01-00000F000000}" name="Dmg Taken Eff"/>
    <tableColumn id="16" xr3:uid="{00000000-0010-0000-2A01-000010000000}" name="Amt Healed Eff"/>
  </tableColumns>
  <tableStyleInfo name="FTP v Unhinged Ahz 1142026-style" showFirstColumn="1" showLastColumn="1" showRowStripes="1" showColumnStripes="0"/>
</table>
</file>

<file path=xl/tables/table3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0" xr:uid="{00000000-000C-0000-FFFF-FFFF2B010000}" name="Team_Composition_27" displayName="Team_Composition_27" ref="R3:T14">
  <tableColumns count="3">
    <tableColumn id="1" xr3:uid="{00000000-0010-0000-2B01-000001000000}" name="Data"/>
    <tableColumn id="2" xr3:uid="{00000000-0010-0000-2B01-000002000000}" name="Yellow"/>
    <tableColumn id="3" xr3:uid="{00000000-0010-0000-2B01-000003000000}" name="Red"/>
  </tableColumns>
  <tableStyleInfo name="FTP v Unhinged Ahz 1142026-style 2" showFirstColumn="1" showLastColumn="1" showRowStripes="1" showColumnStripes="0"/>
</table>
</file>

<file path=xl/tables/table3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1" xr:uid="{00000000-000C-0000-FFFF-FFFF2C010000}" name="Table1_27" displayName="Table1_27" ref="V3:W13">
  <tableColumns count="2">
    <tableColumn id="1" xr3:uid="{00000000-0010-0000-2C01-000001000000}" name="Name"/>
    <tableColumn id="2" xr3:uid="{00000000-0010-0000-2C01-000002000000}" name="K + A"/>
  </tableColumns>
  <tableStyleInfo name="FTP v Unhinged Ahz 1142026-style 3" showFirstColumn="1" showLastColumn="1" showRowStripes="1" showColumnStripes="0"/>
</table>
</file>

<file path=xl/tables/table3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2" xr:uid="{00000000-000C-0000-FFFF-FFFF2D010000}" name="TopDamage_27" displayName="TopDamage_27" ref="Y3:Z13">
  <tableColumns count="2">
    <tableColumn id="1" xr3:uid="{00000000-0010-0000-2D01-000001000000}" name="Name"/>
    <tableColumn id="2" xr3:uid="{00000000-0010-0000-2D01-000002000000}" name="Damage"/>
  </tableColumns>
  <tableStyleInfo name="FTP v Unhinged Ahz 1142026-style 4" showFirstColumn="1" showLastColumn="1" showRowStripes="1" showColumnStripes="0"/>
</table>
</file>

<file path=xl/tables/table3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3" xr:uid="{00000000-000C-0000-FFFF-FFFF2E010000}" name="Table10_2" displayName="Table10_2" ref="AB3:AD14">
  <tableColumns count="3">
    <tableColumn id="1" xr3:uid="{00000000-0010-0000-2E01-000001000000}" name="Data"/>
    <tableColumn id="2" xr3:uid="{00000000-0010-0000-2E01-000002000000}" name="FTP"/>
    <tableColumn id="3" xr3:uid="{00000000-0010-0000-2E01-000003000000}" name="Other"/>
  </tableColumns>
  <tableStyleInfo name="FTP v Unhinged Ahz 1142026-style 5" showFirstColumn="1" showLastColumn="1" showRowStripes="1" showColumnStripes="0"/>
</table>
</file>

<file path=xl/tables/table3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4" xr:uid="{00000000-000C-0000-FFFF-FFFF2F010000}" name="Melee_DPS_27" displayName="Melee_DPS_27" ref="R16:T25">
  <tableColumns count="3">
    <tableColumn id="1" xr3:uid="{00000000-0010-0000-2F01-000001000000}" name="Data"/>
    <tableColumn id="2" xr3:uid="{00000000-0010-0000-2F01-000002000000}" name="Yellow"/>
    <tableColumn id="3" xr3:uid="{00000000-0010-0000-2F01-000003000000}" name="Red"/>
  </tableColumns>
  <tableStyleInfo name="FTP v Unhinged Ahz 1142026-style 6" showFirstColumn="1" showLastColumn="1" showRowStripes="1" showColumnStripes="0"/>
</table>
</file>

<file path=xl/tables/table3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5" xr:uid="{00000000-000C-0000-FFFF-FFFF30010000}" name="Table3_27" displayName="Table3_27" ref="V16:W26">
  <tableColumns count="2">
    <tableColumn id="1" xr3:uid="{00000000-0010-0000-3001-000001000000}" name="Name"/>
    <tableColumn id="2" xr3:uid="{00000000-0010-0000-3001-000002000000}" name="DT"/>
  </tableColumns>
  <tableStyleInfo name="FTP v Unhinged Ahz 1142026-style 7" showFirstColumn="1" showLastColumn="1" showRowStripes="1" showColumnStripes="0"/>
</table>
</file>

<file path=xl/tables/table3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6" xr:uid="{00000000-000C-0000-FFFF-FFFF31010000}" name="Table2_27" displayName="Table2_27" ref="Y16:Z26">
  <tableColumns count="2">
    <tableColumn id="1" xr3:uid="{00000000-0010-0000-3101-000001000000}" name="Name"/>
    <tableColumn id="2" xr3:uid="{00000000-0010-0000-3101-000002000000}" name="Healed"/>
  </tableColumns>
  <tableStyleInfo name="FTP v Unhinged Ahz 1142026-style 8" showFirstColumn="1" showLastColumn="1" showRowStripes="1" showColumnStripes="0"/>
</table>
</file>

<file path=xl/tables/table3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7" xr:uid="{00000000-000C-0000-FFFF-FFFF32010000}" name="Table9_2" displayName="Table9_2" ref="AB16:AD25">
  <tableColumns count="3">
    <tableColumn id="1" xr3:uid="{00000000-0010-0000-3201-000001000000}" name="Data"/>
    <tableColumn id="2" xr3:uid="{00000000-0010-0000-3201-000002000000}" name="FTP"/>
    <tableColumn id="3" xr3:uid="{00000000-0010-0000-3201-000003000000}" name="Other"/>
  </tableColumns>
  <tableStyleInfo name="FTP v Unhinged Ahz 1142026-style 9" showFirstColumn="1" showLastColumn="1" showRowStripes="1" showColumnStripes="0"/>
</table>
</file>

<file path=xl/tables/table3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8" xr:uid="{00000000-000C-0000-FFFF-FFFF33010000}" name="Ranged_DPS_27" displayName="Ranged_DPS_27" ref="R29:T46">
  <tableColumns count="3">
    <tableColumn id="1" xr3:uid="{00000000-0010-0000-3301-000001000000}" name="Data"/>
    <tableColumn id="2" xr3:uid="{00000000-0010-0000-3301-000002000000}" name="Yellow"/>
    <tableColumn id="3" xr3:uid="{00000000-0010-0000-3301-000003000000}" name="Red"/>
  </tableColumns>
  <tableStyleInfo name="FTP v Unhinged Ahz 1142026-style 10" showFirstColumn="1" showLastColumn="1" showRowStripes="1" showColumnStripes="0"/>
</table>
</file>

<file path=xl/tables/table3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9" xr:uid="{00000000-000C-0000-FFFF-FFFF34010000}" name="Table11_2" displayName="Table11_2" ref="AB29:AD46">
  <tableColumns count="3">
    <tableColumn id="1" xr3:uid="{00000000-0010-0000-3401-000001000000}" name="Data"/>
    <tableColumn id="2" xr3:uid="{00000000-0010-0000-3401-000002000000}" name="FTP"/>
    <tableColumn id="3" xr3:uid="{00000000-0010-0000-3401-000003000000}" name="Other"/>
  </tableColumns>
  <tableStyleInfo name="FTP v Unhinged Ahz 1142026-style 11" showFirstColumn="1" showLastColumn="1" showRowStripes="1" showColumnStripes="0"/>
</table>
</file>

<file path=xl/tables/table3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0" xr:uid="{00000000-000C-0000-FFFF-FFFF35010000}" name="Tank_27" displayName="Tank_27" ref="R50:T60">
  <tableColumns count="3">
    <tableColumn id="1" xr3:uid="{00000000-0010-0000-3501-000001000000}" name="Data"/>
    <tableColumn id="2" xr3:uid="{00000000-0010-0000-3501-000002000000}" name="Yellow"/>
    <tableColumn id="3" xr3:uid="{00000000-0010-0000-3501-000003000000}" name="Red"/>
  </tableColumns>
  <tableStyleInfo name="FTP v Unhinged Ahz 1142026-style 12" showFirstColumn="1" showLastColumn="1" showRowStripes="1" showColumnStripes="0"/>
</table>
</file>

<file path=xl/tables/table3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1" xr:uid="{00000000-000C-0000-FFFF-FFFF36010000}" name="Table12_2" displayName="Table12_2" ref="AB50:AD60">
  <tableColumns count="3">
    <tableColumn id="1" xr3:uid="{00000000-0010-0000-3601-000001000000}" name="Data"/>
    <tableColumn id="2" xr3:uid="{00000000-0010-0000-3601-000002000000}" name="FTP"/>
    <tableColumn id="3" xr3:uid="{00000000-0010-0000-3601-000003000000}" name="Other"/>
  </tableColumns>
  <tableStyleInfo name="FTP v Unhinged Ahz 1142026-style 13" showFirstColumn="1" showLastColumn="1" showRowStripes="1" showColumnStripes="0"/>
</table>
</file>

<file path=xl/tables/table3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2" xr:uid="{00000000-000C-0000-FFFF-FFFF37010000}" name="Healer_27" displayName="Healer_27" ref="R64:T72">
  <tableColumns count="3">
    <tableColumn id="1" xr3:uid="{00000000-0010-0000-3701-000001000000}" name="Data"/>
    <tableColumn id="2" xr3:uid="{00000000-0010-0000-3701-000002000000}" name="Yellow"/>
    <tableColumn id="3" xr3:uid="{00000000-0010-0000-3701-000003000000}" name="Red"/>
  </tableColumns>
  <tableStyleInfo name="FTP v Unhinged Ahz 1142026-style 14" showFirstColumn="1" showLastColumn="1" showRowStripes="1" showColumnStripes="0"/>
</table>
</file>

<file path=xl/tables/table3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3" xr:uid="{00000000-000C-0000-FFFF-FFFF38010000}" name="Table13_2" displayName="Table13_2" ref="AB64:AD72">
  <tableColumns count="3">
    <tableColumn id="1" xr3:uid="{00000000-0010-0000-3801-000001000000}" name="Data"/>
    <tableColumn id="2" xr3:uid="{00000000-0010-0000-3801-000002000000}" name="FTP"/>
    <tableColumn id="3" xr3:uid="{00000000-0010-0000-3801-000003000000}" name="Other"/>
  </tableColumns>
  <tableStyleInfo name="FTP v Unhinged Ahz 1142026-style 15" showFirstColumn="1" showLastColumn="1" showRowStripes="1" showColumnStripes="0"/>
</table>
</file>

<file path=xl/tables/table3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4" xr:uid="{00000000-000C-0000-FFFF-FFFF39010000}" name="Scoreboard_24" displayName="Scoreboard_24" ref="A1:P163">
  <tableColumns count="16">
    <tableColumn id="1" xr3:uid="{00000000-0010-0000-3901-000001000000}" name="Rank"/>
    <tableColumn id="2" xr3:uid="{00000000-0010-0000-3901-000002000000}" name="Role"/>
    <tableColumn id="3" xr3:uid="{00000000-0010-0000-3901-000003000000}" name="Weapons"/>
    <tableColumn id="4" xr3:uid="{00000000-0010-0000-3901-000004000000}" name="Guild"/>
    <tableColumn id="5" xr3:uid="{00000000-0010-0000-3901-000005000000}" name="Name"/>
    <tableColumn id="6" xr3:uid="{00000000-0010-0000-3901-000006000000}" name="Team"/>
    <tableColumn id="7" xr3:uid="{00000000-0010-0000-3901-000007000000}" name="Kills"/>
    <tableColumn id="8" xr3:uid="{00000000-0010-0000-3901-000008000000}" name="Assists"/>
    <tableColumn id="9" xr3:uid="{00000000-0010-0000-3901-000009000000}" name="K + A"/>
    <tableColumn id="10" xr3:uid="{00000000-0010-0000-3901-00000A000000}" name="Damage Dealt"/>
    <tableColumn id="11" xr3:uid="{00000000-0010-0000-3901-00000B000000}" name="Damage Taken"/>
    <tableColumn id="12" xr3:uid="{00000000-0010-0000-3901-00000C000000}" name="Amount Healed"/>
    <tableColumn id="13" xr3:uid="{00000000-0010-0000-3901-00000D000000}" name="K+A Eff"/>
    <tableColumn id="14" xr3:uid="{00000000-0010-0000-3901-00000E000000}" name="Dmg Dealt Eff"/>
    <tableColumn id="15" xr3:uid="{00000000-0010-0000-3901-00000F000000}" name="Dmg Taken Eff"/>
    <tableColumn id="16" xr3:uid="{00000000-0010-0000-3901-000010000000}" name="Amt Healed Eff"/>
  </tableColumns>
  <tableStyleInfo name="FTP m Undercooked 162026 Aden-style" showFirstColumn="1" showLastColumn="1" showRowStripes="1" showColumnStripes="0"/>
</table>
</file>

<file path=xl/tables/table3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5" xr:uid="{00000000-000C-0000-FFFF-FFFF3A010000}" name="Team_Composition_24" displayName="Team_Composition_24" ref="R3:T14">
  <tableColumns count="3">
    <tableColumn id="1" xr3:uid="{00000000-0010-0000-3A01-000001000000}" name="Data"/>
    <tableColumn id="2" xr3:uid="{00000000-0010-0000-3A01-000002000000}" name="Yellow"/>
    <tableColumn id="3" xr3:uid="{00000000-0010-0000-3A01-000003000000}" name="Red"/>
  </tableColumns>
  <tableStyleInfo name="FTP m Undercooked 162026 Aden-style 2" showFirstColumn="1" showLastColumn="1" showRowStripes="1" showColumnStripes="0"/>
</table>
</file>

<file path=xl/tables/table3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6" xr:uid="{00000000-000C-0000-FFFF-FFFF3B010000}" name="Table1_24" displayName="Table1_24" ref="V3:W13">
  <tableColumns count="2">
    <tableColumn id="1" xr3:uid="{00000000-0010-0000-3B01-000001000000}" name="Name"/>
    <tableColumn id="2" xr3:uid="{00000000-0010-0000-3B01-000002000000}" name="K + A"/>
  </tableColumns>
  <tableStyleInfo name="FTP m Undercooked 162026 Aden-style 3" showFirstColumn="1" showLastColumn="1" showRowStripes="1" showColumnStripes="0"/>
</table>
</file>

<file path=xl/tables/table3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7" xr:uid="{00000000-000C-0000-FFFF-FFFF3C010000}" name="TopDamage_24" displayName="TopDamage_24" ref="Y3:Z13">
  <tableColumns count="2">
    <tableColumn id="1" xr3:uid="{00000000-0010-0000-3C01-000001000000}" name="Name"/>
    <tableColumn id="2" xr3:uid="{00000000-0010-0000-3C01-000002000000}" name="Damage"/>
  </tableColumns>
  <tableStyleInfo name="FTP m Undercooked 162026 Aden-style 4" showFirstColumn="1" showLastColumn="1" showRowStripes="1" showColumnStripes="0"/>
</table>
</file>

<file path=xl/tables/table3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8" xr:uid="{00000000-000C-0000-FFFF-FFFF3D010000}" name="Table10" displayName="Table10" ref="AB3:AD14">
  <tableColumns count="3">
    <tableColumn id="1" xr3:uid="{00000000-0010-0000-3D01-000001000000}" name="Data"/>
    <tableColumn id="2" xr3:uid="{00000000-0010-0000-3D01-000002000000}" name="FTP"/>
    <tableColumn id="3" xr3:uid="{00000000-0010-0000-3D01-000003000000}" name="Other"/>
  </tableColumns>
  <tableStyleInfo name="FTP m Undercooked 162026 Aden-style 5" showFirstColumn="1" showLastColumn="1" showRowStripes="1" showColumnStripes="0"/>
</table>
</file>

<file path=xl/tables/table3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9" xr:uid="{00000000-000C-0000-FFFF-FFFF3E010000}" name="Melee_DPS_24" displayName="Melee_DPS_24" ref="R16:T25">
  <tableColumns count="3">
    <tableColumn id="1" xr3:uid="{00000000-0010-0000-3E01-000001000000}" name="Data"/>
    <tableColumn id="2" xr3:uid="{00000000-0010-0000-3E01-000002000000}" name="Yellow"/>
    <tableColumn id="3" xr3:uid="{00000000-0010-0000-3E01-000003000000}" name="Red"/>
  </tableColumns>
  <tableStyleInfo name="FTP m Undercooked 162026 Aden-style 6" showFirstColumn="1" showLastColumn="1" showRowStripes="1" showColumnStripes="0"/>
</table>
</file>

<file path=xl/tables/table3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0" xr:uid="{00000000-000C-0000-FFFF-FFFF3F010000}" name="Table3_24" displayName="Table3_24" ref="V16:W26">
  <tableColumns count="2">
    <tableColumn id="1" xr3:uid="{00000000-0010-0000-3F01-000001000000}" name="Name"/>
    <tableColumn id="2" xr3:uid="{00000000-0010-0000-3F01-000002000000}" name="DT"/>
  </tableColumns>
  <tableStyleInfo name="FTP m Undercooked 162026 Aden-style 7" showFirstColumn="1" showLastColumn="1" showRowStripes="1" showColumnStripes="0"/>
</table>
</file>

<file path=xl/tables/table3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1" xr:uid="{00000000-000C-0000-FFFF-FFFF40010000}" name="Table2_24" displayName="Table2_24" ref="Y16:Z26">
  <tableColumns count="2">
    <tableColumn id="1" xr3:uid="{00000000-0010-0000-4001-000001000000}" name="Name"/>
    <tableColumn id="2" xr3:uid="{00000000-0010-0000-4001-000002000000}" name="Healed"/>
  </tableColumns>
  <tableStyleInfo name="FTP m Undercooked 162026 Aden-style 8" showFirstColumn="1" showLastColumn="1" showRowStripes="1" showColumnStripes="0"/>
</table>
</file>

<file path=xl/tables/table3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2" xr:uid="{00000000-000C-0000-FFFF-FFFF41010000}" name="Table9" displayName="Table9" ref="AB16:AD25">
  <tableColumns count="3">
    <tableColumn id="1" xr3:uid="{00000000-0010-0000-4101-000001000000}" name="Data"/>
    <tableColumn id="2" xr3:uid="{00000000-0010-0000-4101-000002000000}" name="FTP"/>
    <tableColumn id="3" xr3:uid="{00000000-0010-0000-4101-000003000000}" name="Other"/>
  </tableColumns>
  <tableStyleInfo name="FTP m Undercooked 162026 Aden-style 9" showFirstColumn="1" showLastColumn="1" showRowStripes="1" showColumnStripes="0"/>
</table>
</file>

<file path=xl/tables/table3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3" xr:uid="{00000000-000C-0000-FFFF-FFFF42010000}" name="Ranged_DPS_24" displayName="Ranged_DPS_24" ref="R29:T46">
  <tableColumns count="3">
    <tableColumn id="1" xr3:uid="{00000000-0010-0000-4201-000001000000}" name="Data"/>
    <tableColumn id="2" xr3:uid="{00000000-0010-0000-4201-000002000000}" name="Yellow"/>
    <tableColumn id="3" xr3:uid="{00000000-0010-0000-4201-000003000000}" name="Red"/>
  </tableColumns>
  <tableStyleInfo name="FTP m Undercooked 162026 Aden-style 10" showFirstColumn="1" showLastColumn="1" showRowStripes="1" showColumnStripes="0"/>
</table>
</file>

<file path=xl/tables/table3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4" xr:uid="{00000000-000C-0000-FFFF-FFFF43010000}" name="Table11" displayName="Table11" ref="AB29:AD46">
  <tableColumns count="3">
    <tableColumn id="1" xr3:uid="{00000000-0010-0000-4301-000001000000}" name="Data"/>
    <tableColumn id="2" xr3:uid="{00000000-0010-0000-4301-000002000000}" name="FTP"/>
    <tableColumn id="3" xr3:uid="{00000000-0010-0000-4301-000003000000}" name="Other"/>
  </tableColumns>
  <tableStyleInfo name="FTP m Undercooked 162026 Aden-style 11" showFirstColumn="1" showLastColumn="1" showRowStripes="1" showColumnStripes="0"/>
</table>
</file>

<file path=xl/tables/table3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5" xr:uid="{00000000-000C-0000-FFFF-FFFF44010000}" name="Tank_24" displayName="Tank_24" ref="R50:T60">
  <tableColumns count="3">
    <tableColumn id="1" xr3:uid="{00000000-0010-0000-4401-000001000000}" name="Data"/>
    <tableColumn id="2" xr3:uid="{00000000-0010-0000-4401-000002000000}" name="Yellow"/>
    <tableColumn id="3" xr3:uid="{00000000-0010-0000-4401-000003000000}" name="Red"/>
  </tableColumns>
  <tableStyleInfo name="FTP m Undercooked 162026 Aden-style 12" showFirstColumn="1" showLastColumn="1" showRowStripes="1" showColumnStripes="0"/>
</table>
</file>

<file path=xl/tables/table3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6" xr:uid="{00000000-000C-0000-FFFF-FFFF45010000}" name="Table12" displayName="Table12" ref="AB50:AD60">
  <tableColumns count="3">
    <tableColumn id="1" xr3:uid="{00000000-0010-0000-4501-000001000000}" name="Data"/>
    <tableColumn id="2" xr3:uid="{00000000-0010-0000-4501-000002000000}" name="FTP"/>
    <tableColumn id="3" xr3:uid="{00000000-0010-0000-4501-000003000000}" name="Other"/>
  </tableColumns>
  <tableStyleInfo name="FTP m Undercooked 162026 Aden-style 13" showFirstColumn="1" showLastColumn="1" showRowStripes="1" showColumnStripes="0"/>
</table>
</file>

<file path=xl/tables/table3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7" xr:uid="{00000000-000C-0000-FFFF-FFFF46010000}" name="Healer_24" displayName="Healer_24" ref="R64:T72">
  <tableColumns count="3">
    <tableColumn id="1" xr3:uid="{00000000-0010-0000-4601-000001000000}" name="Data"/>
    <tableColumn id="2" xr3:uid="{00000000-0010-0000-4601-000002000000}" name="Yellow"/>
    <tableColumn id="3" xr3:uid="{00000000-0010-0000-4601-000003000000}" name="Red"/>
  </tableColumns>
  <tableStyleInfo name="FTP m Undercooked 162026 Aden-style 14" showFirstColumn="1" showLastColumn="1" showRowStripes="1" showColumnStripes="0"/>
</table>
</file>

<file path=xl/tables/table3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8" xr:uid="{00000000-000C-0000-FFFF-FFFF47010000}" name="Table13" displayName="Table13" ref="AB64:AD72">
  <tableColumns count="3">
    <tableColumn id="1" xr3:uid="{00000000-0010-0000-4701-000001000000}" name="Data"/>
    <tableColumn id="2" xr3:uid="{00000000-0010-0000-4701-000002000000}" name="FTP"/>
    <tableColumn id="3" xr3:uid="{00000000-0010-0000-4701-000003000000}" name="Other"/>
  </tableColumns>
  <tableStyleInfo name="FTP m Undercooked 162026 Aden-style 15" showFirstColumn="1" showLastColumn="1" showRowStripes="1" showColumnStripes="0"/>
</table>
</file>

<file path=xl/tables/table3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9" xr:uid="{00000000-000C-0000-FFFF-FFFF48010000}" name="Scoreboard_25" displayName="Scoreboard_25" ref="A1:P163">
  <tableColumns count="16">
    <tableColumn id="1" xr3:uid="{00000000-0010-0000-4801-000001000000}" name="Rank"/>
    <tableColumn id="2" xr3:uid="{00000000-0010-0000-4801-000002000000}" name="Role"/>
    <tableColumn id="3" xr3:uid="{00000000-0010-0000-4801-000003000000}" name="Weapons"/>
    <tableColumn id="4" xr3:uid="{00000000-0010-0000-4801-000004000000}" name="Guild"/>
    <tableColumn id="5" xr3:uid="{00000000-0010-0000-4801-000005000000}" name="Name"/>
    <tableColumn id="6" xr3:uid="{00000000-0010-0000-4801-000006000000}" name="Team"/>
    <tableColumn id="7" xr3:uid="{00000000-0010-0000-4801-000007000000}" name="Kills"/>
    <tableColumn id="8" xr3:uid="{00000000-0010-0000-4801-000008000000}" name="Assists"/>
    <tableColumn id="9" xr3:uid="{00000000-0010-0000-4801-000009000000}" name="K + A"/>
    <tableColumn id="10" xr3:uid="{00000000-0010-0000-4801-00000A000000}" name="Damage Dealt"/>
    <tableColumn id="11" xr3:uid="{00000000-0010-0000-4801-00000B000000}" name="Damage Taken"/>
    <tableColumn id="12" xr3:uid="{00000000-0010-0000-4801-00000C000000}" name="Amount Healed"/>
    <tableColumn id="13" xr3:uid="{00000000-0010-0000-4801-00000D000000}" name="K+A Eff"/>
    <tableColumn id="14" xr3:uid="{00000000-0010-0000-4801-00000E000000}" name="Dmg Dealt Eff"/>
    <tableColumn id="15" xr3:uid="{00000000-0010-0000-4801-00000F000000}" name="Dmg Taken Eff"/>
    <tableColumn id="16" xr3:uid="{00000000-0010-0000-4801-000010000000}" name="Amt Healed Eff"/>
  </tableColumns>
  <tableStyleInfo name="FTP m Undercooked 162026 Cherno-style" showFirstColumn="1" showLastColumn="1" showRowStripes="1" showColumnStripes="0"/>
</table>
</file>

<file path=xl/tables/table3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0" xr:uid="{00000000-000C-0000-FFFF-FFFF49010000}" name="Team_Composition_25" displayName="Team_Composition_25" ref="R3:T14">
  <tableColumns count="3">
    <tableColumn id="1" xr3:uid="{00000000-0010-0000-4901-000001000000}" name="Data"/>
    <tableColumn id="2" xr3:uid="{00000000-0010-0000-4901-000002000000}" name="Yellow"/>
    <tableColumn id="3" xr3:uid="{00000000-0010-0000-4901-000003000000}" name="Red"/>
  </tableColumns>
  <tableStyleInfo name="FTP m Undercooked 162026 Cherno-style 2" showFirstColumn="1" showLastColumn="1" showRowStripes="1" showColumnStripes="0"/>
</table>
</file>

<file path=xl/tables/table3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1" xr:uid="{00000000-000C-0000-FFFF-FFFF4A010000}" name="Table1_25" displayName="Table1_25" ref="V3:W13">
  <tableColumns count="2">
    <tableColumn id="1" xr3:uid="{00000000-0010-0000-4A01-000001000000}" name="Name"/>
    <tableColumn id="2" xr3:uid="{00000000-0010-0000-4A01-000002000000}" name="K + A"/>
  </tableColumns>
  <tableStyleInfo name="FTP m Undercooked 162026 Cherno-style 3" showFirstColumn="1" showLastColumn="1" showRowStripes="1" showColumnStripes="0"/>
</table>
</file>

<file path=xl/tables/table3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2" xr:uid="{00000000-000C-0000-FFFF-FFFF4B010000}" name="TopDamage_25" displayName="TopDamage_25" ref="Y3:Z13">
  <tableColumns count="2">
    <tableColumn id="1" xr3:uid="{00000000-0010-0000-4B01-000001000000}" name="Name"/>
    <tableColumn id="2" xr3:uid="{00000000-0010-0000-4B01-000002000000}" name="Damage"/>
  </tableColumns>
  <tableStyleInfo name="FTP m Undercooked 162026 Cherno-style 4" showFirstColumn="1" showLastColumn="1" showRowStripes="1" showColumnStripes="0"/>
</table>
</file>

<file path=xl/tables/table3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3" xr:uid="{00000000-000C-0000-FFFF-FFFF4C010000}" name="Table7" displayName="Table7" ref="AB3:AD14">
  <tableColumns count="3">
    <tableColumn id="1" xr3:uid="{00000000-0010-0000-4C01-000001000000}" name="Data"/>
    <tableColumn id="2" xr3:uid="{00000000-0010-0000-4C01-000002000000}" name="FTP"/>
    <tableColumn id="3" xr3:uid="{00000000-0010-0000-4C01-000003000000}" name="Other"/>
  </tableColumns>
  <tableStyleInfo name="FTP m Undercooked 162026 Cherno-style 5" showFirstColumn="1" showLastColumn="1" showRowStripes="1" showColumnStripes="0"/>
</table>
</file>

<file path=xl/tables/table3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4" xr:uid="{00000000-000C-0000-FFFF-FFFF4D010000}" name="Melee_DPS_25" displayName="Melee_DPS_25" ref="R16:T25">
  <tableColumns count="3">
    <tableColumn id="1" xr3:uid="{00000000-0010-0000-4D01-000001000000}" name="Data"/>
    <tableColumn id="2" xr3:uid="{00000000-0010-0000-4D01-000002000000}" name="Yellow"/>
    <tableColumn id="3" xr3:uid="{00000000-0010-0000-4D01-000003000000}" name="Red"/>
  </tableColumns>
  <tableStyleInfo name="FTP m Undercooked 162026 Cherno-style 6" showFirstColumn="1" showLastColumn="1" showRowStripes="1" showColumnStripes="0"/>
</table>
</file>

<file path=xl/tables/table3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5" xr:uid="{00000000-000C-0000-FFFF-FFFF4E010000}" name="Table3_25" displayName="Table3_25" ref="V16:W26">
  <tableColumns count="2">
    <tableColumn id="1" xr3:uid="{00000000-0010-0000-4E01-000001000000}" name="Name"/>
    <tableColumn id="2" xr3:uid="{00000000-0010-0000-4E01-000002000000}" name="DT"/>
  </tableColumns>
  <tableStyleInfo name="FTP m Undercooked 162026 Cherno-style 7" showFirstColumn="1" showLastColumn="1" showRowStripes="1" showColumnStripes="0"/>
</table>
</file>

<file path=xl/tables/table3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6" xr:uid="{00000000-000C-0000-FFFF-FFFF4F010000}" name="Table2_25" displayName="Table2_25" ref="Y16:Z26">
  <tableColumns count="2">
    <tableColumn id="1" xr3:uid="{00000000-0010-0000-4F01-000001000000}" name="Name"/>
    <tableColumn id="2" xr3:uid="{00000000-0010-0000-4F01-000002000000}" name="Healed"/>
  </tableColumns>
  <tableStyleInfo name="FTP m Undercooked 162026 Cherno-style 8" showFirstColumn="1" showLastColumn="1" showRowStripes="1" showColumnStripes="0"/>
</table>
</file>

<file path=xl/tables/table3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7" xr:uid="{00000000-000C-0000-FFFF-FFFF50010000}" name="Table6" displayName="Table6" ref="AB16:AD25">
  <tableColumns count="3">
    <tableColumn id="1" xr3:uid="{00000000-0010-0000-5001-000001000000}" name="Data"/>
    <tableColumn id="2" xr3:uid="{00000000-0010-0000-5001-000002000000}" name="FTP"/>
    <tableColumn id="3" xr3:uid="{00000000-0010-0000-5001-000003000000}" name="Other"/>
  </tableColumns>
  <tableStyleInfo name="FTP m Undercooked 162026 Cherno-style 9" showFirstColumn="1" showLastColumn="1" showRowStripes="1" showColumnStripes="0"/>
</table>
</file>

<file path=xl/tables/table3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8" xr:uid="{00000000-000C-0000-FFFF-FFFF51010000}" name="Ranged_DPS_25" displayName="Ranged_DPS_25" ref="R29:T46">
  <tableColumns count="3">
    <tableColumn id="1" xr3:uid="{00000000-0010-0000-5101-000001000000}" name="Data"/>
    <tableColumn id="2" xr3:uid="{00000000-0010-0000-5101-000002000000}" name="Yellow"/>
    <tableColumn id="3" xr3:uid="{00000000-0010-0000-5101-000003000000}" name="Red"/>
  </tableColumns>
  <tableStyleInfo name="FTP m Undercooked 162026 Cherno-style 10" showFirstColumn="1" showLastColumn="1" showRowStripes="1" showColumnStripes="0"/>
</table>
</file>

<file path=xl/tables/table3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9" xr:uid="{00000000-000C-0000-FFFF-FFFF52010000}" name="Table8" displayName="Table8" ref="AB29:AD46">
  <tableColumns count="3">
    <tableColumn id="1" xr3:uid="{00000000-0010-0000-5201-000001000000}" name="Data"/>
    <tableColumn id="2" xr3:uid="{00000000-0010-0000-5201-000002000000}" name="FTP"/>
    <tableColumn id="3" xr3:uid="{00000000-0010-0000-5201-000003000000}" name="Other"/>
  </tableColumns>
  <tableStyleInfo name="FTP m Undercooked 162026 Cherno-style 11" showFirstColumn="1" showLastColumn="1" showRowStripes="1" showColumnStripes="0"/>
</table>
</file>

<file path=xl/tables/table3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0" xr:uid="{00000000-000C-0000-FFFF-FFFF53010000}" name="Tank_25" displayName="Tank_25" ref="R50:T60">
  <tableColumns count="3">
    <tableColumn id="1" xr3:uid="{00000000-0010-0000-5301-000001000000}" name="Data"/>
    <tableColumn id="2" xr3:uid="{00000000-0010-0000-5301-000002000000}" name="Yellow"/>
    <tableColumn id="3" xr3:uid="{00000000-0010-0000-5301-000003000000}" name="Red"/>
  </tableColumns>
  <tableStyleInfo name="FTP m Undercooked 162026 Cherno-style 12" showFirstColumn="1" showLastColumn="1" showRowStripes="1" showColumnStripes="0"/>
</table>
</file>

<file path=xl/tables/table3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1" xr:uid="{00000000-000C-0000-FFFF-FFFF54010000}" name="Table5" displayName="Table5" ref="AB50:AD60">
  <tableColumns count="3">
    <tableColumn id="1" xr3:uid="{00000000-0010-0000-5401-000001000000}" name="Data"/>
    <tableColumn id="2" xr3:uid="{00000000-0010-0000-5401-000002000000}" name="FTP"/>
    <tableColumn id="3" xr3:uid="{00000000-0010-0000-5401-000003000000}" name="Other"/>
  </tableColumns>
  <tableStyleInfo name="FTP m Undercooked 162026 Cherno-style 13" showFirstColumn="1" showLastColumn="1" showRowStripes="1" showColumnStripes="0"/>
</table>
</file>

<file path=xl/tables/table3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2" xr:uid="{00000000-000C-0000-FFFF-FFFF55010000}" name="Healer_25" displayName="Healer_25" ref="R64:T72">
  <tableColumns count="3">
    <tableColumn id="1" xr3:uid="{00000000-0010-0000-5501-000001000000}" name="Data"/>
    <tableColumn id="2" xr3:uid="{00000000-0010-0000-5501-000002000000}" name="Yellow"/>
    <tableColumn id="3" xr3:uid="{00000000-0010-0000-5501-000003000000}" name="Red"/>
  </tableColumns>
  <tableStyleInfo name="FTP m Undercooked 162026 Cherno-style 14" showFirstColumn="1" showLastColumn="1" showRowStripes="1" showColumnStripes="0"/>
</table>
</file>

<file path=xl/tables/table3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3" xr:uid="{00000000-000C-0000-FFFF-FFFF56010000}" name="Table4" displayName="Table4" ref="AB64:AD72">
  <tableColumns count="3">
    <tableColumn id="1" xr3:uid="{00000000-0010-0000-5601-000001000000}" name="Data"/>
    <tableColumn id="2" xr3:uid="{00000000-0010-0000-5601-000002000000}" name="FTP"/>
    <tableColumn id="3" xr3:uid="{00000000-0010-0000-5601-000003000000}" name="Other"/>
  </tableColumns>
  <tableStyleInfo name="FTP m Undercooked 162026 Cherno-style 15" showFirstColumn="1" showLastColumn="1" showRowStripes="1" showColumnStripes="0"/>
</table>
</file>

<file path=xl/tables/table3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4" xr:uid="{00000000-000C-0000-FFFF-FFFF57010000}" name="Scoreboard_12" displayName="Scoreboard_12" ref="A1:P163">
  <tableColumns count="16">
    <tableColumn id="1" xr3:uid="{00000000-0010-0000-5701-000001000000}" name="Rank"/>
    <tableColumn id="2" xr3:uid="{00000000-0010-0000-5701-000002000000}" name="Role"/>
    <tableColumn id="3" xr3:uid="{00000000-0010-0000-5701-000003000000}" name="Weapons"/>
    <tableColumn id="4" xr3:uid="{00000000-0010-0000-5701-000004000000}" name="Guild"/>
    <tableColumn id="5" xr3:uid="{00000000-0010-0000-5701-000005000000}" name="Name"/>
    <tableColumn id="6" xr3:uid="{00000000-0010-0000-5701-000006000000}" name="Team"/>
    <tableColumn id="7" xr3:uid="{00000000-0010-0000-5701-000007000000}" name="Kills"/>
    <tableColumn id="8" xr3:uid="{00000000-0010-0000-5701-000008000000}" name="Assists"/>
    <tableColumn id="9" xr3:uid="{00000000-0010-0000-5701-000009000000}" name="K + A"/>
    <tableColumn id="10" xr3:uid="{00000000-0010-0000-5701-00000A000000}" name="Damage Dealt"/>
    <tableColumn id="11" xr3:uid="{00000000-0010-0000-5701-00000B000000}" name="Damage Taken"/>
    <tableColumn id="12" xr3:uid="{00000000-0010-0000-5701-00000C000000}" name="Amount Healed"/>
    <tableColumn id="13" xr3:uid="{00000000-0010-0000-5701-00000D000000}" name="K+A Eff"/>
    <tableColumn id="14" xr3:uid="{00000000-0010-0000-5701-00000E000000}" name="Dmg Dealt Eff"/>
    <tableColumn id="15" xr3:uid="{00000000-0010-0000-5701-00000F000000}" name="Dmg Taken Eff"/>
    <tableColumn id="16" xr3:uid="{00000000-0010-0000-5701-000010000000}" name="Amt Healed Eff"/>
  </tableColumns>
  <tableStyleInfo name="FTP vs Gravity 11122025-style" showFirstColumn="1" showLastColumn="1" showRowStripes="1" showColumnStripes="0"/>
</table>
</file>

<file path=xl/tables/table3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5" xr:uid="{00000000-000C-0000-FFFF-FFFF58010000}" name="Team_Composition_12" displayName="Team_Composition_12" ref="R3:T13">
  <tableColumns count="3">
    <tableColumn id="1" xr3:uid="{00000000-0010-0000-5801-000001000000}" name="Data"/>
    <tableColumn id="2" xr3:uid="{00000000-0010-0000-5801-000002000000}" name="Yellow"/>
    <tableColumn id="3" xr3:uid="{00000000-0010-0000-5801-000003000000}" name="Red"/>
  </tableColumns>
  <tableStyleInfo name="FTP vs Gravity 11122025-style 2" showFirstColumn="1" showLastColumn="1" showRowStripes="1" showColumnStripes="0"/>
</table>
</file>

<file path=xl/tables/table3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6" xr:uid="{00000000-000C-0000-FFFF-FFFF59010000}" name="Table1_12" displayName="Table1_12" ref="V3:W13">
  <tableColumns count="2">
    <tableColumn id="1" xr3:uid="{00000000-0010-0000-5901-000001000000}" name="Name"/>
    <tableColumn id="2" xr3:uid="{00000000-0010-0000-5901-000002000000}" name="K + A"/>
  </tableColumns>
  <tableStyleInfo name="FTP vs Gravity 11122025-style 3" showFirstColumn="1" showLastColumn="1" showRowStripes="1" showColumnStripes="0"/>
</table>
</file>

<file path=xl/tables/table3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7" xr:uid="{00000000-000C-0000-FFFF-FFFF5A010000}" name="TopDamage_12" displayName="TopDamage_12" ref="Y3:Z13">
  <tableColumns count="2">
    <tableColumn id="1" xr3:uid="{00000000-0010-0000-5A01-000001000000}" name="Name"/>
    <tableColumn id="2" xr3:uid="{00000000-0010-0000-5A01-000002000000}" name="Damage"/>
  </tableColumns>
  <tableStyleInfo name="FTP vs Gravity 11122025-style 4" showFirstColumn="1" showLastColumn="1" showRowStripes="1" showColumnStripes="0"/>
</table>
</file>

<file path=xl/tables/table3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8" xr:uid="{00000000-000C-0000-FFFF-FFFF5B010000}" name="Melee_DPS_12" displayName="Melee_DPS_12" ref="R16:T25">
  <tableColumns count="3">
    <tableColumn id="1" xr3:uid="{00000000-0010-0000-5B01-000001000000}" name="Data"/>
    <tableColumn id="2" xr3:uid="{00000000-0010-0000-5B01-000002000000}" name="Yellow"/>
    <tableColumn id="3" xr3:uid="{00000000-0010-0000-5B01-000003000000}" name="Red"/>
  </tableColumns>
  <tableStyleInfo name="FTP vs Gravity 11122025-style 5" showFirstColumn="1" showLastColumn="1" showRowStripes="1" showColumnStripes="0"/>
</table>
</file>

<file path=xl/tables/table3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9" xr:uid="{00000000-000C-0000-FFFF-FFFF5C010000}" name="Table3_12" displayName="Table3_12" ref="V16:W26">
  <tableColumns count="2">
    <tableColumn id="1" xr3:uid="{00000000-0010-0000-5C01-000001000000}" name="Name"/>
    <tableColumn id="2" xr3:uid="{00000000-0010-0000-5C01-000002000000}" name="DT"/>
  </tableColumns>
  <tableStyleInfo name="FTP vs Gravity 11122025-style 6" showFirstColumn="1" showLastColumn="1" showRowStripes="1" showColumnStripes="0"/>
</table>
</file>

<file path=xl/tables/table3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0" xr:uid="{00000000-000C-0000-FFFF-FFFF5D010000}" name="Table2_12" displayName="Table2_12" ref="Y16:Z26">
  <tableColumns count="2">
    <tableColumn id="1" xr3:uid="{00000000-0010-0000-5D01-000001000000}" name="Name"/>
    <tableColumn id="2" xr3:uid="{00000000-0010-0000-5D01-000002000000}" name="Healed"/>
  </tableColumns>
  <tableStyleInfo name="FTP vs Gravity 11122025-style 7" showFirstColumn="1" showLastColumn="1" showRowStripes="1" showColumnStripes="0"/>
</table>
</file>

<file path=xl/tables/table3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1" xr:uid="{00000000-000C-0000-FFFF-FFFF5E010000}" name="Ranged_DPS_12" displayName="Ranged_DPS_12" ref="R29:T46">
  <tableColumns count="3">
    <tableColumn id="1" xr3:uid="{00000000-0010-0000-5E01-000001000000}" name="Data"/>
    <tableColumn id="2" xr3:uid="{00000000-0010-0000-5E01-000002000000}" name="Yellow"/>
    <tableColumn id="3" xr3:uid="{00000000-0010-0000-5E01-000003000000}" name="Red"/>
  </tableColumns>
  <tableStyleInfo name="FTP vs Gravity 11122025-style 8" showFirstColumn="1" showLastColumn="1" showRowStripes="1" showColumnStripes="0"/>
</table>
</file>

<file path=xl/tables/table3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2" xr:uid="{00000000-000C-0000-FFFF-FFFF5F010000}" name="Tank_12" displayName="Tank_12" ref="R50:T60">
  <tableColumns count="3">
    <tableColumn id="1" xr3:uid="{00000000-0010-0000-5F01-000001000000}" name="Data"/>
    <tableColumn id="2" xr3:uid="{00000000-0010-0000-5F01-000002000000}" name="Yellow"/>
    <tableColumn id="3" xr3:uid="{00000000-0010-0000-5F01-000003000000}" name="Red"/>
  </tableColumns>
  <tableStyleInfo name="FTP vs Gravity 11122025-style 9" showFirstColumn="1" showLastColumn="1" showRowStripes="1" showColumnStripes="0"/>
</table>
</file>

<file path=xl/tables/table3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3" xr:uid="{00000000-000C-0000-FFFF-FFFF60010000}" name="Healer_12" displayName="Healer_12" ref="R64:T72">
  <tableColumns count="3">
    <tableColumn id="1" xr3:uid="{00000000-0010-0000-6001-000001000000}" name="Data"/>
    <tableColumn id="2" xr3:uid="{00000000-0010-0000-6001-000002000000}" name="Yellow"/>
    <tableColumn id="3" xr3:uid="{00000000-0010-0000-6001-000003000000}" name="Red"/>
  </tableColumns>
  <tableStyleInfo name="FTP vs Gravity 11122025-style 10" showFirstColumn="1" showLastColumn="1" showRowStripes="1" showColumnStripes="0"/>
</table>
</file>

<file path=xl/tables/table3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4" xr:uid="{00000000-000C-0000-FFFF-FFFF61010000}" name="Scoreboard_23" displayName="Scoreboard_23" ref="A1:P103">
  <tableColumns count="16">
    <tableColumn id="1" xr3:uid="{00000000-0010-0000-6101-000001000000}" name="Rank"/>
    <tableColumn id="2" xr3:uid="{00000000-0010-0000-6101-000002000000}" name="Role"/>
    <tableColumn id="3" xr3:uid="{00000000-0010-0000-6101-000003000000}" name="Weapons"/>
    <tableColumn id="4" xr3:uid="{00000000-0010-0000-6101-000004000000}" name="Guild"/>
    <tableColumn id="5" xr3:uid="{00000000-0010-0000-6101-000005000000}" name="Name"/>
    <tableColumn id="6" xr3:uid="{00000000-0010-0000-6101-000006000000}" name="Team"/>
    <tableColumn id="7" xr3:uid="{00000000-0010-0000-6101-000007000000}" name="Kills"/>
    <tableColumn id="8" xr3:uid="{00000000-0010-0000-6101-000008000000}" name="Assists"/>
    <tableColumn id="9" xr3:uid="{00000000-0010-0000-6101-000009000000}" name="K + A"/>
    <tableColumn id="10" xr3:uid="{00000000-0010-0000-6101-00000A000000}" name="Damage Dealt"/>
    <tableColumn id="11" xr3:uid="{00000000-0010-0000-6101-00000B000000}" name="Damage Taken"/>
    <tableColumn id="12" xr3:uid="{00000000-0010-0000-6101-00000C000000}" name="Amount Healed"/>
    <tableColumn id="13" xr3:uid="{00000000-0010-0000-6101-00000D000000}" name="K+A Eff"/>
    <tableColumn id="14" xr3:uid="{00000000-0010-0000-6101-00000E000000}" name="Dmg Dealt Eff"/>
    <tableColumn id="15" xr3:uid="{00000000-0010-0000-6101-00000F000000}" name="Dmg Taken Eff"/>
    <tableColumn id="16" xr3:uid="{00000000-0010-0000-6101-000010000000}" name="Amt Healed Eff"/>
  </tableColumns>
  <tableStyleInfo name="FTP vs Unhinged Ahz 11112025-style" showFirstColumn="1" showLastColumn="1" showRowStripes="1" showColumnStripes="0"/>
</table>
</file>

<file path=xl/tables/table3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5" xr:uid="{00000000-000C-0000-FFFF-FFFF62010000}" name="Team_Composition_23" displayName="Team_Composition_23" ref="R3:T14">
  <tableColumns count="3">
    <tableColumn id="1" xr3:uid="{00000000-0010-0000-6201-000001000000}" name="Data"/>
    <tableColumn id="2" xr3:uid="{00000000-0010-0000-6201-000002000000}" name="Yellow"/>
    <tableColumn id="3" xr3:uid="{00000000-0010-0000-6201-000003000000}" name="Red"/>
  </tableColumns>
  <tableStyleInfo name="FTP vs Unhinged Ahz 11112025-style 2" showFirstColumn="1" showLastColumn="1" showRowStripes="1" showColumnStripes="0"/>
</table>
</file>

<file path=xl/tables/table3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6" xr:uid="{00000000-000C-0000-FFFF-FFFF63010000}" name="Table1_23" displayName="Table1_23" ref="V3:W13">
  <tableColumns count="2">
    <tableColumn id="1" xr3:uid="{00000000-0010-0000-6301-000001000000}" name="Name"/>
    <tableColumn id="2" xr3:uid="{00000000-0010-0000-6301-000002000000}" name="K + A"/>
  </tableColumns>
  <tableStyleInfo name="FTP vs Unhinged Ahz 11112025-style 3" showFirstColumn="1" showLastColumn="1" showRowStripes="1" showColumnStripes="0"/>
</table>
</file>

<file path=xl/tables/table3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7" xr:uid="{00000000-000C-0000-FFFF-FFFF64010000}" name="TopDamage_23" displayName="TopDamage_23" ref="Y3:Z13">
  <tableColumns count="2">
    <tableColumn id="1" xr3:uid="{00000000-0010-0000-6401-000001000000}" name="Name"/>
    <tableColumn id="2" xr3:uid="{00000000-0010-0000-6401-000002000000}" name="Damage"/>
  </tableColumns>
  <tableStyleInfo name="FTP vs Unhinged Ahz 11112025-style 4" showFirstColumn="1" showLastColumn="1" showRowStripes="1" showColumnStripes="0"/>
</table>
</file>

<file path=xl/tables/table3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8" xr:uid="{00000000-000C-0000-FFFF-FFFF65010000}" name="Melee_DPS_23" displayName="Melee_DPS_23" ref="R16:T25">
  <tableColumns count="3">
    <tableColumn id="1" xr3:uid="{00000000-0010-0000-6501-000001000000}" name="Data"/>
    <tableColumn id="2" xr3:uid="{00000000-0010-0000-6501-000002000000}" name="Yellow"/>
    <tableColumn id="3" xr3:uid="{00000000-0010-0000-6501-000003000000}" name="Red"/>
  </tableColumns>
  <tableStyleInfo name="FTP vs Unhinged Ahz 11112025-style 5" showFirstColumn="1" showLastColumn="1" showRowStripes="1" showColumnStripes="0"/>
</table>
</file>

<file path=xl/tables/table3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9" xr:uid="{00000000-000C-0000-FFFF-FFFF66010000}" name="Table3_23" displayName="Table3_23" ref="V16:W26">
  <tableColumns count="2">
    <tableColumn id="1" xr3:uid="{00000000-0010-0000-6601-000001000000}" name="Name"/>
    <tableColumn id="2" xr3:uid="{00000000-0010-0000-6601-000002000000}" name="DT"/>
  </tableColumns>
  <tableStyleInfo name="FTP vs Unhinged Ahz 11112025-style 6" showFirstColumn="1" showLastColumn="1" showRowStripes="1" showColumnStripes="0"/>
</table>
</file>

<file path=xl/tables/table3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0" xr:uid="{00000000-000C-0000-FFFF-FFFF67010000}" name="Table2_23" displayName="Table2_23" ref="Y16:Z26">
  <tableColumns count="2">
    <tableColumn id="1" xr3:uid="{00000000-0010-0000-6701-000001000000}" name="Name"/>
    <tableColumn id="2" xr3:uid="{00000000-0010-0000-6701-000002000000}" name="Healed"/>
  </tableColumns>
  <tableStyleInfo name="FTP vs Unhinged Ahz 11112025-style 7" showFirstColumn="1" showLastColumn="1" showRowStripes="1" showColumnStripes="0"/>
</table>
</file>

<file path=xl/tables/table3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1" xr:uid="{00000000-000C-0000-FFFF-FFFF68010000}" name="Ranged_DPS_23" displayName="Ranged_DPS_23" ref="R29:T46">
  <tableColumns count="3">
    <tableColumn id="1" xr3:uid="{00000000-0010-0000-6801-000001000000}" name="Data"/>
    <tableColumn id="2" xr3:uid="{00000000-0010-0000-6801-000002000000}" name="Yellow"/>
    <tableColumn id="3" xr3:uid="{00000000-0010-0000-6801-000003000000}" name="Red"/>
  </tableColumns>
  <tableStyleInfo name="FTP vs Unhinged Ahz 11112025-style 8" showFirstColumn="1" showLastColumn="1" showRowStripes="1" showColumnStripes="0"/>
</table>
</file>

<file path=xl/tables/table3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2" xr:uid="{00000000-000C-0000-FFFF-FFFF69010000}" name="Tank_23" displayName="Tank_23" ref="R50:T60">
  <tableColumns count="3">
    <tableColumn id="1" xr3:uid="{00000000-0010-0000-6901-000001000000}" name="Data"/>
    <tableColumn id="2" xr3:uid="{00000000-0010-0000-6901-000002000000}" name="Yellow"/>
    <tableColumn id="3" xr3:uid="{00000000-0010-0000-6901-000003000000}" name="Red"/>
  </tableColumns>
  <tableStyleInfo name="FTP vs Unhinged Ahz 11112025-style 9" showFirstColumn="1" showLastColumn="1" showRowStripes="1" showColumnStripes="0"/>
</table>
</file>

<file path=xl/tables/table3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3" xr:uid="{00000000-000C-0000-FFFF-FFFF6A010000}" name="Healer_23" displayName="Healer_23" ref="R64:T72">
  <tableColumns count="3">
    <tableColumn id="1" xr3:uid="{00000000-0010-0000-6A01-000001000000}" name="Data"/>
    <tableColumn id="2" xr3:uid="{00000000-0010-0000-6A01-000002000000}" name="Yellow"/>
    <tableColumn id="3" xr3:uid="{00000000-0010-0000-6A01-000003000000}" name="Red"/>
  </tableColumns>
  <tableStyleInfo name="FTP vs Unhinged Ahz 11112025-style 10" showFirstColumn="1" showLastColumn="1" showRowStripes="1" showColumnStripes="0"/>
</table>
</file>

<file path=xl/tables/table3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4" xr:uid="{00000000-000C-0000-FFFF-FFFF6B010000}" name="Scoreboard_22" displayName="Scoreboard_22" ref="A1:P97">
  <tableColumns count="16">
    <tableColumn id="1" xr3:uid="{00000000-0010-0000-6B01-000001000000}" name="Rank"/>
    <tableColumn id="2" xr3:uid="{00000000-0010-0000-6B01-000002000000}" name="Role"/>
    <tableColumn id="3" xr3:uid="{00000000-0010-0000-6B01-000003000000}" name="Weapons"/>
    <tableColumn id="4" xr3:uid="{00000000-0010-0000-6B01-000004000000}" name="Guild"/>
    <tableColumn id="5" xr3:uid="{00000000-0010-0000-6B01-000005000000}" name="Name"/>
    <tableColumn id="6" xr3:uid="{00000000-0010-0000-6B01-000006000000}" name="Team"/>
    <tableColumn id="7" xr3:uid="{00000000-0010-0000-6B01-000007000000}" name="Kills"/>
    <tableColumn id="8" xr3:uid="{00000000-0010-0000-6B01-000008000000}" name="Assists"/>
    <tableColumn id="9" xr3:uid="{00000000-0010-0000-6B01-000009000000}" name="K + A"/>
    <tableColumn id="10" xr3:uid="{00000000-0010-0000-6B01-00000A000000}" name="Damage Dealt"/>
    <tableColumn id="11" xr3:uid="{00000000-0010-0000-6B01-00000B000000}" name="Damage Taken"/>
    <tableColumn id="12" xr3:uid="{00000000-0010-0000-6B01-00000C000000}" name="Amount Healed"/>
    <tableColumn id="13" xr3:uid="{00000000-0010-0000-6B01-00000D000000}" name="K+A Eff"/>
    <tableColumn id="14" xr3:uid="{00000000-0010-0000-6B01-00000E000000}" name="Dmg Dealt Eff"/>
    <tableColumn id="15" xr3:uid="{00000000-0010-0000-6B01-00000F000000}" name="Dmg Taken Eff"/>
    <tableColumn id="16" xr3:uid="{00000000-0010-0000-6B01-000010000000}" name="Amt Healed Eff"/>
  </tableColumns>
  <tableStyleInfo name="FTP vs Cursed Moro 11102025-style" showFirstColumn="1" showLastColumn="1" showRowStripes="1" showColumnStripes="0"/>
</table>
</file>

<file path=xl/tables/table3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5" xr:uid="{00000000-000C-0000-FFFF-FFFF6C010000}" name="Team_Composition_22" displayName="Team_Composition_22" ref="R3:T15">
  <tableColumns count="3">
    <tableColumn id="1" xr3:uid="{00000000-0010-0000-6C01-000001000000}" name="Data"/>
    <tableColumn id="2" xr3:uid="{00000000-0010-0000-6C01-000002000000}" name="Yellow"/>
    <tableColumn id="3" xr3:uid="{00000000-0010-0000-6C01-000003000000}" name="Red"/>
  </tableColumns>
  <tableStyleInfo name="FTP vs Cursed Moro 11102025-style 2" showFirstColumn="1" showLastColumn="1" showRowStripes="1" showColumnStripes="0"/>
</table>
</file>

<file path=xl/tables/table3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6" xr:uid="{00000000-000C-0000-FFFF-FFFF6D010000}" name="Table1_22" displayName="Table1_22" ref="V3:W13">
  <tableColumns count="2">
    <tableColumn id="1" xr3:uid="{00000000-0010-0000-6D01-000001000000}" name="Name"/>
    <tableColumn id="2" xr3:uid="{00000000-0010-0000-6D01-000002000000}" name="K + A"/>
  </tableColumns>
  <tableStyleInfo name="FTP vs Cursed Moro 11102025-style 3" showFirstColumn="1" showLastColumn="1" showRowStripes="1" showColumnStripes="0"/>
</table>
</file>

<file path=xl/tables/table3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7" xr:uid="{00000000-000C-0000-FFFF-FFFF6E010000}" name="TopDamage_22" displayName="TopDamage_22" ref="Y3:Z13">
  <tableColumns count="2">
    <tableColumn id="1" xr3:uid="{00000000-0010-0000-6E01-000001000000}" name="Name"/>
    <tableColumn id="2" xr3:uid="{00000000-0010-0000-6E01-000002000000}" name="Damage"/>
  </tableColumns>
  <tableStyleInfo name="FTP vs Cursed Moro 11102025-style 4" showFirstColumn="1" showLastColumn="1" showRowStripes="1" showColumnStripes="0"/>
</table>
</file>

<file path=xl/tables/table3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8" xr:uid="{00000000-000C-0000-FFFF-FFFF6F010000}" name="Melee_DPS_22" displayName="Melee_DPS_22" ref="R17:T26">
  <tableColumns count="3">
    <tableColumn id="1" xr3:uid="{00000000-0010-0000-6F01-000001000000}" name="Data"/>
    <tableColumn id="2" xr3:uid="{00000000-0010-0000-6F01-000002000000}" name="Yellow"/>
    <tableColumn id="3" xr3:uid="{00000000-0010-0000-6F01-000003000000}" name="Red"/>
  </tableColumns>
  <tableStyleInfo name="FTP vs Cursed Moro 11102025-style 5" showFirstColumn="1" showLastColumn="1" showRowStripes="1" showColumnStripes="0"/>
</table>
</file>

<file path=xl/tables/table3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9" xr:uid="{00000000-000C-0000-FFFF-FFFF70010000}" name="Table3_22" displayName="Table3_22" ref="V17:W27">
  <tableColumns count="2">
    <tableColumn id="1" xr3:uid="{00000000-0010-0000-7001-000001000000}" name="Name"/>
    <tableColumn id="2" xr3:uid="{00000000-0010-0000-7001-000002000000}" name="DT"/>
  </tableColumns>
  <tableStyleInfo name="FTP vs Cursed Moro 11102025-style 6" showFirstColumn="1" showLastColumn="1" showRowStripes="1" showColumnStripes="0"/>
</table>
</file>

<file path=xl/tables/table3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0" xr:uid="{00000000-000C-0000-FFFF-FFFF71010000}" name="Table2_22" displayName="Table2_22" ref="Y17:Z27">
  <tableColumns count="2">
    <tableColumn id="1" xr3:uid="{00000000-0010-0000-7101-000001000000}" name="Name"/>
    <tableColumn id="2" xr3:uid="{00000000-0010-0000-7101-000002000000}" name="Healed"/>
  </tableColumns>
  <tableStyleInfo name="FTP vs Cursed Moro 11102025-style 7" showFirstColumn="1" showLastColumn="1" showRowStripes="1" showColumnStripes="0"/>
</table>
</file>

<file path=xl/tables/table3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1" xr:uid="{00000000-000C-0000-FFFF-FFFF72010000}" name="Ranged_DPS_22" displayName="Ranged_DPS_22" ref="R30:T48">
  <tableColumns count="3">
    <tableColumn id="1" xr3:uid="{00000000-0010-0000-7201-000001000000}" name="Data"/>
    <tableColumn id="2" xr3:uid="{00000000-0010-0000-7201-000002000000}" name="Yellow"/>
    <tableColumn id="3" xr3:uid="{00000000-0010-0000-7201-000003000000}" name="Red"/>
  </tableColumns>
  <tableStyleInfo name="FTP vs Cursed Moro 11102025-style 8" showFirstColumn="1" showLastColumn="1" showRowStripes="1" showColumnStripes="0"/>
</table>
</file>

<file path=xl/tables/table3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2" xr:uid="{00000000-000C-0000-FFFF-FFFF73010000}" name="Tank_22" displayName="Tank_22" ref="R52:T62">
  <tableColumns count="3">
    <tableColumn id="1" xr3:uid="{00000000-0010-0000-7301-000001000000}" name="Data"/>
    <tableColumn id="2" xr3:uid="{00000000-0010-0000-7301-000002000000}" name="Yellow"/>
    <tableColumn id="3" xr3:uid="{00000000-0010-0000-7301-000003000000}" name="Red"/>
  </tableColumns>
  <tableStyleInfo name="FTP vs Cursed Moro 11102025-style 9" showFirstColumn="1" showLastColumn="1" showRowStripes="1" showColumnStripes="0"/>
</table>
</file>

<file path=xl/tables/table3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3" xr:uid="{00000000-000C-0000-FFFF-FFFF74010000}" name="Healer_22" displayName="Healer_22" ref="R66:T74">
  <tableColumns count="3">
    <tableColumn id="1" xr3:uid="{00000000-0010-0000-7401-000001000000}" name="Data"/>
    <tableColumn id="2" xr3:uid="{00000000-0010-0000-7401-000002000000}" name="Yellow"/>
    <tableColumn id="3" xr3:uid="{00000000-0010-0000-7401-000003000000}" name="Red"/>
  </tableColumns>
  <tableStyleInfo name="FTP vs Cursed Moro 11102025-style 10" showFirstColumn="1" showLastColumn="1" showRowStripes="1" showColumnStripes="0"/>
</table>
</file>

<file path=xl/tables/table3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4" xr:uid="{00000000-000C-0000-FFFF-FFFF75010000}" name="Scoreboard_20" displayName="Scoreboard_20" ref="A1:P103">
  <tableColumns count="16">
    <tableColumn id="1" xr3:uid="{00000000-0010-0000-7501-000001000000}" name="Rank"/>
    <tableColumn id="2" xr3:uid="{00000000-0010-0000-7501-000002000000}" name="Role"/>
    <tableColumn id="3" xr3:uid="{00000000-0010-0000-7501-000003000000}" name="Weapons"/>
    <tableColumn id="4" xr3:uid="{00000000-0010-0000-7501-000004000000}" name="Guild"/>
    <tableColumn id="5" xr3:uid="{00000000-0010-0000-7501-000005000000}" name="Name"/>
    <tableColumn id="6" xr3:uid="{00000000-0010-0000-7501-000006000000}" name="Team"/>
    <tableColumn id="7" xr3:uid="{00000000-0010-0000-7501-000007000000}" name="Kills"/>
    <tableColumn id="8" xr3:uid="{00000000-0010-0000-7501-000008000000}" name="Assists"/>
    <tableColumn id="9" xr3:uid="{00000000-0010-0000-7501-000009000000}" name="K + A"/>
    <tableColumn id="10" xr3:uid="{00000000-0010-0000-7501-00000A000000}" name="Damage Dealt"/>
    <tableColumn id="11" xr3:uid="{00000000-0010-0000-7501-00000B000000}" name="Damage Taken"/>
    <tableColumn id="12" xr3:uid="{00000000-0010-0000-7501-00000C000000}" name="Amount Healed"/>
    <tableColumn id="13" xr3:uid="{00000000-0010-0000-7501-00000D000000}" name="K+A Eff"/>
    <tableColumn id="14" xr3:uid="{00000000-0010-0000-7501-00000E000000}" name="Dmg Dealt Eff"/>
    <tableColumn id="15" xr3:uid="{00000000-0010-0000-7501-00000F000000}" name="Dmg Taken Eff"/>
    <tableColumn id="16" xr3:uid="{00000000-0010-0000-7501-000010000000}" name="Amt Healed Eff"/>
  </tableColumns>
  <tableStyleInfo name="FTP vs Gravity | Ahz | 110525-style" showFirstColumn="1" showLastColumn="1" showRowStripes="1" showColumnStripes="0"/>
</table>
</file>

<file path=xl/tables/table3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5" xr:uid="{00000000-000C-0000-FFFF-FFFF76010000}" name="Team_Composition_20" displayName="Team_Composition_20" ref="R3:T13">
  <tableColumns count="3">
    <tableColumn id="1" xr3:uid="{00000000-0010-0000-7601-000001000000}" name="Data"/>
    <tableColumn id="2" xr3:uid="{00000000-0010-0000-7601-000002000000}" name="Yellow"/>
    <tableColumn id="3" xr3:uid="{00000000-0010-0000-7601-000003000000}" name="Red"/>
  </tableColumns>
  <tableStyleInfo name="FTP vs Gravity | Ahz | 110525-style 2" showFirstColumn="1" showLastColumn="1" showRowStripes="1" showColumnStripes="0"/>
</table>
</file>

<file path=xl/tables/table3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6" xr:uid="{00000000-000C-0000-FFFF-FFFF77010000}" name="Table1_20" displayName="Table1_20" ref="V3:W13">
  <tableColumns count="2">
    <tableColumn id="1" xr3:uid="{00000000-0010-0000-7701-000001000000}" name="Name"/>
    <tableColumn id="2" xr3:uid="{00000000-0010-0000-7701-000002000000}" name="K + A"/>
  </tableColumns>
  <tableStyleInfo name="FTP vs Gravity | Ahz | 110525-style 3" showFirstColumn="1" showLastColumn="1" showRowStripes="1" showColumnStripes="0"/>
</table>
</file>

<file path=xl/tables/table3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7" xr:uid="{00000000-000C-0000-FFFF-FFFF78010000}" name="TopDamage_20" displayName="TopDamage_20" ref="Y3:Z13">
  <tableColumns count="2">
    <tableColumn id="1" xr3:uid="{00000000-0010-0000-7801-000001000000}" name="Name"/>
    <tableColumn id="2" xr3:uid="{00000000-0010-0000-7801-000002000000}" name="Damage"/>
  </tableColumns>
  <tableStyleInfo name="FTP vs Gravity | Ahz | 110525-style 4" showFirstColumn="1" showLastColumn="1" showRowStripes="1" showColumnStripes="0"/>
</table>
</file>

<file path=xl/tables/table3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8" xr:uid="{00000000-000C-0000-FFFF-FFFF79010000}" name="Melee_DPS_20" displayName="Melee_DPS_20" ref="R16:T25">
  <tableColumns count="3">
    <tableColumn id="1" xr3:uid="{00000000-0010-0000-7901-000001000000}" name="Data"/>
    <tableColumn id="2" xr3:uid="{00000000-0010-0000-7901-000002000000}" name="Yellow"/>
    <tableColumn id="3" xr3:uid="{00000000-0010-0000-7901-000003000000}" name="Red"/>
  </tableColumns>
  <tableStyleInfo name="FTP vs Gravity | Ahz | 110525-style 5" showFirstColumn="1" showLastColumn="1" showRowStripes="1" showColumnStripes="0"/>
</table>
</file>

<file path=xl/tables/table3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9" xr:uid="{00000000-000C-0000-FFFF-FFFF7A010000}" name="Table3_20" displayName="Table3_20" ref="V16:W26">
  <tableColumns count="2">
    <tableColumn id="1" xr3:uid="{00000000-0010-0000-7A01-000001000000}" name="Name"/>
    <tableColumn id="2" xr3:uid="{00000000-0010-0000-7A01-000002000000}" name="DT"/>
  </tableColumns>
  <tableStyleInfo name="FTP vs Gravity | Ahz | 110525-style 6" showFirstColumn="1" showLastColumn="1" showRowStripes="1" showColumnStripes="0"/>
</table>
</file>

<file path=xl/tables/table3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0" xr:uid="{00000000-000C-0000-FFFF-FFFF7B010000}" name="Table2_20" displayName="Table2_20" ref="Y16:Z26">
  <tableColumns count="2">
    <tableColumn id="1" xr3:uid="{00000000-0010-0000-7B01-000001000000}" name="Name"/>
    <tableColumn id="2" xr3:uid="{00000000-0010-0000-7B01-000002000000}" name="Healed"/>
  </tableColumns>
  <tableStyleInfo name="FTP vs Gravity | Ahz | 110525-style 7" showFirstColumn="1" showLastColumn="1" showRowStripes="1" showColumnStripes="0"/>
</table>
</file>

<file path=xl/tables/table3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1" xr:uid="{00000000-000C-0000-FFFF-FFFF7C010000}" name="Ranged_DPS_20" displayName="Ranged_DPS_20" ref="R29:T46">
  <tableColumns count="3">
    <tableColumn id="1" xr3:uid="{00000000-0010-0000-7C01-000001000000}" name="Data"/>
    <tableColumn id="2" xr3:uid="{00000000-0010-0000-7C01-000002000000}" name="Yellow"/>
    <tableColumn id="3" xr3:uid="{00000000-0010-0000-7C01-000003000000}" name="Red"/>
  </tableColumns>
  <tableStyleInfo name="FTP vs Gravity | Ahz | 110525-style 8" showFirstColumn="1" showLastColumn="1" showRowStripes="1" showColumnStripes="0"/>
</table>
</file>

<file path=xl/tables/table3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2" xr:uid="{00000000-000C-0000-FFFF-FFFF7D010000}" name="Tank_20" displayName="Tank_20" ref="R50:T60">
  <tableColumns count="3">
    <tableColumn id="1" xr3:uid="{00000000-0010-0000-7D01-000001000000}" name="Data"/>
    <tableColumn id="2" xr3:uid="{00000000-0010-0000-7D01-000002000000}" name="Yellow"/>
    <tableColumn id="3" xr3:uid="{00000000-0010-0000-7D01-000003000000}" name="Red"/>
  </tableColumns>
  <tableStyleInfo name="FTP vs Gravity | Ahz | 110525-style 9" showFirstColumn="1" showLastColumn="1" showRowStripes="1" showColumnStripes="0"/>
</table>
</file>

<file path=xl/tables/table3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3" xr:uid="{00000000-000C-0000-FFFF-FFFF7E010000}" name="Healer_20" displayName="Healer_20" ref="R64:T72">
  <tableColumns count="3">
    <tableColumn id="1" xr3:uid="{00000000-0010-0000-7E01-000001000000}" name="Data"/>
    <tableColumn id="2" xr3:uid="{00000000-0010-0000-7E01-000002000000}" name="Yellow"/>
    <tableColumn id="3" xr3:uid="{00000000-0010-0000-7E01-000003000000}" name="Red"/>
  </tableColumns>
  <tableStyleInfo name="FTP vs Gravity | Ahz | 110525-style 10" showFirstColumn="1" showLastColumn="1" showRowStripes="1" showColumnStripes="0"/>
</table>
</file>

<file path=xl/tables/table3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4" xr:uid="{00000000-000C-0000-FFFF-FFFF7F010000}" name="Scoreboard_21" displayName="Scoreboard_21" ref="A1:P103">
  <tableColumns count="16">
    <tableColumn id="1" xr3:uid="{00000000-0010-0000-7F01-000001000000}" name="Rank"/>
    <tableColumn id="2" xr3:uid="{00000000-0010-0000-7F01-000002000000}" name="Role"/>
    <tableColumn id="3" xr3:uid="{00000000-0010-0000-7F01-000003000000}" name="Weapons"/>
    <tableColumn id="4" xr3:uid="{00000000-0010-0000-7F01-000004000000}" name="Guild"/>
    <tableColumn id="5" xr3:uid="{00000000-0010-0000-7F01-000005000000}" name="Name"/>
    <tableColumn id="6" xr3:uid="{00000000-0010-0000-7F01-000006000000}" name="Team"/>
    <tableColumn id="7" xr3:uid="{00000000-0010-0000-7F01-000007000000}" name="Kills"/>
    <tableColumn id="8" xr3:uid="{00000000-0010-0000-7F01-000008000000}" name="Assists"/>
    <tableColumn id="9" xr3:uid="{00000000-0010-0000-7F01-000009000000}" name="K + A"/>
    <tableColumn id="10" xr3:uid="{00000000-0010-0000-7F01-00000A000000}" name="Damage Dealt"/>
    <tableColumn id="11" xr3:uid="{00000000-0010-0000-7F01-00000B000000}" name="Damage Taken"/>
    <tableColumn id="12" xr3:uid="{00000000-0010-0000-7F01-00000C000000}" name="Amount Healed"/>
    <tableColumn id="13" xr3:uid="{00000000-0010-0000-7F01-00000D000000}" name="K+A Eff"/>
    <tableColumn id="14" xr3:uid="{00000000-0010-0000-7F01-00000E000000}" name="Dmg Dealt Eff"/>
    <tableColumn id="15" xr3:uid="{00000000-0010-0000-7F01-00000F000000}" name="Dmg Taken Eff"/>
    <tableColumn id="16" xr3:uid="{00000000-0010-0000-7F01-000010000000}" name="Amt Healed Eff"/>
  </tableColumns>
  <tableStyleInfo name="FTP vs Gravity | Talus | 110525-style" showFirstColumn="1" showLastColumn="1" showRowStripes="1" showColumnStripes="0"/>
</table>
</file>

<file path=xl/tables/table3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5" xr:uid="{00000000-000C-0000-FFFF-FFFF80010000}" name="Team_Composition_21" displayName="Team_Composition_21" ref="R3:T13">
  <tableColumns count="3">
    <tableColumn id="1" xr3:uid="{00000000-0010-0000-8001-000001000000}" name="Data"/>
    <tableColumn id="2" xr3:uid="{00000000-0010-0000-8001-000002000000}" name="Yellow"/>
    <tableColumn id="3" xr3:uid="{00000000-0010-0000-8001-000003000000}" name="Red"/>
  </tableColumns>
  <tableStyleInfo name="FTP vs Gravity | Talus | 110525-style 2" showFirstColumn="1" showLastColumn="1" showRowStripes="1" showColumnStripes="0"/>
</table>
</file>

<file path=xl/tables/table3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6" xr:uid="{00000000-000C-0000-FFFF-FFFF81010000}" name="Table1_21" displayName="Table1_21" ref="V3:W13">
  <tableColumns count="2">
    <tableColumn id="1" xr3:uid="{00000000-0010-0000-8101-000001000000}" name="Name"/>
    <tableColumn id="2" xr3:uid="{00000000-0010-0000-8101-000002000000}" name="K + A"/>
  </tableColumns>
  <tableStyleInfo name="FTP vs Gravity | Talus | 110525-style 3" showFirstColumn="1" showLastColumn="1" showRowStripes="1" showColumnStripes="0"/>
</table>
</file>

<file path=xl/tables/table3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7" xr:uid="{00000000-000C-0000-FFFF-FFFF82010000}" name="TopDamage_21" displayName="TopDamage_21" ref="Y3:Z13">
  <tableColumns count="2">
    <tableColumn id="1" xr3:uid="{00000000-0010-0000-8201-000001000000}" name="Name"/>
    <tableColumn id="2" xr3:uid="{00000000-0010-0000-8201-000002000000}" name="Damage"/>
  </tableColumns>
  <tableStyleInfo name="FTP vs Gravity | Talus | 110525-style 4" showFirstColumn="1" showLastColumn="1" showRowStripes="1" showColumnStripes="0"/>
</table>
</file>

<file path=xl/tables/table3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8" xr:uid="{00000000-000C-0000-FFFF-FFFF83010000}" name="Melee_DPS_21" displayName="Melee_DPS_21" ref="R16:T25">
  <tableColumns count="3">
    <tableColumn id="1" xr3:uid="{00000000-0010-0000-8301-000001000000}" name="Data"/>
    <tableColumn id="2" xr3:uid="{00000000-0010-0000-8301-000002000000}" name="Yellow"/>
    <tableColumn id="3" xr3:uid="{00000000-0010-0000-8301-000003000000}" name="Red"/>
  </tableColumns>
  <tableStyleInfo name="FTP vs Gravity | Talus | 110525-style 5" showFirstColumn="1" showLastColumn="1" showRowStripes="1" showColumnStripes="0"/>
</table>
</file>

<file path=xl/tables/table3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9" xr:uid="{00000000-000C-0000-FFFF-FFFF84010000}" name="Table3_21" displayName="Table3_21" ref="V16:W26">
  <tableColumns count="2">
    <tableColumn id="1" xr3:uid="{00000000-0010-0000-8401-000001000000}" name="Name"/>
    <tableColumn id="2" xr3:uid="{00000000-0010-0000-8401-000002000000}" name="DT"/>
  </tableColumns>
  <tableStyleInfo name="FTP vs Gravity | Talus | 110525-style 6" showFirstColumn="1" showLastColumn="1" showRowStripes="1" showColumnStripes="0"/>
</table>
</file>

<file path=xl/tables/table3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0" xr:uid="{00000000-000C-0000-FFFF-FFFF85010000}" name="Table2_21" displayName="Table2_21" ref="Y16:Z26">
  <tableColumns count="2">
    <tableColumn id="1" xr3:uid="{00000000-0010-0000-8501-000001000000}" name="Name"/>
    <tableColumn id="2" xr3:uid="{00000000-0010-0000-8501-000002000000}" name="Healed"/>
  </tableColumns>
  <tableStyleInfo name="FTP vs Gravity | Talus | 110525-style 7" showFirstColumn="1" showLastColumn="1" showRowStripes="1" showColumnStripes="0"/>
</table>
</file>

<file path=xl/tables/table3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1" xr:uid="{00000000-000C-0000-FFFF-FFFF86010000}" name="Ranged_DPS_21" displayName="Ranged_DPS_21" ref="R29:T46">
  <tableColumns count="3">
    <tableColumn id="1" xr3:uid="{00000000-0010-0000-8601-000001000000}" name="Data"/>
    <tableColumn id="2" xr3:uid="{00000000-0010-0000-8601-000002000000}" name="Yellow"/>
    <tableColumn id="3" xr3:uid="{00000000-0010-0000-8601-000003000000}" name="Red"/>
  </tableColumns>
  <tableStyleInfo name="FTP vs Gravity | Talus | 110525-style 8" showFirstColumn="1" showLastColumn="1" showRowStripes="1" showColumnStripes="0"/>
</table>
</file>

<file path=xl/tables/table3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2" xr:uid="{00000000-000C-0000-FFFF-FFFF87010000}" name="Tank_21" displayName="Tank_21" ref="R50:T60">
  <tableColumns count="3">
    <tableColumn id="1" xr3:uid="{00000000-0010-0000-8701-000001000000}" name="Data"/>
    <tableColumn id="2" xr3:uid="{00000000-0010-0000-8701-000002000000}" name="Yellow"/>
    <tableColumn id="3" xr3:uid="{00000000-0010-0000-8701-000003000000}" name="Red"/>
  </tableColumns>
  <tableStyleInfo name="FTP vs Gravity | Talus | 110525-style 9" showFirstColumn="1" showLastColumn="1" showRowStripes="1" showColumnStripes="0"/>
</table>
</file>

<file path=xl/tables/table3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3" xr:uid="{00000000-000C-0000-FFFF-FFFF88010000}" name="Healer_21" displayName="Healer_21" ref="R64:T71">
  <tableColumns count="3">
    <tableColumn id="1" xr3:uid="{00000000-0010-0000-8801-000001000000}" name="Data"/>
    <tableColumn id="2" xr3:uid="{00000000-0010-0000-8801-000002000000}" name="Yellow"/>
    <tableColumn id="3" xr3:uid="{00000000-0010-0000-8801-000003000000}" name="Red"/>
  </tableColumns>
  <tableStyleInfo name="FTP vs Gravity | Talus | 110525-style 10" showFirstColumn="1" showLastColumn="1" showRowStripes="1" showColumnStripes="0"/>
</table>
</file>

<file path=xl/tables/table3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4" xr:uid="{00000000-000C-0000-FFFF-FFFF89010000}" name="Scoreboard_18" displayName="Scoreboard_18" ref="A1:P103">
  <tableColumns count="16">
    <tableColumn id="1" xr3:uid="{00000000-0010-0000-8901-000001000000}" name="Rank"/>
    <tableColumn id="2" xr3:uid="{00000000-0010-0000-8901-000002000000}" name="Role"/>
    <tableColumn id="3" xr3:uid="{00000000-0010-0000-8901-000003000000}" name="Weapons"/>
    <tableColumn id="4" xr3:uid="{00000000-0010-0000-8901-000004000000}" name="Guild"/>
    <tableColumn id="5" xr3:uid="{00000000-0010-0000-8901-000005000000}" name="Name"/>
    <tableColumn id="6" xr3:uid="{00000000-0010-0000-8901-000006000000}" name="Team"/>
    <tableColumn id="7" xr3:uid="{00000000-0010-0000-8901-000007000000}" name="Kills"/>
    <tableColumn id="8" xr3:uid="{00000000-0010-0000-8901-000008000000}" name="Assists"/>
    <tableColumn id="9" xr3:uid="{00000000-0010-0000-8901-000009000000}" name="K + A"/>
    <tableColumn id="10" xr3:uid="{00000000-0010-0000-8901-00000A000000}" name="Damage Dealt"/>
    <tableColumn id="11" xr3:uid="{00000000-0010-0000-8901-00000B000000}" name="Damage Taken"/>
    <tableColumn id="12" xr3:uid="{00000000-0010-0000-8901-00000C000000}" name="Amount Healed"/>
    <tableColumn id="13" xr3:uid="{00000000-0010-0000-8901-00000D000000}" name="K+A Eff"/>
    <tableColumn id="14" xr3:uid="{00000000-0010-0000-8901-00000E000000}" name="Dmg Dealt Eff"/>
    <tableColumn id="15" xr3:uid="{00000000-0010-0000-8901-00000F000000}" name="Dmg Taken Eff"/>
    <tableColumn id="16" xr3:uid="{00000000-0010-0000-8901-000010000000}" name="Amt Healed Eff"/>
  </tableColumns>
  <tableStyleInfo name="FTP vs Wolves | Kowa | 102925-style" showFirstColumn="1" showLastColumn="1" showRowStripes="1" showColumnStripes="0"/>
</table>
</file>

<file path=xl/tables/table3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5" xr:uid="{00000000-000C-0000-FFFF-FFFF8A010000}" name="Team_Composition_18" displayName="Team_Composition_18" ref="R3:T13">
  <tableColumns count="3">
    <tableColumn id="1" xr3:uid="{00000000-0010-0000-8A01-000001000000}" name="Data"/>
    <tableColumn id="2" xr3:uid="{00000000-0010-0000-8A01-000002000000}" name="Yellow"/>
    <tableColumn id="3" xr3:uid="{00000000-0010-0000-8A01-000003000000}" name="Red"/>
  </tableColumns>
  <tableStyleInfo name="FTP vs Wolves | Kowa | 102925-style 2" showFirstColumn="1" showLastColumn="1" showRowStripes="1" showColumnStripes="0"/>
</table>
</file>

<file path=xl/tables/table3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6" xr:uid="{00000000-000C-0000-FFFF-FFFF8B010000}" name="Table1_18" displayName="Table1_18" ref="V3:W13">
  <tableColumns count="2">
    <tableColumn id="1" xr3:uid="{00000000-0010-0000-8B01-000001000000}" name="Name"/>
    <tableColumn id="2" xr3:uid="{00000000-0010-0000-8B01-000002000000}" name="K + A"/>
  </tableColumns>
  <tableStyleInfo name="FTP vs Wolves | Kowa | 102925-style 3" showFirstColumn="1" showLastColumn="1" showRowStripes="1" showColumnStripes="0"/>
</table>
</file>

<file path=xl/tables/table3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7" xr:uid="{00000000-000C-0000-FFFF-FFFF8C010000}" name="TopDamage_18" displayName="TopDamage_18" ref="Y3:Z13">
  <tableColumns count="2">
    <tableColumn id="1" xr3:uid="{00000000-0010-0000-8C01-000001000000}" name="Name"/>
    <tableColumn id="2" xr3:uid="{00000000-0010-0000-8C01-000002000000}" name="Damage"/>
  </tableColumns>
  <tableStyleInfo name="FTP vs Wolves | Kowa | 102925-style 4" showFirstColumn="1" showLastColumn="1" showRowStripes="1" showColumnStripes="0"/>
</table>
</file>

<file path=xl/tables/table3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8" xr:uid="{00000000-000C-0000-FFFF-FFFF8D010000}" name="Melee_DPS_18" displayName="Melee_DPS_18" ref="R16:T25">
  <tableColumns count="3">
    <tableColumn id="1" xr3:uid="{00000000-0010-0000-8D01-000001000000}" name="Data"/>
    <tableColumn id="2" xr3:uid="{00000000-0010-0000-8D01-000002000000}" name="Yellow"/>
    <tableColumn id="3" xr3:uid="{00000000-0010-0000-8D01-000003000000}" name="Red"/>
  </tableColumns>
  <tableStyleInfo name="FTP vs Wolves | Kowa | 102925-style 5" showFirstColumn="1" showLastColumn="1" showRowStripes="1" showColumnStripes="0"/>
</table>
</file>

<file path=xl/tables/table3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9" xr:uid="{00000000-000C-0000-FFFF-FFFF8E010000}" name="Table3_18" displayName="Table3_18" ref="V16:W26">
  <tableColumns count="2">
    <tableColumn id="1" xr3:uid="{00000000-0010-0000-8E01-000001000000}" name="Name"/>
    <tableColumn id="2" xr3:uid="{00000000-0010-0000-8E01-000002000000}" name="DT"/>
  </tableColumns>
  <tableStyleInfo name="FTP vs Wolves | Kowa | 102925-style 6" showFirstColumn="1" showLastColumn="1" showRowStripes="1" showColumnStripes="0"/>
</table>
</file>

<file path=xl/tables/table4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0" xr:uid="{00000000-000C-0000-FFFF-FFFF8F010000}" name="Table2_18" displayName="Table2_18" ref="Y16:Z26">
  <tableColumns count="2">
    <tableColumn id="1" xr3:uid="{00000000-0010-0000-8F01-000001000000}" name="Name"/>
    <tableColumn id="2" xr3:uid="{00000000-0010-0000-8F01-000002000000}" name="Healed"/>
  </tableColumns>
  <tableStyleInfo name="FTP vs Wolves | Kowa | 102925-style 7" showFirstColumn="1" showLastColumn="1" showRowStripes="1" showColumnStripes="0"/>
</table>
</file>

<file path=xl/tables/table4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1" xr:uid="{00000000-000C-0000-FFFF-FFFF90010000}" name="Ranged_DPS_18" displayName="Ranged_DPS_18" ref="R29:T46">
  <tableColumns count="3">
    <tableColumn id="1" xr3:uid="{00000000-0010-0000-9001-000001000000}" name="Data"/>
    <tableColumn id="2" xr3:uid="{00000000-0010-0000-9001-000002000000}" name="Yellow"/>
    <tableColumn id="3" xr3:uid="{00000000-0010-0000-9001-000003000000}" name="Red"/>
  </tableColumns>
  <tableStyleInfo name="FTP vs Wolves | Kowa | 102925-style 8" showFirstColumn="1" showLastColumn="1" showRowStripes="1" showColumnStripes="0"/>
</table>
</file>

<file path=xl/tables/table4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2" xr:uid="{00000000-000C-0000-FFFF-FFFF91010000}" name="Tank_18" displayName="Tank_18" ref="R50:T60">
  <tableColumns count="3">
    <tableColumn id="1" xr3:uid="{00000000-0010-0000-9101-000001000000}" name="Data"/>
    <tableColumn id="2" xr3:uid="{00000000-0010-0000-9101-000002000000}" name="Yellow"/>
    <tableColumn id="3" xr3:uid="{00000000-0010-0000-9101-000003000000}" name="Red"/>
  </tableColumns>
  <tableStyleInfo name="FTP vs Wolves | Kowa | 102925-style 9" showFirstColumn="1" showLastColumn="1" showRowStripes="1" showColumnStripes="0"/>
</table>
</file>

<file path=xl/tables/table4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3" xr:uid="{00000000-000C-0000-FFFF-FFFF92010000}" name="Healer_18" displayName="Healer_18" ref="R64:T72">
  <tableColumns count="3">
    <tableColumn id="1" xr3:uid="{00000000-0010-0000-9201-000001000000}" name="Data"/>
    <tableColumn id="2" xr3:uid="{00000000-0010-0000-9201-000002000000}" name="Yellow"/>
    <tableColumn id="3" xr3:uid="{00000000-0010-0000-9201-000003000000}" name="Red"/>
  </tableColumns>
  <tableStyleInfo name="FTP vs Wolves | Kowa | 102925-style 10" showFirstColumn="1" showLastColumn="1" showRowStripes="1" showColumnStripes="0"/>
</table>
</file>

<file path=xl/tables/table4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4" xr:uid="{00000000-000C-0000-FFFF-FFFF93010000}" name="Scoreboard_19" displayName="Scoreboard_19" ref="A1:P103">
  <tableColumns count="16">
    <tableColumn id="1" xr3:uid="{00000000-0010-0000-9301-000001000000}" name="Rank"/>
    <tableColumn id="2" xr3:uid="{00000000-0010-0000-9301-000002000000}" name="Role"/>
    <tableColumn id="3" xr3:uid="{00000000-0010-0000-9301-000003000000}" name="Weapons"/>
    <tableColumn id="4" xr3:uid="{00000000-0010-0000-9301-000004000000}" name="Guild"/>
    <tableColumn id="5" xr3:uid="{00000000-0010-0000-9301-000005000000}" name="Name"/>
    <tableColumn id="6" xr3:uid="{00000000-0010-0000-9301-000006000000}" name="Team"/>
    <tableColumn id="7" xr3:uid="{00000000-0010-0000-9301-000007000000}" name="Kills"/>
    <tableColumn id="8" xr3:uid="{00000000-0010-0000-9301-000008000000}" name="Assists"/>
    <tableColumn id="9" xr3:uid="{00000000-0010-0000-9301-000009000000}" name="K + A"/>
    <tableColumn id="10" xr3:uid="{00000000-0010-0000-9301-00000A000000}" name="Damage Dealt"/>
    <tableColumn id="11" xr3:uid="{00000000-0010-0000-9301-00000B000000}" name="Damage Taken"/>
    <tableColumn id="12" xr3:uid="{00000000-0010-0000-9301-00000C000000}" name="Amount Healed"/>
    <tableColumn id="13" xr3:uid="{00000000-0010-0000-9301-00000D000000}" name="K+A Eff"/>
    <tableColumn id="14" xr3:uid="{00000000-0010-0000-9301-00000E000000}" name="Dmg Dealt Eff"/>
    <tableColumn id="15" xr3:uid="{00000000-0010-0000-9301-00000F000000}" name="Dmg Taken Eff"/>
    <tableColumn id="16" xr3:uid="{00000000-0010-0000-9301-000010000000}" name="Amt Healed Eff"/>
  </tableColumns>
  <tableStyleInfo name="FTP vs Wolves | Ahzreil | 10292-style" showFirstColumn="1" showLastColumn="1" showRowStripes="1" showColumnStripes="0"/>
</table>
</file>

<file path=xl/tables/table4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5" xr:uid="{00000000-000C-0000-FFFF-FFFF94010000}" name="Team_Composition_19" displayName="Team_Composition_19" ref="R3:T13">
  <tableColumns count="3">
    <tableColumn id="1" xr3:uid="{00000000-0010-0000-9401-000001000000}" name="Data"/>
    <tableColumn id="2" xr3:uid="{00000000-0010-0000-9401-000002000000}" name="Yellow"/>
    <tableColumn id="3" xr3:uid="{00000000-0010-0000-9401-000003000000}" name="Red"/>
  </tableColumns>
  <tableStyleInfo name="FTP vs Wolves | Ahzreil | 10292-style 2" showFirstColumn="1" showLastColumn="1" showRowStripes="1" showColumnStripes="0"/>
</table>
</file>

<file path=xl/tables/table4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6" xr:uid="{00000000-000C-0000-FFFF-FFFF95010000}" name="Table1_19" displayName="Table1_19" ref="V3:W13">
  <tableColumns count="2">
    <tableColumn id="1" xr3:uid="{00000000-0010-0000-9501-000001000000}" name="Name"/>
    <tableColumn id="2" xr3:uid="{00000000-0010-0000-9501-000002000000}" name="K + A"/>
  </tableColumns>
  <tableStyleInfo name="FTP vs Wolves | Ahzreil | 10292-style 3" showFirstColumn="1" showLastColumn="1" showRowStripes="1" showColumnStripes="0"/>
</table>
</file>

<file path=xl/tables/table4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7" xr:uid="{00000000-000C-0000-FFFF-FFFF96010000}" name="TopDamage_19" displayName="TopDamage_19" ref="Y3:Z13">
  <tableColumns count="2">
    <tableColumn id="1" xr3:uid="{00000000-0010-0000-9601-000001000000}" name="Name"/>
    <tableColumn id="2" xr3:uid="{00000000-0010-0000-9601-000002000000}" name="Damage"/>
  </tableColumns>
  <tableStyleInfo name="FTP vs Wolves | Ahzreil | 10292-style 4" showFirstColumn="1" showLastColumn="1" showRowStripes="1" showColumnStripes="0"/>
</table>
</file>

<file path=xl/tables/table4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8" xr:uid="{00000000-000C-0000-FFFF-FFFF97010000}" name="Melee_DPS_19" displayName="Melee_DPS_19" ref="R16:T25">
  <tableColumns count="3">
    <tableColumn id="1" xr3:uid="{00000000-0010-0000-9701-000001000000}" name="Data"/>
    <tableColumn id="2" xr3:uid="{00000000-0010-0000-9701-000002000000}" name="Yellow"/>
    <tableColumn id="3" xr3:uid="{00000000-0010-0000-9701-000003000000}" name="Red"/>
  </tableColumns>
  <tableStyleInfo name="FTP vs Wolves | Ahzreil | 10292-style 5" showFirstColumn="1" showLastColumn="1" showRowStripes="1" showColumnStripes="0"/>
</table>
</file>

<file path=xl/tables/table4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9" xr:uid="{00000000-000C-0000-FFFF-FFFF98010000}" name="Table3_19" displayName="Table3_19" ref="V16:W26">
  <tableColumns count="2">
    <tableColumn id="1" xr3:uid="{00000000-0010-0000-9801-000001000000}" name="Name"/>
    <tableColumn id="2" xr3:uid="{00000000-0010-0000-9801-000002000000}" name="DT"/>
  </tableColumns>
  <tableStyleInfo name="FTP vs Wolves | Ahzreil | 10292-style 6" showFirstColumn="1" showLastColumn="1" showRowStripes="1" showColumnStripes="0"/>
</table>
</file>

<file path=xl/tables/table4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0" xr:uid="{00000000-000C-0000-FFFF-FFFF99010000}" name="Table2_19" displayName="Table2_19" ref="Y16:Z26">
  <tableColumns count="2">
    <tableColumn id="1" xr3:uid="{00000000-0010-0000-9901-000001000000}" name="Name"/>
    <tableColumn id="2" xr3:uid="{00000000-0010-0000-9901-000002000000}" name="Healed"/>
  </tableColumns>
  <tableStyleInfo name="FTP vs Wolves | Ahzreil | 10292-style 7" showFirstColumn="1" showLastColumn="1" showRowStripes="1" showColumnStripes="0"/>
</table>
</file>

<file path=xl/tables/table4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1" xr:uid="{00000000-000C-0000-FFFF-FFFF9A010000}" name="Ranged_DPS_19" displayName="Ranged_DPS_19" ref="R29:T46">
  <tableColumns count="3">
    <tableColumn id="1" xr3:uid="{00000000-0010-0000-9A01-000001000000}" name="Data"/>
    <tableColumn id="2" xr3:uid="{00000000-0010-0000-9A01-000002000000}" name="Yellow"/>
    <tableColumn id="3" xr3:uid="{00000000-0010-0000-9A01-000003000000}" name="Red"/>
  </tableColumns>
  <tableStyleInfo name="FTP vs Wolves | Ahzreil | 10292-style 8" showFirstColumn="1" showLastColumn="1" showRowStripes="1" showColumnStripes="0"/>
</table>
</file>

<file path=xl/tables/table4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2" xr:uid="{00000000-000C-0000-FFFF-FFFF9B010000}" name="Tank_19" displayName="Tank_19" ref="R50:T60">
  <tableColumns count="3">
    <tableColumn id="1" xr3:uid="{00000000-0010-0000-9B01-000001000000}" name="Data"/>
    <tableColumn id="2" xr3:uid="{00000000-0010-0000-9B01-000002000000}" name="Yellow"/>
    <tableColumn id="3" xr3:uid="{00000000-0010-0000-9B01-000003000000}" name="Red"/>
  </tableColumns>
  <tableStyleInfo name="FTP vs Wolves | Ahzreil | 10292-style 9" showFirstColumn="1" showLastColumn="1" showRowStripes="1" showColumnStripes="0"/>
</table>
</file>

<file path=xl/tables/table4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3" xr:uid="{00000000-000C-0000-FFFF-FFFF9C010000}" name="Healer_19" displayName="Healer_19" ref="R64:T72">
  <tableColumns count="3">
    <tableColumn id="1" xr3:uid="{00000000-0010-0000-9C01-000001000000}" name="Data"/>
    <tableColumn id="2" xr3:uid="{00000000-0010-0000-9C01-000002000000}" name="Yellow"/>
    <tableColumn id="3" xr3:uid="{00000000-0010-0000-9C01-000003000000}" name="Red"/>
  </tableColumns>
  <tableStyleInfo name="FTP vs Wolves | Ahzreil | 10292-style 10" showFirstColumn="1" showLastColumn="1" showRowStripes="1" showColumnStripes="0"/>
</table>
</file>

<file path=xl/tables/table4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4" xr:uid="{00000000-000C-0000-FFFF-FFFF9D010000}" name="Scoreboard_16" displayName="Scoreboard_16" ref="A1:P103">
  <tableColumns count="16">
    <tableColumn id="1" xr3:uid="{00000000-0010-0000-9D01-000001000000}" name="Rank"/>
    <tableColumn id="2" xr3:uid="{00000000-0010-0000-9D01-000002000000}" name="Role"/>
    <tableColumn id="3" xr3:uid="{00000000-0010-0000-9D01-000003000000}" name="Weapons"/>
    <tableColumn id="4" xr3:uid="{00000000-0010-0000-9D01-000004000000}" name="Guild"/>
    <tableColumn id="5" xr3:uid="{00000000-0010-0000-9D01-000005000000}" name="Name"/>
    <tableColumn id="6" xr3:uid="{00000000-0010-0000-9D01-000006000000}" name="Team"/>
    <tableColumn id="7" xr3:uid="{00000000-0010-0000-9D01-000007000000}" name="Kills"/>
    <tableColumn id="8" xr3:uid="{00000000-0010-0000-9D01-000008000000}" name="Assists"/>
    <tableColumn id="9" xr3:uid="{00000000-0010-0000-9D01-000009000000}" name="K + A"/>
    <tableColumn id="10" xr3:uid="{00000000-0010-0000-9D01-00000A000000}" name="Damage Dealt"/>
    <tableColumn id="11" xr3:uid="{00000000-0010-0000-9D01-00000B000000}" name="Damage Taken"/>
    <tableColumn id="12" xr3:uid="{00000000-0010-0000-9D01-00000C000000}" name="Amount Healed"/>
    <tableColumn id="13" xr3:uid="{00000000-0010-0000-9D01-00000D000000}" name="K+A Eff"/>
    <tableColumn id="14" xr3:uid="{00000000-0010-0000-9D01-00000E000000}" name="Dmg Dealt Eff"/>
    <tableColumn id="15" xr3:uid="{00000000-0010-0000-9D01-00000F000000}" name="Dmg Taken Eff"/>
    <tableColumn id="16" xr3:uid="{00000000-0010-0000-9D01-000010000000}" name="Amt Healed Eff"/>
  </tableColumns>
  <tableStyleInfo name="FTP vs Infamy| Ahzreil | 102225-style" showFirstColumn="1" showLastColumn="1" showRowStripes="1" showColumnStripes="0"/>
</table>
</file>

<file path=xl/tables/table4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5" xr:uid="{00000000-000C-0000-FFFF-FFFF9E010000}" name="Team_Composition_16" displayName="Team_Composition_16" ref="R3:T13">
  <tableColumns count="3">
    <tableColumn id="1" xr3:uid="{00000000-0010-0000-9E01-000001000000}" name="Data"/>
    <tableColumn id="2" xr3:uid="{00000000-0010-0000-9E01-000002000000}" name="Yellow"/>
    <tableColumn id="3" xr3:uid="{00000000-0010-0000-9E01-000003000000}" name="Red"/>
  </tableColumns>
  <tableStyleInfo name="FTP vs Infamy| Ahzreil | 102225-style 2" showFirstColumn="1" showLastColumn="1" showRowStripes="1" showColumnStripes="0"/>
</table>
</file>

<file path=xl/tables/table4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6" xr:uid="{00000000-000C-0000-FFFF-FFFF9F010000}" name="Table1_16" displayName="Table1_16" ref="V3:W13">
  <tableColumns count="2">
    <tableColumn id="1" xr3:uid="{00000000-0010-0000-9F01-000001000000}" name="Name"/>
    <tableColumn id="2" xr3:uid="{00000000-0010-0000-9F01-000002000000}" name="K + A"/>
  </tableColumns>
  <tableStyleInfo name="FTP vs Infamy| Ahzreil | 102225-style 3" showFirstColumn="1" showLastColumn="1" showRowStripes="1" showColumnStripes="0"/>
</table>
</file>

<file path=xl/tables/table4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7" xr:uid="{00000000-000C-0000-FFFF-FFFFA0010000}" name="TopDamage_16" displayName="TopDamage_16" ref="Y3:Z13">
  <tableColumns count="2">
    <tableColumn id="1" xr3:uid="{00000000-0010-0000-A001-000001000000}" name="Name"/>
    <tableColumn id="2" xr3:uid="{00000000-0010-0000-A001-000002000000}" name="Damage"/>
  </tableColumns>
  <tableStyleInfo name="FTP vs Infamy| Ahzreil | 102225-style 4" showFirstColumn="1" showLastColumn="1" showRowStripes="1" showColumnStripes="0"/>
</table>
</file>

<file path=xl/tables/table4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8" xr:uid="{00000000-000C-0000-FFFF-FFFFA1010000}" name="Melee_DPS_16" displayName="Melee_DPS_16" ref="R16:T25">
  <tableColumns count="3">
    <tableColumn id="1" xr3:uid="{00000000-0010-0000-A101-000001000000}" name="Data"/>
    <tableColumn id="2" xr3:uid="{00000000-0010-0000-A101-000002000000}" name="Yellow"/>
    <tableColumn id="3" xr3:uid="{00000000-0010-0000-A101-000003000000}" name="Red"/>
  </tableColumns>
  <tableStyleInfo name="FTP vs Infamy| Ahzreil | 102225-style 5" showFirstColumn="1" showLastColumn="1" showRowStripes="1" showColumnStripes="0"/>
</table>
</file>

<file path=xl/tables/table4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9" xr:uid="{00000000-000C-0000-FFFF-FFFFA2010000}" name="Table3_16" displayName="Table3_16" ref="V16:W26">
  <tableColumns count="2">
    <tableColumn id="1" xr3:uid="{00000000-0010-0000-A201-000001000000}" name="Name"/>
    <tableColumn id="2" xr3:uid="{00000000-0010-0000-A201-000002000000}" name="DT"/>
  </tableColumns>
  <tableStyleInfo name="FTP vs Infamy| Ahzreil | 102225-style 6" showFirstColumn="1" showLastColumn="1" showRowStripes="1" showColumnStripes="0"/>
</table>
</file>

<file path=xl/tables/table4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0" xr:uid="{00000000-000C-0000-FFFF-FFFFA3010000}" name="Table2_16" displayName="Table2_16" ref="Y16:Z26">
  <tableColumns count="2">
    <tableColumn id="1" xr3:uid="{00000000-0010-0000-A301-000001000000}" name="Name"/>
    <tableColumn id="2" xr3:uid="{00000000-0010-0000-A301-000002000000}" name="Healed"/>
  </tableColumns>
  <tableStyleInfo name="FTP vs Infamy| Ahzreil | 102225-style 7" showFirstColumn="1" showLastColumn="1" showRowStripes="1" showColumnStripes="0"/>
</table>
</file>

<file path=xl/tables/table4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1" xr:uid="{00000000-000C-0000-FFFF-FFFFA4010000}" name="Ranged_DPS_16" displayName="Ranged_DPS_16" ref="R29:T46">
  <tableColumns count="3">
    <tableColumn id="1" xr3:uid="{00000000-0010-0000-A401-000001000000}" name="Data"/>
    <tableColumn id="2" xr3:uid="{00000000-0010-0000-A401-000002000000}" name="Yellow"/>
    <tableColumn id="3" xr3:uid="{00000000-0010-0000-A401-000003000000}" name="Red"/>
  </tableColumns>
  <tableStyleInfo name="FTP vs Infamy| Ahzreil | 102225-style 8" showFirstColumn="1" showLastColumn="1" showRowStripes="1" showColumnStripes="0"/>
</table>
</file>

<file path=xl/tables/table4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2" xr:uid="{00000000-000C-0000-FFFF-FFFFA5010000}" name="Tank_16" displayName="Tank_16" ref="R50:T60">
  <tableColumns count="3">
    <tableColumn id="1" xr3:uid="{00000000-0010-0000-A501-000001000000}" name="Data"/>
    <tableColumn id="2" xr3:uid="{00000000-0010-0000-A501-000002000000}" name="Yellow"/>
    <tableColumn id="3" xr3:uid="{00000000-0010-0000-A501-000003000000}" name="Red"/>
  </tableColumns>
  <tableStyleInfo name="FTP vs Infamy| Ahzreil | 102225-style 9" showFirstColumn="1" showLastColumn="1" showRowStripes="1" showColumnStripes="0"/>
</table>
</file>

<file path=xl/tables/table4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3" xr:uid="{00000000-000C-0000-FFFF-FFFFA6010000}" name="Healer_16" displayName="Healer_16" ref="R64:T72">
  <tableColumns count="3">
    <tableColumn id="1" xr3:uid="{00000000-0010-0000-A601-000001000000}" name="Data"/>
    <tableColumn id="2" xr3:uid="{00000000-0010-0000-A601-000002000000}" name="Yellow"/>
    <tableColumn id="3" xr3:uid="{00000000-0010-0000-A601-000003000000}" name="Red"/>
  </tableColumns>
  <tableStyleInfo name="FTP vs Infamy| Ahzreil | 102225-style 10" showFirstColumn="1" showLastColumn="1" showRowStripes="1" showColumnStripes="0"/>
</table>
</file>

<file path=xl/tables/table4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4" xr:uid="{00000000-000C-0000-FFFF-FFFFA7010000}" name="Scoreboard_17" displayName="Scoreboard_17" ref="A1:P103">
  <tableColumns count="16">
    <tableColumn id="1" xr3:uid="{00000000-0010-0000-A701-000001000000}" name="Rank"/>
    <tableColumn id="2" xr3:uid="{00000000-0010-0000-A701-000002000000}" name="Role"/>
    <tableColumn id="3" xr3:uid="{00000000-0010-0000-A701-000003000000}" name="Weapons"/>
    <tableColumn id="4" xr3:uid="{00000000-0010-0000-A701-000004000000}" name="Guild"/>
    <tableColumn id="5" xr3:uid="{00000000-0010-0000-A701-000005000000}" name="Name"/>
    <tableColumn id="6" xr3:uid="{00000000-0010-0000-A701-000006000000}" name="Team"/>
    <tableColumn id="7" xr3:uid="{00000000-0010-0000-A701-000007000000}" name="Kills"/>
    <tableColumn id="8" xr3:uid="{00000000-0010-0000-A701-000008000000}" name="Assists"/>
    <tableColumn id="9" xr3:uid="{00000000-0010-0000-A701-000009000000}" name="K + A"/>
    <tableColumn id="10" xr3:uid="{00000000-0010-0000-A701-00000A000000}" name="Damage Dealt"/>
    <tableColumn id="11" xr3:uid="{00000000-0010-0000-A701-00000B000000}" name="Damage Taken"/>
    <tableColumn id="12" xr3:uid="{00000000-0010-0000-A701-00000C000000}" name="Amount Healed"/>
    <tableColumn id="13" xr3:uid="{00000000-0010-0000-A701-00000D000000}" name="K+A Eff"/>
    <tableColumn id="14" xr3:uid="{00000000-0010-0000-A701-00000E000000}" name="Dmg Dealt Eff"/>
    <tableColumn id="15" xr3:uid="{00000000-0010-0000-A701-00000F000000}" name="Dmg Taken Eff"/>
    <tableColumn id="16" xr3:uid="{00000000-0010-0000-A701-000010000000}" name="Amt Healed Eff"/>
  </tableColumns>
  <tableStyleInfo name="FTP vs Infamy| Aelon | 102225-style" showFirstColumn="1" showLastColumn="1" showRowStripes="1" showColumnStripes="0"/>
</table>
</file>

<file path=xl/tables/table4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5" xr:uid="{00000000-000C-0000-FFFF-FFFFA8010000}" name="Team_Composition_17" displayName="Team_Composition_17" ref="R3:T13">
  <tableColumns count="3">
    <tableColumn id="1" xr3:uid="{00000000-0010-0000-A801-000001000000}" name="Data"/>
    <tableColumn id="2" xr3:uid="{00000000-0010-0000-A801-000002000000}" name="Yellow"/>
    <tableColumn id="3" xr3:uid="{00000000-0010-0000-A801-000003000000}" name="Red"/>
  </tableColumns>
  <tableStyleInfo name="FTP vs Infamy| Aelon | 102225-style 2" showFirstColumn="1" showLastColumn="1" showRowStripes="1" showColumnStripes="0"/>
</table>
</file>

<file path=xl/tables/table4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6" xr:uid="{00000000-000C-0000-FFFF-FFFFA9010000}" name="Table1_17" displayName="Table1_17" ref="V3:W13">
  <tableColumns count="2">
    <tableColumn id="1" xr3:uid="{00000000-0010-0000-A901-000001000000}" name="Name"/>
    <tableColumn id="2" xr3:uid="{00000000-0010-0000-A901-000002000000}" name="K + A"/>
  </tableColumns>
  <tableStyleInfo name="FTP vs Infamy| Aelon | 102225-style 3" showFirstColumn="1" showLastColumn="1" showRowStripes="1" showColumnStripes="0"/>
</table>
</file>

<file path=xl/tables/table4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7" xr:uid="{00000000-000C-0000-FFFF-FFFFAA010000}" name="TopDamage_17" displayName="TopDamage_17" ref="Y3:Z13">
  <tableColumns count="2">
    <tableColumn id="1" xr3:uid="{00000000-0010-0000-AA01-000001000000}" name="Name"/>
    <tableColumn id="2" xr3:uid="{00000000-0010-0000-AA01-000002000000}" name="Damage"/>
  </tableColumns>
  <tableStyleInfo name="FTP vs Infamy| Aelon | 102225-style 4" showFirstColumn="1" showLastColumn="1" showRowStripes="1" showColumnStripes="0"/>
</table>
</file>

<file path=xl/tables/table4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8" xr:uid="{00000000-000C-0000-FFFF-FFFFAB010000}" name="Melee_DPS_17" displayName="Melee_DPS_17" ref="R16:T25">
  <tableColumns count="3">
    <tableColumn id="1" xr3:uid="{00000000-0010-0000-AB01-000001000000}" name="Data"/>
    <tableColumn id="2" xr3:uid="{00000000-0010-0000-AB01-000002000000}" name="Yellow"/>
    <tableColumn id="3" xr3:uid="{00000000-0010-0000-AB01-000003000000}" name="Red"/>
  </tableColumns>
  <tableStyleInfo name="FTP vs Infamy| Aelon | 102225-style 5" showFirstColumn="1" showLastColumn="1" showRowStripes="1" showColumnStripes="0"/>
</table>
</file>

<file path=xl/tables/table4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9" xr:uid="{00000000-000C-0000-FFFF-FFFFAC010000}" name="Table3_17" displayName="Table3_17" ref="V16:W26">
  <tableColumns count="2">
    <tableColumn id="1" xr3:uid="{00000000-0010-0000-AC01-000001000000}" name="Name"/>
    <tableColumn id="2" xr3:uid="{00000000-0010-0000-AC01-000002000000}" name="DT"/>
  </tableColumns>
  <tableStyleInfo name="FTP vs Infamy| Aelon | 102225-style 6" showFirstColumn="1" showLastColumn="1" showRowStripes="1" showColumnStripes="0"/>
</table>
</file>

<file path=xl/tables/table4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0" xr:uid="{00000000-000C-0000-FFFF-FFFFAD010000}" name="Table2_17" displayName="Table2_17" ref="Y16:Z26">
  <tableColumns count="2">
    <tableColumn id="1" xr3:uid="{00000000-0010-0000-AD01-000001000000}" name="Name"/>
    <tableColumn id="2" xr3:uid="{00000000-0010-0000-AD01-000002000000}" name="Healed"/>
  </tableColumns>
  <tableStyleInfo name="FTP vs Infamy| Aelon | 102225-style 7" showFirstColumn="1" showLastColumn="1" showRowStripes="1" showColumnStripes="0"/>
</table>
</file>

<file path=xl/tables/table4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1" xr:uid="{00000000-000C-0000-FFFF-FFFFAE010000}" name="Ranged_DPS_17" displayName="Ranged_DPS_17" ref="R29:T46">
  <tableColumns count="3">
    <tableColumn id="1" xr3:uid="{00000000-0010-0000-AE01-000001000000}" name="Data"/>
    <tableColumn id="2" xr3:uid="{00000000-0010-0000-AE01-000002000000}" name="Yellow"/>
    <tableColumn id="3" xr3:uid="{00000000-0010-0000-AE01-000003000000}" name="Red"/>
  </tableColumns>
  <tableStyleInfo name="FTP vs Infamy| Aelon | 102225-style 8" showFirstColumn="1" showLastColumn="1" showRowStripes="1" showColumnStripes="0"/>
</table>
</file>

<file path=xl/tables/table4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2" xr:uid="{00000000-000C-0000-FFFF-FFFFAF010000}" name="Tank_17" displayName="Tank_17" ref="R50:T60">
  <tableColumns count="3">
    <tableColumn id="1" xr3:uid="{00000000-0010-0000-AF01-000001000000}" name="Data"/>
    <tableColumn id="2" xr3:uid="{00000000-0010-0000-AF01-000002000000}" name="Yellow"/>
    <tableColumn id="3" xr3:uid="{00000000-0010-0000-AF01-000003000000}" name="Red"/>
  </tableColumns>
  <tableStyleInfo name="FTP vs Infamy| Aelon | 102225-style 9" showFirstColumn="1" showLastColumn="1" showRowStripes="1" showColumnStripes="0"/>
</table>
</file>

<file path=xl/tables/table4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3" xr:uid="{00000000-000C-0000-FFFF-FFFFB0010000}" name="Healer_17" displayName="Healer_17" ref="R64:T72">
  <tableColumns count="3">
    <tableColumn id="1" xr3:uid="{00000000-0010-0000-B001-000001000000}" name="Data"/>
    <tableColumn id="2" xr3:uid="{00000000-0010-0000-B001-000002000000}" name="Yellow"/>
    <tableColumn id="3" xr3:uid="{00000000-0010-0000-B001-000003000000}" name="Red"/>
  </tableColumns>
  <tableStyleInfo name="FTP vs Infamy| Aelon | 102225-style 10" showFirstColumn="1" showLastColumn="1" showRowStripes="1" showColumnStripes="0"/>
</table>
</file>

<file path=xl/tables/table4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4" xr:uid="{00000000-000C-0000-FFFF-FFFFB1010000}" name="Scoreboard_15" displayName="Scoreboard_15" ref="A1:P103">
  <tableColumns count="16">
    <tableColumn id="1" xr3:uid="{00000000-0010-0000-B101-000001000000}" name="Rank"/>
    <tableColumn id="2" xr3:uid="{00000000-0010-0000-B101-000002000000}" name="Role"/>
    <tableColumn id="3" xr3:uid="{00000000-0010-0000-B101-000003000000}" name="Weapons"/>
    <tableColumn id="4" xr3:uid="{00000000-0010-0000-B101-000004000000}" name="Guild"/>
    <tableColumn id="5" xr3:uid="{00000000-0010-0000-B101-000005000000}" name="Name"/>
    <tableColumn id="6" xr3:uid="{00000000-0010-0000-B101-000006000000}" name="Team"/>
    <tableColumn id="7" xr3:uid="{00000000-0010-0000-B101-000007000000}" name="Kills"/>
    <tableColumn id="8" xr3:uid="{00000000-0010-0000-B101-000008000000}" name="Assists"/>
    <tableColumn id="9" xr3:uid="{00000000-0010-0000-B101-000009000000}" name="K + A"/>
    <tableColumn id="10" xr3:uid="{00000000-0010-0000-B101-00000A000000}" name="Damage Dealt"/>
    <tableColumn id="11" xr3:uid="{00000000-0010-0000-B101-00000B000000}" name="Damage Taken"/>
    <tableColumn id="12" xr3:uid="{00000000-0010-0000-B101-00000C000000}" name="Amount Healed"/>
    <tableColumn id="13" xr3:uid="{00000000-0010-0000-B101-00000D000000}" name="K+A Eff"/>
    <tableColumn id="14" xr3:uid="{00000000-0010-0000-B101-00000E000000}" name="Dmg Dealt Eff"/>
    <tableColumn id="15" xr3:uid="{00000000-0010-0000-B101-00000F000000}" name="Dmg Taken Eff"/>
    <tableColumn id="16" xr3:uid="{00000000-0010-0000-B101-000010000000}" name="Amt Healed Eff"/>
  </tableColumns>
  <tableStyleInfo name="FTP vs Wolves | Adentus | 10212-style" showFirstColumn="1" showLastColumn="1" showRowStripes="1" showColumnStripes="0"/>
</table>
</file>

<file path=xl/tables/table4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5" xr:uid="{00000000-000C-0000-FFFF-FFFFB2010000}" name="Team_Composition_15" displayName="Team_Composition_15" ref="R3:T13">
  <tableColumns count="3">
    <tableColumn id="1" xr3:uid="{00000000-0010-0000-B201-000001000000}" name="Data"/>
    <tableColumn id="2" xr3:uid="{00000000-0010-0000-B201-000002000000}" name="Yellow"/>
    <tableColumn id="3" xr3:uid="{00000000-0010-0000-B201-000003000000}" name="Red"/>
  </tableColumns>
  <tableStyleInfo name="FTP vs Wolves | Adentus | 10212-style 2" showFirstColumn="1" showLastColumn="1" showRowStripes="1" showColumnStripes="0"/>
</table>
</file>

<file path=xl/tables/table4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6" xr:uid="{00000000-000C-0000-FFFF-FFFFB3010000}" name="Table1_15" displayName="Table1_15" ref="V3:W13">
  <tableColumns count="2">
    <tableColumn id="1" xr3:uid="{00000000-0010-0000-B301-000001000000}" name="Name"/>
    <tableColumn id="2" xr3:uid="{00000000-0010-0000-B301-000002000000}" name="K + A"/>
  </tableColumns>
  <tableStyleInfo name="FTP vs Wolves | Adentus | 10212-style 3" showFirstColumn="1" showLastColumn="1" showRowStripes="1" showColumnStripes="0"/>
</table>
</file>

<file path=xl/tables/table4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7" xr:uid="{00000000-000C-0000-FFFF-FFFFB4010000}" name="TopDamage_15" displayName="TopDamage_15" ref="Y3:Z13">
  <tableColumns count="2">
    <tableColumn id="1" xr3:uid="{00000000-0010-0000-B401-000001000000}" name="Name"/>
    <tableColumn id="2" xr3:uid="{00000000-0010-0000-B401-000002000000}" name="Damage"/>
  </tableColumns>
  <tableStyleInfo name="FTP vs Wolves | Adentus | 10212-style 4" showFirstColumn="1" showLastColumn="1" showRowStripes="1" showColumnStripes="0"/>
</table>
</file>

<file path=xl/tables/table4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8" xr:uid="{00000000-000C-0000-FFFF-FFFFB5010000}" name="Melee_DPS_15" displayName="Melee_DPS_15" ref="R16:T25">
  <tableColumns count="3">
    <tableColumn id="1" xr3:uid="{00000000-0010-0000-B501-000001000000}" name="Data"/>
    <tableColumn id="2" xr3:uid="{00000000-0010-0000-B501-000002000000}" name="Yellow"/>
    <tableColumn id="3" xr3:uid="{00000000-0010-0000-B501-000003000000}" name="Red"/>
  </tableColumns>
  <tableStyleInfo name="FTP vs Wolves | Adentus | 10212-style 5" showFirstColumn="1" showLastColumn="1" showRowStripes="1" showColumnStripes="0"/>
</table>
</file>

<file path=xl/tables/table4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9" xr:uid="{00000000-000C-0000-FFFF-FFFFB6010000}" name="Table3_15" displayName="Table3_15" ref="V16:W26">
  <tableColumns count="2">
    <tableColumn id="1" xr3:uid="{00000000-0010-0000-B601-000001000000}" name="Name"/>
    <tableColumn id="2" xr3:uid="{00000000-0010-0000-B601-000002000000}" name="DT"/>
  </tableColumns>
  <tableStyleInfo name="FTP vs Wolves | Adentus | 10212-style 6" showFirstColumn="1" showLastColumn="1" showRowStripes="1" showColumnStripes="0"/>
</table>
</file>

<file path=xl/tables/table4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0" xr:uid="{00000000-000C-0000-FFFF-FFFFB7010000}" name="Table2_15" displayName="Table2_15" ref="Y16:Z26">
  <tableColumns count="2">
    <tableColumn id="1" xr3:uid="{00000000-0010-0000-B701-000001000000}" name="Name"/>
    <tableColumn id="2" xr3:uid="{00000000-0010-0000-B701-000002000000}" name="Healed"/>
  </tableColumns>
  <tableStyleInfo name="FTP vs Wolves | Adentus | 10212-style 7" showFirstColumn="1" showLastColumn="1" showRowStripes="1" showColumnStripes="0"/>
</table>
</file>

<file path=xl/tables/table4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1" xr:uid="{00000000-000C-0000-FFFF-FFFFB8010000}" name="Ranged_DPS_15" displayName="Ranged_DPS_15" ref="R29:T46">
  <tableColumns count="3">
    <tableColumn id="1" xr3:uid="{00000000-0010-0000-B801-000001000000}" name="Data"/>
    <tableColumn id="2" xr3:uid="{00000000-0010-0000-B801-000002000000}" name="Yellow"/>
    <tableColumn id="3" xr3:uid="{00000000-0010-0000-B801-000003000000}" name="Red"/>
  </tableColumns>
  <tableStyleInfo name="FTP vs Wolves | Adentus | 10212-style 8" showFirstColumn="1" showLastColumn="1" showRowStripes="1" showColumnStripes="0"/>
</table>
</file>

<file path=xl/tables/table4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2" xr:uid="{00000000-000C-0000-FFFF-FFFFB9010000}" name="Tank_15" displayName="Tank_15" ref="R50:T60">
  <tableColumns count="3">
    <tableColumn id="1" xr3:uid="{00000000-0010-0000-B901-000001000000}" name="Data"/>
    <tableColumn id="2" xr3:uid="{00000000-0010-0000-B901-000002000000}" name="Yellow"/>
    <tableColumn id="3" xr3:uid="{00000000-0010-0000-B901-000003000000}" name="Red"/>
  </tableColumns>
  <tableStyleInfo name="FTP vs Wolves | Adentus | 10212-style 9" showFirstColumn="1" showLastColumn="1" showRowStripes="1" showColumnStripes="0"/>
</table>
</file>

<file path=xl/tables/table4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3" xr:uid="{00000000-000C-0000-FFFF-FFFFBA010000}" name="Healer_15" displayName="Healer_15" ref="R64:T72">
  <tableColumns count="3">
    <tableColumn id="1" xr3:uid="{00000000-0010-0000-BA01-000001000000}" name="Data"/>
    <tableColumn id="2" xr3:uid="{00000000-0010-0000-BA01-000002000000}" name="Yellow"/>
    <tableColumn id="3" xr3:uid="{00000000-0010-0000-BA01-000003000000}" name="Red"/>
  </tableColumns>
  <tableStyleInfo name="FTP vs Wolves | Adentus | 10212-style 10" showFirstColumn="1" showLastColumn="1" showRowStripes="1" showColumnStripes="0"/>
</table>
</file>

<file path=xl/tables/table4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4" xr:uid="{00000000-000C-0000-FFFF-FFFFBB010000}" name="Scoreboard_14" displayName="Scoreboard_14" ref="A1:P103">
  <tableColumns count="16">
    <tableColumn id="1" xr3:uid="{00000000-0010-0000-BB01-000001000000}" name="Rank"/>
    <tableColumn id="2" xr3:uid="{00000000-0010-0000-BB01-000002000000}" name="Role"/>
    <tableColumn id="3" xr3:uid="{00000000-0010-0000-BB01-000003000000}" name="Weapons"/>
    <tableColumn id="4" xr3:uid="{00000000-0010-0000-BB01-000004000000}" name="Guild"/>
    <tableColumn id="5" xr3:uid="{00000000-0010-0000-BB01-000005000000}" name="Name"/>
    <tableColumn id="6" xr3:uid="{00000000-0010-0000-BB01-000006000000}" name="Team"/>
    <tableColumn id="7" xr3:uid="{00000000-0010-0000-BB01-000007000000}" name="Kills"/>
    <tableColumn id="8" xr3:uid="{00000000-0010-0000-BB01-000008000000}" name="Assists"/>
    <tableColumn id="9" xr3:uid="{00000000-0010-0000-BB01-000009000000}" name="K + A"/>
    <tableColumn id="10" xr3:uid="{00000000-0010-0000-BB01-00000A000000}" name="Damage Dealt"/>
    <tableColumn id="11" xr3:uid="{00000000-0010-0000-BB01-00000B000000}" name="Damage Taken"/>
    <tableColumn id="12" xr3:uid="{00000000-0010-0000-BB01-00000C000000}" name="Amount Healed"/>
    <tableColumn id="13" xr3:uid="{00000000-0010-0000-BB01-00000D000000}" name="K+A Eff"/>
    <tableColumn id="14" xr3:uid="{00000000-0010-0000-BB01-00000E000000}" name="Dmg Dealt Eff"/>
    <tableColumn id="15" xr3:uid="{00000000-0010-0000-BB01-00000F000000}" name="Dmg Taken Eff"/>
    <tableColumn id="16" xr3:uid="{00000000-0010-0000-BB01-000010000000}" name="Amt Healed Eff"/>
  </tableColumns>
  <tableStyleInfo name="FTP vs Wolves | Morokai | 10212-style" showFirstColumn="1" showLastColumn="1" showRowStripes="1" showColumnStripes="0"/>
</table>
</file>

<file path=xl/tables/table4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5" xr:uid="{00000000-000C-0000-FFFF-FFFFBC010000}" name="Team_Composition_14" displayName="Team_Composition_14" ref="R3:T13">
  <tableColumns count="3">
    <tableColumn id="1" xr3:uid="{00000000-0010-0000-BC01-000001000000}" name="Data"/>
    <tableColumn id="2" xr3:uid="{00000000-0010-0000-BC01-000002000000}" name="Yellow"/>
    <tableColumn id="3" xr3:uid="{00000000-0010-0000-BC01-000003000000}" name="Red"/>
  </tableColumns>
  <tableStyleInfo name="FTP vs Wolves | Morokai | 10212-style 2" showFirstColumn="1" showLastColumn="1" showRowStripes="1" showColumnStripes="0"/>
</table>
</file>

<file path=xl/tables/table4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6" xr:uid="{00000000-000C-0000-FFFF-FFFFBD010000}" name="Table1_14" displayName="Table1_14" ref="V3:W13">
  <tableColumns count="2">
    <tableColumn id="1" xr3:uid="{00000000-0010-0000-BD01-000001000000}" name="Name"/>
    <tableColumn id="2" xr3:uid="{00000000-0010-0000-BD01-000002000000}" name="K + A"/>
  </tableColumns>
  <tableStyleInfo name="FTP vs Wolves | Morokai | 10212-style 3" showFirstColumn="1" showLastColumn="1" showRowStripes="1" showColumnStripes="0"/>
</table>
</file>

<file path=xl/tables/table4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7" xr:uid="{00000000-000C-0000-FFFF-FFFFBE010000}" name="TopDamage_14" displayName="TopDamage_14" ref="Y3:Z13">
  <tableColumns count="2">
    <tableColumn id="1" xr3:uid="{00000000-0010-0000-BE01-000001000000}" name="Name"/>
    <tableColumn id="2" xr3:uid="{00000000-0010-0000-BE01-000002000000}" name="Damage"/>
  </tableColumns>
  <tableStyleInfo name="FTP vs Wolves | Morokai | 10212-style 4" showFirstColumn="1" showLastColumn="1" showRowStripes="1" showColumnStripes="0"/>
</table>
</file>

<file path=xl/tables/table4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8" xr:uid="{00000000-000C-0000-FFFF-FFFFBF010000}" name="Melee_DPS_14" displayName="Melee_DPS_14" ref="R16:T25">
  <tableColumns count="3">
    <tableColumn id="1" xr3:uid="{00000000-0010-0000-BF01-000001000000}" name="Data"/>
    <tableColumn id="2" xr3:uid="{00000000-0010-0000-BF01-000002000000}" name="Yellow"/>
    <tableColumn id="3" xr3:uid="{00000000-0010-0000-BF01-000003000000}" name="Red"/>
  </tableColumns>
  <tableStyleInfo name="FTP vs Wolves | Morokai | 10212-style 5" showFirstColumn="1" showLastColumn="1" showRowStripes="1" showColumnStripes="0"/>
</table>
</file>

<file path=xl/tables/table4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9" xr:uid="{00000000-000C-0000-FFFF-FFFFC0010000}" name="Table3_14" displayName="Table3_14" ref="V16:W26">
  <tableColumns count="2">
    <tableColumn id="1" xr3:uid="{00000000-0010-0000-C001-000001000000}" name="Name"/>
    <tableColumn id="2" xr3:uid="{00000000-0010-0000-C001-000002000000}" name="DT"/>
  </tableColumns>
  <tableStyleInfo name="FTP vs Wolves | Morokai | 10212-style 6" showFirstColumn="1" showLastColumn="1" showRowStripes="1" showColumnStripes="0"/>
</table>
</file>

<file path=xl/tables/table4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0" xr:uid="{00000000-000C-0000-FFFF-FFFFC1010000}" name="Table2_14" displayName="Table2_14" ref="Y16:Z26">
  <tableColumns count="2">
    <tableColumn id="1" xr3:uid="{00000000-0010-0000-C101-000001000000}" name="Name"/>
    <tableColumn id="2" xr3:uid="{00000000-0010-0000-C101-000002000000}" name="Healed"/>
  </tableColumns>
  <tableStyleInfo name="FTP vs Wolves | Morokai | 10212-style 7" showFirstColumn="1" showLastColumn="1" showRowStripes="1" showColumnStripes="0"/>
</table>
</file>

<file path=xl/tables/table4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1" xr:uid="{00000000-000C-0000-FFFF-FFFFC2010000}" name="Ranged_DPS_14" displayName="Ranged_DPS_14" ref="R29:T46">
  <tableColumns count="3">
    <tableColumn id="1" xr3:uid="{00000000-0010-0000-C201-000001000000}" name="Data"/>
    <tableColumn id="2" xr3:uid="{00000000-0010-0000-C201-000002000000}" name="Yellow"/>
    <tableColumn id="3" xr3:uid="{00000000-0010-0000-C201-000003000000}" name="Red"/>
  </tableColumns>
  <tableStyleInfo name="FTP vs Wolves | Morokai | 10212-style 8" showFirstColumn="1" showLastColumn="1" showRowStripes="1" showColumnStripes="0"/>
</table>
</file>

<file path=xl/tables/table4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2" xr:uid="{00000000-000C-0000-FFFF-FFFFC3010000}" name="Tank_14" displayName="Tank_14" ref="R50:T60">
  <tableColumns count="3">
    <tableColumn id="1" xr3:uid="{00000000-0010-0000-C301-000001000000}" name="Data"/>
    <tableColumn id="2" xr3:uid="{00000000-0010-0000-C301-000002000000}" name="Yellow"/>
    <tableColumn id="3" xr3:uid="{00000000-0010-0000-C301-000003000000}" name="Red"/>
  </tableColumns>
  <tableStyleInfo name="FTP vs Wolves | Morokai | 10212-style 9" showFirstColumn="1" showLastColumn="1" showRowStripes="1" showColumnStripes="0"/>
</table>
</file>

<file path=xl/tables/table4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3" xr:uid="{00000000-000C-0000-FFFF-FFFFC4010000}" name="Healer_14" displayName="Healer_14" ref="R64:T72">
  <tableColumns count="3">
    <tableColumn id="1" xr3:uid="{00000000-0010-0000-C401-000001000000}" name="Data"/>
    <tableColumn id="2" xr3:uid="{00000000-0010-0000-C401-000002000000}" name="Yellow"/>
    <tableColumn id="3" xr3:uid="{00000000-0010-0000-C401-000003000000}" name="Red"/>
  </tableColumns>
  <tableStyleInfo name="FTP vs Wolves | Morokai | 10212-style 10" showFirstColumn="1" showLastColumn="1" showRowStripes="1" showColumnStripes="0"/>
</table>
</file>

<file path=xl/tables/table4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4" xr:uid="{00000000-000C-0000-FFFF-FFFFC5010000}" name="Scoreboard" displayName="Scoreboard" ref="A1:P103">
  <tableColumns count="16">
    <tableColumn id="1" xr3:uid="{00000000-0010-0000-C501-000001000000}" name="Rank"/>
    <tableColumn id="2" xr3:uid="{00000000-0010-0000-C501-000002000000}" name="Role"/>
    <tableColumn id="3" xr3:uid="{00000000-0010-0000-C501-000003000000}" name="Weapons"/>
    <tableColumn id="4" xr3:uid="{00000000-0010-0000-C501-000004000000}" name="Guild"/>
    <tableColumn id="5" xr3:uid="{00000000-0010-0000-C501-000005000000}" name="Name"/>
    <tableColumn id="6" xr3:uid="{00000000-0010-0000-C501-000006000000}" name="Team"/>
    <tableColumn id="7" xr3:uid="{00000000-0010-0000-C501-000007000000}" name="Kills"/>
    <tableColumn id="8" xr3:uid="{00000000-0010-0000-C501-000008000000}" name="Assists"/>
    <tableColumn id="9" xr3:uid="{00000000-0010-0000-C501-000009000000}" name="K + A"/>
    <tableColumn id="10" xr3:uid="{00000000-0010-0000-C501-00000A000000}" name="Damage Dealt"/>
    <tableColumn id="11" xr3:uid="{00000000-0010-0000-C501-00000B000000}" name="Damage Taken"/>
    <tableColumn id="12" xr3:uid="{00000000-0010-0000-C501-00000C000000}" name="Amount Healed"/>
    <tableColumn id="13" xr3:uid="{00000000-0010-0000-C501-00000D000000}" name="K+A Eff"/>
    <tableColumn id="14" xr3:uid="{00000000-0010-0000-C501-00000E000000}" name="Dmg Dealt Eff"/>
    <tableColumn id="15" xr3:uid="{00000000-0010-0000-C501-00000F000000}" name="Dmg Taken Eff"/>
    <tableColumn id="16" xr3:uid="{00000000-0010-0000-C501-000010000000}" name="Amt Healed Eff"/>
  </tableColumns>
  <tableStyleInfo name="FTP vs Dwagon | Paki | 101525-style" showFirstColumn="1" showLastColumn="1" showRowStripes="1" showColumnStripes="0"/>
</table>
</file>

<file path=xl/tables/table4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5" xr:uid="{00000000-000C-0000-FFFF-FFFFC6010000}" name="Team_Composition" displayName="Team_Composition" ref="R3:T13">
  <tableColumns count="3">
    <tableColumn id="1" xr3:uid="{00000000-0010-0000-C601-000001000000}" name="Data"/>
    <tableColumn id="2" xr3:uid="{00000000-0010-0000-C601-000002000000}" name="Yellow"/>
    <tableColumn id="3" xr3:uid="{00000000-0010-0000-C601-000003000000}" name="Red"/>
  </tableColumns>
  <tableStyleInfo name="FTP vs Dwagon | Paki | 101525-style 2" showFirstColumn="1" showLastColumn="1" showRowStripes="1" showColumnStripes="0"/>
</table>
</file>

<file path=xl/tables/table4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6" xr:uid="{00000000-000C-0000-FFFF-FFFFC7010000}" name="Table1" displayName="Table1" ref="V3:W13">
  <tableColumns count="2">
    <tableColumn id="1" xr3:uid="{00000000-0010-0000-C701-000001000000}" name="Name"/>
    <tableColumn id="2" xr3:uid="{00000000-0010-0000-C701-000002000000}" name="K + A"/>
  </tableColumns>
  <tableStyleInfo name="FTP vs Dwagon | Paki | 101525-style 3" showFirstColumn="1" showLastColumn="1" showRowStripes="1" showColumnStripes="0"/>
</table>
</file>

<file path=xl/tables/table4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7" xr:uid="{00000000-000C-0000-FFFF-FFFFC8010000}" name="TopDamage" displayName="TopDamage" ref="Y3:Z13">
  <tableColumns count="2">
    <tableColumn id="1" xr3:uid="{00000000-0010-0000-C801-000001000000}" name="Name"/>
    <tableColumn id="2" xr3:uid="{00000000-0010-0000-C801-000002000000}" name="Damage"/>
  </tableColumns>
  <tableStyleInfo name="FTP vs Dwagon | Paki | 101525-style 4" showFirstColumn="1" showLastColumn="1" showRowStripes="1" showColumnStripes="0"/>
</table>
</file>

<file path=xl/tables/table4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8" xr:uid="{00000000-000C-0000-FFFF-FFFFC9010000}" name="Melee_DPS" displayName="Melee_DPS" ref="R16:T27">
  <tableColumns count="3">
    <tableColumn id="1" xr3:uid="{00000000-0010-0000-C901-000001000000}" name="Data"/>
    <tableColumn id="2" xr3:uid="{00000000-0010-0000-C901-000002000000}" name="Yellow"/>
    <tableColumn id="3" xr3:uid="{00000000-0010-0000-C901-000003000000}" name="Red"/>
  </tableColumns>
  <tableStyleInfo name="FTP vs Dwagon | Paki | 101525-style 5" showFirstColumn="1" showLastColumn="1" showRowStripes="1" showColumnStripes="0"/>
</table>
</file>

<file path=xl/tables/table4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9" xr:uid="{00000000-000C-0000-FFFF-FFFFCA010000}" name="Table3" displayName="Table3" ref="V16:W26">
  <tableColumns count="2">
    <tableColumn id="1" xr3:uid="{00000000-0010-0000-CA01-000001000000}" name="Name"/>
    <tableColumn id="2" xr3:uid="{00000000-0010-0000-CA01-000002000000}" name="DT"/>
  </tableColumns>
  <tableStyleInfo name="FTP vs Dwagon | Paki | 101525-style 6" showFirstColumn="1" showLastColumn="1" showRowStripes="1" showColumnStripes="0"/>
</table>
</file>

<file path=xl/tables/table4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0" xr:uid="{00000000-000C-0000-FFFF-FFFFCB010000}" name="Table2" displayName="Table2" ref="Y16:Z26">
  <tableColumns count="2">
    <tableColumn id="1" xr3:uid="{00000000-0010-0000-CB01-000001000000}" name="Name"/>
    <tableColumn id="2" xr3:uid="{00000000-0010-0000-CB01-000002000000}" name="Healed"/>
  </tableColumns>
  <tableStyleInfo name="FTP vs Dwagon | Paki | 101525-style 7" showFirstColumn="1" showLastColumn="1" showRowStripes="1" showColumnStripes="0"/>
</table>
</file>

<file path=xl/tables/table4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1" xr:uid="{00000000-000C-0000-FFFF-FFFFCC010000}" name="Ranged_DPS" displayName="Ranged_DPS" ref="R31:T48">
  <tableColumns count="3">
    <tableColumn id="1" xr3:uid="{00000000-0010-0000-CC01-000001000000}" name="Data"/>
    <tableColumn id="2" xr3:uid="{00000000-0010-0000-CC01-000002000000}" name="Yellow"/>
    <tableColumn id="3" xr3:uid="{00000000-0010-0000-CC01-000003000000}" name="Red"/>
  </tableColumns>
  <tableStyleInfo name="FTP vs Dwagon | Paki | 101525-style 8" showFirstColumn="1" showLastColumn="1" showRowStripes="1" showColumnStripes="0"/>
</table>
</file>

<file path=xl/tables/table4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2" xr:uid="{00000000-000C-0000-FFFF-FFFFCD010000}" name="Tank" displayName="Tank" ref="R51:T62">
  <tableColumns count="3">
    <tableColumn id="1" xr3:uid="{00000000-0010-0000-CD01-000001000000}" name="Data"/>
    <tableColumn id="2" xr3:uid="{00000000-0010-0000-CD01-000002000000}" name="Yellow"/>
    <tableColumn id="3" xr3:uid="{00000000-0010-0000-CD01-000003000000}" name="Red"/>
  </tableColumns>
  <tableStyleInfo name="FTP vs Dwagon | Paki | 101525-style 9" showFirstColumn="1" showLastColumn="1" showRowStripes="1" showColumnStripes="0"/>
</table>
</file>

<file path=xl/tables/table4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3" xr:uid="{00000000-000C-0000-FFFF-FFFFCE010000}" name="Healer" displayName="Healer" ref="R66:T73">
  <tableColumns count="3">
    <tableColumn id="1" xr3:uid="{00000000-0010-0000-CE01-000001000000}" name="Data"/>
    <tableColumn id="2" xr3:uid="{00000000-0010-0000-CE01-000002000000}" name="Yellow"/>
    <tableColumn id="3" xr3:uid="{00000000-0010-0000-CE01-000003000000}" name="Red"/>
  </tableColumns>
  <tableStyleInfo name="FTP vs Dwagon | Paki | 101525-style 10" showFirstColumn="1" showLastColumn="1" showRowStripes="1" showColumnStripes="0"/>
</table>
</file>

<file path=xl/tables/table4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4" xr:uid="{00000000-000C-0000-FFFF-FFFFCF010000}" name="Scoreboard_13" displayName="Scoreboard_13" ref="A1:P104">
  <tableColumns count="16">
    <tableColumn id="1" xr3:uid="{00000000-0010-0000-CF01-000001000000}" name="Rank"/>
    <tableColumn id="2" xr3:uid="{00000000-0010-0000-CF01-000002000000}" name="Role"/>
    <tableColumn id="3" xr3:uid="{00000000-0010-0000-CF01-000003000000}" name="Weapons"/>
    <tableColumn id="4" xr3:uid="{00000000-0010-0000-CF01-000004000000}" name="Guild"/>
    <tableColumn id="5" xr3:uid="{00000000-0010-0000-CF01-000005000000}" name="Name"/>
    <tableColumn id="6" xr3:uid="{00000000-0010-0000-CF01-000006000000}" name="Team"/>
    <tableColumn id="7" xr3:uid="{00000000-0010-0000-CF01-000007000000}" name="Kills"/>
    <tableColumn id="8" xr3:uid="{00000000-0010-0000-CF01-000008000000}" name="Assists"/>
    <tableColumn id="9" xr3:uid="{00000000-0010-0000-CF01-000009000000}" name="K + A"/>
    <tableColumn id="10" xr3:uid="{00000000-0010-0000-CF01-00000A000000}" name="Damage Dealt"/>
    <tableColumn id="11" xr3:uid="{00000000-0010-0000-CF01-00000B000000}" name="Damage Taken"/>
    <tableColumn id="12" xr3:uid="{00000000-0010-0000-CF01-00000C000000}" name="Amount Healed"/>
    <tableColumn id="13" xr3:uid="{00000000-0010-0000-CF01-00000D000000}" name="K+A Eff"/>
    <tableColumn id="14" xr3:uid="{00000000-0010-0000-CF01-00000E000000}" name="Dmg Dealt Eff"/>
    <tableColumn id="15" xr3:uid="{00000000-0010-0000-CF01-00000F000000}" name="Dmg Taken Eff"/>
    <tableColumn id="16" xr3:uid="{00000000-0010-0000-CF01-000010000000}" name="Amt Healed Eff"/>
  </tableColumns>
  <tableStyleInfo name="FTP vs Dwagon | Adentus | 10152-style" showFirstColumn="1" showLastColumn="1" showRowStripes="1" showColumnStripes="0"/>
</table>
</file>

<file path=xl/tables/table4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5" xr:uid="{00000000-000C-0000-FFFF-FFFFD0010000}" name="Team_Composition_13" displayName="Team_Composition_13" ref="R3:T13">
  <tableColumns count="3">
    <tableColumn id="1" xr3:uid="{00000000-0010-0000-D001-000001000000}" name="Data"/>
    <tableColumn id="2" xr3:uid="{00000000-0010-0000-D001-000002000000}" name="Yellow"/>
    <tableColumn id="3" xr3:uid="{00000000-0010-0000-D001-000003000000}" name="Red"/>
  </tableColumns>
  <tableStyleInfo name="FTP vs Dwagon | Adentus | 10152-style 2" showFirstColumn="1" showLastColumn="1" showRowStripes="1" showColumnStripes="0"/>
</table>
</file>

<file path=xl/tables/table4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6" xr:uid="{00000000-000C-0000-FFFF-FFFFD1010000}" name="Table1_13" displayName="Table1_13" ref="V3:W13">
  <tableColumns count="2">
    <tableColumn id="1" xr3:uid="{00000000-0010-0000-D101-000001000000}" name="Name"/>
    <tableColumn id="2" xr3:uid="{00000000-0010-0000-D101-000002000000}" name="K + A"/>
  </tableColumns>
  <tableStyleInfo name="FTP vs Dwagon | Adentus | 10152-style 3" showFirstColumn="1" showLastColumn="1" showRowStripes="1" showColumnStripes="0"/>
</table>
</file>

<file path=xl/tables/table4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7" xr:uid="{00000000-000C-0000-FFFF-FFFFD2010000}" name="TopDamage_13" displayName="TopDamage_13" ref="Y3:Z13">
  <tableColumns count="2">
    <tableColumn id="1" xr3:uid="{00000000-0010-0000-D201-000001000000}" name="Name"/>
    <tableColumn id="2" xr3:uid="{00000000-0010-0000-D201-000002000000}" name="Damage"/>
  </tableColumns>
  <tableStyleInfo name="FTP vs Dwagon | Adentus | 10152-style 4" showFirstColumn="1" showLastColumn="1" showRowStripes="1" showColumnStripes="0"/>
</table>
</file>

<file path=xl/tables/table4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8" xr:uid="{00000000-000C-0000-FFFF-FFFFD3010000}" name="Melee_DPS_13" displayName="Melee_DPS_13" ref="R16:T26">
  <tableColumns count="3">
    <tableColumn id="1" xr3:uid="{00000000-0010-0000-D301-000001000000}" name="Data"/>
    <tableColumn id="2" xr3:uid="{00000000-0010-0000-D301-000002000000}" name="Yellow"/>
    <tableColumn id="3" xr3:uid="{00000000-0010-0000-D301-000003000000}" name="Red"/>
  </tableColumns>
  <tableStyleInfo name="FTP vs Dwagon | Adentus | 10152-style 5" showFirstColumn="1" showLastColumn="1" showRowStripes="1" showColumnStripes="0"/>
</table>
</file>

<file path=xl/tables/table4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9" xr:uid="{00000000-000C-0000-FFFF-FFFFD4010000}" name="Table3_13" displayName="Table3_13" ref="V16:W26">
  <tableColumns count="2">
    <tableColumn id="1" xr3:uid="{00000000-0010-0000-D401-000001000000}" name="Name"/>
    <tableColumn id="2" xr3:uid="{00000000-0010-0000-D401-000002000000}" name="DT"/>
  </tableColumns>
  <tableStyleInfo name="FTP vs Dwagon | Adentus | 10152-style 6" showFirstColumn="1" showLastColumn="1" showRowStripes="1" showColumnStripes="0"/>
</table>
</file>

<file path=xl/tables/table4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0" xr:uid="{00000000-000C-0000-FFFF-FFFFD5010000}" name="Table2_13" displayName="Table2_13" ref="Y16:Z26">
  <tableColumns count="2">
    <tableColumn id="1" xr3:uid="{00000000-0010-0000-D501-000001000000}" name="Name"/>
    <tableColumn id="2" xr3:uid="{00000000-0010-0000-D501-000002000000}" name="Healed"/>
  </tableColumns>
  <tableStyleInfo name="FTP vs Dwagon | Adentus | 10152-style 7" showFirstColumn="1" showLastColumn="1" showRowStripes="1" showColumnStripes="0"/>
</table>
</file>

<file path=xl/tables/table4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1" xr:uid="{00000000-000C-0000-FFFF-FFFFD6010000}" name="Ranged_DPS_13" displayName="Ranged_DPS_13" ref="R30:T47">
  <tableColumns count="3">
    <tableColumn id="1" xr3:uid="{00000000-0010-0000-D601-000001000000}" name="Data"/>
    <tableColumn id="2" xr3:uid="{00000000-0010-0000-D601-000002000000}" name="Yellow"/>
    <tableColumn id="3" xr3:uid="{00000000-0010-0000-D601-000003000000}" name="Red"/>
  </tableColumns>
  <tableStyleInfo name="FTP vs Dwagon | Adentus | 10152-style 8" showFirstColumn="1" showLastColumn="1" showRowStripes="1" showColumnStripes="0"/>
</table>
</file>

<file path=xl/tables/table4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2" xr:uid="{00000000-000C-0000-FFFF-FFFFD7010000}" name="Tank_13" displayName="Tank_13" ref="R50:T61">
  <tableColumns count="3">
    <tableColumn id="1" xr3:uid="{00000000-0010-0000-D701-000001000000}" name="Data"/>
    <tableColumn id="2" xr3:uid="{00000000-0010-0000-D701-000002000000}" name="Yellow"/>
    <tableColumn id="3" xr3:uid="{00000000-0010-0000-D701-000003000000}" name="Red"/>
  </tableColumns>
  <tableStyleInfo name="FTP vs Dwagon | Adentus | 10152-style 9" showFirstColumn="1" showLastColumn="1" showRowStripes="1" showColumnStripes="0"/>
</table>
</file>

<file path=xl/tables/table4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3" xr:uid="{00000000-000C-0000-FFFF-FFFFD8010000}" name="Healer_13" displayName="Healer_13" ref="R65:T72">
  <tableColumns count="3">
    <tableColumn id="1" xr3:uid="{00000000-0010-0000-D801-000001000000}" name="Data"/>
    <tableColumn id="2" xr3:uid="{00000000-0010-0000-D801-000002000000}" name="Yellow"/>
    <tableColumn id="3" xr3:uid="{00000000-0010-0000-D801-000003000000}" name="Red"/>
  </tableColumns>
  <tableStyleInfo name="FTP vs Dwagon | Adentus | 10152-style 10" showFirstColumn="1" showLastColumn="1" showRowStripes="1" showColumnStripes="0"/>
</table>
</file>

<file path=xl/tables/table4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4" xr:uid="{00000000-000C-0000-FFFF-FFFFD9010000}" name="Scoreboard_11" displayName="Scoreboard_11" ref="A1:P103">
  <tableColumns count="16">
    <tableColumn id="1" xr3:uid="{00000000-0010-0000-D901-000001000000}" name="Rank"/>
    <tableColumn id="2" xr3:uid="{00000000-0010-0000-D901-000002000000}" name="Role"/>
    <tableColumn id="3" xr3:uid="{00000000-0010-0000-D901-000003000000}" name="Weapons"/>
    <tableColumn id="4" xr3:uid="{00000000-0010-0000-D901-000004000000}" name="Guild"/>
    <tableColumn id="5" xr3:uid="{00000000-0010-0000-D901-000005000000}" name="Name"/>
    <tableColumn id="6" xr3:uid="{00000000-0010-0000-D901-000006000000}" name="Team"/>
    <tableColumn id="7" xr3:uid="{00000000-0010-0000-D901-000007000000}" name="Kills"/>
    <tableColumn id="8" xr3:uid="{00000000-0010-0000-D901-000008000000}" name="Assists"/>
    <tableColumn id="9" xr3:uid="{00000000-0010-0000-D901-000009000000}" name="K + A"/>
    <tableColumn id="10" xr3:uid="{00000000-0010-0000-D901-00000A000000}" name="Damage Dealt"/>
    <tableColumn id="11" xr3:uid="{00000000-0010-0000-D901-00000B000000}" name="Damage Taken"/>
    <tableColumn id="12" xr3:uid="{00000000-0010-0000-D901-00000C000000}" name="Amount Healed"/>
    <tableColumn id="13" xr3:uid="{00000000-0010-0000-D901-00000D000000}" name="K+A Eff"/>
    <tableColumn id="14" xr3:uid="{00000000-0010-0000-D901-00000E000000}" name="Dmg Dealt Eff"/>
    <tableColumn id="15" xr3:uid="{00000000-0010-0000-D901-00000F000000}" name="Dmg Taken Eff"/>
    <tableColumn id="16" xr3:uid="{00000000-0010-0000-D901-000010000000}" name="Amt Healed Eff"/>
  </tableColumns>
  <tableStyleInfo name="FTP vs Infwamy | Adentus | 1001-style" showFirstColumn="1" showLastColumn="1" showRowStripes="1" showColumnStripes="0"/>
</table>
</file>

<file path=xl/tables/table4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5" xr:uid="{00000000-000C-0000-FFFF-FFFFDA010000}" name="Team_Composition_11" displayName="Team_Composition_11" ref="R3:T13">
  <tableColumns count="3">
    <tableColumn id="1" xr3:uid="{00000000-0010-0000-DA01-000001000000}" name="Data"/>
    <tableColumn id="2" xr3:uid="{00000000-0010-0000-DA01-000002000000}" name="Yellow"/>
    <tableColumn id="3" xr3:uid="{00000000-0010-0000-DA01-000003000000}" name="Red"/>
  </tableColumns>
  <tableStyleInfo name="FTP vs Infwamy | Adentus | 1001-style 2" showFirstColumn="1" showLastColumn="1" showRowStripes="1" showColumnStripes="0"/>
</table>
</file>

<file path=xl/tables/table4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6" xr:uid="{00000000-000C-0000-FFFF-FFFFDB010000}" name="Table1_11" displayName="Table1_11" ref="V3:W13">
  <tableColumns count="2">
    <tableColumn id="1" xr3:uid="{00000000-0010-0000-DB01-000001000000}" name="Name"/>
    <tableColumn id="2" xr3:uid="{00000000-0010-0000-DB01-000002000000}" name="K + A"/>
  </tableColumns>
  <tableStyleInfo name="FTP vs Infwamy | Adentus | 1001-style 3" showFirstColumn="1" showLastColumn="1" showRowStripes="1" showColumnStripes="0"/>
</table>
</file>

<file path=xl/tables/table4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7" xr:uid="{00000000-000C-0000-FFFF-FFFFDC010000}" name="TopDamage_11" displayName="TopDamage_11" ref="Y3:Z13">
  <tableColumns count="2">
    <tableColumn id="1" xr3:uid="{00000000-0010-0000-DC01-000001000000}" name="Name"/>
    <tableColumn id="2" xr3:uid="{00000000-0010-0000-DC01-000002000000}" name="Damage"/>
  </tableColumns>
  <tableStyleInfo name="FTP vs Infwamy | Adentus | 1001-style 4" showFirstColumn="1" showLastColumn="1" showRowStripes="1" showColumnStripes="0"/>
</table>
</file>

<file path=xl/tables/table4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8" xr:uid="{00000000-000C-0000-FFFF-FFFFDD010000}" name="Melee_DPS_11" displayName="Melee_DPS_11" ref="R16:T21">
  <tableColumns count="3">
    <tableColumn id="1" xr3:uid="{00000000-0010-0000-DD01-000001000000}" name="Data"/>
    <tableColumn id="2" xr3:uid="{00000000-0010-0000-DD01-000002000000}" name="Yellow"/>
    <tableColumn id="3" xr3:uid="{00000000-0010-0000-DD01-000003000000}" name="Red"/>
  </tableColumns>
  <tableStyleInfo name="FTP vs Infwamy | Adentus | 1001-style 5" showFirstColumn="1" showLastColumn="1" showRowStripes="1" showColumnStripes="0"/>
</table>
</file>

<file path=xl/tables/table4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9" xr:uid="{00000000-000C-0000-FFFF-FFFFDE010000}" name="Table3_11" displayName="Table3_11" ref="V16:W26">
  <tableColumns count="2">
    <tableColumn id="1" xr3:uid="{00000000-0010-0000-DE01-000001000000}" name="Name"/>
    <tableColumn id="2" xr3:uid="{00000000-0010-0000-DE01-000002000000}" name="DT"/>
  </tableColumns>
  <tableStyleInfo name="FTP vs Infwamy | Adentus | 1001-style 6" showFirstColumn="1" showLastColumn="1" showRowStripes="1" showColumnStripes="0"/>
</table>
</file>

<file path=xl/tables/table4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0" xr:uid="{00000000-000C-0000-FFFF-FFFFDF010000}" name="Table2_11" displayName="Table2_11" ref="Y16:Z26">
  <tableColumns count="2">
    <tableColumn id="1" xr3:uid="{00000000-0010-0000-DF01-000001000000}" name="Name"/>
    <tableColumn id="2" xr3:uid="{00000000-0010-0000-DF01-000002000000}" name="Healed"/>
  </tableColumns>
  <tableStyleInfo name="FTP vs Infwamy | Adentus | 1001-style 7" showFirstColumn="1" showLastColumn="1" showRowStripes="1" showColumnStripes="0"/>
</table>
</file>

<file path=xl/tables/table4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1" xr:uid="{00000000-000C-0000-FFFF-FFFFE0010000}" name="Ranged_DPS_11" displayName="Ranged_DPS_11" ref="R24:T29">
  <tableColumns count="3">
    <tableColumn id="1" xr3:uid="{00000000-0010-0000-E001-000001000000}" name="Data"/>
    <tableColumn id="2" xr3:uid="{00000000-0010-0000-E001-000002000000}" name="Yellow"/>
    <tableColumn id="3" xr3:uid="{00000000-0010-0000-E001-000003000000}" name="Red"/>
  </tableColumns>
  <tableStyleInfo name="FTP vs Infwamy | Adentus | 1001-style 8" showFirstColumn="1" showLastColumn="1" showRowStripes="1" showColumnStripes="0"/>
</table>
</file>

<file path=xl/tables/table4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2" xr:uid="{00000000-000C-0000-FFFF-FFFFE1010000}" name="Tank_11" displayName="Tank_11" ref="R32:T37">
  <tableColumns count="3">
    <tableColumn id="1" xr3:uid="{00000000-0010-0000-E101-000001000000}" name="Data"/>
    <tableColumn id="2" xr3:uid="{00000000-0010-0000-E101-000002000000}" name="Yellow"/>
    <tableColumn id="3" xr3:uid="{00000000-0010-0000-E101-000003000000}" name="Red"/>
  </tableColumns>
  <tableStyleInfo name="FTP vs Infwamy | Adentus | 1001-style 9" showFirstColumn="1" showLastColumn="1" showRowStripes="1" showColumnStripes="0"/>
</table>
</file>

<file path=xl/tables/table4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3" xr:uid="{00000000-000C-0000-FFFF-FFFFE2010000}" name="Healer_11" displayName="Healer_11" ref="R40:T45">
  <tableColumns count="3">
    <tableColumn id="1" xr3:uid="{00000000-0010-0000-E201-000001000000}" name="Data"/>
    <tableColumn id="2" xr3:uid="{00000000-0010-0000-E201-000002000000}" name="Yellow"/>
    <tableColumn id="3" xr3:uid="{00000000-0010-0000-E201-000003000000}" name="Red"/>
  </tableColumns>
  <tableStyleInfo name="FTP vs Infwamy | Adentus | 1001-style 10" showFirstColumn="1" showLastColumn="1" showRowStripes="1" showColumnStripes="0"/>
</table>
</file>

<file path=xl/tables/table4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4" xr:uid="{00000000-000C-0000-FFFF-FFFFE3010000}" name="Scoreboard_10" displayName="Scoreboard_10" ref="A1:P103">
  <tableColumns count="16">
    <tableColumn id="1" xr3:uid="{00000000-0010-0000-E301-000001000000}" name="Rank"/>
    <tableColumn id="2" xr3:uid="{00000000-0010-0000-E301-000002000000}" name="Role"/>
    <tableColumn id="3" xr3:uid="{00000000-0010-0000-E301-000003000000}" name="Weapons"/>
    <tableColumn id="4" xr3:uid="{00000000-0010-0000-E301-000004000000}" name="Guild"/>
    <tableColumn id="5" xr3:uid="{00000000-0010-0000-E301-000005000000}" name="Name"/>
    <tableColumn id="6" xr3:uid="{00000000-0010-0000-E301-000006000000}" name="Team"/>
    <tableColumn id="7" xr3:uid="{00000000-0010-0000-E301-000007000000}" name="Kills"/>
    <tableColumn id="8" xr3:uid="{00000000-0010-0000-E301-000008000000}" name="Assists"/>
    <tableColumn id="9" xr3:uid="{00000000-0010-0000-E301-000009000000}" name="K + A"/>
    <tableColumn id="10" xr3:uid="{00000000-0010-0000-E301-00000A000000}" name="Damage Dealt"/>
    <tableColumn id="11" xr3:uid="{00000000-0010-0000-E301-00000B000000}" name="Damage Taken"/>
    <tableColumn id="12" xr3:uid="{00000000-0010-0000-E301-00000C000000}" name="Amount Healed"/>
    <tableColumn id="13" xr3:uid="{00000000-0010-0000-E301-00000D000000}" name="K+A Eff"/>
    <tableColumn id="14" xr3:uid="{00000000-0010-0000-E301-00000E000000}" name="Dmg Dealt Eff"/>
    <tableColumn id="15" xr3:uid="{00000000-0010-0000-E301-00000F000000}" name="Dmg Taken Eff"/>
    <tableColumn id="16" xr3:uid="{00000000-0010-0000-E301-000010000000}" name="Amt Healed Eff"/>
  </tableColumns>
  <tableStyleInfo name="FTP vs Infwamy | Azh | 100125-style" showFirstColumn="1" showLastColumn="1" showRowStripes="1" showColumnStripes="0"/>
</table>
</file>

<file path=xl/tables/table4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5" xr:uid="{00000000-000C-0000-FFFF-FFFFE4010000}" name="Team_Composition_10" displayName="Team_Composition_10" ref="R3:T13">
  <tableColumns count="3">
    <tableColumn id="1" xr3:uid="{00000000-0010-0000-E401-000001000000}" name="Data"/>
    <tableColumn id="2" xr3:uid="{00000000-0010-0000-E401-000002000000}" name="Yellow"/>
    <tableColumn id="3" xr3:uid="{00000000-0010-0000-E401-000003000000}" name="Red"/>
  </tableColumns>
  <tableStyleInfo name="FTP vs Infwamy | Azh | 100125-style 2" showFirstColumn="1" showLastColumn="1" showRowStripes="1" showColumnStripes="0"/>
</table>
</file>

<file path=xl/tables/table4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6" xr:uid="{00000000-000C-0000-FFFF-FFFFE5010000}" name="Table1_10" displayName="Table1_10" ref="V3:W13">
  <tableColumns count="2">
    <tableColumn id="1" xr3:uid="{00000000-0010-0000-E501-000001000000}" name="Name"/>
    <tableColumn id="2" xr3:uid="{00000000-0010-0000-E501-000002000000}" name="K + A"/>
  </tableColumns>
  <tableStyleInfo name="FTP vs Infwamy | Azh | 100125-style 3" showFirstColumn="1" showLastColumn="1" showRowStripes="1" showColumnStripes="0"/>
</table>
</file>

<file path=xl/tables/table4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7" xr:uid="{00000000-000C-0000-FFFF-FFFFE6010000}" name="TopDamage_10" displayName="TopDamage_10" ref="Y3:Z13">
  <tableColumns count="2">
    <tableColumn id="1" xr3:uid="{00000000-0010-0000-E601-000001000000}" name="Name"/>
    <tableColumn id="2" xr3:uid="{00000000-0010-0000-E601-000002000000}" name="Damage"/>
  </tableColumns>
  <tableStyleInfo name="FTP vs Infwamy | Azh | 100125-style 4" showFirstColumn="1" showLastColumn="1" showRowStripes="1" showColumnStripes="0"/>
</table>
</file>

<file path=xl/tables/table4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8" xr:uid="{00000000-000C-0000-FFFF-FFFFE7010000}" name="Melee_DPS_10" displayName="Melee_DPS_10" ref="R16:T21">
  <tableColumns count="3">
    <tableColumn id="1" xr3:uid="{00000000-0010-0000-E701-000001000000}" name="Data"/>
    <tableColumn id="2" xr3:uid="{00000000-0010-0000-E701-000002000000}" name="Yellow"/>
    <tableColumn id="3" xr3:uid="{00000000-0010-0000-E701-000003000000}" name="Red"/>
  </tableColumns>
  <tableStyleInfo name="FTP vs Infwamy | Azh | 100125-style 5" showFirstColumn="1" showLastColumn="1" showRowStripes="1" showColumnStripes="0"/>
</table>
</file>

<file path=xl/tables/table4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9" xr:uid="{00000000-000C-0000-FFFF-FFFFE8010000}" name="Table3_10" displayName="Table3_10" ref="V16:W26">
  <tableColumns count="2">
    <tableColumn id="1" xr3:uid="{00000000-0010-0000-E801-000001000000}" name="Name"/>
    <tableColumn id="2" xr3:uid="{00000000-0010-0000-E801-000002000000}" name="DT"/>
  </tableColumns>
  <tableStyleInfo name="FTP vs Infwamy | Azh | 100125-style 6" showFirstColumn="1" showLastColumn="1" showRowStripes="1" showColumnStripes="0"/>
</table>
</file>

<file path=xl/tables/table4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0" xr:uid="{00000000-000C-0000-FFFF-FFFFE9010000}" name="Table2_10" displayName="Table2_10" ref="Y16:Z26">
  <tableColumns count="2">
    <tableColumn id="1" xr3:uid="{00000000-0010-0000-E901-000001000000}" name="Name"/>
    <tableColumn id="2" xr3:uid="{00000000-0010-0000-E901-000002000000}" name="Healed"/>
  </tableColumns>
  <tableStyleInfo name="FTP vs Infwamy | Azh | 100125-style 7" showFirstColumn="1" showLastColumn="1" showRowStripes="1" showColumnStripes="0"/>
</table>
</file>

<file path=xl/tables/table4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1" xr:uid="{00000000-000C-0000-FFFF-FFFFEA010000}" name="Ranged_DPS_10" displayName="Ranged_DPS_10" ref="R24:T29">
  <tableColumns count="3">
    <tableColumn id="1" xr3:uid="{00000000-0010-0000-EA01-000001000000}" name="Data"/>
    <tableColumn id="2" xr3:uid="{00000000-0010-0000-EA01-000002000000}" name="Yellow"/>
    <tableColumn id="3" xr3:uid="{00000000-0010-0000-EA01-000003000000}" name="Red"/>
  </tableColumns>
  <tableStyleInfo name="FTP vs Infwamy | Azh | 100125-style 8" showFirstColumn="1" showLastColumn="1" showRowStripes="1" showColumnStripes="0"/>
</table>
</file>

<file path=xl/tables/table4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2" xr:uid="{00000000-000C-0000-FFFF-FFFFEB010000}" name="Tank_10" displayName="Tank_10" ref="R32:T37">
  <tableColumns count="3">
    <tableColumn id="1" xr3:uid="{00000000-0010-0000-EB01-000001000000}" name="Data"/>
    <tableColumn id="2" xr3:uid="{00000000-0010-0000-EB01-000002000000}" name="Yellow"/>
    <tableColumn id="3" xr3:uid="{00000000-0010-0000-EB01-000003000000}" name="Red"/>
  </tableColumns>
  <tableStyleInfo name="FTP vs Infwamy | Azh | 100125-style 9" showFirstColumn="1" showLastColumn="1" showRowStripes="1" showColumnStripes="0"/>
</table>
</file>

<file path=xl/tables/table4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3" xr:uid="{00000000-000C-0000-FFFF-FFFFEC010000}" name="Healer_10" displayName="Healer_10" ref="R40:T45">
  <tableColumns count="3">
    <tableColumn id="1" xr3:uid="{00000000-0010-0000-EC01-000001000000}" name="Data"/>
    <tableColumn id="2" xr3:uid="{00000000-0010-0000-EC01-000002000000}" name="Yellow"/>
    <tableColumn id="3" xr3:uid="{00000000-0010-0000-EC01-000003000000}" name="Red"/>
  </tableColumns>
  <tableStyleInfo name="FTP vs Infwamy | Azh | 100125-style 10" showFirstColumn="1" showLastColumn="1" showRowStripes="1" showColumnStripes="0"/>
</table>
</file>

<file path=xl/tables/table4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4" xr:uid="{00000000-000C-0000-FFFF-FFFFED010000}" name="Scoreboard_9" displayName="Scoreboard_9" ref="A1:P103">
  <tableColumns count="16">
    <tableColumn id="1" xr3:uid="{00000000-0010-0000-ED01-000001000000}" name="Rank"/>
    <tableColumn id="2" xr3:uid="{00000000-0010-0000-ED01-000002000000}" name="Role"/>
    <tableColumn id="3" xr3:uid="{00000000-0010-0000-ED01-000003000000}" name="Weapons"/>
    <tableColumn id="4" xr3:uid="{00000000-0010-0000-ED01-000004000000}" name="Guild"/>
    <tableColumn id="5" xr3:uid="{00000000-0010-0000-ED01-000005000000}" name="Name"/>
    <tableColumn id="6" xr3:uid="{00000000-0010-0000-ED01-000006000000}" name="Team"/>
    <tableColumn id="7" xr3:uid="{00000000-0010-0000-ED01-000007000000}" name="Kills"/>
    <tableColumn id="8" xr3:uid="{00000000-0010-0000-ED01-000008000000}" name="Assists"/>
    <tableColumn id="9" xr3:uid="{00000000-0010-0000-ED01-000009000000}" name="K + A"/>
    <tableColumn id="10" xr3:uid="{00000000-0010-0000-ED01-00000A000000}" name="Damage Dealt"/>
    <tableColumn id="11" xr3:uid="{00000000-0010-0000-ED01-00000B000000}" name="Damage Taken"/>
    <tableColumn id="12" xr3:uid="{00000000-0010-0000-ED01-00000C000000}" name="Amount Healed"/>
    <tableColumn id="13" xr3:uid="{00000000-0010-0000-ED01-00000D000000}" name="K+A Eff"/>
    <tableColumn id="14" xr3:uid="{00000000-0010-0000-ED01-00000E000000}" name="Dmg Dealt Eff"/>
    <tableColumn id="15" xr3:uid="{00000000-0010-0000-ED01-00000F000000}" name="Dmg Taken Eff"/>
    <tableColumn id="16" xr3:uid="{00000000-0010-0000-ED01-000010000000}" name="Amt Healed Eff"/>
  </tableColumns>
  <tableStyleInfo name="FTP vs Blank | Morokai | 093025-style" showFirstColumn="1" showLastColumn="1" showRowStripes="1" showColumnStripes="0"/>
</table>
</file>

<file path=xl/tables/table4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5" xr:uid="{00000000-000C-0000-FFFF-FFFFEE010000}" name="Team_Composition_9" displayName="Team_Composition_9" ref="R3:T13">
  <tableColumns count="3">
    <tableColumn id="1" xr3:uid="{00000000-0010-0000-EE01-000001000000}" name="Data"/>
    <tableColumn id="2" xr3:uid="{00000000-0010-0000-EE01-000002000000}" name="Yellow"/>
    <tableColumn id="3" xr3:uid="{00000000-0010-0000-EE01-000003000000}" name="Red"/>
  </tableColumns>
  <tableStyleInfo name="FTP vs Blank | Morokai | 093025-style 2" showFirstColumn="1" showLastColumn="1" showRowStripes="1" showColumnStripes="0"/>
</table>
</file>

<file path=xl/tables/table4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6" xr:uid="{00000000-000C-0000-FFFF-FFFFEF010000}" name="Table1_9" displayName="Table1_9" ref="V3:W13">
  <tableColumns count="2">
    <tableColumn id="1" xr3:uid="{00000000-0010-0000-EF01-000001000000}" name="Name"/>
    <tableColumn id="2" xr3:uid="{00000000-0010-0000-EF01-000002000000}" name="K + A"/>
  </tableColumns>
  <tableStyleInfo name="FTP vs Blank | Morokai | 093025-style 3" showFirstColumn="1" showLastColumn="1" showRowStripes="1" showColumnStripes="0"/>
</table>
</file>

<file path=xl/tables/table4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7" xr:uid="{00000000-000C-0000-FFFF-FFFFF0010000}" name="TopDamage_9" displayName="TopDamage_9" ref="Y3:Z13">
  <tableColumns count="2">
    <tableColumn id="1" xr3:uid="{00000000-0010-0000-F001-000001000000}" name="Name"/>
    <tableColumn id="2" xr3:uid="{00000000-0010-0000-F001-000002000000}" name="Damage"/>
  </tableColumns>
  <tableStyleInfo name="FTP vs Blank | Morokai | 093025-style 4" showFirstColumn="1" showLastColumn="1" showRowStripes="1" showColumnStripes="0"/>
</table>
</file>

<file path=xl/tables/table4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8" xr:uid="{00000000-000C-0000-FFFF-FFFFF1010000}" name="Melee_DPS_9" displayName="Melee_DPS_9" ref="R16:T21">
  <tableColumns count="3">
    <tableColumn id="1" xr3:uid="{00000000-0010-0000-F101-000001000000}" name="Data"/>
    <tableColumn id="2" xr3:uid="{00000000-0010-0000-F101-000002000000}" name="Yellow"/>
    <tableColumn id="3" xr3:uid="{00000000-0010-0000-F101-000003000000}" name="Red"/>
  </tableColumns>
  <tableStyleInfo name="FTP vs Blank | Morokai | 093025-style 5" showFirstColumn="1" showLastColumn="1" showRowStripes="1" showColumnStripes="0"/>
</table>
</file>

<file path=xl/tables/table4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9" xr:uid="{00000000-000C-0000-FFFF-FFFFF2010000}" name="Table3_9" displayName="Table3_9" ref="V16:W26">
  <tableColumns count="2">
    <tableColumn id="1" xr3:uid="{00000000-0010-0000-F201-000001000000}" name="Name"/>
    <tableColumn id="2" xr3:uid="{00000000-0010-0000-F201-000002000000}" name="DT"/>
  </tableColumns>
  <tableStyleInfo name="FTP vs Blank | Morokai | 093025-style 6" showFirstColumn="1" showLastColumn="1" showRowStripes="1" showColumnStripes="0"/>
</table>
</file>

<file path=xl/tables/table5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0" xr:uid="{00000000-000C-0000-FFFF-FFFFF3010000}" name="Table2_9" displayName="Table2_9" ref="Y16:Z26">
  <tableColumns count="2">
    <tableColumn id="1" xr3:uid="{00000000-0010-0000-F301-000001000000}" name="Name"/>
    <tableColumn id="2" xr3:uid="{00000000-0010-0000-F301-000002000000}" name="Healed"/>
  </tableColumns>
  <tableStyleInfo name="FTP vs Blank | Morokai | 093025-style 7" showFirstColumn="1" showLastColumn="1" showRowStripes="1" showColumnStripes="0"/>
</table>
</file>

<file path=xl/tables/table5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1" xr:uid="{00000000-000C-0000-FFFF-FFFFF4010000}" name="Ranged_DPS_9" displayName="Ranged_DPS_9" ref="R24:T29">
  <tableColumns count="3">
    <tableColumn id="1" xr3:uid="{00000000-0010-0000-F401-000001000000}" name="Data"/>
    <tableColumn id="2" xr3:uid="{00000000-0010-0000-F401-000002000000}" name="Yellow"/>
    <tableColumn id="3" xr3:uid="{00000000-0010-0000-F401-000003000000}" name="Red"/>
  </tableColumns>
  <tableStyleInfo name="FTP vs Blank | Morokai | 093025-style 8" showFirstColumn="1" showLastColumn="1" showRowStripes="1" showColumnStripes="0"/>
</table>
</file>

<file path=xl/tables/table5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2" xr:uid="{00000000-000C-0000-FFFF-FFFFF5010000}" name="Tank_9" displayName="Tank_9" ref="R32:T37">
  <tableColumns count="3">
    <tableColumn id="1" xr3:uid="{00000000-0010-0000-F501-000001000000}" name="Data"/>
    <tableColumn id="2" xr3:uid="{00000000-0010-0000-F501-000002000000}" name="Yellow"/>
    <tableColumn id="3" xr3:uid="{00000000-0010-0000-F501-000003000000}" name="Red"/>
  </tableColumns>
  <tableStyleInfo name="FTP vs Blank | Morokai | 093025-style 9" showFirstColumn="1" showLastColumn="1" showRowStripes="1" showColumnStripes="0"/>
</table>
</file>

<file path=xl/tables/table5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3" xr:uid="{00000000-000C-0000-FFFF-FFFFF6010000}" name="Healer_9" displayName="Healer_9" ref="R40:T45">
  <tableColumns count="3">
    <tableColumn id="1" xr3:uid="{00000000-0010-0000-F601-000001000000}" name="Data"/>
    <tableColumn id="2" xr3:uid="{00000000-0010-0000-F601-000002000000}" name="Yellow"/>
    <tableColumn id="3" xr3:uid="{00000000-0010-0000-F601-000003000000}" name="Red"/>
  </tableColumns>
  <tableStyleInfo name="FTP vs Blank | Morokai | 093025-style 10" showFirstColumn="1" showLastColumn="1" showRowStripes="1" showColumnStripes="0"/>
</table>
</file>

<file path=xl/tables/table5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4" xr:uid="{00000000-000C-0000-FFFF-FFFFF7010000}" name="Scoreboard_8" displayName="Scoreboard_8" ref="A1:P103">
  <tableColumns count="16">
    <tableColumn id="1" xr3:uid="{00000000-0010-0000-F701-000001000000}" name="Rank"/>
    <tableColumn id="2" xr3:uid="{00000000-0010-0000-F701-000002000000}" name="Role"/>
    <tableColumn id="3" xr3:uid="{00000000-0010-0000-F701-000003000000}" name="Weapons"/>
    <tableColumn id="4" xr3:uid="{00000000-0010-0000-F701-000004000000}" name="Guild"/>
    <tableColumn id="5" xr3:uid="{00000000-0010-0000-F701-000005000000}" name="Name"/>
    <tableColumn id="6" xr3:uid="{00000000-0010-0000-F701-000006000000}" name="Team"/>
    <tableColumn id="7" xr3:uid="{00000000-0010-0000-F701-000007000000}" name="Kills"/>
    <tableColumn id="8" xr3:uid="{00000000-0010-0000-F701-000008000000}" name="Assists"/>
    <tableColumn id="9" xr3:uid="{00000000-0010-0000-F701-000009000000}" name="K + A"/>
    <tableColumn id="10" xr3:uid="{00000000-0010-0000-F701-00000A000000}" name="Damage Dealt"/>
    <tableColumn id="11" xr3:uid="{00000000-0010-0000-F701-00000B000000}" name="Damage Taken"/>
    <tableColumn id="12" xr3:uid="{00000000-0010-0000-F701-00000C000000}" name="Amount Healed"/>
    <tableColumn id="13" xr3:uid="{00000000-0010-0000-F701-00000D000000}" name="K+A Eff"/>
    <tableColumn id="14" xr3:uid="{00000000-0010-0000-F701-00000E000000}" name="Dmg Dealt Eff"/>
    <tableColumn id="15" xr3:uid="{00000000-0010-0000-F701-00000F000000}" name="Dmg Taken Eff"/>
    <tableColumn id="16" xr3:uid="{00000000-0010-0000-F701-000010000000}" name="Amt Healed Eff"/>
  </tableColumns>
  <tableStyleInfo name="FTP vs Blank | Talus | 093025-style" showFirstColumn="1" showLastColumn="1" showRowStripes="1" showColumnStripes="0"/>
</table>
</file>

<file path=xl/tables/table5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5" xr:uid="{00000000-000C-0000-FFFF-FFFFF8010000}" name="Team_Composition_8" displayName="Team_Composition_8" ref="R3:T13">
  <tableColumns count="3">
    <tableColumn id="1" xr3:uid="{00000000-0010-0000-F801-000001000000}" name="Data"/>
    <tableColumn id="2" xr3:uid="{00000000-0010-0000-F801-000002000000}" name="Yellow"/>
    <tableColumn id="3" xr3:uid="{00000000-0010-0000-F801-000003000000}" name="Red"/>
  </tableColumns>
  <tableStyleInfo name="FTP vs Blank | Talus | 093025-style 2" showFirstColumn="1" showLastColumn="1" showRowStripes="1" showColumnStripes="0"/>
</table>
</file>

<file path=xl/tables/table5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6" xr:uid="{00000000-000C-0000-FFFF-FFFFF9010000}" name="Table1_8" displayName="Table1_8" ref="V3:W13">
  <tableColumns count="2">
    <tableColumn id="1" xr3:uid="{00000000-0010-0000-F901-000001000000}" name="Name"/>
    <tableColumn id="2" xr3:uid="{00000000-0010-0000-F901-000002000000}" name="K + A"/>
  </tableColumns>
  <tableStyleInfo name="FTP vs Blank | Talus | 093025-style 3" showFirstColumn="1" showLastColumn="1" showRowStripes="1" showColumnStripes="0"/>
</table>
</file>

<file path=xl/tables/table5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7" xr:uid="{00000000-000C-0000-FFFF-FFFFFA010000}" name="TopDamage_8" displayName="TopDamage_8" ref="Y3:Z13">
  <tableColumns count="2">
    <tableColumn id="1" xr3:uid="{00000000-0010-0000-FA01-000001000000}" name="Name"/>
    <tableColumn id="2" xr3:uid="{00000000-0010-0000-FA01-000002000000}" name="Damage"/>
  </tableColumns>
  <tableStyleInfo name="FTP vs Blank | Talus | 093025-style 4" showFirstColumn="1" showLastColumn="1" showRowStripes="1" showColumnStripes="0"/>
</table>
</file>

<file path=xl/tables/table5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8" xr:uid="{00000000-000C-0000-FFFF-FFFFFB010000}" name="Melee_DPS_8" displayName="Melee_DPS_8" ref="R16:T21">
  <tableColumns count="3">
    <tableColumn id="1" xr3:uid="{00000000-0010-0000-FB01-000001000000}" name="Data"/>
    <tableColumn id="2" xr3:uid="{00000000-0010-0000-FB01-000002000000}" name="Yellow"/>
    <tableColumn id="3" xr3:uid="{00000000-0010-0000-FB01-000003000000}" name="Red"/>
  </tableColumns>
  <tableStyleInfo name="FTP vs Blank | Talus | 093025-style 5" showFirstColumn="1" showLastColumn="1" showRowStripes="1" showColumnStripes="0"/>
</table>
</file>

<file path=xl/tables/table5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9" xr:uid="{00000000-000C-0000-FFFF-FFFFFC010000}" name="Table3_8" displayName="Table3_8" ref="V16:W26">
  <tableColumns count="2">
    <tableColumn id="1" xr3:uid="{00000000-0010-0000-FC01-000001000000}" name="Name"/>
    <tableColumn id="2" xr3:uid="{00000000-0010-0000-FC01-000002000000}" name="DT"/>
  </tableColumns>
  <tableStyleInfo name="FTP vs Blank | Talus | 093025-style 6" showFirstColumn="1" showLastColumn="1" showRowStripes="1" showColumnStripes="0"/>
</table>
</file>

<file path=xl/tables/table5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0" xr:uid="{00000000-000C-0000-FFFF-FFFFFD010000}" name="Table2_8" displayName="Table2_8" ref="Y16:Z26">
  <tableColumns count="2">
    <tableColumn id="1" xr3:uid="{00000000-0010-0000-FD01-000001000000}" name="Name"/>
    <tableColumn id="2" xr3:uid="{00000000-0010-0000-FD01-000002000000}" name="Healed"/>
  </tableColumns>
  <tableStyleInfo name="FTP vs Blank | Talus | 093025-style 7" showFirstColumn="1" showLastColumn="1" showRowStripes="1" showColumnStripes="0"/>
</table>
</file>

<file path=xl/tables/table5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1" xr:uid="{00000000-000C-0000-FFFF-FFFFFE010000}" name="Ranged_DPS_8" displayName="Ranged_DPS_8" ref="R24:T29">
  <tableColumns count="3">
    <tableColumn id="1" xr3:uid="{00000000-0010-0000-FE01-000001000000}" name="Data"/>
    <tableColumn id="2" xr3:uid="{00000000-0010-0000-FE01-000002000000}" name="Yellow"/>
    <tableColumn id="3" xr3:uid="{00000000-0010-0000-FE01-000003000000}" name="Red"/>
  </tableColumns>
  <tableStyleInfo name="FTP vs Blank | Talus | 093025-style 8" showFirstColumn="1" showLastColumn="1" showRowStripes="1" showColumnStripes="0"/>
</table>
</file>

<file path=xl/tables/table5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2" xr:uid="{00000000-000C-0000-FFFF-FFFFFF010000}" name="Tank_8" displayName="Tank_8" ref="R32:T37">
  <tableColumns count="3">
    <tableColumn id="1" xr3:uid="{00000000-0010-0000-FF01-000001000000}" name="Data"/>
    <tableColumn id="2" xr3:uid="{00000000-0010-0000-FF01-000002000000}" name="Yellow"/>
    <tableColumn id="3" xr3:uid="{00000000-0010-0000-FF01-000003000000}" name="Red"/>
  </tableColumns>
  <tableStyleInfo name="FTP vs Blank | Talus | 093025-style 9" showFirstColumn="1" showLastColumn="1" showRowStripes="1" showColumnStripes="0"/>
</table>
</file>

<file path=xl/tables/table5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3" xr:uid="{00000000-000C-0000-FFFF-FFFF00020000}" name="Healer_8" displayName="Healer_8" ref="R40:T45">
  <tableColumns count="3">
    <tableColumn id="1" xr3:uid="{00000000-0010-0000-0002-000001000000}" name="Data"/>
    <tableColumn id="2" xr3:uid="{00000000-0010-0000-0002-000002000000}" name="Yellow"/>
    <tableColumn id="3" xr3:uid="{00000000-0010-0000-0002-000003000000}" name="Red"/>
  </tableColumns>
  <tableStyleInfo name="FTP vs Blank | Talus | 093025-style 10" showFirstColumn="1" showLastColumn="1" showRowStripes="1" showColumnStripes="0"/>
</table>
</file>

<file path=xl/tables/table5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4" xr:uid="{00000000-000C-0000-FFFF-FFFF01020000}" name="Scoreboard_7" displayName="Scoreboard_7" ref="A1:P103">
  <tableColumns count="16">
    <tableColumn id="1" xr3:uid="{00000000-0010-0000-0102-000001000000}" name="Rank"/>
    <tableColumn id="2" xr3:uid="{00000000-0010-0000-0102-000002000000}" name="Role"/>
    <tableColumn id="3" xr3:uid="{00000000-0010-0000-0102-000003000000}" name="Weapons"/>
    <tableColumn id="4" xr3:uid="{00000000-0010-0000-0102-000004000000}" name="Guild"/>
    <tableColumn id="5" xr3:uid="{00000000-0010-0000-0102-000005000000}" name="Name"/>
    <tableColumn id="6" xr3:uid="{00000000-0010-0000-0102-000006000000}" name="Team"/>
    <tableColumn id="7" xr3:uid="{00000000-0010-0000-0102-000007000000}" name="Kills"/>
    <tableColumn id="8" xr3:uid="{00000000-0010-0000-0102-000008000000}" name="Assists"/>
    <tableColumn id="9" xr3:uid="{00000000-0010-0000-0102-000009000000}" name="K + A"/>
    <tableColumn id="10" xr3:uid="{00000000-0010-0000-0102-00000A000000}" name="Damage Dealt"/>
    <tableColumn id="11" xr3:uid="{00000000-0010-0000-0102-00000B000000}" name="Damage Taken"/>
    <tableColumn id="12" xr3:uid="{00000000-0010-0000-0102-00000C000000}" name="Amount Healed"/>
    <tableColumn id="13" xr3:uid="{00000000-0010-0000-0102-00000D000000}" name="K+A Eff"/>
    <tableColumn id="14" xr3:uid="{00000000-0010-0000-0102-00000E000000}" name="Dmg Dealt Eff"/>
    <tableColumn id="15" xr3:uid="{00000000-0010-0000-0102-00000F000000}" name="Dmg Taken Eff"/>
    <tableColumn id="16" xr3:uid="{00000000-0010-0000-0102-000010000000}" name="Amt Healed Eff"/>
  </tableColumns>
  <tableStyleInfo name="FTP vs Blank | Kowa | 092125-style" showFirstColumn="1" showLastColumn="1" showRowStripes="1" showColumnStripes="0"/>
</table>
</file>

<file path=xl/tables/table5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5" xr:uid="{00000000-000C-0000-FFFF-FFFF02020000}" name="Team_Composition_7" displayName="Team_Composition_7" ref="R3:T13">
  <tableColumns count="3">
    <tableColumn id="1" xr3:uid="{00000000-0010-0000-0202-000001000000}" name="Data"/>
    <tableColumn id="2" xr3:uid="{00000000-0010-0000-0202-000002000000}" name="Yellow"/>
    <tableColumn id="3" xr3:uid="{00000000-0010-0000-0202-000003000000}" name="Red"/>
  </tableColumns>
  <tableStyleInfo name="FTP vs Blank | Kowa | 092125-style 2" showFirstColumn="1" showLastColumn="1" showRowStripes="1" showColumnStripes="0"/>
</table>
</file>

<file path=xl/tables/table5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6" xr:uid="{00000000-000C-0000-FFFF-FFFF03020000}" name="Table1_7" displayName="Table1_7" ref="V3:W13">
  <tableColumns count="2">
    <tableColumn id="1" xr3:uid="{00000000-0010-0000-0302-000001000000}" name="Name"/>
    <tableColumn id="2" xr3:uid="{00000000-0010-0000-0302-000002000000}" name="K + A"/>
  </tableColumns>
  <tableStyleInfo name="FTP vs Blank | Kowa | 092125-style 3" showFirstColumn="1" showLastColumn="1" showRowStripes="1" showColumnStripes="0"/>
</table>
</file>

<file path=xl/tables/table5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7" xr:uid="{00000000-000C-0000-FFFF-FFFF04020000}" name="TopDamage_7" displayName="TopDamage_7" ref="Y3:Z13">
  <tableColumns count="2">
    <tableColumn id="1" xr3:uid="{00000000-0010-0000-0402-000001000000}" name="Name"/>
    <tableColumn id="2" xr3:uid="{00000000-0010-0000-0402-000002000000}" name="Damage"/>
  </tableColumns>
  <tableStyleInfo name="FTP vs Blank | Kowa | 092125-style 4" showFirstColumn="1" showLastColumn="1" showRowStripes="1" showColumnStripes="0"/>
</table>
</file>

<file path=xl/tables/table5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8" xr:uid="{00000000-000C-0000-FFFF-FFFF05020000}" name="Melee_DPS_7" displayName="Melee_DPS_7" ref="R16:T21">
  <tableColumns count="3">
    <tableColumn id="1" xr3:uid="{00000000-0010-0000-0502-000001000000}" name="Data"/>
    <tableColumn id="2" xr3:uid="{00000000-0010-0000-0502-000002000000}" name="Yellow"/>
    <tableColumn id="3" xr3:uid="{00000000-0010-0000-0502-000003000000}" name="Red"/>
  </tableColumns>
  <tableStyleInfo name="FTP vs Blank | Kowa | 092125-style 5" showFirstColumn="1" showLastColumn="1" showRowStripes="1" showColumnStripes="0"/>
</table>
</file>

<file path=xl/tables/table5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9" xr:uid="{00000000-000C-0000-FFFF-FFFF06020000}" name="Table3_7" displayName="Table3_7" ref="V16:W26">
  <tableColumns count="2">
    <tableColumn id="1" xr3:uid="{00000000-0010-0000-0602-000001000000}" name="Name"/>
    <tableColumn id="2" xr3:uid="{00000000-0010-0000-0602-000002000000}" name="DT"/>
  </tableColumns>
  <tableStyleInfo name="FTP vs Blank | Kowa | 092125-style 6" showFirstColumn="1" showLastColumn="1" showRowStripes="1" showColumnStripes="0"/>
</table>
</file>

<file path=xl/tables/table5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0" xr:uid="{00000000-000C-0000-FFFF-FFFF07020000}" name="Table2_7" displayName="Table2_7" ref="Y16:Z26">
  <tableColumns count="2">
    <tableColumn id="1" xr3:uid="{00000000-0010-0000-0702-000001000000}" name="Name"/>
    <tableColumn id="2" xr3:uid="{00000000-0010-0000-0702-000002000000}" name="Healed"/>
  </tableColumns>
  <tableStyleInfo name="FTP vs Blank | Kowa | 092125-style 7" showFirstColumn="1" showLastColumn="1" showRowStripes="1" showColumnStripes="0"/>
</table>
</file>

<file path=xl/tables/table5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1" xr:uid="{00000000-000C-0000-FFFF-FFFF08020000}" name="Ranged_DPS_7" displayName="Ranged_DPS_7" ref="R24:T29">
  <tableColumns count="3">
    <tableColumn id="1" xr3:uid="{00000000-0010-0000-0802-000001000000}" name="Data"/>
    <tableColumn id="2" xr3:uid="{00000000-0010-0000-0802-000002000000}" name="Yellow"/>
    <tableColumn id="3" xr3:uid="{00000000-0010-0000-0802-000003000000}" name="Red"/>
  </tableColumns>
  <tableStyleInfo name="FTP vs Blank | Kowa | 092125-style 8" showFirstColumn="1" showLastColumn="1" showRowStripes="1" showColumnStripes="0"/>
</table>
</file>

<file path=xl/tables/table5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2" xr:uid="{00000000-000C-0000-FFFF-FFFF09020000}" name="Tank_7" displayName="Tank_7" ref="R32:T37">
  <tableColumns count="3">
    <tableColumn id="1" xr3:uid="{00000000-0010-0000-0902-000001000000}" name="Data"/>
    <tableColumn id="2" xr3:uid="{00000000-0010-0000-0902-000002000000}" name="Yellow"/>
    <tableColumn id="3" xr3:uid="{00000000-0010-0000-0902-000003000000}" name="Red"/>
  </tableColumns>
  <tableStyleInfo name="FTP vs Blank | Kowa | 092125-style 9" showFirstColumn="1" showLastColumn="1" showRowStripes="1" showColumnStripes="0"/>
</table>
</file>

<file path=xl/tables/table5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3" xr:uid="{00000000-000C-0000-FFFF-FFFF0A020000}" name="Healer_7" displayName="Healer_7" ref="R40:T45">
  <tableColumns count="3">
    <tableColumn id="1" xr3:uid="{00000000-0010-0000-0A02-000001000000}" name="Data"/>
    <tableColumn id="2" xr3:uid="{00000000-0010-0000-0A02-000002000000}" name="Yellow"/>
    <tableColumn id="3" xr3:uid="{00000000-0010-0000-0A02-000003000000}" name="Red"/>
  </tableColumns>
  <tableStyleInfo name="FTP vs Blank | Kowa | 092125-style 10" showFirstColumn="1" showLastColumn="1" showRowStripes="1" showColumnStripes="0"/>
</table>
</file>

<file path=xl/tables/table5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4" xr:uid="{00000000-000C-0000-FFFF-FFFF0B020000}" name="Scoreboard_6" displayName="Scoreboard_6" ref="A1:P103">
  <tableColumns count="16">
    <tableColumn id="1" xr3:uid="{00000000-0010-0000-0B02-000001000000}" name="Rank"/>
    <tableColumn id="2" xr3:uid="{00000000-0010-0000-0B02-000002000000}" name="Role"/>
    <tableColumn id="3" xr3:uid="{00000000-0010-0000-0B02-000003000000}" name="Weapons"/>
    <tableColumn id="4" xr3:uid="{00000000-0010-0000-0B02-000004000000}" name="Guild"/>
    <tableColumn id="5" xr3:uid="{00000000-0010-0000-0B02-000005000000}" name="Name"/>
    <tableColumn id="6" xr3:uid="{00000000-0010-0000-0B02-000006000000}" name="Team"/>
    <tableColumn id="7" xr3:uid="{00000000-0010-0000-0B02-000007000000}" name="Kills"/>
    <tableColumn id="8" xr3:uid="{00000000-0010-0000-0B02-000008000000}" name="Assists"/>
    <tableColumn id="9" xr3:uid="{00000000-0010-0000-0B02-000009000000}" name="K + A"/>
    <tableColumn id="10" xr3:uid="{00000000-0010-0000-0B02-00000A000000}" name="Damage Dealt"/>
    <tableColumn id="11" xr3:uid="{00000000-0010-0000-0B02-00000B000000}" name="Damage Taken"/>
    <tableColumn id="12" xr3:uid="{00000000-0010-0000-0B02-00000C000000}" name="Amount Healed"/>
    <tableColumn id="13" xr3:uid="{00000000-0010-0000-0B02-00000D000000}" name="K+A Eff"/>
    <tableColumn id="14" xr3:uid="{00000000-0010-0000-0B02-00000E000000}" name="Dmg Dealt Eff"/>
    <tableColumn id="15" xr3:uid="{00000000-0010-0000-0B02-00000F000000}" name="Dmg Taken Eff"/>
    <tableColumn id="16" xr3:uid="{00000000-0010-0000-0B02-000010000000}" name="Amt Healed Eff"/>
  </tableColumns>
  <tableStyleInfo name="FTP vs Blank | Azh | 092125-style" showFirstColumn="1" showLastColumn="1" showRowStripes="1" showColumnStripes="0"/>
</table>
</file>

<file path=xl/tables/table5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5" xr:uid="{00000000-000C-0000-FFFF-FFFF0C020000}" name="Team_Composition_6" displayName="Team_Composition_6" ref="R3:T13">
  <tableColumns count="3">
    <tableColumn id="1" xr3:uid="{00000000-0010-0000-0C02-000001000000}" name="Data"/>
    <tableColumn id="2" xr3:uid="{00000000-0010-0000-0C02-000002000000}" name="Yellow"/>
    <tableColumn id="3" xr3:uid="{00000000-0010-0000-0C02-000003000000}" name="Red"/>
  </tableColumns>
  <tableStyleInfo name="FTP vs Blank | Azh | 092125-style 2" showFirstColumn="1" showLastColumn="1" showRowStripes="1" showColumnStripes="0"/>
</table>
</file>

<file path=xl/tables/table5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6" xr:uid="{00000000-000C-0000-FFFF-FFFF0D020000}" name="Table1_6" displayName="Table1_6" ref="V3:W13">
  <tableColumns count="2">
    <tableColumn id="1" xr3:uid="{00000000-0010-0000-0D02-000001000000}" name="Name"/>
    <tableColumn id="2" xr3:uid="{00000000-0010-0000-0D02-000002000000}" name="K + A"/>
  </tableColumns>
  <tableStyleInfo name="FTP vs Blank | Azh | 092125-style 3" showFirstColumn="1" showLastColumn="1" showRowStripes="1" showColumnStripes="0"/>
</table>
</file>

<file path=xl/tables/table5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7" xr:uid="{00000000-000C-0000-FFFF-FFFF0E020000}" name="TopDamage_6" displayName="TopDamage_6" ref="Y3:Z13">
  <tableColumns count="2">
    <tableColumn id="1" xr3:uid="{00000000-0010-0000-0E02-000001000000}" name="Name"/>
    <tableColumn id="2" xr3:uid="{00000000-0010-0000-0E02-000002000000}" name="Damage"/>
  </tableColumns>
  <tableStyleInfo name="FTP vs Blank | Azh | 092125-style 4" showFirstColumn="1" showLastColumn="1" showRowStripes="1" showColumnStripes="0"/>
</table>
</file>

<file path=xl/tables/table5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8" xr:uid="{00000000-000C-0000-FFFF-FFFF0F020000}" name="Melee_DPS_6" displayName="Melee_DPS_6" ref="R16:T21">
  <tableColumns count="3">
    <tableColumn id="1" xr3:uid="{00000000-0010-0000-0F02-000001000000}" name="Data"/>
    <tableColumn id="2" xr3:uid="{00000000-0010-0000-0F02-000002000000}" name="Yellow"/>
    <tableColumn id="3" xr3:uid="{00000000-0010-0000-0F02-000003000000}" name="Red"/>
  </tableColumns>
  <tableStyleInfo name="FTP vs Blank | Azh | 092125-style 5" showFirstColumn="1" showLastColumn="1" showRowStripes="1" showColumnStripes="0"/>
</table>
</file>

<file path=xl/tables/table5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9" xr:uid="{00000000-000C-0000-FFFF-FFFF10020000}" name="Table3_6" displayName="Table3_6" ref="V16:W26">
  <tableColumns count="2">
    <tableColumn id="1" xr3:uid="{00000000-0010-0000-1002-000001000000}" name="Name"/>
    <tableColumn id="2" xr3:uid="{00000000-0010-0000-1002-000002000000}" name="DT"/>
  </tableColumns>
  <tableStyleInfo name="FTP vs Blank | Azh | 092125-style 6" showFirstColumn="1" showLastColumn="1" showRowStripes="1" showColumnStripes="0"/>
</table>
</file>

<file path=xl/tables/table5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0" xr:uid="{00000000-000C-0000-FFFF-FFFF11020000}" name="Table2_6" displayName="Table2_6" ref="Y16:Z26">
  <tableColumns count="2">
    <tableColumn id="1" xr3:uid="{00000000-0010-0000-1102-000001000000}" name="Name"/>
    <tableColumn id="2" xr3:uid="{00000000-0010-0000-1102-000002000000}" name="Healed"/>
  </tableColumns>
  <tableStyleInfo name="FTP vs Blank | Azh | 092125-style 7" showFirstColumn="1" showLastColumn="1" showRowStripes="1" showColumnStripes="0"/>
</table>
</file>

<file path=xl/tables/table5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1" xr:uid="{00000000-000C-0000-FFFF-FFFF12020000}" name="Ranged_DPS_6" displayName="Ranged_DPS_6" ref="R24:T29">
  <tableColumns count="3">
    <tableColumn id="1" xr3:uid="{00000000-0010-0000-1202-000001000000}" name="Data"/>
    <tableColumn id="2" xr3:uid="{00000000-0010-0000-1202-000002000000}" name="Yellow"/>
    <tableColumn id="3" xr3:uid="{00000000-0010-0000-1202-000003000000}" name="Red"/>
  </tableColumns>
  <tableStyleInfo name="FTP vs Blank | Azh | 092125-style 8" showFirstColumn="1" showLastColumn="1" showRowStripes="1" showColumnStripes="0"/>
</table>
</file>

<file path=xl/tables/table5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2" xr:uid="{00000000-000C-0000-FFFF-FFFF13020000}" name="Tank_6" displayName="Tank_6" ref="R32:T37">
  <tableColumns count="3">
    <tableColumn id="1" xr3:uid="{00000000-0010-0000-1302-000001000000}" name="Data"/>
    <tableColumn id="2" xr3:uid="{00000000-0010-0000-1302-000002000000}" name="Yellow"/>
    <tableColumn id="3" xr3:uid="{00000000-0010-0000-1302-000003000000}" name="Red"/>
  </tableColumns>
  <tableStyleInfo name="FTP vs Blank | Azh | 092125-style 9" showFirstColumn="1" showLastColumn="1" showRowStripes="1" showColumnStripes="0"/>
</table>
</file>

<file path=xl/tables/table5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3" xr:uid="{00000000-000C-0000-FFFF-FFFF14020000}" name="Healer_6" displayName="Healer_6" ref="R40:T45">
  <tableColumns count="3">
    <tableColumn id="1" xr3:uid="{00000000-0010-0000-1402-000001000000}" name="Data"/>
    <tableColumn id="2" xr3:uid="{00000000-0010-0000-1402-000002000000}" name="Yellow"/>
    <tableColumn id="3" xr3:uid="{00000000-0010-0000-1402-000003000000}" name="Red"/>
  </tableColumns>
  <tableStyleInfo name="FTP vs Blank | Azh | 092125-style 10" showFirstColumn="1" showLastColumn="1" showRowStripes="1" showColumnStripes="0"/>
</table>
</file>

<file path=xl/tables/table5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4" xr:uid="{00000000-000C-0000-FFFF-FFFF15020000}" name="Scoreboard_5" displayName="Scoreboard_5" ref="A1:P103">
  <tableColumns count="16">
    <tableColumn id="1" xr3:uid="{00000000-0010-0000-1502-000001000000}" name="Rank"/>
    <tableColumn id="2" xr3:uid="{00000000-0010-0000-1502-000002000000}" name="Role"/>
    <tableColumn id="3" xr3:uid="{00000000-0010-0000-1502-000003000000}" name="Weapons"/>
    <tableColumn id="4" xr3:uid="{00000000-0010-0000-1502-000004000000}" name="Guild"/>
    <tableColumn id="5" xr3:uid="{00000000-0010-0000-1502-000005000000}" name="Name"/>
    <tableColumn id="6" xr3:uid="{00000000-0010-0000-1502-000006000000}" name="Team"/>
    <tableColumn id="7" xr3:uid="{00000000-0010-0000-1502-000007000000}" name="Kills"/>
    <tableColumn id="8" xr3:uid="{00000000-0010-0000-1502-000008000000}" name="Assists"/>
    <tableColumn id="9" xr3:uid="{00000000-0010-0000-1502-000009000000}" name="K + A"/>
    <tableColumn id="10" xr3:uid="{00000000-0010-0000-1502-00000A000000}" name="Damage Dealt"/>
    <tableColumn id="11" xr3:uid="{00000000-0010-0000-1502-00000B000000}" name="Damage Taken"/>
    <tableColumn id="12" xr3:uid="{00000000-0010-0000-1502-00000C000000}" name="Amount Healed"/>
    <tableColumn id="13" xr3:uid="{00000000-0010-0000-1502-00000D000000}" name="K+A Eff"/>
    <tableColumn id="14" xr3:uid="{00000000-0010-0000-1502-00000E000000}" name="Dmg Dealt Eff"/>
    <tableColumn id="15" xr3:uid="{00000000-0010-0000-1502-00000F000000}" name="Dmg Taken Eff"/>
    <tableColumn id="16" xr3:uid="{00000000-0010-0000-1502-000010000000}" name="Amt Healed Eff"/>
  </tableColumns>
  <tableStyleInfo name="FTP vs Wolves | Talus | 091525-style" showFirstColumn="1" showLastColumn="1" showRowStripes="1" showColumnStripes="0"/>
</table>
</file>

<file path=xl/tables/table5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5" xr:uid="{00000000-000C-0000-FFFF-FFFF16020000}" name="Team_Composition_5" displayName="Team_Composition_5" ref="R3:T13">
  <tableColumns count="3">
    <tableColumn id="1" xr3:uid="{00000000-0010-0000-1602-000001000000}" name="Data"/>
    <tableColumn id="2" xr3:uid="{00000000-0010-0000-1602-000002000000}" name="Yellow"/>
    <tableColumn id="3" xr3:uid="{00000000-0010-0000-1602-000003000000}" name="Red"/>
  </tableColumns>
  <tableStyleInfo name="FTP vs Wolves | Talus | 091525-style 2" showFirstColumn="1" showLastColumn="1" showRowStripes="1" showColumnStripes="0"/>
</table>
</file>

<file path=xl/tables/table5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6" xr:uid="{00000000-000C-0000-FFFF-FFFF17020000}" name="Table1_5" displayName="Table1_5" ref="V3:W13">
  <tableColumns count="2">
    <tableColumn id="1" xr3:uid="{00000000-0010-0000-1702-000001000000}" name="Name"/>
    <tableColumn id="2" xr3:uid="{00000000-0010-0000-1702-000002000000}" name="K + A"/>
  </tableColumns>
  <tableStyleInfo name="FTP vs Wolves | Talus | 091525-style 3" showFirstColumn="1" showLastColumn="1" showRowStripes="1" showColumnStripes="0"/>
</table>
</file>

<file path=xl/tables/table5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7" xr:uid="{00000000-000C-0000-FFFF-FFFF18020000}" name="TopDamage_5" displayName="TopDamage_5" ref="Y3:Z13">
  <tableColumns count="2">
    <tableColumn id="1" xr3:uid="{00000000-0010-0000-1802-000001000000}" name="Name"/>
    <tableColumn id="2" xr3:uid="{00000000-0010-0000-1802-000002000000}" name="Damage"/>
  </tableColumns>
  <tableStyleInfo name="FTP vs Wolves | Talus | 091525-style 4" showFirstColumn="1" showLastColumn="1" showRowStripes="1" showColumnStripes="0"/>
</table>
</file>

<file path=xl/tables/table5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8" xr:uid="{00000000-000C-0000-FFFF-FFFF19020000}" name="Melee_DPS_5" displayName="Melee_DPS_5" ref="R16:T21">
  <tableColumns count="3">
    <tableColumn id="1" xr3:uid="{00000000-0010-0000-1902-000001000000}" name="Data"/>
    <tableColumn id="2" xr3:uid="{00000000-0010-0000-1902-000002000000}" name="Yellow"/>
    <tableColumn id="3" xr3:uid="{00000000-0010-0000-1902-000003000000}" name="Red"/>
  </tableColumns>
  <tableStyleInfo name="FTP vs Wolves | Talus | 091525-style 5" showFirstColumn="1" showLastColumn="1" showRowStripes="1" showColumnStripes="0"/>
</table>
</file>

<file path=xl/tables/table5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9" xr:uid="{00000000-000C-0000-FFFF-FFFF1A020000}" name="Table3_5" displayName="Table3_5" ref="V16:W26">
  <tableColumns count="2">
    <tableColumn id="1" xr3:uid="{00000000-0010-0000-1A02-000001000000}" name="Name"/>
    <tableColumn id="2" xr3:uid="{00000000-0010-0000-1A02-000002000000}" name="DT"/>
  </tableColumns>
  <tableStyleInfo name="FTP vs Wolves | Talus | 091525-style 6" showFirstColumn="1" showLastColumn="1" showRowStripes="1" showColumnStripes="0"/>
</table>
</file>

<file path=xl/tables/table5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0" xr:uid="{00000000-000C-0000-FFFF-FFFF1B020000}" name="Table2_5" displayName="Table2_5" ref="Y16:Z26">
  <tableColumns count="2">
    <tableColumn id="1" xr3:uid="{00000000-0010-0000-1B02-000001000000}" name="Name"/>
    <tableColumn id="2" xr3:uid="{00000000-0010-0000-1B02-000002000000}" name="Healed"/>
  </tableColumns>
  <tableStyleInfo name="FTP vs Wolves | Talus | 091525-style 7" showFirstColumn="1" showLastColumn="1" showRowStripes="1" showColumnStripes="0"/>
</table>
</file>

<file path=xl/tables/table5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1" xr:uid="{00000000-000C-0000-FFFF-FFFF1C020000}" name="Ranged_DPS_5" displayName="Ranged_DPS_5" ref="R24:T29">
  <tableColumns count="3">
    <tableColumn id="1" xr3:uid="{00000000-0010-0000-1C02-000001000000}" name="Data"/>
    <tableColumn id="2" xr3:uid="{00000000-0010-0000-1C02-000002000000}" name="Yellow"/>
    <tableColumn id="3" xr3:uid="{00000000-0010-0000-1C02-000003000000}" name="Red"/>
  </tableColumns>
  <tableStyleInfo name="FTP vs Wolves | Talus | 091525-style 8" showFirstColumn="1" showLastColumn="1" showRowStripes="1" showColumnStripes="0"/>
</table>
</file>

<file path=xl/tables/table5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2" xr:uid="{00000000-000C-0000-FFFF-FFFF1D020000}" name="Tank_5" displayName="Tank_5" ref="R32:T37">
  <tableColumns count="3">
    <tableColumn id="1" xr3:uid="{00000000-0010-0000-1D02-000001000000}" name="Data"/>
    <tableColumn id="2" xr3:uid="{00000000-0010-0000-1D02-000002000000}" name="Yellow"/>
    <tableColumn id="3" xr3:uid="{00000000-0010-0000-1D02-000003000000}" name="Red"/>
  </tableColumns>
  <tableStyleInfo name="FTP vs Wolves | Talus | 091525-style 9" showFirstColumn="1" showLastColumn="1" showRowStripes="1" showColumnStripes="0"/>
</table>
</file>

<file path=xl/tables/table5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3" xr:uid="{00000000-000C-0000-FFFF-FFFF1E020000}" name="Healer_5" displayName="Healer_5" ref="R40:T45">
  <tableColumns count="3">
    <tableColumn id="1" xr3:uid="{00000000-0010-0000-1E02-000001000000}" name="Data"/>
    <tableColumn id="2" xr3:uid="{00000000-0010-0000-1E02-000002000000}" name="Yellow"/>
    <tableColumn id="3" xr3:uid="{00000000-0010-0000-1E02-000003000000}" name="Red"/>
  </tableColumns>
  <tableStyleInfo name="FTP vs Wolves | Talus | 091525-style 10" showFirstColumn="1" showLastColumn="1" showRowStripes="1" showColumnStripes="0"/>
</table>
</file>

<file path=xl/tables/table5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4" xr:uid="{00000000-000C-0000-FFFF-FFFF1F020000}" name="Scoreboard_4" displayName="Scoreboard_4" ref="A1:P104">
  <tableColumns count="16">
    <tableColumn id="1" xr3:uid="{00000000-0010-0000-1F02-000001000000}" name="Rank"/>
    <tableColumn id="2" xr3:uid="{00000000-0010-0000-1F02-000002000000}" name="Role"/>
    <tableColumn id="3" xr3:uid="{00000000-0010-0000-1F02-000003000000}" name="Weapons"/>
    <tableColumn id="4" xr3:uid="{00000000-0010-0000-1F02-000004000000}" name="Guild"/>
    <tableColumn id="5" xr3:uid="{00000000-0010-0000-1F02-000005000000}" name="Name"/>
    <tableColumn id="6" xr3:uid="{00000000-0010-0000-1F02-000006000000}" name="Team"/>
    <tableColumn id="7" xr3:uid="{00000000-0010-0000-1F02-000007000000}" name="Kills"/>
    <tableColumn id="8" xr3:uid="{00000000-0010-0000-1F02-000008000000}" name="Assists"/>
    <tableColumn id="9" xr3:uid="{00000000-0010-0000-1F02-000009000000}" name="K + A"/>
    <tableColumn id="10" xr3:uid="{00000000-0010-0000-1F02-00000A000000}" name="Damage Dealt"/>
    <tableColumn id="11" xr3:uid="{00000000-0010-0000-1F02-00000B000000}" name="Damage Taken"/>
    <tableColumn id="12" xr3:uid="{00000000-0010-0000-1F02-00000C000000}" name="Amount Healed"/>
    <tableColumn id="13" xr3:uid="{00000000-0010-0000-1F02-00000D000000}" name="K+A Eff"/>
    <tableColumn id="14" xr3:uid="{00000000-0010-0000-1F02-00000E000000}" name="Dmg Dealt Eff"/>
    <tableColumn id="15" xr3:uid="{00000000-0010-0000-1F02-00000F000000}" name="Dmg Taken Eff"/>
    <tableColumn id="16" xr3:uid="{00000000-0010-0000-1F02-000010000000}" name="Amt Healed Eff"/>
  </tableColumns>
  <tableStyleInfo name="FTP vs Wolves | Kowa | 091525-style" showFirstColumn="1" showLastColumn="1" showRowStripes="1" showColumnStripes="0"/>
</table>
</file>

<file path=xl/tables/table5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5" xr:uid="{00000000-000C-0000-FFFF-FFFF20020000}" name="Team_Composition_4" displayName="Team_Composition_4" ref="R3:T13">
  <tableColumns count="3">
    <tableColumn id="1" xr3:uid="{00000000-0010-0000-2002-000001000000}" name="Data"/>
    <tableColumn id="2" xr3:uid="{00000000-0010-0000-2002-000002000000}" name="Yellow"/>
    <tableColumn id="3" xr3:uid="{00000000-0010-0000-2002-000003000000}" name="Red"/>
  </tableColumns>
  <tableStyleInfo name="FTP vs Wolves | Kowa | 091525-style 2" showFirstColumn="1" showLastColumn="1" showRowStripes="1" showColumnStripes="0"/>
</table>
</file>

<file path=xl/tables/table5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6" xr:uid="{00000000-000C-0000-FFFF-FFFF21020000}" name="Table1_4" displayName="Table1_4" ref="V3:W13">
  <tableColumns count="2">
    <tableColumn id="1" xr3:uid="{00000000-0010-0000-2102-000001000000}" name="Name"/>
    <tableColumn id="2" xr3:uid="{00000000-0010-0000-2102-000002000000}" name="K + A"/>
  </tableColumns>
  <tableStyleInfo name="FTP vs Wolves | Kowa | 091525-style 3" showFirstColumn="1" showLastColumn="1" showRowStripes="1" showColumnStripes="0"/>
</table>
</file>

<file path=xl/tables/table5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7" xr:uid="{00000000-000C-0000-FFFF-FFFF22020000}" name="TopDamage_4" displayName="TopDamage_4" ref="Y3:Z13">
  <tableColumns count="2">
    <tableColumn id="1" xr3:uid="{00000000-0010-0000-2202-000001000000}" name="Name"/>
    <tableColumn id="2" xr3:uid="{00000000-0010-0000-2202-000002000000}" name="Damage"/>
  </tableColumns>
  <tableStyleInfo name="FTP vs Wolves | Kowa | 091525-style 4" showFirstColumn="1" showLastColumn="1" showRowStripes="1" showColumnStripes="0"/>
</table>
</file>

<file path=xl/tables/table5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8" xr:uid="{00000000-000C-0000-FFFF-FFFF23020000}" name="Melee_DPS_4" displayName="Melee_DPS_4" ref="R16:T21">
  <tableColumns count="3">
    <tableColumn id="1" xr3:uid="{00000000-0010-0000-2302-000001000000}" name="Data"/>
    <tableColumn id="2" xr3:uid="{00000000-0010-0000-2302-000002000000}" name="Yellow"/>
    <tableColumn id="3" xr3:uid="{00000000-0010-0000-2302-000003000000}" name="Red"/>
  </tableColumns>
  <tableStyleInfo name="FTP vs Wolves | Kowa | 091525-style 5" showFirstColumn="1" showLastColumn="1" showRowStripes="1" showColumnStripes="0"/>
</table>
</file>

<file path=xl/tables/table5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9" xr:uid="{00000000-000C-0000-FFFF-FFFF24020000}" name="Table3_4" displayName="Table3_4" ref="V16:W26">
  <tableColumns count="2">
    <tableColumn id="1" xr3:uid="{00000000-0010-0000-2402-000001000000}" name="Name"/>
    <tableColumn id="2" xr3:uid="{00000000-0010-0000-2402-000002000000}" name="DT"/>
  </tableColumns>
  <tableStyleInfo name="FTP vs Wolves | Kowa | 091525-style 6" showFirstColumn="1" showLastColumn="1" showRowStripes="1" showColumnStripes="0"/>
</table>
</file>

<file path=xl/tables/table5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0" xr:uid="{00000000-000C-0000-FFFF-FFFF25020000}" name="Table2_4" displayName="Table2_4" ref="Y16:Z26">
  <tableColumns count="2">
    <tableColumn id="1" xr3:uid="{00000000-0010-0000-2502-000001000000}" name="Name"/>
    <tableColumn id="2" xr3:uid="{00000000-0010-0000-2502-000002000000}" name="Healed"/>
  </tableColumns>
  <tableStyleInfo name="FTP vs Wolves | Kowa | 091525-style 7" showFirstColumn="1" showLastColumn="1" showRowStripes="1" showColumnStripes="0"/>
</table>
</file>

<file path=xl/tables/table5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1" xr:uid="{00000000-000C-0000-FFFF-FFFF26020000}" name="Ranged_DPS_4" displayName="Ranged_DPS_4" ref="R24:T29">
  <tableColumns count="3">
    <tableColumn id="1" xr3:uid="{00000000-0010-0000-2602-000001000000}" name="Data"/>
    <tableColumn id="2" xr3:uid="{00000000-0010-0000-2602-000002000000}" name="Yellow"/>
    <tableColumn id="3" xr3:uid="{00000000-0010-0000-2602-000003000000}" name="Red"/>
  </tableColumns>
  <tableStyleInfo name="FTP vs Wolves | Kowa | 091525-style 8" showFirstColumn="1" showLastColumn="1" showRowStripes="1" showColumnStripes="0"/>
</table>
</file>

<file path=xl/tables/table5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2" xr:uid="{00000000-000C-0000-FFFF-FFFF27020000}" name="Tank_4" displayName="Tank_4" ref="R32:T37">
  <tableColumns count="3">
    <tableColumn id="1" xr3:uid="{00000000-0010-0000-2702-000001000000}" name="Data"/>
    <tableColumn id="2" xr3:uid="{00000000-0010-0000-2702-000002000000}" name="Yellow"/>
    <tableColumn id="3" xr3:uid="{00000000-0010-0000-2702-000003000000}" name="Red"/>
  </tableColumns>
  <tableStyleInfo name="FTP vs Wolves | Kowa | 091525-style 9" showFirstColumn="1" showLastColumn="1" showRowStripes="1" showColumnStripes="0"/>
</table>
</file>

<file path=xl/tables/table5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3" xr:uid="{00000000-000C-0000-FFFF-FFFF28020000}" name="Healer_4" displayName="Healer_4" ref="R40:T45">
  <tableColumns count="3">
    <tableColumn id="1" xr3:uid="{00000000-0010-0000-2802-000001000000}" name="Data"/>
    <tableColumn id="2" xr3:uid="{00000000-0010-0000-2802-000002000000}" name="Yellow"/>
    <tableColumn id="3" xr3:uid="{00000000-0010-0000-2802-000003000000}" name="Red"/>
  </tableColumns>
  <tableStyleInfo name="FTP vs Wolves | Kowa | 091525-style 10" showFirstColumn="1" showLastColumn="1" showRowStripes="1" showColumnStripes="0"/>
</table>
</file>

<file path=xl/tables/table5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4" xr:uid="{00000000-000C-0000-FFFF-FFFF29020000}" name="Scoreboard_2" displayName="Scoreboard_2" ref="A1:P103">
  <tableColumns count="16">
    <tableColumn id="1" xr3:uid="{00000000-0010-0000-2902-000001000000}" name="Rank"/>
    <tableColumn id="2" xr3:uid="{00000000-0010-0000-2902-000002000000}" name="Role"/>
    <tableColumn id="3" xr3:uid="{00000000-0010-0000-2902-000003000000}" name="Weapons"/>
    <tableColumn id="4" xr3:uid="{00000000-0010-0000-2902-000004000000}" name="Guild"/>
    <tableColumn id="5" xr3:uid="{00000000-0010-0000-2902-000005000000}" name="Name"/>
    <tableColumn id="6" xr3:uid="{00000000-0010-0000-2902-000006000000}" name="Team"/>
    <tableColumn id="7" xr3:uid="{00000000-0010-0000-2902-000007000000}" name="Kills"/>
    <tableColumn id="8" xr3:uid="{00000000-0010-0000-2902-000008000000}" name="Assists"/>
    <tableColumn id="9" xr3:uid="{00000000-0010-0000-2902-000009000000}" name="K + A"/>
    <tableColumn id="10" xr3:uid="{00000000-0010-0000-2902-00000A000000}" name="Damage Dealt"/>
    <tableColumn id="11" xr3:uid="{00000000-0010-0000-2902-00000B000000}" name="Damage Taken"/>
    <tableColumn id="12" xr3:uid="{00000000-0010-0000-2902-00000C000000}" name="Amount Healed"/>
    <tableColumn id="13" xr3:uid="{00000000-0010-0000-2902-00000D000000}" name="K+A Eff"/>
    <tableColumn id="14" xr3:uid="{00000000-0010-0000-2902-00000E000000}" name="Dmg Dealt Eff"/>
    <tableColumn id="15" xr3:uid="{00000000-0010-0000-2902-00000F000000}" name="Dmg Taken Eff"/>
    <tableColumn id="16" xr3:uid="{00000000-0010-0000-2902-000010000000}" name="Amt Healed Eff"/>
  </tableColumns>
  <tableStyleInfo name="FTP vs Sp00ky | Talus | 091025-style" showFirstColumn="1" showLastColumn="1" showRowStripes="1" showColumnStripes="0"/>
</table>
</file>

<file path=xl/tables/table5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5" xr:uid="{00000000-000C-0000-FFFF-FFFF2A020000}" name="Team_Composition_2" displayName="Team_Composition_2" ref="R3:T13">
  <tableColumns count="3">
    <tableColumn id="1" xr3:uid="{00000000-0010-0000-2A02-000001000000}" name="Data"/>
    <tableColumn id="2" xr3:uid="{00000000-0010-0000-2A02-000002000000}" name="Yellow"/>
    <tableColumn id="3" xr3:uid="{00000000-0010-0000-2A02-000003000000}" name="Red"/>
  </tableColumns>
  <tableStyleInfo name="FTP vs Sp00ky | Talus | 091025-style 2" showFirstColumn="1" showLastColumn="1" showRowStripes="1" showColumnStripes="0"/>
</table>
</file>

<file path=xl/tables/table5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6" xr:uid="{00000000-000C-0000-FFFF-FFFF2B020000}" name="Table1_2" displayName="Table1_2" ref="V3:W13">
  <tableColumns count="2">
    <tableColumn id="1" xr3:uid="{00000000-0010-0000-2B02-000001000000}" name="Name"/>
    <tableColumn id="2" xr3:uid="{00000000-0010-0000-2B02-000002000000}" name="K + A"/>
  </tableColumns>
  <tableStyleInfo name="FTP vs Sp00ky | Talus | 091025-style 3" showFirstColumn="1" showLastColumn="1" showRowStripes="1" showColumnStripes="0"/>
</table>
</file>

<file path=xl/tables/table5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7" xr:uid="{00000000-000C-0000-FFFF-FFFF2C020000}" name="TopDamage_2" displayName="TopDamage_2" ref="Y3:Z13">
  <tableColumns count="2">
    <tableColumn id="1" xr3:uid="{00000000-0010-0000-2C02-000001000000}" name="Name"/>
    <tableColumn id="2" xr3:uid="{00000000-0010-0000-2C02-000002000000}" name="Damage"/>
  </tableColumns>
  <tableStyleInfo name="FTP vs Sp00ky | Talus | 091025-style 4" showFirstColumn="1" showLastColumn="1" showRowStripes="1" showColumnStripes="0"/>
</table>
</file>

<file path=xl/tables/table5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8" xr:uid="{00000000-000C-0000-FFFF-FFFF2D020000}" name="Melee_DPS_2" displayName="Melee_DPS_2" ref="R16:T21">
  <tableColumns count="3">
    <tableColumn id="1" xr3:uid="{00000000-0010-0000-2D02-000001000000}" name="Data"/>
    <tableColumn id="2" xr3:uid="{00000000-0010-0000-2D02-000002000000}" name="Yellow"/>
    <tableColumn id="3" xr3:uid="{00000000-0010-0000-2D02-000003000000}" name="Red"/>
  </tableColumns>
  <tableStyleInfo name="FTP vs Sp00ky | Talus | 091025-style 5" showFirstColumn="1" showLastColumn="1" showRowStripes="1" showColumnStripes="0"/>
</table>
</file>

<file path=xl/tables/table5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9" xr:uid="{00000000-000C-0000-FFFF-FFFF2E020000}" name="Table3_2" displayName="Table3_2" ref="V16:W26">
  <tableColumns count="2">
    <tableColumn id="1" xr3:uid="{00000000-0010-0000-2E02-000001000000}" name="Name"/>
    <tableColumn id="2" xr3:uid="{00000000-0010-0000-2E02-000002000000}" name="DT"/>
  </tableColumns>
  <tableStyleInfo name="FTP vs Sp00ky | Talus | 091025-style 6" showFirstColumn="1" showLastColumn="1" showRowStripes="1" showColumnStripes="0"/>
</table>
</file>

<file path=xl/tables/table5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0" xr:uid="{00000000-000C-0000-FFFF-FFFF2F020000}" name="Table2_2" displayName="Table2_2" ref="Y16:Z26">
  <tableColumns count="2">
    <tableColumn id="1" xr3:uid="{00000000-0010-0000-2F02-000001000000}" name="Name"/>
    <tableColumn id="2" xr3:uid="{00000000-0010-0000-2F02-000002000000}" name="Healed"/>
  </tableColumns>
  <tableStyleInfo name="FTP vs Sp00ky | Talus | 091025-style 7" showFirstColumn="1" showLastColumn="1" showRowStripes="1" showColumnStripes="0"/>
</table>
</file>

<file path=xl/tables/table5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1" xr:uid="{00000000-000C-0000-FFFF-FFFF30020000}" name="Ranged_DPS_2" displayName="Ranged_DPS_2" ref="R24:T29">
  <tableColumns count="3">
    <tableColumn id="1" xr3:uid="{00000000-0010-0000-3002-000001000000}" name="Data"/>
    <tableColumn id="2" xr3:uid="{00000000-0010-0000-3002-000002000000}" name="Yellow"/>
    <tableColumn id="3" xr3:uid="{00000000-0010-0000-3002-000003000000}" name="Red"/>
  </tableColumns>
  <tableStyleInfo name="FTP vs Sp00ky | Talus | 091025-style 8" showFirstColumn="1" showLastColumn="1" showRowStripes="1" showColumnStripes="0"/>
</table>
</file>

<file path=xl/tables/table5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2" xr:uid="{00000000-000C-0000-FFFF-FFFF31020000}" name="Tank_2" displayName="Tank_2" ref="R32:T37">
  <tableColumns count="3">
    <tableColumn id="1" xr3:uid="{00000000-0010-0000-3102-000001000000}" name="Data"/>
    <tableColumn id="2" xr3:uid="{00000000-0010-0000-3102-000002000000}" name="Yellow"/>
    <tableColumn id="3" xr3:uid="{00000000-0010-0000-3102-000003000000}" name="Red"/>
  </tableColumns>
  <tableStyleInfo name="FTP vs Sp00ky | Talus | 091025-style 9" showFirstColumn="1" showLastColumn="1" showRowStripes="1" showColumnStripes="0"/>
</table>
</file>

<file path=xl/tables/table5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3" xr:uid="{00000000-000C-0000-FFFF-FFFF32020000}" name="Healer_2" displayName="Healer_2" ref="R40:T45">
  <tableColumns count="3">
    <tableColumn id="1" xr3:uid="{00000000-0010-0000-3202-000001000000}" name="Data"/>
    <tableColumn id="2" xr3:uid="{00000000-0010-0000-3202-000002000000}" name="Yellow"/>
    <tableColumn id="3" xr3:uid="{00000000-0010-0000-3202-000003000000}" name="Red"/>
  </tableColumns>
  <tableStyleInfo name="FTP vs Sp00ky | Talus | 091025-style 10" showFirstColumn="1" showLastColumn="1" showRowStripes="1" showColumnStripes="0"/>
</table>
</file>

<file path=xl/tables/table5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4" xr:uid="{00000000-000C-0000-FFFF-FFFF33020000}" name="Scoreboard_3" displayName="Scoreboard_3" ref="A1:P103">
  <tableColumns count="16">
    <tableColumn id="1" xr3:uid="{00000000-0010-0000-3302-000001000000}" name="Rank"/>
    <tableColumn id="2" xr3:uid="{00000000-0010-0000-3302-000002000000}" name="Role"/>
    <tableColumn id="3" xr3:uid="{00000000-0010-0000-3302-000003000000}" name="Weapons"/>
    <tableColumn id="4" xr3:uid="{00000000-0010-0000-3302-000004000000}" name="Guild"/>
    <tableColumn id="5" xr3:uid="{00000000-0010-0000-3302-000005000000}" name="Name"/>
    <tableColumn id="6" xr3:uid="{00000000-0010-0000-3302-000006000000}" name="Team"/>
    <tableColumn id="7" xr3:uid="{00000000-0010-0000-3302-000007000000}" name="Kills"/>
    <tableColumn id="8" xr3:uid="{00000000-0010-0000-3302-000008000000}" name="Assists"/>
    <tableColumn id="9" xr3:uid="{00000000-0010-0000-3302-000009000000}" name="K + A"/>
    <tableColumn id="10" xr3:uid="{00000000-0010-0000-3302-00000A000000}" name="Damage Dealt"/>
    <tableColumn id="11" xr3:uid="{00000000-0010-0000-3302-00000B000000}" name="Damage Taken"/>
    <tableColumn id="12" xr3:uid="{00000000-0010-0000-3302-00000C000000}" name="Amount Healed"/>
    <tableColumn id="13" xr3:uid="{00000000-0010-0000-3302-00000D000000}" name="K+A Eff"/>
    <tableColumn id="14" xr3:uid="{00000000-0010-0000-3302-00000E000000}" name="Dmg Dealt Eff"/>
    <tableColumn id="15" xr3:uid="{00000000-0010-0000-3302-00000F000000}" name="Dmg Taken Eff"/>
    <tableColumn id="16" xr3:uid="{00000000-0010-0000-3302-000010000000}" name="Amt Healed Eff"/>
  </tableColumns>
  <tableStyleInfo name="FTP vs Sp00ky | Cherno | 091025-style" showFirstColumn="1" showLastColumn="1" showRowStripes="1" showColumnStripes="0"/>
</table>
</file>

<file path=xl/tables/table5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5" xr:uid="{00000000-000C-0000-FFFF-FFFF34020000}" name="Team_Composition_3" displayName="Team_Composition_3" ref="R3:T13">
  <tableColumns count="3">
    <tableColumn id="1" xr3:uid="{00000000-0010-0000-3402-000001000000}" name="Data"/>
    <tableColumn id="2" xr3:uid="{00000000-0010-0000-3402-000002000000}" name="Yellow"/>
    <tableColumn id="3" xr3:uid="{00000000-0010-0000-3402-000003000000}" name="Red"/>
  </tableColumns>
  <tableStyleInfo name="FTP vs Sp00ky | Cherno | 091025-style 2" showFirstColumn="1" showLastColumn="1" showRowStripes="1" showColumnStripes="0"/>
</table>
</file>

<file path=xl/tables/table5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6" xr:uid="{00000000-000C-0000-FFFF-FFFF35020000}" name="Table1_3" displayName="Table1_3" ref="V3:W13">
  <tableColumns count="2">
    <tableColumn id="1" xr3:uid="{00000000-0010-0000-3502-000001000000}" name="Name"/>
    <tableColumn id="2" xr3:uid="{00000000-0010-0000-3502-000002000000}" name="K + A"/>
  </tableColumns>
  <tableStyleInfo name="FTP vs Sp00ky | Cherno | 091025-style 3" showFirstColumn="1" showLastColumn="1" showRowStripes="1" showColumnStripes="0"/>
</table>
</file>

<file path=xl/tables/table5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7" xr:uid="{00000000-000C-0000-FFFF-FFFF36020000}" name="TopDamage_3" displayName="TopDamage_3" ref="Y3:Z13">
  <tableColumns count="2">
    <tableColumn id="1" xr3:uid="{00000000-0010-0000-3602-000001000000}" name="Name"/>
    <tableColumn id="2" xr3:uid="{00000000-0010-0000-3602-000002000000}" name="Damage"/>
  </tableColumns>
  <tableStyleInfo name="FTP vs Sp00ky | Cherno | 091025-style 4" showFirstColumn="1" showLastColumn="1" showRowStripes="1" showColumnStripes="0"/>
</table>
</file>

<file path=xl/tables/table5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8" xr:uid="{00000000-000C-0000-FFFF-FFFF37020000}" name="Melee_DPS_3" displayName="Melee_DPS_3" ref="R16:T21">
  <tableColumns count="3">
    <tableColumn id="1" xr3:uid="{00000000-0010-0000-3702-000001000000}" name="Data"/>
    <tableColumn id="2" xr3:uid="{00000000-0010-0000-3702-000002000000}" name="Yellow"/>
    <tableColumn id="3" xr3:uid="{00000000-0010-0000-3702-000003000000}" name="Red"/>
  </tableColumns>
  <tableStyleInfo name="FTP vs Sp00ky | Cherno | 091025-style 5" showFirstColumn="1" showLastColumn="1" showRowStripes="1" showColumnStripes="0"/>
</table>
</file>

<file path=xl/tables/table5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9" xr:uid="{00000000-000C-0000-FFFF-FFFF38020000}" name="Table3_3" displayName="Table3_3" ref="V16:W26">
  <tableColumns count="2">
    <tableColumn id="1" xr3:uid="{00000000-0010-0000-3802-000001000000}" name="Name"/>
    <tableColumn id="2" xr3:uid="{00000000-0010-0000-3802-000002000000}" name="DT"/>
  </tableColumns>
  <tableStyleInfo name="FTP vs Sp00ky | Cherno | 091025-style 6" showFirstColumn="1" showLastColumn="1" showRowStripes="1" showColumnStripes="0"/>
</table>
</file>

<file path=xl/tables/table5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0" xr:uid="{00000000-000C-0000-FFFF-FFFF39020000}" name="Table2_3" displayName="Table2_3" ref="Y16:Z26">
  <tableColumns count="2">
    <tableColumn id="1" xr3:uid="{00000000-0010-0000-3902-000001000000}" name="Name"/>
    <tableColumn id="2" xr3:uid="{00000000-0010-0000-3902-000002000000}" name="Healed"/>
  </tableColumns>
  <tableStyleInfo name="FTP vs Sp00ky | Cherno | 091025-style 7" showFirstColumn="1" showLastColumn="1" showRowStripes="1" showColumnStripes="0"/>
</table>
</file>

<file path=xl/tables/table5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1" xr:uid="{00000000-000C-0000-FFFF-FFFF3A020000}" name="Ranged_DPS_3" displayName="Ranged_DPS_3" ref="R24:T29">
  <tableColumns count="3">
    <tableColumn id="1" xr3:uid="{00000000-0010-0000-3A02-000001000000}" name="Data"/>
    <tableColumn id="2" xr3:uid="{00000000-0010-0000-3A02-000002000000}" name="Yellow"/>
    <tableColumn id="3" xr3:uid="{00000000-0010-0000-3A02-000003000000}" name="Red"/>
  </tableColumns>
  <tableStyleInfo name="FTP vs Sp00ky | Cherno | 091025-style 8" showFirstColumn="1" showLastColumn="1" showRowStripes="1" showColumnStripes="0"/>
</table>
</file>

<file path=xl/tables/table5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2" xr:uid="{00000000-000C-0000-FFFF-FFFF3B020000}" name="Tank_3" displayName="Tank_3" ref="R32:T37">
  <tableColumns count="3">
    <tableColumn id="1" xr3:uid="{00000000-0010-0000-3B02-000001000000}" name="Data"/>
    <tableColumn id="2" xr3:uid="{00000000-0010-0000-3B02-000002000000}" name="Yellow"/>
    <tableColumn id="3" xr3:uid="{00000000-0010-0000-3B02-000003000000}" name="Red"/>
  </tableColumns>
  <tableStyleInfo name="FTP vs Sp00ky | Cherno | 091025-style 9" showFirstColumn="1" showLastColumn="1" showRowStripes="1" showColumnStripes="0"/>
</table>
</file>

<file path=xl/tables/table5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3" xr:uid="{00000000-000C-0000-FFFF-FFFF3C020000}" name="Healer_3" displayName="Healer_3" ref="R40:T45">
  <tableColumns count="3">
    <tableColumn id="1" xr3:uid="{00000000-0010-0000-3C02-000001000000}" name="Data"/>
    <tableColumn id="2" xr3:uid="{00000000-0010-0000-3C02-000002000000}" name="Yellow"/>
    <tableColumn id="3" xr3:uid="{00000000-0010-0000-3C02-000003000000}" name="Red"/>
  </tableColumns>
  <tableStyleInfo name="FTP vs Sp00ky | Cherno | 091025-style 10"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3" Type="http://schemas.openxmlformats.org/officeDocument/2006/relationships/table" Target="../tables/table16.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 Type="http://schemas.openxmlformats.org/officeDocument/2006/relationships/table" Target="../tables/table15.xml"/><Relationship Id="rId16" Type="http://schemas.openxmlformats.org/officeDocument/2006/relationships/table" Target="../tables/table29.xml"/><Relationship Id="rId1" Type="http://schemas.openxmlformats.org/officeDocument/2006/relationships/table" Target="../tables/table14.xml"/><Relationship Id="rId6" Type="http://schemas.openxmlformats.org/officeDocument/2006/relationships/table" Target="../tables/table19.xml"/><Relationship Id="rId11" Type="http://schemas.openxmlformats.org/officeDocument/2006/relationships/table" Target="../tables/table24.xml"/><Relationship Id="rId5" Type="http://schemas.openxmlformats.org/officeDocument/2006/relationships/table" Target="../tables/table18.xml"/><Relationship Id="rId15" Type="http://schemas.openxmlformats.org/officeDocument/2006/relationships/table" Target="../tables/table28.xml"/><Relationship Id="rId10" Type="http://schemas.openxmlformats.org/officeDocument/2006/relationships/table" Target="../tables/table23.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8.xml"/><Relationship Id="rId13" Type="http://schemas.openxmlformats.org/officeDocument/2006/relationships/table" Target="../tables/table43.xml"/><Relationship Id="rId3" Type="http://schemas.openxmlformats.org/officeDocument/2006/relationships/table" Target="../tables/table33.xml"/><Relationship Id="rId7" Type="http://schemas.openxmlformats.org/officeDocument/2006/relationships/table" Target="../tables/table37.xml"/><Relationship Id="rId12" Type="http://schemas.openxmlformats.org/officeDocument/2006/relationships/table" Target="../tables/table42.xml"/><Relationship Id="rId17" Type="http://schemas.openxmlformats.org/officeDocument/2006/relationships/table" Target="../tables/table47.xml"/><Relationship Id="rId2" Type="http://schemas.openxmlformats.org/officeDocument/2006/relationships/table" Target="../tables/table32.xml"/><Relationship Id="rId16" Type="http://schemas.openxmlformats.org/officeDocument/2006/relationships/table" Target="../tables/table46.xml"/><Relationship Id="rId1" Type="http://schemas.openxmlformats.org/officeDocument/2006/relationships/table" Target="../tables/table31.xml"/><Relationship Id="rId6" Type="http://schemas.openxmlformats.org/officeDocument/2006/relationships/table" Target="../tables/table36.xml"/><Relationship Id="rId11" Type="http://schemas.openxmlformats.org/officeDocument/2006/relationships/table" Target="../tables/table41.xml"/><Relationship Id="rId5" Type="http://schemas.openxmlformats.org/officeDocument/2006/relationships/table" Target="../tables/table35.xml"/><Relationship Id="rId15" Type="http://schemas.openxmlformats.org/officeDocument/2006/relationships/table" Target="../tables/table45.xml"/><Relationship Id="rId10" Type="http://schemas.openxmlformats.org/officeDocument/2006/relationships/table" Target="../tables/table40.xml"/><Relationship Id="rId4" Type="http://schemas.openxmlformats.org/officeDocument/2006/relationships/table" Target="../tables/table34.xml"/><Relationship Id="rId9" Type="http://schemas.openxmlformats.org/officeDocument/2006/relationships/table" Target="../tables/table39.xml"/><Relationship Id="rId14" Type="http://schemas.openxmlformats.org/officeDocument/2006/relationships/table" Target="../tables/table44.xml"/></Relationships>
</file>

<file path=xl/worksheets/_rels/sheet4.xml.rels><?xml version="1.0" encoding="UTF-8" standalone="yes"?>
<Relationships xmlns="http://schemas.openxmlformats.org/package/2006/relationships"><Relationship Id="rId8" Type="http://schemas.openxmlformats.org/officeDocument/2006/relationships/table" Target="../tables/table55.xml"/><Relationship Id="rId13" Type="http://schemas.openxmlformats.org/officeDocument/2006/relationships/table" Target="../tables/table60.xml"/><Relationship Id="rId3" Type="http://schemas.openxmlformats.org/officeDocument/2006/relationships/table" Target="../tables/table50.xml"/><Relationship Id="rId7" Type="http://schemas.openxmlformats.org/officeDocument/2006/relationships/table" Target="../tables/table54.xml"/><Relationship Id="rId12" Type="http://schemas.openxmlformats.org/officeDocument/2006/relationships/table" Target="../tables/table59.xml"/><Relationship Id="rId17" Type="http://schemas.openxmlformats.org/officeDocument/2006/relationships/table" Target="../tables/table64.xml"/><Relationship Id="rId2" Type="http://schemas.openxmlformats.org/officeDocument/2006/relationships/table" Target="../tables/table49.xml"/><Relationship Id="rId16" Type="http://schemas.openxmlformats.org/officeDocument/2006/relationships/table" Target="../tables/table63.xml"/><Relationship Id="rId1" Type="http://schemas.openxmlformats.org/officeDocument/2006/relationships/table" Target="../tables/table48.xml"/><Relationship Id="rId6" Type="http://schemas.openxmlformats.org/officeDocument/2006/relationships/table" Target="../tables/table53.xml"/><Relationship Id="rId11" Type="http://schemas.openxmlformats.org/officeDocument/2006/relationships/table" Target="../tables/table58.xml"/><Relationship Id="rId5" Type="http://schemas.openxmlformats.org/officeDocument/2006/relationships/table" Target="../tables/table52.xml"/><Relationship Id="rId15" Type="http://schemas.openxmlformats.org/officeDocument/2006/relationships/table" Target="../tables/table62.xml"/><Relationship Id="rId10" Type="http://schemas.openxmlformats.org/officeDocument/2006/relationships/table" Target="../tables/table57.xml"/><Relationship Id="rId4" Type="http://schemas.openxmlformats.org/officeDocument/2006/relationships/table" Target="../tables/table51.xml"/><Relationship Id="rId9" Type="http://schemas.openxmlformats.org/officeDocument/2006/relationships/table" Target="../tables/table56.xml"/><Relationship Id="rId14" Type="http://schemas.openxmlformats.org/officeDocument/2006/relationships/table" Target="../tables/table6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17" Type="http://schemas.openxmlformats.org/officeDocument/2006/relationships/table" Target="../tables/table81.xml"/><Relationship Id="rId2" Type="http://schemas.openxmlformats.org/officeDocument/2006/relationships/table" Target="../tables/table66.xml"/><Relationship Id="rId16" Type="http://schemas.openxmlformats.org/officeDocument/2006/relationships/table" Target="../tables/table80.xml"/><Relationship Id="rId1" Type="http://schemas.openxmlformats.org/officeDocument/2006/relationships/table" Target="../tables/table65.xml"/><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5" Type="http://schemas.openxmlformats.org/officeDocument/2006/relationships/table" Target="../tables/table7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6.xml.rels><?xml version="1.0" encoding="UTF-8" standalone="yes"?>
<Relationships xmlns="http://schemas.openxmlformats.org/package/2006/relationships"><Relationship Id="rId8" Type="http://schemas.openxmlformats.org/officeDocument/2006/relationships/table" Target="../tables/table89.xml"/><Relationship Id="rId13" Type="http://schemas.openxmlformats.org/officeDocument/2006/relationships/table" Target="../tables/table94.xml"/><Relationship Id="rId3" Type="http://schemas.openxmlformats.org/officeDocument/2006/relationships/table" Target="../tables/table84.xml"/><Relationship Id="rId7" Type="http://schemas.openxmlformats.org/officeDocument/2006/relationships/table" Target="../tables/table88.xml"/><Relationship Id="rId12" Type="http://schemas.openxmlformats.org/officeDocument/2006/relationships/table" Target="../tables/table93.xml"/><Relationship Id="rId17" Type="http://schemas.openxmlformats.org/officeDocument/2006/relationships/table" Target="../tables/table98.xml"/><Relationship Id="rId2" Type="http://schemas.openxmlformats.org/officeDocument/2006/relationships/table" Target="../tables/table83.xml"/><Relationship Id="rId16" Type="http://schemas.openxmlformats.org/officeDocument/2006/relationships/table" Target="../tables/table97.xml"/><Relationship Id="rId1" Type="http://schemas.openxmlformats.org/officeDocument/2006/relationships/table" Target="../tables/table82.xml"/><Relationship Id="rId6" Type="http://schemas.openxmlformats.org/officeDocument/2006/relationships/table" Target="../tables/table87.xml"/><Relationship Id="rId11" Type="http://schemas.openxmlformats.org/officeDocument/2006/relationships/table" Target="../tables/table92.xml"/><Relationship Id="rId5" Type="http://schemas.openxmlformats.org/officeDocument/2006/relationships/table" Target="../tables/table86.xml"/><Relationship Id="rId15" Type="http://schemas.openxmlformats.org/officeDocument/2006/relationships/table" Target="../tables/table96.xml"/><Relationship Id="rId10" Type="http://schemas.openxmlformats.org/officeDocument/2006/relationships/table" Target="../tables/table91.xml"/><Relationship Id="rId4" Type="http://schemas.openxmlformats.org/officeDocument/2006/relationships/table" Target="../tables/table85.xml"/><Relationship Id="rId9" Type="http://schemas.openxmlformats.org/officeDocument/2006/relationships/table" Target="../tables/table90.xml"/><Relationship Id="rId14" Type="http://schemas.openxmlformats.org/officeDocument/2006/relationships/table" Target="../tables/table9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6.xml"/><Relationship Id="rId13" Type="http://schemas.openxmlformats.org/officeDocument/2006/relationships/table" Target="../tables/table111.xml"/><Relationship Id="rId3" Type="http://schemas.openxmlformats.org/officeDocument/2006/relationships/table" Target="../tables/table101.xml"/><Relationship Id="rId7" Type="http://schemas.openxmlformats.org/officeDocument/2006/relationships/table" Target="../tables/table105.xml"/><Relationship Id="rId12" Type="http://schemas.openxmlformats.org/officeDocument/2006/relationships/table" Target="../tables/table110.xml"/><Relationship Id="rId17" Type="http://schemas.openxmlformats.org/officeDocument/2006/relationships/table" Target="../tables/table115.xml"/><Relationship Id="rId2" Type="http://schemas.openxmlformats.org/officeDocument/2006/relationships/table" Target="../tables/table100.xml"/><Relationship Id="rId16" Type="http://schemas.openxmlformats.org/officeDocument/2006/relationships/table" Target="../tables/table114.xml"/><Relationship Id="rId1" Type="http://schemas.openxmlformats.org/officeDocument/2006/relationships/table" Target="../tables/table99.xml"/><Relationship Id="rId6" Type="http://schemas.openxmlformats.org/officeDocument/2006/relationships/table" Target="../tables/table104.xml"/><Relationship Id="rId11" Type="http://schemas.openxmlformats.org/officeDocument/2006/relationships/table" Target="../tables/table109.xml"/><Relationship Id="rId5" Type="http://schemas.openxmlformats.org/officeDocument/2006/relationships/table" Target="../tables/table103.xml"/><Relationship Id="rId15" Type="http://schemas.openxmlformats.org/officeDocument/2006/relationships/table" Target="../tables/table113.xml"/><Relationship Id="rId10" Type="http://schemas.openxmlformats.org/officeDocument/2006/relationships/table" Target="../tables/table108.xml"/><Relationship Id="rId4" Type="http://schemas.openxmlformats.org/officeDocument/2006/relationships/table" Target="../tables/table102.xml"/><Relationship Id="rId9" Type="http://schemas.openxmlformats.org/officeDocument/2006/relationships/table" Target="../tables/table107.xml"/><Relationship Id="rId14" Type="http://schemas.openxmlformats.org/officeDocument/2006/relationships/table" Target="../tables/table11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23.xml"/><Relationship Id="rId13" Type="http://schemas.openxmlformats.org/officeDocument/2006/relationships/table" Target="../tables/table128.xml"/><Relationship Id="rId3" Type="http://schemas.openxmlformats.org/officeDocument/2006/relationships/table" Target="../tables/table118.xml"/><Relationship Id="rId7" Type="http://schemas.openxmlformats.org/officeDocument/2006/relationships/table" Target="../tables/table122.xml"/><Relationship Id="rId12" Type="http://schemas.openxmlformats.org/officeDocument/2006/relationships/table" Target="../tables/table127.xml"/><Relationship Id="rId17" Type="http://schemas.openxmlformats.org/officeDocument/2006/relationships/table" Target="../tables/table132.xml"/><Relationship Id="rId2" Type="http://schemas.openxmlformats.org/officeDocument/2006/relationships/table" Target="../tables/table117.xml"/><Relationship Id="rId16" Type="http://schemas.openxmlformats.org/officeDocument/2006/relationships/table" Target="../tables/table131.xml"/><Relationship Id="rId1" Type="http://schemas.openxmlformats.org/officeDocument/2006/relationships/table" Target="../tables/table116.xml"/><Relationship Id="rId6" Type="http://schemas.openxmlformats.org/officeDocument/2006/relationships/table" Target="../tables/table121.xml"/><Relationship Id="rId11" Type="http://schemas.openxmlformats.org/officeDocument/2006/relationships/table" Target="../tables/table126.xml"/><Relationship Id="rId5" Type="http://schemas.openxmlformats.org/officeDocument/2006/relationships/table" Target="../tables/table120.xml"/><Relationship Id="rId15" Type="http://schemas.openxmlformats.org/officeDocument/2006/relationships/table" Target="../tables/table130.xml"/><Relationship Id="rId10" Type="http://schemas.openxmlformats.org/officeDocument/2006/relationships/table" Target="../tables/table125.xml"/><Relationship Id="rId4" Type="http://schemas.openxmlformats.org/officeDocument/2006/relationships/table" Target="../tables/table119.xml"/><Relationship Id="rId9" Type="http://schemas.openxmlformats.org/officeDocument/2006/relationships/table" Target="../tables/table124.xml"/><Relationship Id="rId14" Type="http://schemas.openxmlformats.org/officeDocument/2006/relationships/table" Target="../tables/table129.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40.xml"/><Relationship Id="rId13" Type="http://schemas.openxmlformats.org/officeDocument/2006/relationships/table" Target="../tables/table145.xml"/><Relationship Id="rId3" Type="http://schemas.openxmlformats.org/officeDocument/2006/relationships/table" Target="../tables/table135.xml"/><Relationship Id="rId7" Type="http://schemas.openxmlformats.org/officeDocument/2006/relationships/table" Target="../tables/table139.xml"/><Relationship Id="rId12" Type="http://schemas.openxmlformats.org/officeDocument/2006/relationships/table" Target="../tables/table144.xml"/><Relationship Id="rId17" Type="http://schemas.openxmlformats.org/officeDocument/2006/relationships/table" Target="../tables/table149.xml"/><Relationship Id="rId2" Type="http://schemas.openxmlformats.org/officeDocument/2006/relationships/table" Target="../tables/table134.xml"/><Relationship Id="rId16" Type="http://schemas.openxmlformats.org/officeDocument/2006/relationships/table" Target="../tables/table148.xml"/><Relationship Id="rId1" Type="http://schemas.openxmlformats.org/officeDocument/2006/relationships/table" Target="../tables/table133.xml"/><Relationship Id="rId6" Type="http://schemas.openxmlformats.org/officeDocument/2006/relationships/table" Target="../tables/table138.xml"/><Relationship Id="rId11" Type="http://schemas.openxmlformats.org/officeDocument/2006/relationships/table" Target="../tables/table143.xml"/><Relationship Id="rId5" Type="http://schemas.openxmlformats.org/officeDocument/2006/relationships/table" Target="../tables/table137.xml"/><Relationship Id="rId15" Type="http://schemas.openxmlformats.org/officeDocument/2006/relationships/table" Target="../tables/table147.xml"/><Relationship Id="rId10" Type="http://schemas.openxmlformats.org/officeDocument/2006/relationships/table" Target="../tables/table142.xml"/><Relationship Id="rId4" Type="http://schemas.openxmlformats.org/officeDocument/2006/relationships/table" Target="../tables/table136.xml"/><Relationship Id="rId9" Type="http://schemas.openxmlformats.org/officeDocument/2006/relationships/table" Target="../tables/table141.xml"/><Relationship Id="rId14" Type="http://schemas.openxmlformats.org/officeDocument/2006/relationships/table" Target="../tables/table14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57.xml"/><Relationship Id="rId13" Type="http://schemas.openxmlformats.org/officeDocument/2006/relationships/table" Target="../tables/table162.xml"/><Relationship Id="rId3" Type="http://schemas.openxmlformats.org/officeDocument/2006/relationships/table" Target="../tables/table152.xml"/><Relationship Id="rId7" Type="http://schemas.openxmlformats.org/officeDocument/2006/relationships/table" Target="../tables/table156.xml"/><Relationship Id="rId12" Type="http://schemas.openxmlformats.org/officeDocument/2006/relationships/table" Target="../tables/table161.xml"/><Relationship Id="rId17" Type="http://schemas.openxmlformats.org/officeDocument/2006/relationships/table" Target="../tables/table166.xml"/><Relationship Id="rId2" Type="http://schemas.openxmlformats.org/officeDocument/2006/relationships/table" Target="../tables/table151.xml"/><Relationship Id="rId16" Type="http://schemas.openxmlformats.org/officeDocument/2006/relationships/table" Target="../tables/table165.xml"/><Relationship Id="rId1" Type="http://schemas.openxmlformats.org/officeDocument/2006/relationships/table" Target="../tables/table150.xml"/><Relationship Id="rId6" Type="http://schemas.openxmlformats.org/officeDocument/2006/relationships/table" Target="../tables/table155.xml"/><Relationship Id="rId11" Type="http://schemas.openxmlformats.org/officeDocument/2006/relationships/table" Target="../tables/table160.xml"/><Relationship Id="rId5" Type="http://schemas.openxmlformats.org/officeDocument/2006/relationships/table" Target="../tables/table154.xml"/><Relationship Id="rId15" Type="http://schemas.openxmlformats.org/officeDocument/2006/relationships/table" Target="../tables/table164.xml"/><Relationship Id="rId10" Type="http://schemas.openxmlformats.org/officeDocument/2006/relationships/table" Target="../tables/table159.xml"/><Relationship Id="rId4" Type="http://schemas.openxmlformats.org/officeDocument/2006/relationships/table" Target="../tables/table153.xml"/><Relationship Id="rId9" Type="http://schemas.openxmlformats.org/officeDocument/2006/relationships/table" Target="../tables/table158.xml"/><Relationship Id="rId14" Type="http://schemas.openxmlformats.org/officeDocument/2006/relationships/table" Target="../tables/table163.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74.xml"/><Relationship Id="rId13" Type="http://schemas.openxmlformats.org/officeDocument/2006/relationships/table" Target="../tables/table179.xml"/><Relationship Id="rId3" Type="http://schemas.openxmlformats.org/officeDocument/2006/relationships/table" Target="../tables/table169.xml"/><Relationship Id="rId7" Type="http://schemas.openxmlformats.org/officeDocument/2006/relationships/table" Target="../tables/table173.xml"/><Relationship Id="rId12" Type="http://schemas.openxmlformats.org/officeDocument/2006/relationships/table" Target="../tables/table178.xml"/><Relationship Id="rId17" Type="http://schemas.openxmlformats.org/officeDocument/2006/relationships/table" Target="../tables/table183.xml"/><Relationship Id="rId2" Type="http://schemas.openxmlformats.org/officeDocument/2006/relationships/table" Target="../tables/table168.xml"/><Relationship Id="rId16" Type="http://schemas.openxmlformats.org/officeDocument/2006/relationships/table" Target="../tables/table182.xml"/><Relationship Id="rId1" Type="http://schemas.openxmlformats.org/officeDocument/2006/relationships/table" Target="../tables/table167.xml"/><Relationship Id="rId6" Type="http://schemas.openxmlformats.org/officeDocument/2006/relationships/table" Target="../tables/table172.xml"/><Relationship Id="rId11" Type="http://schemas.openxmlformats.org/officeDocument/2006/relationships/table" Target="../tables/table177.xml"/><Relationship Id="rId5" Type="http://schemas.openxmlformats.org/officeDocument/2006/relationships/table" Target="../tables/table171.xml"/><Relationship Id="rId15" Type="http://schemas.openxmlformats.org/officeDocument/2006/relationships/table" Target="../tables/table181.xml"/><Relationship Id="rId10" Type="http://schemas.openxmlformats.org/officeDocument/2006/relationships/table" Target="../tables/table176.xml"/><Relationship Id="rId4" Type="http://schemas.openxmlformats.org/officeDocument/2006/relationships/table" Target="../tables/table170.xml"/><Relationship Id="rId9" Type="http://schemas.openxmlformats.org/officeDocument/2006/relationships/table" Target="../tables/table175.xml"/><Relationship Id="rId14" Type="http://schemas.openxmlformats.org/officeDocument/2006/relationships/table" Target="../tables/table180.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91.xml"/><Relationship Id="rId13" Type="http://schemas.openxmlformats.org/officeDocument/2006/relationships/table" Target="../tables/table196.xml"/><Relationship Id="rId3" Type="http://schemas.openxmlformats.org/officeDocument/2006/relationships/table" Target="../tables/table186.xml"/><Relationship Id="rId7" Type="http://schemas.openxmlformats.org/officeDocument/2006/relationships/table" Target="../tables/table190.xml"/><Relationship Id="rId12" Type="http://schemas.openxmlformats.org/officeDocument/2006/relationships/table" Target="../tables/table195.xml"/><Relationship Id="rId17" Type="http://schemas.openxmlformats.org/officeDocument/2006/relationships/table" Target="../tables/table200.xml"/><Relationship Id="rId2" Type="http://schemas.openxmlformats.org/officeDocument/2006/relationships/table" Target="../tables/table185.xml"/><Relationship Id="rId16" Type="http://schemas.openxmlformats.org/officeDocument/2006/relationships/table" Target="../tables/table199.xml"/><Relationship Id="rId1" Type="http://schemas.openxmlformats.org/officeDocument/2006/relationships/table" Target="../tables/table184.xml"/><Relationship Id="rId6" Type="http://schemas.openxmlformats.org/officeDocument/2006/relationships/table" Target="../tables/table189.xml"/><Relationship Id="rId11" Type="http://schemas.openxmlformats.org/officeDocument/2006/relationships/table" Target="../tables/table194.xml"/><Relationship Id="rId5" Type="http://schemas.openxmlformats.org/officeDocument/2006/relationships/table" Target="../tables/table188.xml"/><Relationship Id="rId15" Type="http://schemas.openxmlformats.org/officeDocument/2006/relationships/table" Target="../tables/table198.xml"/><Relationship Id="rId10" Type="http://schemas.openxmlformats.org/officeDocument/2006/relationships/table" Target="../tables/table193.xml"/><Relationship Id="rId4" Type="http://schemas.openxmlformats.org/officeDocument/2006/relationships/table" Target="../tables/table187.xml"/><Relationship Id="rId9" Type="http://schemas.openxmlformats.org/officeDocument/2006/relationships/table" Target="../tables/table192.xml"/><Relationship Id="rId14" Type="http://schemas.openxmlformats.org/officeDocument/2006/relationships/table" Target="../tables/table197.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08.xml"/><Relationship Id="rId13" Type="http://schemas.openxmlformats.org/officeDocument/2006/relationships/table" Target="../tables/table213.xml"/><Relationship Id="rId3" Type="http://schemas.openxmlformats.org/officeDocument/2006/relationships/table" Target="../tables/table203.xml"/><Relationship Id="rId7" Type="http://schemas.openxmlformats.org/officeDocument/2006/relationships/table" Target="../tables/table207.xml"/><Relationship Id="rId12" Type="http://schemas.openxmlformats.org/officeDocument/2006/relationships/table" Target="../tables/table212.xml"/><Relationship Id="rId17" Type="http://schemas.openxmlformats.org/officeDocument/2006/relationships/table" Target="../tables/table217.xml"/><Relationship Id="rId2" Type="http://schemas.openxmlformats.org/officeDocument/2006/relationships/table" Target="../tables/table202.xml"/><Relationship Id="rId16" Type="http://schemas.openxmlformats.org/officeDocument/2006/relationships/table" Target="../tables/table216.xml"/><Relationship Id="rId1" Type="http://schemas.openxmlformats.org/officeDocument/2006/relationships/table" Target="../tables/table201.xml"/><Relationship Id="rId6" Type="http://schemas.openxmlformats.org/officeDocument/2006/relationships/table" Target="../tables/table206.xml"/><Relationship Id="rId11" Type="http://schemas.openxmlformats.org/officeDocument/2006/relationships/table" Target="../tables/table211.xml"/><Relationship Id="rId5" Type="http://schemas.openxmlformats.org/officeDocument/2006/relationships/table" Target="../tables/table205.xml"/><Relationship Id="rId15" Type="http://schemas.openxmlformats.org/officeDocument/2006/relationships/table" Target="../tables/table215.xml"/><Relationship Id="rId10" Type="http://schemas.openxmlformats.org/officeDocument/2006/relationships/table" Target="../tables/table210.xml"/><Relationship Id="rId4" Type="http://schemas.openxmlformats.org/officeDocument/2006/relationships/table" Target="../tables/table204.xml"/><Relationship Id="rId9" Type="http://schemas.openxmlformats.org/officeDocument/2006/relationships/table" Target="../tables/table209.xml"/><Relationship Id="rId14" Type="http://schemas.openxmlformats.org/officeDocument/2006/relationships/table" Target="../tables/table214.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5.xml"/><Relationship Id="rId13" Type="http://schemas.openxmlformats.org/officeDocument/2006/relationships/table" Target="../tables/table230.xml"/><Relationship Id="rId3" Type="http://schemas.openxmlformats.org/officeDocument/2006/relationships/table" Target="../tables/table220.xml"/><Relationship Id="rId7" Type="http://schemas.openxmlformats.org/officeDocument/2006/relationships/table" Target="../tables/table224.xml"/><Relationship Id="rId12" Type="http://schemas.openxmlformats.org/officeDocument/2006/relationships/table" Target="../tables/table229.xml"/><Relationship Id="rId17" Type="http://schemas.openxmlformats.org/officeDocument/2006/relationships/table" Target="../tables/table234.xml"/><Relationship Id="rId2" Type="http://schemas.openxmlformats.org/officeDocument/2006/relationships/table" Target="../tables/table219.xml"/><Relationship Id="rId16" Type="http://schemas.openxmlformats.org/officeDocument/2006/relationships/table" Target="../tables/table233.xml"/><Relationship Id="rId1" Type="http://schemas.openxmlformats.org/officeDocument/2006/relationships/table" Target="../tables/table218.xml"/><Relationship Id="rId6" Type="http://schemas.openxmlformats.org/officeDocument/2006/relationships/table" Target="../tables/table223.xml"/><Relationship Id="rId11" Type="http://schemas.openxmlformats.org/officeDocument/2006/relationships/table" Target="../tables/table228.xml"/><Relationship Id="rId5" Type="http://schemas.openxmlformats.org/officeDocument/2006/relationships/table" Target="../tables/table222.xml"/><Relationship Id="rId15" Type="http://schemas.openxmlformats.org/officeDocument/2006/relationships/table" Target="../tables/table232.xml"/><Relationship Id="rId10" Type="http://schemas.openxmlformats.org/officeDocument/2006/relationships/table" Target="../tables/table227.xml"/><Relationship Id="rId4" Type="http://schemas.openxmlformats.org/officeDocument/2006/relationships/table" Target="../tables/table221.xml"/><Relationship Id="rId9" Type="http://schemas.openxmlformats.org/officeDocument/2006/relationships/table" Target="../tables/table226.xml"/><Relationship Id="rId14" Type="http://schemas.openxmlformats.org/officeDocument/2006/relationships/table" Target="../tables/table231.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42.xml"/><Relationship Id="rId13" Type="http://schemas.openxmlformats.org/officeDocument/2006/relationships/table" Target="../tables/table247.xml"/><Relationship Id="rId3" Type="http://schemas.openxmlformats.org/officeDocument/2006/relationships/table" Target="../tables/table237.xml"/><Relationship Id="rId7" Type="http://schemas.openxmlformats.org/officeDocument/2006/relationships/table" Target="../tables/table241.xml"/><Relationship Id="rId12" Type="http://schemas.openxmlformats.org/officeDocument/2006/relationships/table" Target="../tables/table246.xml"/><Relationship Id="rId17" Type="http://schemas.openxmlformats.org/officeDocument/2006/relationships/table" Target="../tables/table251.xml"/><Relationship Id="rId2" Type="http://schemas.openxmlformats.org/officeDocument/2006/relationships/table" Target="../tables/table236.xml"/><Relationship Id="rId16" Type="http://schemas.openxmlformats.org/officeDocument/2006/relationships/table" Target="../tables/table250.xml"/><Relationship Id="rId1" Type="http://schemas.openxmlformats.org/officeDocument/2006/relationships/table" Target="../tables/table235.xml"/><Relationship Id="rId6" Type="http://schemas.openxmlformats.org/officeDocument/2006/relationships/table" Target="../tables/table240.xml"/><Relationship Id="rId11" Type="http://schemas.openxmlformats.org/officeDocument/2006/relationships/table" Target="../tables/table245.xml"/><Relationship Id="rId5" Type="http://schemas.openxmlformats.org/officeDocument/2006/relationships/table" Target="../tables/table239.xml"/><Relationship Id="rId15" Type="http://schemas.openxmlformats.org/officeDocument/2006/relationships/table" Target="../tables/table249.xml"/><Relationship Id="rId10" Type="http://schemas.openxmlformats.org/officeDocument/2006/relationships/table" Target="../tables/table244.xml"/><Relationship Id="rId4" Type="http://schemas.openxmlformats.org/officeDocument/2006/relationships/table" Target="../tables/table238.xml"/><Relationship Id="rId9" Type="http://schemas.openxmlformats.org/officeDocument/2006/relationships/table" Target="../tables/table243.xml"/><Relationship Id="rId14" Type="http://schemas.openxmlformats.org/officeDocument/2006/relationships/table" Target="../tables/table248.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259.xml"/><Relationship Id="rId13" Type="http://schemas.openxmlformats.org/officeDocument/2006/relationships/table" Target="../tables/table264.xml"/><Relationship Id="rId3" Type="http://schemas.openxmlformats.org/officeDocument/2006/relationships/table" Target="../tables/table254.xml"/><Relationship Id="rId7" Type="http://schemas.openxmlformats.org/officeDocument/2006/relationships/table" Target="../tables/table258.xml"/><Relationship Id="rId12" Type="http://schemas.openxmlformats.org/officeDocument/2006/relationships/table" Target="../tables/table263.xml"/><Relationship Id="rId17" Type="http://schemas.openxmlformats.org/officeDocument/2006/relationships/table" Target="../tables/table268.xml"/><Relationship Id="rId2" Type="http://schemas.openxmlformats.org/officeDocument/2006/relationships/table" Target="../tables/table253.xml"/><Relationship Id="rId16" Type="http://schemas.openxmlformats.org/officeDocument/2006/relationships/table" Target="../tables/table267.xml"/><Relationship Id="rId1" Type="http://schemas.openxmlformats.org/officeDocument/2006/relationships/table" Target="../tables/table252.xml"/><Relationship Id="rId6" Type="http://schemas.openxmlformats.org/officeDocument/2006/relationships/table" Target="../tables/table257.xml"/><Relationship Id="rId11" Type="http://schemas.openxmlformats.org/officeDocument/2006/relationships/table" Target="../tables/table262.xml"/><Relationship Id="rId5" Type="http://schemas.openxmlformats.org/officeDocument/2006/relationships/table" Target="../tables/table256.xml"/><Relationship Id="rId15" Type="http://schemas.openxmlformats.org/officeDocument/2006/relationships/table" Target="../tables/table266.xml"/><Relationship Id="rId10" Type="http://schemas.openxmlformats.org/officeDocument/2006/relationships/table" Target="../tables/table261.xml"/><Relationship Id="rId4" Type="http://schemas.openxmlformats.org/officeDocument/2006/relationships/table" Target="../tables/table255.xml"/><Relationship Id="rId9" Type="http://schemas.openxmlformats.org/officeDocument/2006/relationships/table" Target="../tables/table260.xml"/><Relationship Id="rId14" Type="http://schemas.openxmlformats.org/officeDocument/2006/relationships/table" Target="../tables/table26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276.xml"/><Relationship Id="rId13" Type="http://schemas.openxmlformats.org/officeDocument/2006/relationships/table" Target="../tables/table281.xml"/><Relationship Id="rId3" Type="http://schemas.openxmlformats.org/officeDocument/2006/relationships/table" Target="../tables/table271.xml"/><Relationship Id="rId7" Type="http://schemas.openxmlformats.org/officeDocument/2006/relationships/table" Target="../tables/table275.xml"/><Relationship Id="rId12" Type="http://schemas.openxmlformats.org/officeDocument/2006/relationships/table" Target="../tables/table280.xml"/><Relationship Id="rId2" Type="http://schemas.openxmlformats.org/officeDocument/2006/relationships/table" Target="../tables/table270.xml"/><Relationship Id="rId1" Type="http://schemas.openxmlformats.org/officeDocument/2006/relationships/table" Target="../tables/table269.xml"/><Relationship Id="rId6" Type="http://schemas.openxmlformats.org/officeDocument/2006/relationships/table" Target="../tables/table274.xml"/><Relationship Id="rId11" Type="http://schemas.openxmlformats.org/officeDocument/2006/relationships/table" Target="../tables/table279.xml"/><Relationship Id="rId5" Type="http://schemas.openxmlformats.org/officeDocument/2006/relationships/table" Target="../tables/table273.xml"/><Relationship Id="rId15" Type="http://schemas.openxmlformats.org/officeDocument/2006/relationships/table" Target="../tables/table283.xml"/><Relationship Id="rId10" Type="http://schemas.openxmlformats.org/officeDocument/2006/relationships/table" Target="../tables/table278.xml"/><Relationship Id="rId4" Type="http://schemas.openxmlformats.org/officeDocument/2006/relationships/table" Target="../tables/table272.xml"/><Relationship Id="rId9" Type="http://schemas.openxmlformats.org/officeDocument/2006/relationships/table" Target="../tables/table277.xml"/><Relationship Id="rId14" Type="http://schemas.openxmlformats.org/officeDocument/2006/relationships/table" Target="../tables/table282.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291.xml"/><Relationship Id="rId13" Type="http://schemas.openxmlformats.org/officeDocument/2006/relationships/table" Target="../tables/table296.xml"/><Relationship Id="rId3" Type="http://schemas.openxmlformats.org/officeDocument/2006/relationships/table" Target="../tables/table286.xml"/><Relationship Id="rId7" Type="http://schemas.openxmlformats.org/officeDocument/2006/relationships/table" Target="../tables/table290.xml"/><Relationship Id="rId12" Type="http://schemas.openxmlformats.org/officeDocument/2006/relationships/table" Target="../tables/table295.xml"/><Relationship Id="rId2" Type="http://schemas.openxmlformats.org/officeDocument/2006/relationships/table" Target="../tables/table285.xml"/><Relationship Id="rId1" Type="http://schemas.openxmlformats.org/officeDocument/2006/relationships/table" Target="../tables/table284.xml"/><Relationship Id="rId6" Type="http://schemas.openxmlformats.org/officeDocument/2006/relationships/table" Target="../tables/table289.xml"/><Relationship Id="rId11" Type="http://schemas.openxmlformats.org/officeDocument/2006/relationships/table" Target="../tables/table294.xml"/><Relationship Id="rId5" Type="http://schemas.openxmlformats.org/officeDocument/2006/relationships/table" Target="../tables/table288.xml"/><Relationship Id="rId15" Type="http://schemas.openxmlformats.org/officeDocument/2006/relationships/table" Target="../tables/table298.xml"/><Relationship Id="rId10" Type="http://schemas.openxmlformats.org/officeDocument/2006/relationships/table" Target="../tables/table293.xml"/><Relationship Id="rId4" Type="http://schemas.openxmlformats.org/officeDocument/2006/relationships/table" Target="../tables/table287.xml"/><Relationship Id="rId9" Type="http://schemas.openxmlformats.org/officeDocument/2006/relationships/table" Target="../tables/table292.xml"/><Relationship Id="rId14" Type="http://schemas.openxmlformats.org/officeDocument/2006/relationships/table" Target="../tables/table297.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306.xml"/><Relationship Id="rId13" Type="http://schemas.openxmlformats.org/officeDocument/2006/relationships/table" Target="../tables/table311.xml"/><Relationship Id="rId3" Type="http://schemas.openxmlformats.org/officeDocument/2006/relationships/table" Target="../tables/table301.xml"/><Relationship Id="rId7" Type="http://schemas.openxmlformats.org/officeDocument/2006/relationships/table" Target="../tables/table305.xml"/><Relationship Id="rId12" Type="http://schemas.openxmlformats.org/officeDocument/2006/relationships/table" Target="../tables/table310.xml"/><Relationship Id="rId2" Type="http://schemas.openxmlformats.org/officeDocument/2006/relationships/table" Target="../tables/table300.xml"/><Relationship Id="rId1" Type="http://schemas.openxmlformats.org/officeDocument/2006/relationships/table" Target="../tables/table299.xml"/><Relationship Id="rId6" Type="http://schemas.openxmlformats.org/officeDocument/2006/relationships/table" Target="../tables/table304.xml"/><Relationship Id="rId11" Type="http://schemas.openxmlformats.org/officeDocument/2006/relationships/table" Target="../tables/table309.xml"/><Relationship Id="rId5" Type="http://schemas.openxmlformats.org/officeDocument/2006/relationships/table" Target="../tables/table303.xml"/><Relationship Id="rId15" Type="http://schemas.openxmlformats.org/officeDocument/2006/relationships/table" Target="../tables/table313.xml"/><Relationship Id="rId10" Type="http://schemas.openxmlformats.org/officeDocument/2006/relationships/table" Target="../tables/table308.xml"/><Relationship Id="rId4" Type="http://schemas.openxmlformats.org/officeDocument/2006/relationships/table" Target="../tables/table302.xml"/><Relationship Id="rId9" Type="http://schemas.openxmlformats.org/officeDocument/2006/relationships/table" Target="../tables/table307.xml"/><Relationship Id="rId14" Type="http://schemas.openxmlformats.org/officeDocument/2006/relationships/table" Target="../tables/table312.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321.xml"/><Relationship Id="rId13" Type="http://schemas.openxmlformats.org/officeDocument/2006/relationships/table" Target="../tables/table326.xml"/><Relationship Id="rId3" Type="http://schemas.openxmlformats.org/officeDocument/2006/relationships/table" Target="../tables/table316.xml"/><Relationship Id="rId7" Type="http://schemas.openxmlformats.org/officeDocument/2006/relationships/table" Target="../tables/table320.xml"/><Relationship Id="rId12" Type="http://schemas.openxmlformats.org/officeDocument/2006/relationships/table" Target="../tables/table325.xml"/><Relationship Id="rId2" Type="http://schemas.openxmlformats.org/officeDocument/2006/relationships/table" Target="../tables/table315.xml"/><Relationship Id="rId1" Type="http://schemas.openxmlformats.org/officeDocument/2006/relationships/table" Target="../tables/table314.xml"/><Relationship Id="rId6" Type="http://schemas.openxmlformats.org/officeDocument/2006/relationships/table" Target="../tables/table319.xml"/><Relationship Id="rId11" Type="http://schemas.openxmlformats.org/officeDocument/2006/relationships/table" Target="../tables/table324.xml"/><Relationship Id="rId5" Type="http://schemas.openxmlformats.org/officeDocument/2006/relationships/table" Target="../tables/table318.xml"/><Relationship Id="rId15" Type="http://schemas.openxmlformats.org/officeDocument/2006/relationships/table" Target="../tables/table328.xml"/><Relationship Id="rId10" Type="http://schemas.openxmlformats.org/officeDocument/2006/relationships/table" Target="../tables/table323.xml"/><Relationship Id="rId4" Type="http://schemas.openxmlformats.org/officeDocument/2006/relationships/table" Target="../tables/table317.xml"/><Relationship Id="rId9" Type="http://schemas.openxmlformats.org/officeDocument/2006/relationships/table" Target="../tables/table322.xml"/><Relationship Id="rId14" Type="http://schemas.openxmlformats.org/officeDocument/2006/relationships/table" Target="../tables/table327.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336.xml"/><Relationship Id="rId13" Type="http://schemas.openxmlformats.org/officeDocument/2006/relationships/table" Target="../tables/table341.xml"/><Relationship Id="rId3" Type="http://schemas.openxmlformats.org/officeDocument/2006/relationships/table" Target="../tables/table331.xml"/><Relationship Id="rId7" Type="http://schemas.openxmlformats.org/officeDocument/2006/relationships/table" Target="../tables/table335.xml"/><Relationship Id="rId12" Type="http://schemas.openxmlformats.org/officeDocument/2006/relationships/table" Target="../tables/table340.xml"/><Relationship Id="rId2" Type="http://schemas.openxmlformats.org/officeDocument/2006/relationships/table" Target="../tables/table330.xml"/><Relationship Id="rId1" Type="http://schemas.openxmlformats.org/officeDocument/2006/relationships/table" Target="../tables/table329.xml"/><Relationship Id="rId6" Type="http://schemas.openxmlformats.org/officeDocument/2006/relationships/table" Target="../tables/table334.xml"/><Relationship Id="rId11" Type="http://schemas.openxmlformats.org/officeDocument/2006/relationships/table" Target="../tables/table339.xml"/><Relationship Id="rId5" Type="http://schemas.openxmlformats.org/officeDocument/2006/relationships/table" Target="../tables/table333.xml"/><Relationship Id="rId15" Type="http://schemas.openxmlformats.org/officeDocument/2006/relationships/table" Target="../tables/table343.xml"/><Relationship Id="rId10" Type="http://schemas.openxmlformats.org/officeDocument/2006/relationships/table" Target="../tables/table338.xml"/><Relationship Id="rId4" Type="http://schemas.openxmlformats.org/officeDocument/2006/relationships/table" Target="../tables/table332.xml"/><Relationship Id="rId9" Type="http://schemas.openxmlformats.org/officeDocument/2006/relationships/table" Target="../tables/table337.xml"/><Relationship Id="rId14" Type="http://schemas.openxmlformats.org/officeDocument/2006/relationships/table" Target="../tables/table342.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351.xml"/><Relationship Id="rId3" Type="http://schemas.openxmlformats.org/officeDocument/2006/relationships/table" Target="../tables/table346.xml"/><Relationship Id="rId7" Type="http://schemas.openxmlformats.org/officeDocument/2006/relationships/table" Target="../tables/table350.xml"/><Relationship Id="rId2" Type="http://schemas.openxmlformats.org/officeDocument/2006/relationships/table" Target="../tables/table345.xml"/><Relationship Id="rId1" Type="http://schemas.openxmlformats.org/officeDocument/2006/relationships/table" Target="../tables/table344.xml"/><Relationship Id="rId6" Type="http://schemas.openxmlformats.org/officeDocument/2006/relationships/table" Target="../tables/table349.xml"/><Relationship Id="rId5" Type="http://schemas.openxmlformats.org/officeDocument/2006/relationships/table" Target="../tables/table348.xml"/><Relationship Id="rId10" Type="http://schemas.openxmlformats.org/officeDocument/2006/relationships/table" Target="../tables/table353.xml"/><Relationship Id="rId4" Type="http://schemas.openxmlformats.org/officeDocument/2006/relationships/table" Target="../tables/table347.xml"/><Relationship Id="rId9" Type="http://schemas.openxmlformats.org/officeDocument/2006/relationships/table" Target="../tables/table352.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361.xml"/><Relationship Id="rId3" Type="http://schemas.openxmlformats.org/officeDocument/2006/relationships/table" Target="../tables/table356.xml"/><Relationship Id="rId7" Type="http://schemas.openxmlformats.org/officeDocument/2006/relationships/table" Target="../tables/table360.xml"/><Relationship Id="rId2" Type="http://schemas.openxmlformats.org/officeDocument/2006/relationships/table" Target="../tables/table355.xml"/><Relationship Id="rId1" Type="http://schemas.openxmlformats.org/officeDocument/2006/relationships/table" Target="../tables/table354.xml"/><Relationship Id="rId6" Type="http://schemas.openxmlformats.org/officeDocument/2006/relationships/table" Target="../tables/table359.xml"/><Relationship Id="rId5" Type="http://schemas.openxmlformats.org/officeDocument/2006/relationships/table" Target="../tables/table358.xml"/><Relationship Id="rId10" Type="http://schemas.openxmlformats.org/officeDocument/2006/relationships/table" Target="../tables/table363.xml"/><Relationship Id="rId4" Type="http://schemas.openxmlformats.org/officeDocument/2006/relationships/table" Target="../tables/table357.xml"/><Relationship Id="rId9" Type="http://schemas.openxmlformats.org/officeDocument/2006/relationships/table" Target="../tables/table362.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371.xml"/><Relationship Id="rId3" Type="http://schemas.openxmlformats.org/officeDocument/2006/relationships/table" Target="../tables/table366.xml"/><Relationship Id="rId7" Type="http://schemas.openxmlformats.org/officeDocument/2006/relationships/table" Target="../tables/table370.xml"/><Relationship Id="rId2" Type="http://schemas.openxmlformats.org/officeDocument/2006/relationships/table" Target="../tables/table365.xml"/><Relationship Id="rId1" Type="http://schemas.openxmlformats.org/officeDocument/2006/relationships/table" Target="../tables/table364.xml"/><Relationship Id="rId6" Type="http://schemas.openxmlformats.org/officeDocument/2006/relationships/table" Target="../tables/table369.xml"/><Relationship Id="rId5" Type="http://schemas.openxmlformats.org/officeDocument/2006/relationships/table" Target="../tables/table368.xml"/><Relationship Id="rId10" Type="http://schemas.openxmlformats.org/officeDocument/2006/relationships/table" Target="../tables/table373.xml"/><Relationship Id="rId4" Type="http://schemas.openxmlformats.org/officeDocument/2006/relationships/table" Target="../tables/table367.xml"/><Relationship Id="rId9" Type="http://schemas.openxmlformats.org/officeDocument/2006/relationships/table" Target="../tables/table372.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381.xml"/><Relationship Id="rId3" Type="http://schemas.openxmlformats.org/officeDocument/2006/relationships/table" Target="../tables/table376.xml"/><Relationship Id="rId7" Type="http://schemas.openxmlformats.org/officeDocument/2006/relationships/table" Target="../tables/table380.xml"/><Relationship Id="rId2" Type="http://schemas.openxmlformats.org/officeDocument/2006/relationships/table" Target="../tables/table375.xml"/><Relationship Id="rId1" Type="http://schemas.openxmlformats.org/officeDocument/2006/relationships/table" Target="../tables/table374.xml"/><Relationship Id="rId6" Type="http://schemas.openxmlformats.org/officeDocument/2006/relationships/table" Target="../tables/table379.xml"/><Relationship Id="rId5" Type="http://schemas.openxmlformats.org/officeDocument/2006/relationships/table" Target="../tables/table378.xml"/><Relationship Id="rId10" Type="http://schemas.openxmlformats.org/officeDocument/2006/relationships/table" Target="../tables/table383.xml"/><Relationship Id="rId4" Type="http://schemas.openxmlformats.org/officeDocument/2006/relationships/table" Target="../tables/table377.xml"/><Relationship Id="rId9" Type="http://schemas.openxmlformats.org/officeDocument/2006/relationships/table" Target="../tables/table382.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391.xml"/><Relationship Id="rId3" Type="http://schemas.openxmlformats.org/officeDocument/2006/relationships/table" Target="../tables/table386.xml"/><Relationship Id="rId7" Type="http://schemas.openxmlformats.org/officeDocument/2006/relationships/table" Target="../tables/table390.xml"/><Relationship Id="rId2" Type="http://schemas.openxmlformats.org/officeDocument/2006/relationships/table" Target="../tables/table385.xml"/><Relationship Id="rId1" Type="http://schemas.openxmlformats.org/officeDocument/2006/relationships/table" Target="../tables/table384.xml"/><Relationship Id="rId6" Type="http://schemas.openxmlformats.org/officeDocument/2006/relationships/table" Target="../tables/table389.xml"/><Relationship Id="rId5" Type="http://schemas.openxmlformats.org/officeDocument/2006/relationships/table" Target="../tables/table388.xml"/><Relationship Id="rId10" Type="http://schemas.openxmlformats.org/officeDocument/2006/relationships/table" Target="../tables/table393.xml"/><Relationship Id="rId4" Type="http://schemas.openxmlformats.org/officeDocument/2006/relationships/table" Target="../tables/table387.xml"/><Relationship Id="rId9" Type="http://schemas.openxmlformats.org/officeDocument/2006/relationships/table" Target="../tables/table392.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401.xml"/><Relationship Id="rId3" Type="http://schemas.openxmlformats.org/officeDocument/2006/relationships/table" Target="../tables/table396.xml"/><Relationship Id="rId7" Type="http://schemas.openxmlformats.org/officeDocument/2006/relationships/table" Target="../tables/table400.xml"/><Relationship Id="rId2" Type="http://schemas.openxmlformats.org/officeDocument/2006/relationships/table" Target="../tables/table395.xml"/><Relationship Id="rId1" Type="http://schemas.openxmlformats.org/officeDocument/2006/relationships/table" Target="../tables/table394.xml"/><Relationship Id="rId6" Type="http://schemas.openxmlformats.org/officeDocument/2006/relationships/table" Target="../tables/table399.xml"/><Relationship Id="rId5" Type="http://schemas.openxmlformats.org/officeDocument/2006/relationships/table" Target="../tables/table398.xml"/><Relationship Id="rId10" Type="http://schemas.openxmlformats.org/officeDocument/2006/relationships/table" Target="../tables/table403.xml"/><Relationship Id="rId4" Type="http://schemas.openxmlformats.org/officeDocument/2006/relationships/table" Target="../tables/table397.xml"/><Relationship Id="rId9" Type="http://schemas.openxmlformats.org/officeDocument/2006/relationships/table" Target="../tables/table402.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411.xml"/><Relationship Id="rId3" Type="http://schemas.openxmlformats.org/officeDocument/2006/relationships/table" Target="../tables/table406.xml"/><Relationship Id="rId7" Type="http://schemas.openxmlformats.org/officeDocument/2006/relationships/table" Target="../tables/table410.xml"/><Relationship Id="rId2" Type="http://schemas.openxmlformats.org/officeDocument/2006/relationships/table" Target="../tables/table405.xml"/><Relationship Id="rId1" Type="http://schemas.openxmlformats.org/officeDocument/2006/relationships/table" Target="../tables/table404.xml"/><Relationship Id="rId6" Type="http://schemas.openxmlformats.org/officeDocument/2006/relationships/table" Target="../tables/table409.xml"/><Relationship Id="rId5" Type="http://schemas.openxmlformats.org/officeDocument/2006/relationships/table" Target="../tables/table408.xml"/><Relationship Id="rId10" Type="http://schemas.openxmlformats.org/officeDocument/2006/relationships/table" Target="../tables/table413.xml"/><Relationship Id="rId4" Type="http://schemas.openxmlformats.org/officeDocument/2006/relationships/table" Target="../tables/table407.xml"/><Relationship Id="rId9" Type="http://schemas.openxmlformats.org/officeDocument/2006/relationships/table" Target="../tables/table412.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421.xml"/><Relationship Id="rId3" Type="http://schemas.openxmlformats.org/officeDocument/2006/relationships/table" Target="../tables/table416.xml"/><Relationship Id="rId7" Type="http://schemas.openxmlformats.org/officeDocument/2006/relationships/table" Target="../tables/table420.xml"/><Relationship Id="rId2" Type="http://schemas.openxmlformats.org/officeDocument/2006/relationships/table" Target="../tables/table415.xml"/><Relationship Id="rId1" Type="http://schemas.openxmlformats.org/officeDocument/2006/relationships/table" Target="../tables/table414.xml"/><Relationship Id="rId6" Type="http://schemas.openxmlformats.org/officeDocument/2006/relationships/table" Target="../tables/table419.xml"/><Relationship Id="rId5" Type="http://schemas.openxmlformats.org/officeDocument/2006/relationships/table" Target="../tables/table418.xml"/><Relationship Id="rId10" Type="http://schemas.openxmlformats.org/officeDocument/2006/relationships/table" Target="../tables/table423.xml"/><Relationship Id="rId4" Type="http://schemas.openxmlformats.org/officeDocument/2006/relationships/table" Target="../tables/table417.xml"/><Relationship Id="rId9" Type="http://schemas.openxmlformats.org/officeDocument/2006/relationships/table" Target="../tables/table422.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431.xml"/><Relationship Id="rId3" Type="http://schemas.openxmlformats.org/officeDocument/2006/relationships/table" Target="../tables/table426.xml"/><Relationship Id="rId7" Type="http://schemas.openxmlformats.org/officeDocument/2006/relationships/table" Target="../tables/table430.xml"/><Relationship Id="rId2" Type="http://schemas.openxmlformats.org/officeDocument/2006/relationships/table" Target="../tables/table425.xml"/><Relationship Id="rId1" Type="http://schemas.openxmlformats.org/officeDocument/2006/relationships/table" Target="../tables/table424.xml"/><Relationship Id="rId6" Type="http://schemas.openxmlformats.org/officeDocument/2006/relationships/table" Target="../tables/table429.xml"/><Relationship Id="rId5" Type="http://schemas.openxmlformats.org/officeDocument/2006/relationships/table" Target="../tables/table428.xml"/><Relationship Id="rId10" Type="http://schemas.openxmlformats.org/officeDocument/2006/relationships/table" Target="../tables/table433.xml"/><Relationship Id="rId4" Type="http://schemas.openxmlformats.org/officeDocument/2006/relationships/table" Target="../tables/table427.xml"/><Relationship Id="rId9" Type="http://schemas.openxmlformats.org/officeDocument/2006/relationships/table" Target="../tables/table432.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441.xml"/><Relationship Id="rId3" Type="http://schemas.openxmlformats.org/officeDocument/2006/relationships/table" Target="../tables/table436.xml"/><Relationship Id="rId7" Type="http://schemas.openxmlformats.org/officeDocument/2006/relationships/table" Target="../tables/table440.xml"/><Relationship Id="rId2" Type="http://schemas.openxmlformats.org/officeDocument/2006/relationships/table" Target="../tables/table435.xml"/><Relationship Id="rId1" Type="http://schemas.openxmlformats.org/officeDocument/2006/relationships/table" Target="../tables/table434.xml"/><Relationship Id="rId6" Type="http://schemas.openxmlformats.org/officeDocument/2006/relationships/table" Target="../tables/table439.xml"/><Relationship Id="rId5" Type="http://schemas.openxmlformats.org/officeDocument/2006/relationships/table" Target="../tables/table438.xml"/><Relationship Id="rId10" Type="http://schemas.openxmlformats.org/officeDocument/2006/relationships/table" Target="../tables/table443.xml"/><Relationship Id="rId4" Type="http://schemas.openxmlformats.org/officeDocument/2006/relationships/table" Target="../tables/table437.xml"/><Relationship Id="rId9" Type="http://schemas.openxmlformats.org/officeDocument/2006/relationships/table" Target="../tables/table442.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451.xml"/><Relationship Id="rId3" Type="http://schemas.openxmlformats.org/officeDocument/2006/relationships/table" Target="../tables/table446.xml"/><Relationship Id="rId7" Type="http://schemas.openxmlformats.org/officeDocument/2006/relationships/table" Target="../tables/table450.xml"/><Relationship Id="rId2" Type="http://schemas.openxmlformats.org/officeDocument/2006/relationships/table" Target="../tables/table445.xml"/><Relationship Id="rId1" Type="http://schemas.openxmlformats.org/officeDocument/2006/relationships/table" Target="../tables/table444.xml"/><Relationship Id="rId6" Type="http://schemas.openxmlformats.org/officeDocument/2006/relationships/table" Target="../tables/table449.xml"/><Relationship Id="rId5" Type="http://schemas.openxmlformats.org/officeDocument/2006/relationships/table" Target="../tables/table448.xml"/><Relationship Id="rId10" Type="http://schemas.openxmlformats.org/officeDocument/2006/relationships/table" Target="../tables/table453.xml"/><Relationship Id="rId4" Type="http://schemas.openxmlformats.org/officeDocument/2006/relationships/table" Target="../tables/table447.xml"/><Relationship Id="rId9" Type="http://schemas.openxmlformats.org/officeDocument/2006/relationships/table" Target="../tables/table452.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461.xml"/><Relationship Id="rId3" Type="http://schemas.openxmlformats.org/officeDocument/2006/relationships/table" Target="../tables/table456.xml"/><Relationship Id="rId7" Type="http://schemas.openxmlformats.org/officeDocument/2006/relationships/table" Target="../tables/table460.xml"/><Relationship Id="rId2" Type="http://schemas.openxmlformats.org/officeDocument/2006/relationships/table" Target="../tables/table455.xml"/><Relationship Id="rId1" Type="http://schemas.openxmlformats.org/officeDocument/2006/relationships/table" Target="../tables/table454.xml"/><Relationship Id="rId6" Type="http://schemas.openxmlformats.org/officeDocument/2006/relationships/table" Target="../tables/table459.xml"/><Relationship Id="rId5" Type="http://schemas.openxmlformats.org/officeDocument/2006/relationships/table" Target="../tables/table458.xml"/><Relationship Id="rId10" Type="http://schemas.openxmlformats.org/officeDocument/2006/relationships/table" Target="../tables/table463.xml"/><Relationship Id="rId4" Type="http://schemas.openxmlformats.org/officeDocument/2006/relationships/table" Target="../tables/table457.xml"/><Relationship Id="rId9" Type="http://schemas.openxmlformats.org/officeDocument/2006/relationships/table" Target="../tables/table462.xml"/></Relationships>
</file>

<file path=xl/worksheets/_rels/sheet34.xml.rels><?xml version="1.0" encoding="UTF-8" standalone="yes"?>
<Relationships xmlns="http://schemas.openxmlformats.org/package/2006/relationships"><Relationship Id="rId8" Type="http://schemas.openxmlformats.org/officeDocument/2006/relationships/table" Target="../tables/table471.xml"/><Relationship Id="rId3" Type="http://schemas.openxmlformats.org/officeDocument/2006/relationships/table" Target="../tables/table466.xml"/><Relationship Id="rId7" Type="http://schemas.openxmlformats.org/officeDocument/2006/relationships/table" Target="../tables/table470.xml"/><Relationship Id="rId2" Type="http://schemas.openxmlformats.org/officeDocument/2006/relationships/table" Target="../tables/table465.xml"/><Relationship Id="rId1" Type="http://schemas.openxmlformats.org/officeDocument/2006/relationships/table" Target="../tables/table464.xml"/><Relationship Id="rId6" Type="http://schemas.openxmlformats.org/officeDocument/2006/relationships/table" Target="../tables/table469.xml"/><Relationship Id="rId5" Type="http://schemas.openxmlformats.org/officeDocument/2006/relationships/table" Target="../tables/table468.xml"/><Relationship Id="rId10" Type="http://schemas.openxmlformats.org/officeDocument/2006/relationships/table" Target="../tables/table473.xml"/><Relationship Id="rId4" Type="http://schemas.openxmlformats.org/officeDocument/2006/relationships/table" Target="../tables/table467.xml"/><Relationship Id="rId9" Type="http://schemas.openxmlformats.org/officeDocument/2006/relationships/table" Target="../tables/table472.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481.xml"/><Relationship Id="rId3" Type="http://schemas.openxmlformats.org/officeDocument/2006/relationships/table" Target="../tables/table476.xml"/><Relationship Id="rId7" Type="http://schemas.openxmlformats.org/officeDocument/2006/relationships/table" Target="../tables/table480.xml"/><Relationship Id="rId2" Type="http://schemas.openxmlformats.org/officeDocument/2006/relationships/table" Target="../tables/table475.xml"/><Relationship Id="rId1" Type="http://schemas.openxmlformats.org/officeDocument/2006/relationships/table" Target="../tables/table474.xml"/><Relationship Id="rId6" Type="http://schemas.openxmlformats.org/officeDocument/2006/relationships/table" Target="../tables/table479.xml"/><Relationship Id="rId5" Type="http://schemas.openxmlformats.org/officeDocument/2006/relationships/table" Target="../tables/table478.xml"/><Relationship Id="rId10" Type="http://schemas.openxmlformats.org/officeDocument/2006/relationships/table" Target="../tables/table483.xml"/><Relationship Id="rId4" Type="http://schemas.openxmlformats.org/officeDocument/2006/relationships/table" Target="../tables/table477.xml"/><Relationship Id="rId9" Type="http://schemas.openxmlformats.org/officeDocument/2006/relationships/table" Target="../tables/table482.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491.xml"/><Relationship Id="rId3" Type="http://schemas.openxmlformats.org/officeDocument/2006/relationships/table" Target="../tables/table486.xml"/><Relationship Id="rId7" Type="http://schemas.openxmlformats.org/officeDocument/2006/relationships/table" Target="../tables/table490.xml"/><Relationship Id="rId2" Type="http://schemas.openxmlformats.org/officeDocument/2006/relationships/table" Target="../tables/table485.xml"/><Relationship Id="rId1" Type="http://schemas.openxmlformats.org/officeDocument/2006/relationships/table" Target="../tables/table484.xml"/><Relationship Id="rId6" Type="http://schemas.openxmlformats.org/officeDocument/2006/relationships/table" Target="../tables/table489.xml"/><Relationship Id="rId5" Type="http://schemas.openxmlformats.org/officeDocument/2006/relationships/table" Target="../tables/table488.xml"/><Relationship Id="rId10" Type="http://schemas.openxmlformats.org/officeDocument/2006/relationships/table" Target="../tables/table493.xml"/><Relationship Id="rId4" Type="http://schemas.openxmlformats.org/officeDocument/2006/relationships/table" Target="../tables/table487.xml"/><Relationship Id="rId9" Type="http://schemas.openxmlformats.org/officeDocument/2006/relationships/table" Target="../tables/table492.xml"/></Relationships>
</file>

<file path=xl/worksheets/_rels/sheet37.xml.rels><?xml version="1.0" encoding="UTF-8" standalone="yes"?>
<Relationships xmlns="http://schemas.openxmlformats.org/package/2006/relationships"><Relationship Id="rId8" Type="http://schemas.openxmlformats.org/officeDocument/2006/relationships/table" Target="../tables/table501.xml"/><Relationship Id="rId3" Type="http://schemas.openxmlformats.org/officeDocument/2006/relationships/table" Target="../tables/table496.xml"/><Relationship Id="rId7" Type="http://schemas.openxmlformats.org/officeDocument/2006/relationships/table" Target="../tables/table500.xml"/><Relationship Id="rId2" Type="http://schemas.openxmlformats.org/officeDocument/2006/relationships/table" Target="../tables/table495.xml"/><Relationship Id="rId1" Type="http://schemas.openxmlformats.org/officeDocument/2006/relationships/table" Target="../tables/table494.xml"/><Relationship Id="rId6" Type="http://schemas.openxmlformats.org/officeDocument/2006/relationships/table" Target="../tables/table499.xml"/><Relationship Id="rId5" Type="http://schemas.openxmlformats.org/officeDocument/2006/relationships/table" Target="../tables/table498.xml"/><Relationship Id="rId10" Type="http://schemas.openxmlformats.org/officeDocument/2006/relationships/table" Target="../tables/table503.xml"/><Relationship Id="rId4" Type="http://schemas.openxmlformats.org/officeDocument/2006/relationships/table" Target="../tables/table497.xml"/><Relationship Id="rId9" Type="http://schemas.openxmlformats.org/officeDocument/2006/relationships/table" Target="../tables/table502.xml"/></Relationships>
</file>

<file path=xl/worksheets/_rels/sheet38.xml.rels><?xml version="1.0" encoding="UTF-8" standalone="yes"?>
<Relationships xmlns="http://schemas.openxmlformats.org/package/2006/relationships"><Relationship Id="rId8" Type="http://schemas.openxmlformats.org/officeDocument/2006/relationships/table" Target="../tables/table511.xml"/><Relationship Id="rId3" Type="http://schemas.openxmlformats.org/officeDocument/2006/relationships/table" Target="../tables/table506.xml"/><Relationship Id="rId7" Type="http://schemas.openxmlformats.org/officeDocument/2006/relationships/table" Target="../tables/table510.xml"/><Relationship Id="rId2" Type="http://schemas.openxmlformats.org/officeDocument/2006/relationships/table" Target="../tables/table505.xml"/><Relationship Id="rId1" Type="http://schemas.openxmlformats.org/officeDocument/2006/relationships/table" Target="../tables/table504.xml"/><Relationship Id="rId6" Type="http://schemas.openxmlformats.org/officeDocument/2006/relationships/table" Target="../tables/table509.xml"/><Relationship Id="rId5" Type="http://schemas.openxmlformats.org/officeDocument/2006/relationships/table" Target="../tables/table508.xml"/><Relationship Id="rId10" Type="http://schemas.openxmlformats.org/officeDocument/2006/relationships/table" Target="../tables/table513.xml"/><Relationship Id="rId4" Type="http://schemas.openxmlformats.org/officeDocument/2006/relationships/table" Target="../tables/table507.xml"/><Relationship Id="rId9" Type="http://schemas.openxmlformats.org/officeDocument/2006/relationships/table" Target="../tables/table512.xml"/></Relationships>
</file>

<file path=xl/worksheets/_rels/sheet39.xml.rels><?xml version="1.0" encoding="UTF-8" standalone="yes"?>
<Relationships xmlns="http://schemas.openxmlformats.org/package/2006/relationships"><Relationship Id="rId8" Type="http://schemas.openxmlformats.org/officeDocument/2006/relationships/table" Target="../tables/table520.xml"/><Relationship Id="rId3" Type="http://schemas.openxmlformats.org/officeDocument/2006/relationships/table" Target="../tables/table515.xml"/><Relationship Id="rId7" Type="http://schemas.openxmlformats.org/officeDocument/2006/relationships/table" Target="../tables/table519.xml"/><Relationship Id="rId2" Type="http://schemas.openxmlformats.org/officeDocument/2006/relationships/table" Target="../tables/table514.xml"/><Relationship Id="rId1" Type="http://schemas.openxmlformats.org/officeDocument/2006/relationships/drawing" Target="../drawings/drawing1.xml"/><Relationship Id="rId6" Type="http://schemas.openxmlformats.org/officeDocument/2006/relationships/table" Target="../tables/table518.xml"/><Relationship Id="rId11" Type="http://schemas.openxmlformats.org/officeDocument/2006/relationships/table" Target="../tables/table523.xml"/><Relationship Id="rId5" Type="http://schemas.openxmlformats.org/officeDocument/2006/relationships/table" Target="../tables/table517.xml"/><Relationship Id="rId10" Type="http://schemas.openxmlformats.org/officeDocument/2006/relationships/table" Target="../tables/table522.xml"/><Relationship Id="rId4" Type="http://schemas.openxmlformats.org/officeDocument/2006/relationships/table" Target="../tables/table516.xml"/><Relationship Id="rId9" Type="http://schemas.openxmlformats.org/officeDocument/2006/relationships/table" Target="../tables/table5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530.xml"/><Relationship Id="rId3" Type="http://schemas.openxmlformats.org/officeDocument/2006/relationships/table" Target="../tables/table525.xml"/><Relationship Id="rId7" Type="http://schemas.openxmlformats.org/officeDocument/2006/relationships/table" Target="../tables/table529.xml"/><Relationship Id="rId2" Type="http://schemas.openxmlformats.org/officeDocument/2006/relationships/table" Target="../tables/table524.xml"/><Relationship Id="rId1" Type="http://schemas.openxmlformats.org/officeDocument/2006/relationships/drawing" Target="../drawings/drawing2.xml"/><Relationship Id="rId6" Type="http://schemas.openxmlformats.org/officeDocument/2006/relationships/table" Target="../tables/table528.xml"/><Relationship Id="rId11" Type="http://schemas.openxmlformats.org/officeDocument/2006/relationships/table" Target="../tables/table533.xml"/><Relationship Id="rId5" Type="http://schemas.openxmlformats.org/officeDocument/2006/relationships/table" Target="../tables/table527.xml"/><Relationship Id="rId10" Type="http://schemas.openxmlformats.org/officeDocument/2006/relationships/table" Target="../tables/table532.xml"/><Relationship Id="rId4" Type="http://schemas.openxmlformats.org/officeDocument/2006/relationships/table" Target="../tables/table526.xml"/><Relationship Id="rId9" Type="http://schemas.openxmlformats.org/officeDocument/2006/relationships/table" Target="../tables/table531.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540.xml"/><Relationship Id="rId3" Type="http://schemas.openxmlformats.org/officeDocument/2006/relationships/table" Target="../tables/table535.xml"/><Relationship Id="rId7" Type="http://schemas.openxmlformats.org/officeDocument/2006/relationships/table" Target="../tables/table539.xml"/><Relationship Id="rId2" Type="http://schemas.openxmlformats.org/officeDocument/2006/relationships/table" Target="../tables/table534.xml"/><Relationship Id="rId1" Type="http://schemas.openxmlformats.org/officeDocument/2006/relationships/drawing" Target="../drawings/drawing3.xml"/><Relationship Id="rId6" Type="http://schemas.openxmlformats.org/officeDocument/2006/relationships/table" Target="../tables/table538.xml"/><Relationship Id="rId11" Type="http://schemas.openxmlformats.org/officeDocument/2006/relationships/table" Target="../tables/table543.xml"/><Relationship Id="rId5" Type="http://schemas.openxmlformats.org/officeDocument/2006/relationships/table" Target="../tables/table537.xml"/><Relationship Id="rId10" Type="http://schemas.openxmlformats.org/officeDocument/2006/relationships/table" Target="../tables/table542.xml"/><Relationship Id="rId4" Type="http://schemas.openxmlformats.org/officeDocument/2006/relationships/table" Target="../tables/table536.xml"/><Relationship Id="rId9" Type="http://schemas.openxmlformats.org/officeDocument/2006/relationships/table" Target="../tables/table541.xml"/></Relationships>
</file>

<file path=xl/worksheets/_rels/sheet42.xml.rels><?xml version="1.0" encoding="UTF-8" standalone="yes"?>
<Relationships xmlns="http://schemas.openxmlformats.org/package/2006/relationships"><Relationship Id="rId8" Type="http://schemas.openxmlformats.org/officeDocument/2006/relationships/table" Target="../tables/table550.xml"/><Relationship Id="rId3" Type="http://schemas.openxmlformats.org/officeDocument/2006/relationships/table" Target="../tables/table545.xml"/><Relationship Id="rId7" Type="http://schemas.openxmlformats.org/officeDocument/2006/relationships/table" Target="../tables/table549.xml"/><Relationship Id="rId2" Type="http://schemas.openxmlformats.org/officeDocument/2006/relationships/table" Target="../tables/table544.xml"/><Relationship Id="rId1" Type="http://schemas.openxmlformats.org/officeDocument/2006/relationships/drawing" Target="../drawings/drawing4.xml"/><Relationship Id="rId6" Type="http://schemas.openxmlformats.org/officeDocument/2006/relationships/table" Target="../tables/table548.xml"/><Relationship Id="rId11" Type="http://schemas.openxmlformats.org/officeDocument/2006/relationships/table" Target="../tables/table553.xml"/><Relationship Id="rId5" Type="http://schemas.openxmlformats.org/officeDocument/2006/relationships/table" Target="../tables/table547.xml"/><Relationship Id="rId10" Type="http://schemas.openxmlformats.org/officeDocument/2006/relationships/table" Target="../tables/table552.xml"/><Relationship Id="rId4" Type="http://schemas.openxmlformats.org/officeDocument/2006/relationships/table" Target="../tables/table546.xml"/><Relationship Id="rId9" Type="http://schemas.openxmlformats.org/officeDocument/2006/relationships/table" Target="../tables/table551.xml"/></Relationships>
</file>

<file path=xl/worksheets/_rels/sheet43.xml.rels><?xml version="1.0" encoding="UTF-8" standalone="yes"?>
<Relationships xmlns="http://schemas.openxmlformats.org/package/2006/relationships"><Relationship Id="rId8" Type="http://schemas.openxmlformats.org/officeDocument/2006/relationships/table" Target="../tables/table561.xml"/><Relationship Id="rId3" Type="http://schemas.openxmlformats.org/officeDocument/2006/relationships/table" Target="../tables/table556.xml"/><Relationship Id="rId7" Type="http://schemas.openxmlformats.org/officeDocument/2006/relationships/table" Target="../tables/table560.xml"/><Relationship Id="rId2" Type="http://schemas.openxmlformats.org/officeDocument/2006/relationships/table" Target="../tables/table555.xml"/><Relationship Id="rId1" Type="http://schemas.openxmlformats.org/officeDocument/2006/relationships/table" Target="../tables/table554.xml"/><Relationship Id="rId6" Type="http://schemas.openxmlformats.org/officeDocument/2006/relationships/table" Target="../tables/table559.xml"/><Relationship Id="rId5" Type="http://schemas.openxmlformats.org/officeDocument/2006/relationships/table" Target="../tables/table558.xml"/><Relationship Id="rId10" Type="http://schemas.openxmlformats.org/officeDocument/2006/relationships/table" Target="../tables/table563.xml"/><Relationship Id="rId4" Type="http://schemas.openxmlformats.org/officeDocument/2006/relationships/table" Target="../tables/table557.xml"/><Relationship Id="rId9" Type="http://schemas.openxmlformats.org/officeDocument/2006/relationships/table" Target="../tables/table562.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571.xml"/><Relationship Id="rId3" Type="http://schemas.openxmlformats.org/officeDocument/2006/relationships/table" Target="../tables/table566.xml"/><Relationship Id="rId7" Type="http://schemas.openxmlformats.org/officeDocument/2006/relationships/table" Target="../tables/table570.xml"/><Relationship Id="rId2" Type="http://schemas.openxmlformats.org/officeDocument/2006/relationships/table" Target="../tables/table565.xml"/><Relationship Id="rId1" Type="http://schemas.openxmlformats.org/officeDocument/2006/relationships/table" Target="../tables/table564.xml"/><Relationship Id="rId6" Type="http://schemas.openxmlformats.org/officeDocument/2006/relationships/table" Target="../tables/table569.xml"/><Relationship Id="rId5" Type="http://schemas.openxmlformats.org/officeDocument/2006/relationships/table" Target="../tables/table568.xml"/><Relationship Id="rId10" Type="http://schemas.openxmlformats.org/officeDocument/2006/relationships/table" Target="../tables/table573.xml"/><Relationship Id="rId4" Type="http://schemas.openxmlformats.org/officeDocument/2006/relationships/table" Target="../tables/table567.xml"/><Relationship Id="rId9" Type="http://schemas.openxmlformats.org/officeDocument/2006/relationships/table" Target="../tables/table57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00"/>
  <sheetViews>
    <sheetView workbookViewId="0"/>
  </sheetViews>
  <sheetFormatPr defaultColWidth="12.6640625" defaultRowHeight="15.75" customHeight="1"/>
  <cols>
    <col min="1" max="1" width="8.77734375" customWidth="1"/>
    <col min="4" max="6" width="15.44140625" customWidth="1"/>
    <col min="9" max="9" width="15.6640625" customWidth="1"/>
    <col min="10" max="10" width="14.109375" customWidth="1"/>
  </cols>
  <sheetData>
    <row r="1" spans="1:29">
      <c r="A1" s="1" t="s">
        <v>0</v>
      </c>
      <c r="B1" s="2"/>
      <c r="C1" s="3"/>
      <c r="D1" s="4" t="s">
        <v>1</v>
      </c>
      <c r="E1" s="4" t="s">
        <v>2</v>
      </c>
      <c r="F1" s="4" t="s">
        <v>3</v>
      </c>
      <c r="G1" s="1" t="s">
        <v>4</v>
      </c>
      <c r="H1" s="2"/>
      <c r="I1" s="1" t="s">
        <v>2</v>
      </c>
      <c r="J1" s="1" t="s">
        <v>5</v>
      </c>
      <c r="K1" s="5"/>
      <c r="L1" s="6" t="s">
        <v>6</v>
      </c>
      <c r="M1" s="5"/>
      <c r="N1" s="5"/>
      <c r="O1" s="5"/>
      <c r="P1" s="5"/>
      <c r="Q1" s="5"/>
      <c r="R1" s="5"/>
      <c r="S1" s="5"/>
      <c r="T1" s="5"/>
      <c r="U1" s="5"/>
      <c r="V1" s="5"/>
      <c r="W1" s="5"/>
      <c r="X1" s="5"/>
      <c r="Y1" s="5"/>
      <c r="Z1" s="5"/>
      <c r="AA1" s="5"/>
      <c r="AB1" s="5"/>
      <c r="AC1" s="5"/>
    </row>
    <row r="2" spans="1:29">
      <c r="A2" s="7" t="s">
        <v>7</v>
      </c>
      <c r="B2" s="7"/>
      <c r="C2" s="8"/>
      <c r="D2" s="9" t="s">
        <v>8</v>
      </c>
      <c r="E2" s="9" t="s">
        <v>9</v>
      </c>
      <c r="F2" s="9" t="s">
        <v>7</v>
      </c>
      <c r="G2" s="10">
        <v>45953</v>
      </c>
      <c r="H2" s="7"/>
      <c r="I2" s="11" t="s">
        <v>10</v>
      </c>
      <c r="J2" s="11" t="s">
        <v>11</v>
      </c>
      <c r="K2" s="9"/>
      <c r="L2" s="9"/>
      <c r="M2" s="9"/>
      <c r="N2" s="9"/>
      <c r="O2" s="9"/>
      <c r="P2" s="9"/>
      <c r="Q2" s="9"/>
      <c r="R2" s="9"/>
      <c r="S2" s="9"/>
      <c r="T2" s="9"/>
      <c r="U2" s="9"/>
      <c r="V2" s="9"/>
      <c r="W2" s="9"/>
      <c r="X2" s="9"/>
      <c r="Y2" s="9"/>
      <c r="Z2" s="9"/>
      <c r="AA2" s="9"/>
      <c r="AB2" s="9"/>
      <c r="AC2" s="9"/>
    </row>
    <row r="3" spans="1:29">
      <c r="A3" s="7" t="s">
        <v>12</v>
      </c>
      <c r="B3" s="7"/>
      <c r="C3" s="8"/>
      <c r="D3" s="9" t="s">
        <v>13</v>
      </c>
      <c r="E3" s="9" t="s">
        <v>14</v>
      </c>
      <c r="F3" s="9" t="s">
        <v>7</v>
      </c>
      <c r="G3" s="10">
        <v>45960</v>
      </c>
      <c r="H3" s="7"/>
      <c r="I3" s="11" t="s">
        <v>9</v>
      </c>
      <c r="J3" s="11" t="s">
        <v>11</v>
      </c>
      <c r="K3" s="9"/>
      <c r="L3" s="6" t="s">
        <v>15</v>
      </c>
      <c r="M3" s="9"/>
      <c r="N3" s="9"/>
      <c r="O3" s="9"/>
      <c r="P3" s="9"/>
      <c r="Q3" s="9"/>
      <c r="R3" s="9"/>
      <c r="S3" s="9"/>
      <c r="T3" s="9"/>
      <c r="U3" s="9"/>
      <c r="V3" s="9"/>
      <c r="W3" s="9"/>
      <c r="X3" s="9"/>
      <c r="Y3" s="9"/>
      <c r="Z3" s="9"/>
      <c r="AA3" s="9"/>
      <c r="AB3" s="9"/>
      <c r="AC3" s="9"/>
    </row>
    <row r="4" spans="1:29">
      <c r="A4" s="7" t="s">
        <v>16</v>
      </c>
      <c r="B4" s="7"/>
      <c r="C4" s="8"/>
      <c r="D4" s="9" t="s">
        <v>17</v>
      </c>
      <c r="E4" s="9" t="s">
        <v>10</v>
      </c>
      <c r="F4" s="9" t="s">
        <v>7</v>
      </c>
      <c r="G4" s="10">
        <v>45953</v>
      </c>
      <c r="H4" s="7"/>
      <c r="I4" s="12" t="s">
        <v>18</v>
      </c>
      <c r="J4" s="11" t="s">
        <v>11</v>
      </c>
      <c r="K4" s="9"/>
      <c r="L4" s="9"/>
      <c r="M4" s="9"/>
      <c r="N4" s="9"/>
      <c r="O4" s="9"/>
      <c r="P4" s="9"/>
      <c r="Q4" s="9"/>
      <c r="R4" s="9"/>
      <c r="S4" s="9"/>
      <c r="T4" s="9"/>
      <c r="U4" s="9"/>
      <c r="V4" s="9"/>
      <c r="W4" s="9"/>
      <c r="X4" s="9"/>
      <c r="Y4" s="9"/>
      <c r="Z4" s="9"/>
      <c r="AA4" s="9"/>
      <c r="AB4" s="9"/>
      <c r="AC4" s="9"/>
    </row>
    <row r="5" spans="1:29">
      <c r="A5" s="7" t="s">
        <v>19</v>
      </c>
      <c r="B5" s="7"/>
      <c r="C5" s="8"/>
      <c r="D5" s="9" t="s">
        <v>20</v>
      </c>
      <c r="E5" s="9" t="s">
        <v>10</v>
      </c>
      <c r="F5" s="9" t="s">
        <v>7</v>
      </c>
      <c r="G5" s="10">
        <v>45953</v>
      </c>
      <c r="H5" s="7"/>
      <c r="I5" s="12"/>
      <c r="J5" s="12"/>
      <c r="K5" s="9"/>
      <c r="L5" s="9"/>
      <c r="M5" s="9"/>
      <c r="N5" s="9"/>
      <c r="O5" s="9"/>
      <c r="P5" s="9"/>
      <c r="Q5" s="9"/>
      <c r="R5" s="9"/>
      <c r="S5" s="9"/>
      <c r="T5" s="9"/>
      <c r="U5" s="9"/>
      <c r="V5" s="9"/>
      <c r="W5" s="9"/>
      <c r="X5" s="9"/>
      <c r="Y5" s="9"/>
      <c r="Z5" s="9"/>
      <c r="AA5" s="9"/>
      <c r="AB5" s="9"/>
      <c r="AC5" s="9"/>
    </row>
    <row r="6" spans="1:29">
      <c r="A6" s="7" t="s">
        <v>21</v>
      </c>
      <c r="B6" s="7"/>
      <c r="C6" s="8"/>
      <c r="D6" s="9" t="s">
        <v>22</v>
      </c>
      <c r="E6" s="9" t="s">
        <v>23</v>
      </c>
      <c r="F6" s="9" t="s">
        <v>7</v>
      </c>
      <c r="G6" s="10">
        <v>45960</v>
      </c>
      <c r="H6" s="7"/>
      <c r="I6" s="11" t="s">
        <v>24</v>
      </c>
      <c r="J6" s="11" t="s">
        <v>25</v>
      </c>
      <c r="K6" s="9"/>
      <c r="L6" s="9"/>
      <c r="M6" s="9"/>
      <c r="N6" s="9"/>
      <c r="O6" s="9"/>
      <c r="P6" s="9"/>
      <c r="Q6" s="9"/>
      <c r="R6" s="9"/>
      <c r="S6" s="9"/>
      <c r="T6" s="9"/>
      <c r="U6" s="9"/>
      <c r="V6" s="9"/>
      <c r="W6" s="9"/>
      <c r="X6" s="9"/>
      <c r="Y6" s="9"/>
      <c r="Z6" s="9"/>
      <c r="AA6" s="9"/>
      <c r="AB6" s="9"/>
      <c r="AC6" s="9"/>
    </row>
    <row r="7" spans="1:29">
      <c r="A7" s="7" t="s">
        <v>26</v>
      </c>
      <c r="B7" s="7"/>
      <c r="C7" s="8"/>
      <c r="D7" s="9" t="s">
        <v>27</v>
      </c>
      <c r="E7" s="9" t="s">
        <v>23</v>
      </c>
      <c r="F7" s="9" t="s">
        <v>7</v>
      </c>
      <c r="G7" s="10">
        <v>45960</v>
      </c>
      <c r="H7" s="7"/>
      <c r="I7" s="12"/>
      <c r="J7" s="12"/>
      <c r="K7" s="9"/>
      <c r="L7" s="9"/>
      <c r="M7" s="9"/>
      <c r="N7" s="9"/>
      <c r="O7" s="9"/>
      <c r="P7" s="9"/>
      <c r="Q7" s="9"/>
      <c r="R7" s="9"/>
      <c r="S7" s="9"/>
      <c r="T7" s="9"/>
      <c r="U7" s="9"/>
      <c r="V7" s="9"/>
      <c r="W7" s="9"/>
      <c r="X7" s="9"/>
      <c r="Y7" s="9"/>
      <c r="Z7" s="9"/>
      <c r="AA7" s="9"/>
      <c r="AB7" s="9"/>
      <c r="AC7" s="9"/>
    </row>
    <row r="8" spans="1:29">
      <c r="A8" s="7" t="s">
        <v>28</v>
      </c>
      <c r="B8" s="7"/>
      <c r="C8" s="8"/>
      <c r="D8" s="9" t="s">
        <v>29</v>
      </c>
      <c r="E8" s="9" t="s">
        <v>10</v>
      </c>
      <c r="F8" s="9" t="s">
        <v>7</v>
      </c>
      <c r="G8" s="10">
        <v>45960</v>
      </c>
      <c r="H8" s="7"/>
      <c r="I8" s="11" t="s">
        <v>23</v>
      </c>
      <c r="J8" s="11" t="s">
        <v>25</v>
      </c>
      <c r="K8" s="9"/>
      <c r="L8" s="9"/>
      <c r="M8" s="9"/>
      <c r="N8" s="9"/>
      <c r="O8" s="9"/>
      <c r="P8" s="9"/>
      <c r="Q8" s="9"/>
      <c r="R8" s="9"/>
      <c r="S8" s="9"/>
      <c r="T8" s="9"/>
      <c r="U8" s="9"/>
      <c r="V8" s="9"/>
      <c r="W8" s="9"/>
      <c r="X8" s="9"/>
      <c r="Y8" s="9"/>
      <c r="Z8" s="9"/>
      <c r="AA8" s="9"/>
      <c r="AB8" s="9"/>
      <c r="AC8" s="9"/>
    </row>
    <row r="9" spans="1:29">
      <c r="A9" s="7" t="s">
        <v>30</v>
      </c>
      <c r="B9" s="7"/>
      <c r="C9" s="8"/>
      <c r="D9" s="9" t="s">
        <v>31</v>
      </c>
      <c r="E9" s="9" t="s">
        <v>32</v>
      </c>
      <c r="F9" s="9" t="s">
        <v>7</v>
      </c>
      <c r="G9" s="10"/>
      <c r="H9" s="7"/>
      <c r="I9" s="11" t="s">
        <v>33</v>
      </c>
      <c r="J9" s="11" t="s">
        <v>25</v>
      </c>
      <c r="K9" s="9"/>
      <c r="L9" s="9"/>
      <c r="M9" s="9"/>
      <c r="N9" s="9"/>
      <c r="O9" s="9"/>
      <c r="P9" s="9"/>
      <c r="Q9" s="9"/>
      <c r="R9" s="9"/>
      <c r="S9" s="9"/>
      <c r="T9" s="9"/>
      <c r="U9" s="9"/>
      <c r="V9" s="9"/>
      <c r="W9" s="9"/>
      <c r="X9" s="9"/>
      <c r="Y9" s="9"/>
      <c r="Z9" s="9"/>
      <c r="AA9" s="9"/>
      <c r="AB9" s="9"/>
      <c r="AC9" s="9"/>
    </row>
    <row r="10" spans="1:29">
      <c r="A10" s="7" t="s">
        <v>34</v>
      </c>
      <c r="B10" s="7"/>
      <c r="C10" s="8"/>
      <c r="D10" s="9" t="s">
        <v>35</v>
      </c>
      <c r="E10" s="9" t="s">
        <v>14</v>
      </c>
      <c r="F10" s="9" t="s">
        <v>7</v>
      </c>
      <c r="G10" s="10">
        <v>45953</v>
      </c>
      <c r="H10" s="7"/>
      <c r="I10" s="12"/>
      <c r="J10" s="12"/>
      <c r="K10" s="9"/>
      <c r="L10" s="9"/>
      <c r="M10" s="9"/>
      <c r="N10" s="9"/>
      <c r="O10" s="9"/>
      <c r="P10" s="9"/>
      <c r="Q10" s="9"/>
      <c r="R10" s="9"/>
      <c r="S10" s="9"/>
      <c r="T10" s="9"/>
      <c r="U10" s="9"/>
      <c r="V10" s="9"/>
      <c r="W10" s="9"/>
      <c r="X10" s="9"/>
      <c r="Y10" s="9"/>
      <c r="Z10" s="9"/>
      <c r="AA10" s="9"/>
      <c r="AB10" s="9"/>
      <c r="AC10" s="9"/>
    </row>
    <row r="11" spans="1:29">
      <c r="A11" s="7" t="s">
        <v>36</v>
      </c>
      <c r="B11" s="7"/>
      <c r="C11" s="8"/>
      <c r="D11" s="9" t="s">
        <v>37</v>
      </c>
      <c r="E11" s="9" t="s">
        <v>14</v>
      </c>
      <c r="F11" s="9" t="s">
        <v>7</v>
      </c>
      <c r="G11" s="10">
        <v>45960</v>
      </c>
      <c r="H11" s="7"/>
      <c r="I11" s="11" t="s">
        <v>38</v>
      </c>
      <c r="J11" s="11" t="s">
        <v>39</v>
      </c>
      <c r="K11" s="9"/>
      <c r="L11" s="9"/>
      <c r="M11" s="9"/>
      <c r="N11" s="9"/>
      <c r="O11" s="9"/>
      <c r="P11" s="9"/>
      <c r="Q11" s="9"/>
      <c r="R11" s="9"/>
      <c r="S11" s="9"/>
      <c r="T11" s="9"/>
      <c r="U11" s="9"/>
      <c r="V11" s="9"/>
      <c r="W11" s="9"/>
      <c r="X11" s="9"/>
      <c r="Y11" s="9"/>
      <c r="Z11" s="9"/>
      <c r="AA11" s="9"/>
      <c r="AB11" s="9"/>
      <c r="AC11" s="9"/>
    </row>
    <row r="12" spans="1:29">
      <c r="A12" s="7" t="s">
        <v>40</v>
      </c>
      <c r="B12" s="7"/>
      <c r="C12" s="8"/>
      <c r="D12" s="9" t="s">
        <v>41</v>
      </c>
      <c r="E12" s="9" t="s">
        <v>9</v>
      </c>
      <c r="F12" s="9" t="s">
        <v>7</v>
      </c>
      <c r="G12" s="10">
        <v>45960</v>
      </c>
      <c r="H12" s="7"/>
      <c r="I12" s="12"/>
      <c r="J12" s="12"/>
      <c r="K12" s="9"/>
      <c r="L12" s="9"/>
      <c r="M12" s="9"/>
      <c r="N12" s="9"/>
      <c r="O12" s="9"/>
      <c r="P12" s="9"/>
      <c r="Q12" s="9"/>
      <c r="R12" s="9"/>
      <c r="S12" s="9"/>
      <c r="T12" s="9"/>
      <c r="U12" s="9"/>
      <c r="V12" s="9"/>
      <c r="W12" s="9"/>
      <c r="X12" s="9"/>
      <c r="Y12" s="9"/>
      <c r="Z12" s="9"/>
      <c r="AA12" s="9"/>
      <c r="AB12" s="9"/>
      <c r="AC12" s="9"/>
    </row>
    <row r="13" spans="1:29">
      <c r="A13" s="7"/>
      <c r="B13" s="7"/>
      <c r="C13" s="8"/>
      <c r="D13" s="9" t="s">
        <v>42</v>
      </c>
      <c r="E13" s="9" t="s">
        <v>32</v>
      </c>
      <c r="F13" s="9" t="s">
        <v>7</v>
      </c>
      <c r="G13" s="10">
        <v>45953</v>
      </c>
      <c r="H13" s="7"/>
      <c r="I13" s="11" t="s">
        <v>43</v>
      </c>
      <c r="J13" s="11" t="s">
        <v>39</v>
      </c>
      <c r="K13" s="9"/>
      <c r="L13" s="9"/>
      <c r="M13" s="9"/>
      <c r="N13" s="9"/>
      <c r="O13" s="9"/>
      <c r="P13" s="9"/>
      <c r="Q13" s="9"/>
      <c r="R13" s="9"/>
      <c r="S13" s="9"/>
      <c r="T13" s="9"/>
      <c r="U13" s="9"/>
      <c r="V13" s="9"/>
      <c r="W13" s="9"/>
      <c r="X13" s="9"/>
      <c r="Y13" s="9"/>
      <c r="Z13" s="9"/>
      <c r="AA13" s="9"/>
      <c r="AB13" s="9"/>
      <c r="AC13" s="9"/>
    </row>
    <row r="14" spans="1:29">
      <c r="A14" s="7"/>
      <c r="B14" s="7"/>
      <c r="C14" s="8"/>
      <c r="D14" s="9" t="s">
        <v>44</v>
      </c>
      <c r="E14" s="9" t="s">
        <v>10</v>
      </c>
      <c r="F14" s="9" t="s">
        <v>7</v>
      </c>
      <c r="G14" s="10">
        <v>45960</v>
      </c>
      <c r="H14" s="7"/>
      <c r="I14" s="11" t="s">
        <v>45</v>
      </c>
      <c r="J14" s="11" t="s">
        <v>39</v>
      </c>
      <c r="K14" s="9"/>
      <c r="L14" s="9"/>
      <c r="M14" s="9"/>
      <c r="N14" s="9"/>
      <c r="O14" s="9"/>
      <c r="P14" s="9"/>
      <c r="Q14" s="9"/>
      <c r="R14" s="9"/>
      <c r="S14" s="9"/>
      <c r="T14" s="9"/>
      <c r="U14" s="9"/>
      <c r="V14" s="9"/>
      <c r="W14" s="9"/>
      <c r="X14" s="9"/>
      <c r="Y14" s="9"/>
      <c r="Z14" s="9"/>
      <c r="AA14" s="9"/>
      <c r="AB14" s="9"/>
      <c r="AC14" s="9"/>
    </row>
    <row r="15" spans="1:29" ht="15.75" customHeight="1">
      <c r="A15" s="7"/>
      <c r="B15" s="7"/>
      <c r="C15" s="8"/>
      <c r="D15" s="13" t="s">
        <v>46</v>
      </c>
      <c r="E15" s="9" t="s">
        <v>9</v>
      </c>
      <c r="F15" s="9" t="s">
        <v>7</v>
      </c>
      <c r="G15" s="9"/>
      <c r="H15" s="7"/>
      <c r="I15" s="12"/>
      <c r="J15" s="12"/>
      <c r="K15" s="9"/>
      <c r="L15" s="9"/>
      <c r="M15" s="9"/>
      <c r="N15" s="9"/>
      <c r="O15" s="9"/>
      <c r="P15" s="9"/>
      <c r="Q15" s="9"/>
      <c r="R15" s="9"/>
      <c r="S15" s="9"/>
      <c r="T15" s="9"/>
      <c r="U15" s="9"/>
      <c r="V15" s="9"/>
      <c r="W15" s="9"/>
      <c r="X15" s="9"/>
      <c r="Y15" s="9"/>
      <c r="Z15" s="9"/>
      <c r="AA15" s="9"/>
      <c r="AB15" s="9"/>
      <c r="AC15" s="9"/>
    </row>
    <row r="16" spans="1:29">
      <c r="A16" s="7"/>
      <c r="B16" s="7"/>
      <c r="C16" s="8"/>
      <c r="D16" s="9" t="s">
        <v>47</v>
      </c>
      <c r="E16" s="9" t="s">
        <v>23</v>
      </c>
      <c r="F16" s="9" t="s">
        <v>7</v>
      </c>
      <c r="G16" s="10">
        <v>45960</v>
      </c>
      <c r="H16" s="7"/>
      <c r="I16" s="11" t="s">
        <v>48</v>
      </c>
      <c r="J16" s="11" t="s">
        <v>39</v>
      </c>
      <c r="K16" s="9"/>
      <c r="L16" s="9"/>
      <c r="M16" s="9"/>
      <c r="N16" s="9"/>
      <c r="O16" s="9"/>
      <c r="P16" s="9"/>
      <c r="Q16" s="9"/>
      <c r="R16" s="9"/>
      <c r="S16" s="9"/>
      <c r="T16" s="9"/>
      <c r="U16" s="9"/>
      <c r="V16" s="9"/>
      <c r="W16" s="9"/>
      <c r="X16" s="9"/>
      <c r="Y16" s="9"/>
      <c r="Z16" s="9"/>
      <c r="AA16" s="9"/>
      <c r="AB16" s="9"/>
      <c r="AC16" s="9"/>
    </row>
    <row r="17" spans="1:29">
      <c r="A17" s="7"/>
      <c r="B17" s="7"/>
      <c r="C17" s="8"/>
      <c r="D17" s="9" t="s">
        <v>49</v>
      </c>
      <c r="E17" s="9" t="s">
        <v>10</v>
      </c>
      <c r="F17" s="9" t="s">
        <v>7</v>
      </c>
      <c r="G17" s="10">
        <v>45953</v>
      </c>
      <c r="H17" s="7"/>
      <c r="I17" s="11" t="s">
        <v>50</v>
      </c>
      <c r="J17" s="11" t="s">
        <v>39</v>
      </c>
      <c r="K17" s="9"/>
      <c r="L17" s="9"/>
      <c r="M17" s="9"/>
      <c r="N17" s="9"/>
      <c r="O17" s="9"/>
      <c r="P17" s="9"/>
      <c r="Q17" s="9"/>
      <c r="R17" s="9"/>
      <c r="S17" s="9"/>
      <c r="T17" s="9"/>
      <c r="U17" s="9"/>
      <c r="V17" s="9"/>
      <c r="W17" s="9"/>
      <c r="X17" s="9"/>
      <c r="Y17" s="9"/>
      <c r="Z17" s="9"/>
      <c r="AA17" s="9"/>
      <c r="AB17" s="9"/>
      <c r="AC17" s="9"/>
    </row>
    <row r="18" spans="1:29">
      <c r="A18" s="7"/>
      <c r="B18" s="7"/>
      <c r="C18" s="8"/>
      <c r="D18" s="9" t="s">
        <v>51</v>
      </c>
      <c r="E18" s="9" t="s">
        <v>43</v>
      </c>
      <c r="F18" s="9" t="s">
        <v>7</v>
      </c>
      <c r="G18" s="10">
        <v>45960</v>
      </c>
      <c r="H18" s="7"/>
      <c r="I18" s="11" t="s">
        <v>52</v>
      </c>
      <c r="J18" s="11" t="s">
        <v>39</v>
      </c>
      <c r="K18" s="9"/>
      <c r="L18" s="9"/>
      <c r="M18" s="9"/>
      <c r="N18" s="9"/>
      <c r="O18" s="9"/>
      <c r="P18" s="9"/>
      <c r="Q18" s="9"/>
      <c r="R18" s="9"/>
      <c r="S18" s="9"/>
      <c r="T18" s="9"/>
      <c r="U18" s="9"/>
      <c r="V18" s="9"/>
      <c r="W18" s="9"/>
      <c r="X18" s="9"/>
      <c r="Y18" s="9"/>
      <c r="Z18" s="9"/>
      <c r="AA18" s="9"/>
      <c r="AB18" s="9"/>
      <c r="AC18" s="9"/>
    </row>
    <row r="19" spans="1:29">
      <c r="A19" s="7"/>
      <c r="B19" s="7"/>
      <c r="C19" s="8"/>
      <c r="D19" s="9" t="s">
        <v>53</v>
      </c>
      <c r="E19" s="9" t="s">
        <v>54</v>
      </c>
      <c r="F19" s="9" t="s">
        <v>7</v>
      </c>
      <c r="G19" s="10">
        <v>45953</v>
      </c>
      <c r="H19" s="7"/>
      <c r="I19" s="11" t="s">
        <v>32</v>
      </c>
      <c r="J19" s="11" t="s">
        <v>39</v>
      </c>
      <c r="K19" s="9"/>
      <c r="L19" s="9"/>
      <c r="M19" s="9"/>
      <c r="N19" s="9"/>
      <c r="O19" s="9"/>
      <c r="P19" s="9"/>
      <c r="Q19" s="9"/>
      <c r="R19" s="9"/>
      <c r="S19" s="9"/>
      <c r="T19" s="9"/>
      <c r="U19" s="9"/>
      <c r="V19" s="9"/>
      <c r="W19" s="9"/>
      <c r="X19" s="9"/>
      <c r="Y19" s="9"/>
      <c r="Z19" s="9"/>
      <c r="AA19" s="9"/>
      <c r="AB19" s="9"/>
      <c r="AC19" s="9"/>
    </row>
    <row r="20" spans="1:29">
      <c r="A20" s="7"/>
      <c r="B20" s="7"/>
      <c r="C20" s="8"/>
      <c r="D20" s="9" t="s">
        <v>55</v>
      </c>
      <c r="E20" s="9" t="s">
        <v>14</v>
      </c>
      <c r="F20" s="9" t="s">
        <v>7</v>
      </c>
      <c r="G20" s="10">
        <v>45960</v>
      </c>
      <c r="H20" s="7"/>
      <c r="I20" s="11" t="s">
        <v>56</v>
      </c>
      <c r="J20" s="11" t="s">
        <v>39</v>
      </c>
      <c r="K20" s="9"/>
      <c r="L20" s="9"/>
      <c r="M20" s="9"/>
      <c r="N20" s="9"/>
      <c r="O20" s="9"/>
      <c r="P20" s="9"/>
      <c r="Q20" s="9"/>
      <c r="R20" s="9"/>
      <c r="S20" s="9"/>
      <c r="T20" s="9"/>
      <c r="U20" s="9"/>
      <c r="V20" s="9"/>
      <c r="W20" s="9"/>
      <c r="X20" s="9"/>
      <c r="Y20" s="9"/>
      <c r="Z20" s="9"/>
      <c r="AA20" s="9"/>
      <c r="AB20" s="9"/>
      <c r="AC20" s="9"/>
    </row>
    <row r="21" spans="1:29">
      <c r="A21" s="7"/>
      <c r="B21" s="7"/>
      <c r="C21" s="8"/>
      <c r="D21" s="9" t="s">
        <v>57</v>
      </c>
      <c r="E21" s="9" t="s">
        <v>14</v>
      </c>
      <c r="F21" s="9" t="s">
        <v>7</v>
      </c>
      <c r="G21" s="10">
        <v>45960</v>
      </c>
      <c r="H21" s="7"/>
      <c r="I21" s="11" t="s">
        <v>58</v>
      </c>
      <c r="J21" s="11" t="s">
        <v>39</v>
      </c>
      <c r="K21" s="9"/>
      <c r="L21" s="9"/>
      <c r="M21" s="9"/>
      <c r="N21" s="9"/>
      <c r="O21" s="9"/>
      <c r="P21" s="9"/>
      <c r="Q21" s="9"/>
      <c r="R21" s="9"/>
      <c r="S21" s="9"/>
      <c r="T21" s="9"/>
      <c r="U21" s="9"/>
      <c r="V21" s="9"/>
      <c r="W21" s="9"/>
      <c r="X21" s="9"/>
      <c r="Y21" s="9"/>
      <c r="Z21" s="9"/>
      <c r="AA21" s="9"/>
      <c r="AB21" s="9"/>
      <c r="AC21" s="9"/>
    </row>
    <row r="22" spans="1:29">
      <c r="A22" s="7"/>
      <c r="B22" s="7"/>
      <c r="C22" s="8"/>
      <c r="D22" s="9" t="s">
        <v>59</v>
      </c>
      <c r="E22" s="9" t="s">
        <v>9</v>
      </c>
      <c r="F22" s="9" t="s">
        <v>7</v>
      </c>
      <c r="G22" s="10">
        <v>45960</v>
      </c>
      <c r="H22" s="7"/>
      <c r="I22" s="11" t="s">
        <v>60</v>
      </c>
      <c r="J22" s="11" t="s">
        <v>39</v>
      </c>
      <c r="K22" s="9"/>
      <c r="L22" s="9"/>
      <c r="M22" s="9"/>
      <c r="N22" s="9"/>
      <c r="O22" s="9"/>
      <c r="P22" s="9"/>
      <c r="Q22" s="9"/>
      <c r="R22" s="9"/>
      <c r="S22" s="9"/>
      <c r="T22" s="9"/>
      <c r="U22" s="9"/>
      <c r="V22" s="9"/>
      <c r="W22" s="9"/>
      <c r="X22" s="9"/>
      <c r="Y22" s="9"/>
      <c r="Z22" s="9"/>
      <c r="AA22" s="9"/>
      <c r="AB22" s="9"/>
      <c r="AC22" s="9"/>
    </row>
    <row r="23" spans="1:29">
      <c r="A23" s="7"/>
      <c r="B23" s="7"/>
      <c r="C23" s="8"/>
      <c r="D23" s="9" t="s">
        <v>61</v>
      </c>
      <c r="E23" s="9" t="s">
        <v>62</v>
      </c>
      <c r="F23" s="9" t="s">
        <v>7</v>
      </c>
      <c r="G23" s="10">
        <v>45960</v>
      </c>
      <c r="H23" s="7"/>
      <c r="I23" s="11" t="s">
        <v>63</v>
      </c>
      <c r="J23" s="11" t="s">
        <v>39</v>
      </c>
      <c r="K23" s="9"/>
      <c r="L23" s="9"/>
      <c r="M23" s="9"/>
      <c r="N23" s="9"/>
      <c r="O23" s="9"/>
      <c r="P23" s="9"/>
      <c r="Q23" s="9"/>
      <c r="R23" s="9"/>
      <c r="S23" s="9"/>
      <c r="T23" s="9"/>
      <c r="U23" s="9"/>
      <c r="V23" s="9"/>
      <c r="W23" s="9"/>
      <c r="X23" s="9"/>
      <c r="Y23" s="9"/>
      <c r="Z23" s="9"/>
      <c r="AA23" s="9"/>
      <c r="AB23" s="9"/>
      <c r="AC23" s="9"/>
    </row>
    <row r="24" spans="1:29">
      <c r="A24" s="7"/>
      <c r="B24" s="7"/>
      <c r="C24" s="8"/>
      <c r="D24" s="9" t="s">
        <v>64</v>
      </c>
      <c r="E24" s="9" t="s">
        <v>14</v>
      </c>
      <c r="F24" s="9" t="s">
        <v>7</v>
      </c>
      <c r="G24" s="10">
        <v>45960</v>
      </c>
      <c r="H24" s="7"/>
      <c r="I24" s="12"/>
      <c r="J24" s="12"/>
      <c r="K24" s="9"/>
      <c r="L24" s="9"/>
      <c r="M24" s="9"/>
      <c r="N24" s="9"/>
      <c r="O24" s="9"/>
      <c r="P24" s="9"/>
      <c r="Q24" s="9"/>
      <c r="R24" s="9"/>
      <c r="S24" s="9"/>
      <c r="T24" s="9"/>
      <c r="U24" s="9"/>
      <c r="V24" s="9"/>
      <c r="W24" s="9"/>
      <c r="X24" s="9"/>
      <c r="Y24" s="9"/>
      <c r="Z24" s="9"/>
      <c r="AA24" s="9"/>
      <c r="AB24" s="9"/>
      <c r="AC24" s="9"/>
    </row>
    <row r="25" spans="1:29">
      <c r="A25" s="7"/>
      <c r="B25" s="7"/>
      <c r="C25" s="8"/>
      <c r="D25" s="9" t="s">
        <v>65</v>
      </c>
      <c r="E25" s="9" t="s">
        <v>52</v>
      </c>
      <c r="F25" s="9" t="s">
        <v>7</v>
      </c>
      <c r="G25" s="10">
        <v>45953</v>
      </c>
      <c r="H25" s="7"/>
      <c r="I25" s="12"/>
      <c r="J25" s="12"/>
      <c r="K25" s="9"/>
      <c r="L25" s="9"/>
      <c r="M25" s="9"/>
      <c r="N25" s="9"/>
      <c r="O25" s="9"/>
      <c r="P25" s="9"/>
      <c r="Q25" s="9"/>
      <c r="R25" s="9"/>
      <c r="S25" s="9"/>
      <c r="T25" s="9"/>
      <c r="U25" s="9"/>
      <c r="V25" s="9"/>
      <c r="W25" s="9"/>
      <c r="X25" s="9"/>
      <c r="Y25" s="9"/>
      <c r="Z25" s="9"/>
      <c r="AA25" s="9"/>
      <c r="AB25" s="9"/>
      <c r="AC25" s="9"/>
    </row>
    <row r="26" spans="1:29">
      <c r="A26" s="7"/>
      <c r="B26" s="7"/>
      <c r="C26" s="8"/>
      <c r="D26" s="9" t="s">
        <v>66</v>
      </c>
      <c r="E26" s="9" t="s">
        <v>52</v>
      </c>
      <c r="F26" s="9" t="s">
        <v>7</v>
      </c>
      <c r="G26" s="10">
        <v>45953</v>
      </c>
      <c r="H26" s="7"/>
      <c r="I26" s="11" t="s">
        <v>62</v>
      </c>
      <c r="J26" s="11" t="s">
        <v>67</v>
      </c>
      <c r="K26" s="9"/>
      <c r="L26" s="9"/>
      <c r="M26" s="9"/>
      <c r="N26" s="9"/>
      <c r="O26" s="9"/>
      <c r="P26" s="9"/>
      <c r="Q26" s="9"/>
      <c r="R26" s="9"/>
      <c r="S26" s="9"/>
      <c r="T26" s="9"/>
      <c r="U26" s="9"/>
      <c r="V26" s="9"/>
      <c r="W26" s="9"/>
      <c r="X26" s="9"/>
      <c r="Y26" s="9"/>
      <c r="Z26" s="9"/>
      <c r="AA26" s="9"/>
      <c r="AB26" s="9"/>
      <c r="AC26" s="9"/>
    </row>
    <row r="27" spans="1:29">
      <c r="A27" s="7"/>
      <c r="B27" s="7"/>
      <c r="C27" s="8"/>
      <c r="D27" s="9" t="s">
        <v>68</v>
      </c>
      <c r="E27" s="9" t="s">
        <v>69</v>
      </c>
      <c r="F27" s="9" t="s">
        <v>7</v>
      </c>
      <c r="G27" s="10">
        <v>45960</v>
      </c>
      <c r="H27" s="7"/>
      <c r="I27" s="11" t="s">
        <v>70</v>
      </c>
      <c r="J27" s="11" t="s">
        <v>67</v>
      </c>
      <c r="K27" s="9"/>
      <c r="L27" s="9"/>
      <c r="M27" s="9"/>
      <c r="N27" s="9"/>
      <c r="O27" s="9"/>
      <c r="P27" s="9"/>
      <c r="Q27" s="9"/>
      <c r="R27" s="9"/>
      <c r="S27" s="9"/>
      <c r="T27" s="9"/>
      <c r="U27" s="9"/>
      <c r="V27" s="9"/>
      <c r="W27" s="9"/>
      <c r="X27" s="9"/>
      <c r="Y27" s="9"/>
      <c r="Z27" s="9"/>
      <c r="AA27" s="9"/>
      <c r="AB27" s="9"/>
      <c r="AC27" s="9"/>
    </row>
    <row r="28" spans="1:29">
      <c r="A28" s="7"/>
      <c r="B28" s="7"/>
      <c r="C28" s="8"/>
      <c r="D28" s="9" t="s">
        <v>71</v>
      </c>
      <c r="E28" s="9" t="s">
        <v>14</v>
      </c>
      <c r="F28" s="9" t="s">
        <v>7</v>
      </c>
      <c r="G28" s="10">
        <v>45960</v>
      </c>
      <c r="H28" s="7"/>
      <c r="I28" s="11" t="s">
        <v>14</v>
      </c>
      <c r="J28" s="11" t="s">
        <v>67</v>
      </c>
      <c r="K28" s="9"/>
      <c r="L28" s="9"/>
      <c r="M28" s="9"/>
      <c r="N28" s="9"/>
      <c r="O28" s="9"/>
      <c r="P28" s="9"/>
      <c r="Q28" s="9"/>
      <c r="R28" s="9"/>
      <c r="S28" s="9"/>
      <c r="T28" s="9"/>
      <c r="U28" s="9"/>
      <c r="V28" s="9"/>
      <c r="W28" s="9"/>
      <c r="X28" s="9"/>
      <c r="Y28" s="9"/>
      <c r="Z28" s="9"/>
      <c r="AA28" s="9"/>
      <c r="AB28" s="9"/>
      <c r="AC28" s="9"/>
    </row>
    <row r="29" spans="1:29">
      <c r="A29" s="7"/>
      <c r="B29" s="7"/>
      <c r="C29" s="8"/>
      <c r="D29" s="9" t="s">
        <v>72</v>
      </c>
      <c r="E29" s="9" t="s">
        <v>9</v>
      </c>
      <c r="F29" s="9" t="s">
        <v>7</v>
      </c>
      <c r="G29" s="10">
        <v>45960</v>
      </c>
      <c r="H29" s="7"/>
      <c r="I29" s="11" t="s">
        <v>73</v>
      </c>
      <c r="J29" s="11" t="s">
        <v>67</v>
      </c>
      <c r="K29" s="9"/>
      <c r="L29" s="9"/>
      <c r="M29" s="9"/>
      <c r="N29" s="9"/>
      <c r="O29" s="9"/>
      <c r="P29" s="9"/>
      <c r="Q29" s="9"/>
      <c r="R29" s="9"/>
      <c r="S29" s="9"/>
      <c r="T29" s="9"/>
      <c r="U29" s="9"/>
      <c r="V29" s="9"/>
      <c r="W29" s="9"/>
      <c r="X29" s="9"/>
      <c r="Y29" s="9"/>
      <c r="Z29" s="9"/>
      <c r="AA29" s="9"/>
      <c r="AB29" s="9"/>
      <c r="AC29" s="9"/>
    </row>
    <row r="30" spans="1:29">
      <c r="A30" s="7"/>
      <c r="B30" s="7"/>
      <c r="C30" s="8"/>
      <c r="D30" s="9" t="s">
        <v>74</v>
      </c>
      <c r="E30" s="9" t="s">
        <v>9</v>
      </c>
      <c r="F30" s="9" t="s">
        <v>7</v>
      </c>
      <c r="G30" s="10">
        <v>45960</v>
      </c>
      <c r="H30" s="7"/>
      <c r="I30" s="11" t="s">
        <v>75</v>
      </c>
      <c r="J30" s="11" t="s">
        <v>67</v>
      </c>
      <c r="K30" s="9"/>
      <c r="L30" s="9"/>
      <c r="M30" s="9"/>
      <c r="N30" s="9"/>
      <c r="O30" s="9"/>
      <c r="P30" s="9"/>
      <c r="Q30" s="9"/>
      <c r="R30" s="9"/>
      <c r="S30" s="9"/>
      <c r="T30" s="9"/>
      <c r="U30" s="9"/>
      <c r="V30" s="9"/>
      <c r="W30" s="9"/>
      <c r="X30" s="9"/>
      <c r="Y30" s="9"/>
      <c r="Z30" s="9"/>
      <c r="AA30" s="9"/>
      <c r="AB30" s="9"/>
      <c r="AC30" s="9"/>
    </row>
    <row r="31" spans="1:29">
      <c r="A31" s="7"/>
      <c r="B31" s="7"/>
      <c r="C31" s="8"/>
      <c r="D31" s="9" t="s">
        <v>76</v>
      </c>
      <c r="E31" s="9" t="s">
        <v>32</v>
      </c>
      <c r="F31" s="9" t="s">
        <v>7</v>
      </c>
      <c r="G31" s="10">
        <v>45960</v>
      </c>
      <c r="H31" s="7"/>
      <c r="I31" s="12"/>
      <c r="J31" s="12"/>
      <c r="K31" s="9"/>
      <c r="L31" s="9"/>
      <c r="M31" s="9"/>
      <c r="N31" s="9"/>
      <c r="O31" s="9"/>
      <c r="P31" s="9"/>
      <c r="Q31" s="9"/>
      <c r="R31" s="9"/>
      <c r="S31" s="9"/>
      <c r="T31" s="9"/>
      <c r="U31" s="9"/>
      <c r="V31" s="9"/>
      <c r="W31" s="9"/>
      <c r="X31" s="9"/>
      <c r="Y31" s="9"/>
      <c r="Z31" s="9"/>
      <c r="AA31" s="9"/>
      <c r="AB31" s="9"/>
      <c r="AC31" s="9"/>
    </row>
    <row r="32" spans="1:29">
      <c r="A32" s="7"/>
      <c r="B32" s="7"/>
      <c r="C32" s="8"/>
      <c r="D32" s="9" t="s">
        <v>77</v>
      </c>
      <c r="E32" s="9" t="s">
        <v>23</v>
      </c>
      <c r="F32" s="9" t="s">
        <v>7</v>
      </c>
      <c r="G32" s="10">
        <v>45960</v>
      </c>
      <c r="H32" s="7"/>
      <c r="I32" s="11" t="s">
        <v>54</v>
      </c>
      <c r="J32" s="11" t="s">
        <v>78</v>
      </c>
      <c r="K32" s="9"/>
      <c r="L32" s="9"/>
      <c r="M32" s="9"/>
      <c r="N32" s="9"/>
      <c r="O32" s="9"/>
      <c r="P32" s="9"/>
      <c r="Q32" s="9"/>
      <c r="R32" s="9"/>
      <c r="S32" s="9"/>
      <c r="T32" s="9"/>
      <c r="U32" s="9"/>
      <c r="V32" s="9"/>
      <c r="W32" s="9"/>
      <c r="X32" s="9"/>
      <c r="Y32" s="9"/>
      <c r="Z32" s="9"/>
      <c r="AA32" s="9"/>
      <c r="AB32" s="9"/>
      <c r="AC32" s="9"/>
    </row>
    <row r="33" spans="1:29">
      <c r="A33" s="7"/>
      <c r="B33" s="7"/>
      <c r="C33" s="8"/>
      <c r="D33" s="9" t="s">
        <v>79</v>
      </c>
      <c r="E33" s="9" t="s">
        <v>62</v>
      </c>
      <c r="F33" s="9" t="s">
        <v>7</v>
      </c>
      <c r="G33" s="10">
        <v>45960</v>
      </c>
      <c r="H33" s="7"/>
      <c r="I33" s="11" t="s">
        <v>69</v>
      </c>
      <c r="J33" s="11" t="s">
        <v>78</v>
      </c>
      <c r="K33" s="9"/>
      <c r="L33" s="9"/>
      <c r="M33" s="9"/>
      <c r="N33" s="9"/>
      <c r="O33" s="9"/>
      <c r="P33" s="9"/>
      <c r="Q33" s="9"/>
      <c r="R33" s="9"/>
      <c r="S33" s="9"/>
      <c r="T33" s="9"/>
      <c r="U33" s="9"/>
      <c r="V33" s="9"/>
      <c r="W33" s="9"/>
      <c r="X33" s="9"/>
      <c r="Y33" s="9"/>
      <c r="Z33" s="9"/>
      <c r="AA33" s="9"/>
      <c r="AB33" s="9"/>
      <c r="AC33" s="9"/>
    </row>
    <row r="34" spans="1:29">
      <c r="A34" s="7"/>
      <c r="B34" s="7"/>
      <c r="C34" s="8"/>
      <c r="D34" s="9" t="s">
        <v>80</v>
      </c>
      <c r="E34" s="9" t="s">
        <v>14</v>
      </c>
      <c r="F34" s="9" t="s">
        <v>7</v>
      </c>
      <c r="G34" s="9"/>
      <c r="H34" s="7"/>
      <c r="I34" s="11" t="s">
        <v>81</v>
      </c>
      <c r="J34" s="11" t="s">
        <v>78</v>
      </c>
      <c r="K34" s="9"/>
      <c r="L34" s="9"/>
      <c r="M34" s="9"/>
      <c r="N34" s="9"/>
      <c r="O34" s="9"/>
      <c r="P34" s="9"/>
      <c r="Q34" s="9"/>
      <c r="R34" s="9"/>
      <c r="S34" s="9"/>
      <c r="T34" s="9"/>
      <c r="U34" s="9"/>
      <c r="V34" s="9"/>
      <c r="W34" s="9"/>
      <c r="X34" s="9"/>
      <c r="Y34" s="9"/>
      <c r="Z34" s="9"/>
      <c r="AA34" s="9"/>
      <c r="AB34" s="9"/>
      <c r="AC34" s="9"/>
    </row>
    <row r="35" spans="1:29">
      <c r="A35" s="7"/>
      <c r="B35" s="7"/>
      <c r="C35" s="8"/>
      <c r="D35" s="9" t="s">
        <v>82</v>
      </c>
      <c r="E35" s="9" t="s">
        <v>14</v>
      </c>
      <c r="F35" s="9" t="s">
        <v>7</v>
      </c>
      <c r="G35" s="9"/>
      <c r="H35" s="7"/>
      <c r="I35" s="7"/>
      <c r="J35" s="7"/>
      <c r="K35" s="9"/>
      <c r="L35" s="9"/>
      <c r="M35" s="9"/>
      <c r="N35" s="9"/>
      <c r="O35" s="9"/>
      <c r="P35" s="9"/>
      <c r="Q35" s="9"/>
      <c r="R35" s="9"/>
      <c r="S35" s="9"/>
      <c r="T35" s="9"/>
      <c r="U35" s="9"/>
      <c r="V35" s="9"/>
      <c r="W35" s="9"/>
      <c r="X35" s="9"/>
      <c r="Y35" s="9"/>
      <c r="Z35" s="9"/>
      <c r="AA35" s="9"/>
      <c r="AB35" s="9"/>
      <c r="AC35" s="9"/>
    </row>
    <row r="36" spans="1:29">
      <c r="A36" s="7"/>
      <c r="B36" s="7"/>
      <c r="C36" s="8"/>
      <c r="D36" s="9" t="s">
        <v>83</v>
      </c>
      <c r="E36" s="9" t="s">
        <v>45</v>
      </c>
      <c r="F36" s="9" t="s">
        <v>7</v>
      </c>
      <c r="G36" s="10">
        <v>45960</v>
      </c>
      <c r="H36" s="7"/>
      <c r="I36" s="7"/>
      <c r="J36" s="7"/>
      <c r="K36" s="9"/>
      <c r="L36" s="9"/>
      <c r="M36" s="9"/>
      <c r="N36" s="9"/>
      <c r="O36" s="9"/>
      <c r="P36" s="9"/>
      <c r="Q36" s="9"/>
      <c r="R36" s="9"/>
      <c r="S36" s="9"/>
      <c r="T36" s="9"/>
      <c r="U36" s="9"/>
      <c r="V36" s="9"/>
      <c r="W36" s="9"/>
      <c r="X36" s="9"/>
      <c r="Y36" s="9"/>
      <c r="Z36" s="9"/>
      <c r="AA36" s="9"/>
      <c r="AB36" s="9"/>
      <c r="AC36" s="9"/>
    </row>
    <row r="37" spans="1:29">
      <c r="A37" s="7"/>
      <c r="B37" s="7"/>
      <c r="C37" s="8"/>
      <c r="D37" s="9" t="s">
        <v>84</v>
      </c>
      <c r="E37" s="9" t="s">
        <v>45</v>
      </c>
      <c r="F37" s="9" t="s">
        <v>7</v>
      </c>
      <c r="G37" s="10">
        <v>45960</v>
      </c>
      <c r="H37" s="7"/>
      <c r="I37" s="7"/>
      <c r="J37" s="7"/>
      <c r="K37" s="9"/>
      <c r="L37" s="9"/>
      <c r="M37" s="9"/>
      <c r="N37" s="9"/>
      <c r="O37" s="9"/>
      <c r="P37" s="9"/>
      <c r="Q37" s="9"/>
      <c r="R37" s="9"/>
      <c r="S37" s="9"/>
      <c r="T37" s="9"/>
      <c r="U37" s="9"/>
      <c r="V37" s="9"/>
      <c r="W37" s="9"/>
      <c r="X37" s="9"/>
      <c r="Y37" s="9"/>
      <c r="Z37" s="9"/>
      <c r="AA37" s="9"/>
      <c r="AB37" s="9"/>
      <c r="AC37" s="9"/>
    </row>
    <row r="38" spans="1:29">
      <c r="A38" s="9"/>
      <c r="B38" s="9"/>
      <c r="C38" s="14"/>
      <c r="D38" s="9" t="s">
        <v>85</v>
      </c>
      <c r="E38" s="9" t="s">
        <v>14</v>
      </c>
      <c r="F38" s="9" t="s">
        <v>7</v>
      </c>
      <c r="G38" s="10">
        <v>45960</v>
      </c>
      <c r="H38" s="9"/>
      <c r="I38" s="9"/>
      <c r="J38" s="9"/>
      <c r="K38" s="9"/>
      <c r="L38" s="9"/>
      <c r="M38" s="9"/>
      <c r="N38" s="9"/>
      <c r="O38" s="9"/>
      <c r="P38" s="9"/>
      <c r="Q38" s="9"/>
      <c r="R38" s="9"/>
      <c r="S38" s="9"/>
      <c r="T38" s="9"/>
      <c r="U38" s="9"/>
      <c r="V38" s="9"/>
      <c r="W38" s="9"/>
      <c r="X38" s="9"/>
      <c r="Y38" s="9"/>
      <c r="Z38" s="9"/>
      <c r="AA38" s="9"/>
      <c r="AB38" s="9"/>
      <c r="AC38" s="9"/>
    </row>
    <row r="39" spans="1:29">
      <c r="A39" s="9"/>
      <c r="B39" s="9"/>
      <c r="C39" s="14"/>
      <c r="D39" s="9" t="s">
        <v>86</v>
      </c>
      <c r="E39" s="9" t="s">
        <v>32</v>
      </c>
      <c r="F39" s="9" t="s">
        <v>7</v>
      </c>
      <c r="G39" s="10">
        <v>45953</v>
      </c>
      <c r="H39" s="9"/>
      <c r="I39" s="9"/>
      <c r="J39" s="9"/>
      <c r="K39" s="9"/>
      <c r="L39" s="9"/>
      <c r="M39" s="9"/>
      <c r="N39" s="9"/>
      <c r="O39" s="9"/>
      <c r="P39" s="9"/>
      <c r="Q39" s="9"/>
      <c r="R39" s="9"/>
      <c r="S39" s="9"/>
      <c r="T39" s="9"/>
      <c r="U39" s="9"/>
      <c r="V39" s="9"/>
      <c r="W39" s="9"/>
      <c r="X39" s="9"/>
      <c r="Y39" s="9"/>
      <c r="Z39" s="9"/>
      <c r="AA39" s="9"/>
      <c r="AB39" s="9"/>
      <c r="AC39" s="9"/>
    </row>
    <row r="40" spans="1:29">
      <c r="A40" s="9"/>
      <c r="B40" s="9"/>
      <c r="C40" s="14"/>
      <c r="D40" s="9" t="s">
        <v>87</v>
      </c>
      <c r="E40" s="9" t="s">
        <v>9</v>
      </c>
      <c r="F40" s="9" t="s">
        <v>7</v>
      </c>
      <c r="G40" s="10">
        <v>45960</v>
      </c>
      <c r="H40" s="9"/>
      <c r="I40" s="9"/>
      <c r="J40" s="9"/>
      <c r="K40" s="9"/>
      <c r="L40" s="9"/>
      <c r="M40" s="9"/>
      <c r="N40" s="9"/>
      <c r="O40" s="9"/>
      <c r="P40" s="9"/>
      <c r="Q40" s="9"/>
      <c r="R40" s="9"/>
      <c r="S40" s="9"/>
      <c r="T40" s="9"/>
      <c r="U40" s="9"/>
      <c r="V40" s="9"/>
      <c r="W40" s="9"/>
      <c r="X40" s="9"/>
      <c r="Y40" s="9"/>
      <c r="Z40" s="9"/>
      <c r="AA40" s="9"/>
      <c r="AB40" s="9"/>
      <c r="AC40" s="9"/>
    </row>
    <row r="41" spans="1:29">
      <c r="A41" s="9"/>
      <c r="B41" s="9"/>
      <c r="C41" s="14"/>
      <c r="D41" s="9" t="s">
        <v>88</v>
      </c>
      <c r="E41" s="9" t="s">
        <v>45</v>
      </c>
      <c r="F41" s="9" t="s">
        <v>7</v>
      </c>
      <c r="G41" s="10">
        <v>45953</v>
      </c>
      <c r="H41" s="9"/>
      <c r="I41" s="9"/>
      <c r="J41" s="9"/>
      <c r="K41" s="9"/>
      <c r="L41" s="9"/>
      <c r="M41" s="9"/>
      <c r="N41" s="9"/>
      <c r="O41" s="9"/>
      <c r="P41" s="9"/>
      <c r="Q41" s="9"/>
      <c r="R41" s="9"/>
      <c r="S41" s="9"/>
      <c r="T41" s="9"/>
      <c r="U41" s="9"/>
      <c r="V41" s="9"/>
      <c r="W41" s="9"/>
      <c r="X41" s="9"/>
      <c r="Y41" s="9"/>
      <c r="Z41" s="9"/>
      <c r="AA41" s="9"/>
      <c r="AB41" s="9"/>
      <c r="AC41" s="9"/>
    </row>
    <row r="42" spans="1:29" ht="13.2">
      <c r="A42" s="9"/>
      <c r="B42" s="9"/>
      <c r="C42" s="14"/>
      <c r="D42" s="9" t="s">
        <v>89</v>
      </c>
      <c r="E42" s="9" t="s">
        <v>62</v>
      </c>
      <c r="F42" s="9" t="s">
        <v>7</v>
      </c>
      <c r="G42" s="10">
        <v>45960</v>
      </c>
      <c r="H42" s="9"/>
      <c r="I42" s="9"/>
      <c r="J42" s="9"/>
      <c r="K42" s="9"/>
      <c r="L42" s="9"/>
      <c r="M42" s="9"/>
      <c r="N42" s="9"/>
      <c r="O42" s="9"/>
      <c r="P42" s="9"/>
      <c r="Q42" s="9"/>
      <c r="R42" s="9"/>
      <c r="S42" s="9"/>
      <c r="T42" s="9"/>
      <c r="U42" s="9"/>
      <c r="V42" s="9"/>
      <c r="W42" s="9"/>
      <c r="X42" s="9"/>
      <c r="Y42" s="9"/>
      <c r="Z42" s="9"/>
      <c r="AA42" s="9"/>
      <c r="AB42" s="9"/>
      <c r="AC42" s="9"/>
    </row>
    <row r="43" spans="1:29" ht="13.2">
      <c r="A43" s="9"/>
      <c r="B43" s="9"/>
      <c r="C43" s="14"/>
      <c r="D43" s="9" t="s">
        <v>90</v>
      </c>
      <c r="E43" s="9" t="s">
        <v>69</v>
      </c>
      <c r="F43" s="9" t="s">
        <v>7</v>
      </c>
      <c r="G43" s="10">
        <v>45960</v>
      </c>
      <c r="H43" s="9"/>
      <c r="I43" s="9"/>
      <c r="J43" s="9"/>
      <c r="K43" s="9"/>
      <c r="L43" s="9"/>
      <c r="M43" s="9"/>
      <c r="N43" s="9"/>
      <c r="O43" s="9"/>
      <c r="P43" s="9"/>
      <c r="Q43" s="9"/>
      <c r="R43" s="9"/>
      <c r="S43" s="9"/>
      <c r="T43" s="9"/>
      <c r="U43" s="9"/>
      <c r="V43" s="9"/>
      <c r="W43" s="9"/>
      <c r="X43" s="9"/>
      <c r="Y43" s="9"/>
      <c r="Z43" s="9"/>
      <c r="AA43" s="9"/>
      <c r="AB43" s="9"/>
      <c r="AC43" s="9"/>
    </row>
    <row r="44" spans="1:29" ht="13.2">
      <c r="A44" s="9"/>
      <c r="B44" s="9"/>
      <c r="C44" s="14"/>
      <c r="D44" s="9" t="s">
        <v>91</v>
      </c>
      <c r="E44" s="9" t="s">
        <v>9</v>
      </c>
      <c r="F44" s="9" t="s">
        <v>7</v>
      </c>
      <c r="G44" s="10">
        <v>45960</v>
      </c>
      <c r="H44" s="9"/>
      <c r="I44" s="9"/>
      <c r="J44" s="9"/>
      <c r="K44" s="9"/>
      <c r="L44" s="9"/>
      <c r="M44" s="9"/>
      <c r="N44" s="9"/>
      <c r="O44" s="9"/>
      <c r="P44" s="9"/>
      <c r="Q44" s="9"/>
      <c r="R44" s="9"/>
      <c r="S44" s="9"/>
      <c r="T44" s="9"/>
      <c r="U44" s="9"/>
      <c r="V44" s="9"/>
      <c r="W44" s="9"/>
      <c r="X44" s="9"/>
      <c r="Y44" s="9"/>
      <c r="Z44" s="9"/>
      <c r="AA44" s="9"/>
      <c r="AB44" s="9"/>
      <c r="AC44" s="9"/>
    </row>
    <row r="45" spans="1:29" ht="15.6">
      <c r="A45" s="9"/>
      <c r="B45" s="9"/>
      <c r="C45" s="14"/>
      <c r="D45" s="15" t="s">
        <v>92</v>
      </c>
      <c r="E45" s="9" t="s">
        <v>9</v>
      </c>
      <c r="F45" s="9" t="s">
        <v>7</v>
      </c>
      <c r="G45" s="10">
        <v>45960</v>
      </c>
      <c r="H45" s="9"/>
      <c r="I45" s="9"/>
      <c r="J45" s="9"/>
      <c r="K45" s="9"/>
      <c r="L45" s="9"/>
      <c r="M45" s="9"/>
      <c r="N45" s="9"/>
      <c r="O45" s="9"/>
      <c r="P45" s="9"/>
      <c r="Q45" s="9"/>
      <c r="R45" s="9"/>
      <c r="S45" s="9"/>
      <c r="T45" s="9"/>
      <c r="U45" s="9"/>
      <c r="V45" s="9"/>
      <c r="W45" s="9"/>
      <c r="X45" s="9"/>
      <c r="Y45" s="9"/>
      <c r="Z45" s="9"/>
      <c r="AA45" s="9"/>
      <c r="AB45" s="9"/>
      <c r="AC45" s="9"/>
    </row>
    <row r="46" spans="1:29" ht="13.2">
      <c r="A46" s="9"/>
      <c r="B46" s="9"/>
      <c r="C46" s="14"/>
      <c r="D46" s="9" t="s">
        <v>93</v>
      </c>
      <c r="E46" s="9" t="s">
        <v>14</v>
      </c>
      <c r="F46" s="9" t="s">
        <v>7</v>
      </c>
      <c r="G46" s="10">
        <v>45960</v>
      </c>
      <c r="H46" s="9"/>
      <c r="I46" s="9"/>
      <c r="J46" s="9"/>
      <c r="K46" s="9"/>
      <c r="L46" s="9"/>
      <c r="M46" s="9"/>
      <c r="N46" s="9"/>
      <c r="O46" s="9"/>
      <c r="P46" s="9"/>
      <c r="Q46" s="9"/>
      <c r="R46" s="9"/>
      <c r="S46" s="9"/>
      <c r="T46" s="9"/>
      <c r="U46" s="9"/>
      <c r="V46" s="9"/>
      <c r="W46" s="9"/>
      <c r="X46" s="9"/>
      <c r="Y46" s="9"/>
      <c r="Z46" s="9"/>
      <c r="AA46" s="9"/>
      <c r="AB46" s="9"/>
      <c r="AC46" s="9"/>
    </row>
    <row r="47" spans="1:29" ht="13.2">
      <c r="A47" s="9"/>
      <c r="B47" s="9"/>
      <c r="C47" s="14"/>
      <c r="D47" s="9" t="s">
        <v>94</v>
      </c>
      <c r="E47" s="9" t="s">
        <v>50</v>
      </c>
      <c r="F47" s="9" t="s">
        <v>7</v>
      </c>
      <c r="G47" s="9"/>
      <c r="H47" s="9"/>
      <c r="I47" s="9"/>
      <c r="J47" s="9"/>
      <c r="K47" s="9"/>
      <c r="L47" s="9"/>
      <c r="M47" s="9"/>
      <c r="N47" s="9"/>
      <c r="O47" s="9"/>
      <c r="P47" s="9"/>
      <c r="Q47" s="9"/>
      <c r="R47" s="9"/>
      <c r="S47" s="9"/>
      <c r="T47" s="9"/>
      <c r="U47" s="9"/>
      <c r="V47" s="9"/>
      <c r="W47" s="9"/>
      <c r="X47" s="9"/>
      <c r="Y47" s="9"/>
      <c r="Z47" s="9"/>
      <c r="AA47" s="9"/>
      <c r="AB47" s="9"/>
      <c r="AC47" s="9"/>
    </row>
    <row r="48" spans="1:29" ht="13.2">
      <c r="A48" s="9"/>
      <c r="B48" s="9"/>
      <c r="C48" s="14"/>
      <c r="D48" s="9" t="s">
        <v>95</v>
      </c>
      <c r="E48" s="9" t="s">
        <v>54</v>
      </c>
      <c r="F48" s="9" t="s">
        <v>7</v>
      </c>
      <c r="G48" s="10">
        <v>45953</v>
      </c>
      <c r="H48" s="9"/>
      <c r="I48" s="9"/>
      <c r="J48" s="9"/>
      <c r="K48" s="9"/>
      <c r="L48" s="9"/>
      <c r="M48" s="9"/>
      <c r="N48" s="9"/>
      <c r="O48" s="9"/>
      <c r="P48" s="9"/>
      <c r="Q48" s="9"/>
      <c r="R48" s="9"/>
      <c r="S48" s="9"/>
      <c r="T48" s="9"/>
      <c r="U48" s="9"/>
      <c r="V48" s="9"/>
      <c r="W48" s="9"/>
      <c r="X48" s="9"/>
      <c r="Y48" s="9"/>
      <c r="Z48" s="9"/>
      <c r="AA48" s="9"/>
      <c r="AB48" s="9"/>
      <c r="AC48" s="9"/>
    </row>
    <row r="49" spans="1:29" ht="13.2">
      <c r="A49" s="9"/>
      <c r="B49" s="9"/>
      <c r="C49" s="14"/>
      <c r="D49" s="9" t="s">
        <v>96</v>
      </c>
      <c r="E49" s="9" t="s">
        <v>9</v>
      </c>
      <c r="F49" s="9" t="s">
        <v>7</v>
      </c>
      <c r="G49" s="10">
        <v>45960</v>
      </c>
      <c r="H49" s="9"/>
      <c r="I49" s="9"/>
      <c r="J49" s="9"/>
      <c r="K49" s="9"/>
      <c r="L49" s="9"/>
      <c r="M49" s="9"/>
      <c r="N49" s="9"/>
      <c r="O49" s="9"/>
      <c r="P49" s="9"/>
      <c r="Q49" s="9"/>
      <c r="R49" s="9"/>
      <c r="S49" s="9"/>
      <c r="T49" s="9"/>
      <c r="U49" s="9"/>
      <c r="V49" s="9"/>
      <c r="W49" s="9"/>
      <c r="X49" s="9"/>
      <c r="Y49" s="9"/>
      <c r="Z49" s="9"/>
      <c r="AA49" s="9"/>
      <c r="AB49" s="9"/>
      <c r="AC49" s="9"/>
    </row>
    <row r="50" spans="1:29" ht="13.2">
      <c r="A50" s="9"/>
      <c r="B50" s="9"/>
      <c r="C50" s="14"/>
      <c r="D50" s="9" t="s">
        <v>97</v>
      </c>
      <c r="E50" s="9" t="s">
        <v>9</v>
      </c>
      <c r="F50" s="9" t="s">
        <v>7</v>
      </c>
      <c r="G50" s="10">
        <v>45960</v>
      </c>
      <c r="H50" s="9"/>
      <c r="I50" s="9"/>
      <c r="J50" s="9"/>
      <c r="K50" s="9"/>
      <c r="L50" s="9"/>
      <c r="M50" s="9"/>
      <c r="N50" s="9"/>
      <c r="O50" s="9"/>
      <c r="P50" s="9"/>
      <c r="Q50" s="9"/>
      <c r="R50" s="9"/>
      <c r="S50" s="9"/>
      <c r="T50" s="9"/>
      <c r="U50" s="9"/>
      <c r="V50" s="9"/>
      <c r="W50" s="9"/>
      <c r="X50" s="9"/>
      <c r="Y50" s="9"/>
      <c r="Z50" s="9"/>
      <c r="AA50" s="9"/>
      <c r="AB50" s="9"/>
      <c r="AC50" s="9"/>
    </row>
    <row r="51" spans="1:29" ht="13.2">
      <c r="A51" s="9"/>
      <c r="B51" s="9"/>
      <c r="C51" s="14"/>
      <c r="D51" s="9" t="s">
        <v>98</v>
      </c>
      <c r="E51" s="9" t="s">
        <v>69</v>
      </c>
      <c r="F51" s="9" t="s">
        <v>7</v>
      </c>
      <c r="G51" s="10">
        <v>45953</v>
      </c>
      <c r="H51" s="9"/>
      <c r="I51" s="9"/>
      <c r="J51" s="9"/>
      <c r="K51" s="9"/>
      <c r="L51" s="9"/>
      <c r="M51" s="9"/>
      <c r="N51" s="9"/>
      <c r="O51" s="9"/>
      <c r="P51" s="9"/>
      <c r="Q51" s="9"/>
      <c r="R51" s="9"/>
      <c r="S51" s="9"/>
      <c r="T51" s="9"/>
      <c r="U51" s="9"/>
      <c r="V51" s="9"/>
      <c r="W51" s="9"/>
      <c r="X51" s="9"/>
      <c r="Y51" s="9"/>
      <c r="Z51" s="9"/>
      <c r="AA51" s="9"/>
      <c r="AB51" s="9"/>
      <c r="AC51" s="9"/>
    </row>
    <row r="52" spans="1:29" ht="13.2">
      <c r="A52" s="9"/>
      <c r="B52" s="9"/>
      <c r="C52" s="14"/>
      <c r="D52" s="9" t="s">
        <v>99</v>
      </c>
      <c r="E52" s="9" t="s">
        <v>9</v>
      </c>
      <c r="F52" s="9" t="s">
        <v>7</v>
      </c>
      <c r="G52" s="10">
        <v>45960</v>
      </c>
      <c r="H52" s="9"/>
      <c r="I52" s="9"/>
      <c r="J52" s="9"/>
      <c r="K52" s="9"/>
      <c r="L52" s="9"/>
      <c r="M52" s="9"/>
      <c r="N52" s="9"/>
      <c r="O52" s="9"/>
      <c r="P52" s="9"/>
      <c r="Q52" s="9"/>
      <c r="R52" s="9"/>
      <c r="S52" s="9"/>
      <c r="T52" s="9"/>
      <c r="U52" s="9"/>
      <c r="V52" s="9"/>
      <c r="W52" s="9"/>
      <c r="X52" s="9"/>
      <c r="Y52" s="9"/>
      <c r="Z52" s="9"/>
      <c r="AA52" s="9"/>
      <c r="AB52" s="9"/>
      <c r="AC52" s="9"/>
    </row>
    <row r="53" spans="1:29" ht="13.2">
      <c r="A53" s="9"/>
      <c r="B53" s="9"/>
      <c r="C53" s="14"/>
      <c r="D53" s="9" t="s">
        <v>100</v>
      </c>
      <c r="E53" s="9" t="s">
        <v>9</v>
      </c>
      <c r="F53" s="9" t="s">
        <v>7</v>
      </c>
      <c r="G53" s="10">
        <v>45960</v>
      </c>
      <c r="H53" s="9"/>
      <c r="I53" s="9"/>
      <c r="J53" s="9"/>
      <c r="K53" s="9"/>
      <c r="L53" s="9"/>
      <c r="M53" s="9"/>
      <c r="N53" s="9"/>
      <c r="O53" s="9"/>
      <c r="P53" s="9"/>
      <c r="Q53" s="9"/>
      <c r="R53" s="9"/>
      <c r="S53" s="9"/>
      <c r="T53" s="9"/>
      <c r="U53" s="9"/>
      <c r="V53" s="9"/>
      <c r="W53" s="9"/>
      <c r="X53" s="9"/>
      <c r="Y53" s="9"/>
      <c r="Z53" s="9"/>
      <c r="AA53" s="9"/>
      <c r="AB53" s="9"/>
      <c r="AC53" s="9"/>
    </row>
    <row r="54" spans="1:29" ht="13.2">
      <c r="A54" s="9"/>
      <c r="B54" s="9"/>
      <c r="C54" s="14"/>
      <c r="D54" s="9" t="s">
        <v>101</v>
      </c>
      <c r="E54" s="9" t="s">
        <v>10</v>
      </c>
      <c r="F54" s="9" t="s">
        <v>7</v>
      </c>
      <c r="G54" s="10">
        <v>45960</v>
      </c>
      <c r="H54" s="9"/>
      <c r="I54" s="9"/>
      <c r="J54" s="9"/>
      <c r="K54" s="9"/>
      <c r="L54" s="9"/>
      <c r="M54" s="9"/>
      <c r="N54" s="9"/>
      <c r="O54" s="9"/>
      <c r="P54" s="9"/>
      <c r="Q54" s="9"/>
      <c r="R54" s="9"/>
      <c r="S54" s="9"/>
      <c r="T54" s="9"/>
      <c r="U54" s="9"/>
      <c r="V54" s="9"/>
      <c r="W54" s="9"/>
      <c r="X54" s="9"/>
      <c r="Y54" s="9"/>
      <c r="Z54" s="9"/>
      <c r="AA54" s="9"/>
      <c r="AB54" s="9"/>
      <c r="AC54" s="9"/>
    </row>
    <row r="55" spans="1:29" ht="13.2">
      <c r="A55" s="9"/>
      <c r="B55" s="9"/>
      <c r="C55" s="14"/>
      <c r="D55" s="9" t="s">
        <v>102</v>
      </c>
      <c r="E55" s="9" t="s">
        <v>10</v>
      </c>
      <c r="F55" s="9" t="s">
        <v>7</v>
      </c>
      <c r="G55" s="10">
        <v>45953</v>
      </c>
      <c r="H55" s="9"/>
      <c r="I55" s="9"/>
      <c r="J55" s="9"/>
      <c r="K55" s="9"/>
      <c r="L55" s="9"/>
      <c r="M55" s="9"/>
      <c r="N55" s="9"/>
      <c r="O55" s="9"/>
      <c r="P55" s="9"/>
      <c r="Q55" s="9"/>
      <c r="R55" s="9"/>
      <c r="S55" s="9"/>
      <c r="T55" s="9"/>
      <c r="U55" s="9"/>
      <c r="V55" s="9"/>
      <c r="W55" s="9"/>
      <c r="X55" s="9"/>
      <c r="Y55" s="9"/>
      <c r="Z55" s="9"/>
      <c r="AA55" s="9"/>
      <c r="AB55" s="9"/>
      <c r="AC55" s="9"/>
    </row>
    <row r="56" spans="1:29" ht="13.2">
      <c r="A56" s="9"/>
      <c r="B56" s="9"/>
      <c r="C56" s="14"/>
      <c r="D56" s="9" t="s">
        <v>103</v>
      </c>
      <c r="E56" s="9" t="s">
        <v>54</v>
      </c>
      <c r="F56" s="9" t="s">
        <v>7</v>
      </c>
      <c r="G56" s="10">
        <v>45960</v>
      </c>
      <c r="H56" s="9"/>
      <c r="I56" s="9"/>
      <c r="J56" s="9"/>
      <c r="K56" s="9"/>
      <c r="L56" s="9"/>
      <c r="M56" s="9"/>
      <c r="N56" s="9"/>
      <c r="O56" s="9"/>
      <c r="P56" s="9"/>
      <c r="Q56" s="9"/>
      <c r="R56" s="9"/>
      <c r="S56" s="9"/>
      <c r="T56" s="9"/>
      <c r="U56" s="9"/>
      <c r="V56" s="9"/>
      <c r="W56" s="9"/>
      <c r="X56" s="9"/>
      <c r="Y56" s="9"/>
      <c r="Z56" s="9"/>
      <c r="AA56" s="9"/>
      <c r="AB56" s="9"/>
      <c r="AC56" s="9"/>
    </row>
    <row r="57" spans="1:29" ht="13.2">
      <c r="A57" s="9"/>
      <c r="B57" s="9"/>
      <c r="C57" s="14"/>
      <c r="D57" s="9" t="s">
        <v>104</v>
      </c>
      <c r="E57" s="9" t="s">
        <v>24</v>
      </c>
      <c r="F57" s="9" t="s">
        <v>7</v>
      </c>
      <c r="G57" s="10">
        <v>45960</v>
      </c>
      <c r="H57" s="9"/>
      <c r="I57" s="9"/>
      <c r="J57" s="9"/>
      <c r="K57" s="9"/>
      <c r="L57" s="9"/>
      <c r="M57" s="9"/>
      <c r="N57" s="9"/>
      <c r="O57" s="9"/>
      <c r="P57" s="9"/>
      <c r="Q57" s="9"/>
      <c r="R57" s="9"/>
      <c r="S57" s="9"/>
      <c r="T57" s="9"/>
      <c r="U57" s="9"/>
      <c r="V57" s="9"/>
      <c r="W57" s="9"/>
      <c r="X57" s="9"/>
      <c r="Y57" s="9"/>
      <c r="Z57" s="9"/>
      <c r="AA57" s="9"/>
      <c r="AB57" s="9"/>
      <c r="AC57" s="9"/>
    </row>
    <row r="58" spans="1:29" ht="13.2">
      <c r="A58" s="9"/>
      <c r="B58" s="9"/>
      <c r="C58" s="14"/>
      <c r="D58" s="9" t="s">
        <v>105</v>
      </c>
      <c r="E58" s="9" t="s">
        <v>10</v>
      </c>
      <c r="F58" s="9" t="s">
        <v>7</v>
      </c>
      <c r="G58" s="10">
        <v>45960</v>
      </c>
      <c r="H58" s="9"/>
      <c r="I58" s="9"/>
      <c r="J58" s="9"/>
      <c r="K58" s="9"/>
      <c r="L58" s="9"/>
      <c r="M58" s="9"/>
      <c r="N58" s="9"/>
      <c r="O58" s="9"/>
      <c r="P58" s="9"/>
      <c r="Q58" s="9"/>
      <c r="R58" s="9"/>
      <c r="S58" s="9"/>
      <c r="T58" s="9"/>
      <c r="U58" s="9"/>
      <c r="V58" s="9"/>
      <c r="W58" s="9"/>
      <c r="X58" s="9"/>
      <c r="Y58" s="9"/>
      <c r="Z58" s="9"/>
      <c r="AA58" s="9"/>
      <c r="AB58" s="9"/>
      <c r="AC58" s="9"/>
    </row>
    <row r="59" spans="1:29" ht="13.2">
      <c r="A59" s="9"/>
      <c r="B59" s="9"/>
      <c r="C59" s="14"/>
      <c r="D59" s="9" t="s">
        <v>106</v>
      </c>
      <c r="E59" s="9" t="s">
        <v>10</v>
      </c>
      <c r="F59" s="9" t="s">
        <v>7</v>
      </c>
      <c r="G59" s="10">
        <v>45960</v>
      </c>
      <c r="H59" s="9"/>
      <c r="I59" s="9"/>
      <c r="J59" s="9"/>
      <c r="K59" s="9"/>
      <c r="L59" s="9"/>
      <c r="M59" s="9"/>
      <c r="N59" s="9"/>
      <c r="O59" s="9"/>
      <c r="P59" s="9"/>
      <c r="Q59" s="9"/>
      <c r="R59" s="9"/>
      <c r="S59" s="9"/>
      <c r="T59" s="9"/>
      <c r="U59" s="9"/>
      <c r="V59" s="9"/>
      <c r="W59" s="9"/>
      <c r="X59" s="9"/>
      <c r="Y59" s="9"/>
      <c r="Z59" s="9"/>
      <c r="AA59" s="9"/>
      <c r="AB59" s="9"/>
      <c r="AC59" s="9"/>
    </row>
    <row r="60" spans="1:29" ht="13.2">
      <c r="A60" s="9"/>
      <c r="B60" s="9"/>
      <c r="C60" s="14"/>
      <c r="D60" s="9" t="s">
        <v>107</v>
      </c>
      <c r="E60" s="9" t="s">
        <v>32</v>
      </c>
      <c r="F60" s="9" t="s">
        <v>7</v>
      </c>
      <c r="G60" s="10">
        <v>45960</v>
      </c>
      <c r="H60" s="9"/>
      <c r="I60" s="9"/>
      <c r="J60" s="9"/>
      <c r="K60" s="9"/>
      <c r="L60" s="9"/>
      <c r="M60" s="9"/>
      <c r="N60" s="9"/>
      <c r="O60" s="9"/>
      <c r="P60" s="9"/>
      <c r="Q60" s="9"/>
      <c r="R60" s="9"/>
      <c r="S60" s="9"/>
      <c r="T60" s="9"/>
      <c r="U60" s="9"/>
      <c r="V60" s="9"/>
      <c r="W60" s="9"/>
      <c r="X60" s="9"/>
      <c r="Y60" s="9"/>
      <c r="Z60" s="9"/>
      <c r="AA60" s="9"/>
      <c r="AB60" s="9"/>
      <c r="AC60" s="9"/>
    </row>
    <row r="61" spans="1:29" ht="13.2">
      <c r="A61" s="9"/>
      <c r="B61" s="9"/>
      <c r="C61" s="14"/>
      <c r="D61" s="9" t="s">
        <v>108</v>
      </c>
      <c r="E61" s="9" t="s">
        <v>10</v>
      </c>
      <c r="F61" s="9" t="s">
        <v>7</v>
      </c>
      <c r="G61" s="10">
        <v>45960</v>
      </c>
      <c r="H61" s="9"/>
      <c r="I61" s="9"/>
      <c r="J61" s="9"/>
      <c r="K61" s="9"/>
      <c r="L61" s="9"/>
      <c r="M61" s="9"/>
      <c r="N61" s="9"/>
      <c r="O61" s="9"/>
      <c r="P61" s="9"/>
      <c r="Q61" s="9"/>
      <c r="R61" s="9"/>
      <c r="S61" s="9"/>
      <c r="T61" s="9"/>
      <c r="U61" s="9"/>
      <c r="V61" s="9"/>
      <c r="W61" s="9"/>
      <c r="X61" s="9"/>
      <c r="Y61" s="9"/>
      <c r="Z61" s="9"/>
      <c r="AA61" s="9"/>
      <c r="AB61" s="9"/>
      <c r="AC61" s="9"/>
    </row>
    <row r="62" spans="1:29" ht="13.2">
      <c r="A62" s="9"/>
      <c r="B62" s="9"/>
      <c r="C62" s="14"/>
      <c r="D62" s="9" t="s">
        <v>109</v>
      </c>
      <c r="E62" s="9" t="s">
        <v>14</v>
      </c>
      <c r="F62" s="9" t="s">
        <v>7</v>
      </c>
      <c r="G62" s="10">
        <v>45960</v>
      </c>
      <c r="H62" s="9"/>
      <c r="I62" s="9"/>
      <c r="J62" s="9"/>
      <c r="K62" s="9"/>
      <c r="L62" s="9"/>
      <c r="M62" s="9"/>
      <c r="N62" s="9"/>
      <c r="O62" s="9"/>
      <c r="P62" s="9"/>
      <c r="Q62" s="9"/>
      <c r="R62" s="9"/>
      <c r="S62" s="9"/>
      <c r="T62" s="9"/>
      <c r="U62" s="9"/>
      <c r="V62" s="9"/>
      <c r="W62" s="9"/>
      <c r="X62" s="9"/>
      <c r="Y62" s="9"/>
      <c r="Z62" s="9"/>
      <c r="AA62" s="9"/>
      <c r="AB62" s="9"/>
      <c r="AC62" s="9"/>
    </row>
    <row r="63" spans="1:29" ht="13.2">
      <c r="A63" s="9"/>
      <c r="B63" s="9"/>
      <c r="C63" s="14"/>
      <c r="D63" s="9" t="s">
        <v>110</v>
      </c>
      <c r="E63" s="9" t="s">
        <v>69</v>
      </c>
      <c r="F63" s="9" t="s">
        <v>7</v>
      </c>
      <c r="G63" s="9"/>
      <c r="H63" s="9"/>
      <c r="I63" s="9"/>
      <c r="J63" s="9"/>
      <c r="K63" s="9"/>
      <c r="L63" s="9"/>
      <c r="M63" s="9"/>
      <c r="N63" s="9"/>
      <c r="O63" s="9"/>
      <c r="P63" s="9"/>
      <c r="Q63" s="9"/>
      <c r="R63" s="9"/>
      <c r="S63" s="9"/>
      <c r="T63" s="9"/>
      <c r="U63" s="9"/>
      <c r="V63" s="9"/>
      <c r="W63" s="9"/>
      <c r="X63" s="9"/>
      <c r="Y63" s="9"/>
      <c r="Z63" s="9"/>
      <c r="AA63" s="9"/>
      <c r="AB63" s="9"/>
      <c r="AC63" s="9"/>
    </row>
    <row r="64" spans="1:29" ht="13.2">
      <c r="A64" s="9"/>
      <c r="B64" s="9"/>
      <c r="C64" s="14"/>
      <c r="D64" s="9" t="s">
        <v>111</v>
      </c>
      <c r="E64" s="9" t="s">
        <v>14</v>
      </c>
      <c r="F64" s="9" t="s">
        <v>7</v>
      </c>
      <c r="G64" s="10">
        <v>45960</v>
      </c>
      <c r="H64" s="9"/>
      <c r="I64" s="9"/>
      <c r="J64" s="9"/>
      <c r="K64" s="9"/>
      <c r="L64" s="9"/>
      <c r="M64" s="9"/>
      <c r="N64" s="9"/>
      <c r="O64" s="9"/>
      <c r="P64" s="9"/>
      <c r="Q64" s="9"/>
      <c r="R64" s="9"/>
      <c r="S64" s="9"/>
      <c r="T64" s="9"/>
      <c r="U64" s="9"/>
      <c r="V64" s="9"/>
      <c r="W64" s="9"/>
      <c r="X64" s="9"/>
      <c r="Y64" s="9"/>
      <c r="Z64" s="9"/>
      <c r="AA64" s="9"/>
      <c r="AB64" s="9"/>
      <c r="AC64" s="9"/>
    </row>
    <row r="65" spans="1:29" ht="13.2">
      <c r="A65" s="9"/>
      <c r="B65" s="9"/>
      <c r="C65" s="14"/>
      <c r="D65" s="9" t="s">
        <v>112</v>
      </c>
      <c r="E65" s="9" t="s">
        <v>58</v>
      </c>
      <c r="F65" s="9" t="s">
        <v>7</v>
      </c>
      <c r="G65" s="10">
        <v>45960</v>
      </c>
      <c r="H65" s="9"/>
      <c r="I65" s="9"/>
      <c r="J65" s="9"/>
      <c r="K65" s="9"/>
      <c r="L65" s="9"/>
      <c r="M65" s="9"/>
      <c r="N65" s="9"/>
      <c r="O65" s="9"/>
      <c r="P65" s="9"/>
      <c r="Q65" s="9"/>
      <c r="R65" s="9"/>
      <c r="S65" s="9"/>
      <c r="T65" s="9"/>
      <c r="U65" s="9"/>
      <c r="V65" s="9"/>
      <c r="W65" s="9"/>
      <c r="X65" s="9"/>
      <c r="Y65" s="9"/>
      <c r="Z65" s="9"/>
      <c r="AA65" s="9"/>
      <c r="AB65" s="9"/>
      <c r="AC65" s="9"/>
    </row>
    <row r="66" spans="1:29" ht="13.2">
      <c r="A66" s="9"/>
      <c r="B66" s="9"/>
      <c r="C66" s="14"/>
      <c r="D66" s="9" t="s">
        <v>113</v>
      </c>
      <c r="E66" s="9" t="s">
        <v>23</v>
      </c>
      <c r="F66" s="9" t="s">
        <v>7</v>
      </c>
      <c r="G66" s="10">
        <v>45960</v>
      </c>
      <c r="H66" s="9"/>
      <c r="I66" s="9"/>
      <c r="J66" s="9"/>
      <c r="K66" s="9"/>
      <c r="L66" s="9"/>
      <c r="M66" s="9"/>
      <c r="N66" s="9"/>
      <c r="O66" s="9"/>
      <c r="P66" s="9"/>
      <c r="Q66" s="9"/>
      <c r="R66" s="9"/>
      <c r="S66" s="9"/>
      <c r="T66" s="9"/>
      <c r="U66" s="9"/>
      <c r="V66" s="9"/>
      <c r="W66" s="9"/>
      <c r="X66" s="9"/>
      <c r="Y66" s="9"/>
      <c r="Z66" s="9"/>
      <c r="AA66" s="9"/>
      <c r="AB66" s="9"/>
      <c r="AC66" s="9"/>
    </row>
    <row r="67" spans="1:29" ht="13.2">
      <c r="A67" s="9"/>
      <c r="B67" s="9"/>
      <c r="C67" s="14"/>
      <c r="D67" s="9" t="s">
        <v>114</v>
      </c>
      <c r="E67" s="9" t="s">
        <v>73</v>
      </c>
      <c r="F67" s="9" t="s">
        <v>7</v>
      </c>
      <c r="G67" s="10">
        <v>45960</v>
      </c>
      <c r="H67" s="9"/>
      <c r="I67" s="9"/>
      <c r="J67" s="9"/>
      <c r="K67" s="9"/>
      <c r="L67" s="9"/>
      <c r="M67" s="9"/>
      <c r="N67" s="9"/>
      <c r="O67" s="9"/>
      <c r="P67" s="9"/>
      <c r="Q67" s="9"/>
      <c r="R67" s="9"/>
      <c r="S67" s="9"/>
      <c r="T67" s="9"/>
      <c r="U67" s="9"/>
      <c r="V67" s="9"/>
      <c r="W67" s="9"/>
      <c r="X67" s="9"/>
      <c r="Y67" s="9"/>
      <c r="Z67" s="9"/>
      <c r="AA67" s="9"/>
      <c r="AB67" s="9"/>
      <c r="AC67" s="9"/>
    </row>
    <row r="68" spans="1:29" ht="13.2">
      <c r="A68" s="9"/>
      <c r="B68" s="9"/>
      <c r="C68" s="14"/>
      <c r="D68" s="9" t="s">
        <v>115</v>
      </c>
      <c r="E68" s="9" t="s">
        <v>10</v>
      </c>
      <c r="F68" s="9" t="s">
        <v>7</v>
      </c>
      <c r="G68" s="10">
        <v>45960</v>
      </c>
      <c r="H68" s="9"/>
      <c r="I68" s="9"/>
      <c r="J68" s="9"/>
      <c r="K68" s="9"/>
      <c r="L68" s="9"/>
      <c r="M68" s="9"/>
      <c r="N68" s="9"/>
      <c r="O68" s="9"/>
      <c r="P68" s="9"/>
      <c r="Q68" s="9"/>
      <c r="R68" s="9"/>
      <c r="S68" s="9"/>
      <c r="T68" s="9"/>
      <c r="U68" s="9"/>
      <c r="V68" s="9"/>
      <c r="W68" s="9"/>
      <c r="X68" s="9"/>
      <c r="Y68" s="9"/>
      <c r="Z68" s="9"/>
      <c r="AA68" s="9"/>
      <c r="AB68" s="9"/>
      <c r="AC68" s="9"/>
    </row>
    <row r="69" spans="1:29" ht="13.2">
      <c r="A69" s="9"/>
      <c r="B69" s="9"/>
      <c r="C69" s="14"/>
      <c r="D69" s="9" t="s">
        <v>116</v>
      </c>
      <c r="E69" s="9" t="s">
        <v>58</v>
      </c>
      <c r="F69" s="9" t="s">
        <v>7</v>
      </c>
      <c r="G69" s="10">
        <v>45960</v>
      </c>
      <c r="H69" s="9"/>
      <c r="I69" s="9"/>
      <c r="J69" s="9"/>
      <c r="K69" s="9"/>
      <c r="L69" s="9"/>
      <c r="M69" s="9"/>
      <c r="N69" s="9"/>
      <c r="O69" s="9"/>
      <c r="P69" s="9"/>
      <c r="Q69" s="9"/>
      <c r="R69" s="9"/>
      <c r="S69" s="9"/>
      <c r="T69" s="9"/>
      <c r="U69" s="9"/>
      <c r="V69" s="9"/>
      <c r="W69" s="9"/>
      <c r="X69" s="9"/>
      <c r="Y69" s="9"/>
      <c r="Z69" s="9"/>
      <c r="AA69" s="9"/>
      <c r="AB69" s="9"/>
      <c r="AC69" s="9"/>
    </row>
    <row r="70" spans="1:29" ht="14.4">
      <c r="A70" s="9"/>
      <c r="B70" s="9"/>
      <c r="C70" s="14"/>
      <c r="D70" s="13" t="s">
        <v>117</v>
      </c>
      <c r="E70" s="9" t="s">
        <v>14</v>
      </c>
      <c r="F70" s="9" t="s">
        <v>7</v>
      </c>
      <c r="G70" s="9"/>
      <c r="H70" s="9"/>
      <c r="I70" s="9"/>
      <c r="J70" s="9"/>
      <c r="K70" s="9"/>
      <c r="L70" s="9"/>
      <c r="M70" s="9"/>
      <c r="N70" s="9"/>
      <c r="O70" s="9"/>
      <c r="P70" s="9"/>
      <c r="Q70" s="9"/>
      <c r="R70" s="9"/>
      <c r="S70" s="9"/>
      <c r="T70" s="9"/>
      <c r="U70" s="9"/>
      <c r="V70" s="9"/>
      <c r="W70" s="9"/>
      <c r="X70" s="9"/>
      <c r="Y70" s="9"/>
      <c r="Z70" s="9"/>
      <c r="AA70" s="9"/>
      <c r="AB70" s="9"/>
      <c r="AC70" s="9"/>
    </row>
    <row r="71" spans="1:29" ht="13.2">
      <c r="A71" s="9"/>
      <c r="B71" s="9"/>
      <c r="C71" s="14"/>
      <c r="D71" s="7" t="s">
        <v>118</v>
      </c>
      <c r="E71" s="9" t="s">
        <v>14</v>
      </c>
      <c r="F71" s="7" t="s">
        <v>7</v>
      </c>
      <c r="G71" s="9"/>
      <c r="H71" s="9"/>
      <c r="I71" s="9"/>
      <c r="J71" s="9"/>
      <c r="K71" s="9"/>
      <c r="L71" s="9"/>
      <c r="M71" s="9"/>
      <c r="N71" s="9"/>
      <c r="O71" s="9"/>
      <c r="P71" s="9"/>
      <c r="Q71" s="9"/>
      <c r="R71" s="9"/>
      <c r="S71" s="9"/>
      <c r="T71" s="9"/>
      <c r="U71" s="9"/>
      <c r="V71" s="9"/>
      <c r="W71" s="9"/>
      <c r="X71" s="9"/>
      <c r="Y71" s="9"/>
      <c r="Z71" s="9"/>
      <c r="AA71" s="9"/>
      <c r="AB71" s="9"/>
      <c r="AC71" s="9"/>
    </row>
    <row r="72" spans="1:29" ht="13.2">
      <c r="A72" s="9"/>
      <c r="B72" s="9"/>
      <c r="C72" s="14"/>
      <c r="D72" s="7" t="s">
        <v>119</v>
      </c>
      <c r="E72" s="7" t="s">
        <v>14</v>
      </c>
      <c r="F72" s="7" t="s">
        <v>7</v>
      </c>
      <c r="G72" s="9"/>
      <c r="H72" s="9"/>
      <c r="I72" s="9"/>
      <c r="J72" s="9"/>
      <c r="K72" s="9"/>
      <c r="L72" s="9"/>
      <c r="M72" s="9"/>
      <c r="N72" s="9"/>
      <c r="O72" s="9"/>
      <c r="P72" s="9"/>
      <c r="Q72" s="9"/>
      <c r="R72" s="9"/>
      <c r="S72" s="9"/>
      <c r="T72" s="9"/>
      <c r="U72" s="9"/>
      <c r="V72" s="9"/>
      <c r="W72" s="9"/>
      <c r="X72" s="9"/>
      <c r="Y72" s="9"/>
      <c r="Z72" s="9"/>
      <c r="AA72" s="9"/>
      <c r="AB72" s="9"/>
      <c r="AC72" s="9"/>
    </row>
    <row r="73" spans="1:29" ht="14.4">
      <c r="A73" s="9"/>
      <c r="B73" s="9"/>
      <c r="C73" s="14"/>
      <c r="D73" s="13" t="s">
        <v>120</v>
      </c>
      <c r="E73" s="7" t="s">
        <v>69</v>
      </c>
      <c r="F73" s="7" t="s">
        <v>7</v>
      </c>
      <c r="H73" s="9"/>
      <c r="I73" s="9"/>
      <c r="J73" s="9"/>
      <c r="K73" s="9"/>
      <c r="L73" s="9"/>
      <c r="M73" s="9"/>
      <c r="N73" s="9"/>
      <c r="O73" s="9"/>
      <c r="P73" s="9"/>
      <c r="Q73" s="9"/>
      <c r="R73" s="9"/>
      <c r="S73" s="9"/>
      <c r="T73" s="9"/>
      <c r="U73" s="9"/>
      <c r="V73" s="9"/>
      <c r="W73" s="9"/>
      <c r="X73" s="9"/>
      <c r="Y73" s="9"/>
      <c r="Z73" s="9"/>
      <c r="AA73" s="9"/>
      <c r="AB73" s="9"/>
      <c r="AC73" s="9"/>
    </row>
    <row r="74" spans="1:29" ht="14.4">
      <c r="A74" s="9"/>
      <c r="B74" s="9"/>
      <c r="C74" s="14"/>
      <c r="D74" s="13" t="s">
        <v>121</v>
      </c>
      <c r="E74" s="9" t="s">
        <v>9</v>
      </c>
      <c r="F74" s="7" t="s">
        <v>7</v>
      </c>
      <c r="H74" s="9"/>
      <c r="I74" s="9"/>
      <c r="J74" s="9"/>
      <c r="K74" s="9"/>
      <c r="L74" s="9"/>
      <c r="M74" s="9"/>
      <c r="N74" s="9"/>
      <c r="O74" s="9"/>
      <c r="P74" s="9"/>
      <c r="Q74" s="9"/>
      <c r="R74" s="9"/>
      <c r="S74" s="9"/>
      <c r="T74" s="9"/>
      <c r="U74" s="9"/>
      <c r="V74" s="9"/>
      <c r="W74" s="9"/>
      <c r="X74" s="9"/>
      <c r="Y74" s="9"/>
      <c r="Z74" s="9"/>
      <c r="AA74" s="9"/>
      <c r="AB74" s="9"/>
      <c r="AC74" s="9"/>
    </row>
    <row r="75" spans="1:29" ht="14.4">
      <c r="A75" s="9"/>
      <c r="B75" s="9"/>
      <c r="C75" s="14"/>
      <c r="D75" s="13" t="s">
        <v>122</v>
      </c>
      <c r="E75" s="7" t="s">
        <v>14</v>
      </c>
      <c r="F75" s="7" t="s">
        <v>7</v>
      </c>
      <c r="H75" s="9"/>
      <c r="I75" s="9"/>
      <c r="J75" s="9"/>
      <c r="K75" s="9"/>
      <c r="L75" s="9"/>
      <c r="M75" s="9"/>
      <c r="N75" s="9"/>
      <c r="O75" s="9"/>
      <c r="P75" s="9"/>
      <c r="Q75" s="9"/>
      <c r="R75" s="9"/>
      <c r="S75" s="9"/>
      <c r="T75" s="9"/>
      <c r="U75" s="9"/>
      <c r="V75" s="9"/>
      <c r="W75" s="9"/>
      <c r="X75" s="9"/>
      <c r="Y75" s="9"/>
      <c r="Z75" s="9"/>
      <c r="AA75" s="9"/>
      <c r="AB75" s="9"/>
      <c r="AC75" s="9"/>
    </row>
    <row r="76" spans="1:29" ht="14.4">
      <c r="A76" s="9"/>
      <c r="B76" s="9"/>
      <c r="C76" s="14"/>
      <c r="D76" s="13" t="s">
        <v>123</v>
      </c>
      <c r="E76" s="7" t="s">
        <v>14</v>
      </c>
      <c r="F76" s="7" t="s">
        <v>7</v>
      </c>
      <c r="H76" s="9"/>
      <c r="I76" s="9"/>
      <c r="J76" s="9"/>
      <c r="K76" s="9"/>
      <c r="L76" s="9"/>
      <c r="M76" s="9"/>
      <c r="N76" s="9"/>
      <c r="O76" s="9"/>
      <c r="P76" s="9"/>
      <c r="Q76" s="9"/>
      <c r="R76" s="9"/>
      <c r="S76" s="9"/>
      <c r="T76" s="9"/>
      <c r="U76" s="9"/>
      <c r="V76" s="9"/>
      <c r="W76" s="9"/>
      <c r="X76" s="9"/>
      <c r="Y76" s="9"/>
      <c r="Z76" s="9"/>
      <c r="AA76" s="9"/>
      <c r="AB76" s="9"/>
      <c r="AC76" s="9"/>
    </row>
    <row r="77" spans="1:29" ht="14.4">
      <c r="A77" s="9"/>
      <c r="B77" s="9"/>
      <c r="C77" s="14"/>
      <c r="D77" s="13" t="s">
        <v>124</v>
      </c>
      <c r="E77" s="9" t="s">
        <v>10</v>
      </c>
      <c r="F77" s="7" t="s">
        <v>7</v>
      </c>
      <c r="H77" s="9"/>
      <c r="I77" s="9"/>
      <c r="J77" s="9"/>
      <c r="K77" s="9"/>
      <c r="L77" s="9"/>
      <c r="M77" s="9"/>
      <c r="N77" s="9"/>
      <c r="O77" s="9"/>
      <c r="P77" s="9"/>
      <c r="Q77" s="9"/>
      <c r="R77" s="9"/>
      <c r="S77" s="9"/>
      <c r="T77" s="9"/>
      <c r="U77" s="9"/>
      <c r="V77" s="9"/>
      <c r="W77" s="9"/>
      <c r="X77" s="9"/>
      <c r="Y77" s="9"/>
      <c r="Z77" s="9"/>
      <c r="AA77" s="9"/>
      <c r="AB77" s="9"/>
      <c r="AC77" s="9"/>
    </row>
    <row r="78" spans="1:29" ht="15.6">
      <c r="A78" s="9"/>
      <c r="B78" s="9"/>
      <c r="C78" s="14"/>
      <c r="D78" s="15" t="s">
        <v>125</v>
      </c>
      <c r="E78" s="7" t="s">
        <v>69</v>
      </c>
      <c r="F78" s="7" t="s">
        <v>7</v>
      </c>
      <c r="H78" s="9"/>
      <c r="I78" s="9"/>
      <c r="J78" s="9"/>
      <c r="K78" s="9"/>
      <c r="L78" s="9"/>
      <c r="M78" s="9"/>
      <c r="N78" s="9"/>
      <c r="O78" s="9"/>
      <c r="P78" s="9"/>
      <c r="Q78" s="9"/>
      <c r="R78" s="9"/>
      <c r="S78" s="9"/>
      <c r="T78" s="9"/>
      <c r="U78" s="9"/>
      <c r="V78" s="9"/>
      <c r="W78" s="9"/>
      <c r="X78" s="9"/>
      <c r="Y78" s="9"/>
      <c r="Z78" s="9"/>
      <c r="AA78" s="9"/>
      <c r="AB78" s="9"/>
      <c r="AC78" s="9"/>
    </row>
    <row r="79" spans="1:29" ht="13.8">
      <c r="A79" s="9"/>
      <c r="B79" s="9"/>
      <c r="C79" s="14"/>
      <c r="D79" s="16" t="s">
        <v>126</v>
      </c>
      <c r="E79" s="9" t="s">
        <v>10</v>
      </c>
      <c r="F79" s="7" t="s">
        <v>7</v>
      </c>
      <c r="H79" s="9"/>
      <c r="I79" s="9"/>
      <c r="J79" s="9"/>
      <c r="K79" s="9"/>
      <c r="L79" s="9"/>
      <c r="M79" s="9"/>
      <c r="N79" s="9"/>
      <c r="O79" s="9"/>
      <c r="P79" s="9"/>
      <c r="Q79" s="9"/>
      <c r="R79" s="9"/>
      <c r="S79" s="9"/>
      <c r="T79" s="9"/>
      <c r="U79" s="9"/>
      <c r="V79" s="9"/>
      <c r="W79" s="9"/>
      <c r="X79" s="9"/>
      <c r="Y79" s="9"/>
      <c r="Z79" s="9"/>
      <c r="AA79" s="9"/>
      <c r="AB79" s="9"/>
      <c r="AC79" s="9"/>
    </row>
    <row r="80" spans="1:29" ht="13.2">
      <c r="A80" s="9"/>
      <c r="B80" s="9"/>
      <c r="C80" s="14"/>
      <c r="D80" s="9" t="s">
        <v>127</v>
      </c>
      <c r="E80" s="9" t="s">
        <v>54</v>
      </c>
      <c r="F80" s="7" t="s">
        <v>7</v>
      </c>
      <c r="H80" s="9"/>
      <c r="I80" s="9"/>
      <c r="J80" s="9"/>
      <c r="K80" s="9"/>
      <c r="L80" s="9"/>
      <c r="M80" s="9"/>
      <c r="N80" s="9"/>
      <c r="O80" s="9"/>
      <c r="P80" s="9"/>
      <c r="Q80" s="9"/>
      <c r="R80" s="9"/>
      <c r="S80" s="9"/>
      <c r="T80" s="9"/>
      <c r="U80" s="9"/>
      <c r="V80" s="9"/>
      <c r="W80" s="9"/>
      <c r="X80" s="9"/>
      <c r="Y80" s="9"/>
      <c r="Z80" s="9"/>
      <c r="AA80" s="9"/>
      <c r="AB80" s="9"/>
      <c r="AC80" s="9"/>
    </row>
    <row r="81" spans="1:29" ht="13.2">
      <c r="A81" s="9"/>
      <c r="B81" s="9"/>
      <c r="C81" s="14"/>
      <c r="D81" s="9" t="s">
        <v>128</v>
      </c>
      <c r="E81" s="9" t="s">
        <v>10</v>
      </c>
      <c r="F81" s="9" t="s">
        <v>7</v>
      </c>
      <c r="H81" s="9"/>
      <c r="I81" s="9"/>
      <c r="J81" s="9"/>
      <c r="K81" s="9"/>
      <c r="L81" s="9"/>
      <c r="M81" s="9"/>
      <c r="N81" s="9"/>
      <c r="O81" s="9"/>
      <c r="P81" s="9"/>
      <c r="Q81" s="9"/>
      <c r="R81" s="9"/>
      <c r="S81" s="9"/>
      <c r="T81" s="9"/>
      <c r="U81" s="9"/>
      <c r="V81" s="9"/>
      <c r="W81" s="9"/>
      <c r="X81" s="9"/>
      <c r="Y81" s="9"/>
      <c r="Z81" s="9"/>
      <c r="AA81" s="9"/>
      <c r="AB81" s="9"/>
      <c r="AC81" s="9"/>
    </row>
    <row r="82" spans="1:29" ht="13.2">
      <c r="A82" s="9"/>
      <c r="B82" s="9"/>
      <c r="C82" s="14"/>
      <c r="D82" s="9" t="s">
        <v>129</v>
      </c>
      <c r="E82" s="9" t="s">
        <v>54</v>
      </c>
      <c r="F82" s="9" t="s">
        <v>7</v>
      </c>
      <c r="H82" s="9"/>
      <c r="I82" s="9"/>
      <c r="J82" s="9"/>
      <c r="K82" s="9"/>
      <c r="L82" s="9"/>
      <c r="M82" s="9"/>
      <c r="N82" s="9"/>
      <c r="O82" s="9"/>
      <c r="P82" s="9"/>
      <c r="Q82" s="9"/>
      <c r="R82" s="9"/>
      <c r="S82" s="9"/>
      <c r="T82" s="9"/>
      <c r="U82" s="9"/>
      <c r="V82" s="9"/>
      <c r="W82" s="9"/>
      <c r="X82" s="9"/>
      <c r="Y82" s="9"/>
      <c r="Z82" s="9"/>
      <c r="AA82" s="9"/>
      <c r="AB82" s="9"/>
      <c r="AC82" s="9"/>
    </row>
    <row r="83" spans="1:29" ht="13.2">
      <c r="A83" s="9"/>
      <c r="B83" s="9"/>
      <c r="C83" s="14"/>
      <c r="D83" s="9" t="s">
        <v>130</v>
      </c>
      <c r="E83" s="9" t="s">
        <v>24</v>
      </c>
      <c r="F83" s="9" t="s">
        <v>7</v>
      </c>
      <c r="H83" s="9"/>
      <c r="I83" s="9"/>
      <c r="J83" s="9"/>
      <c r="K83" s="9"/>
      <c r="L83" s="9"/>
      <c r="M83" s="9"/>
      <c r="N83" s="9"/>
      <c r="O83" s="9"/>
      <c r="P83" s="9"/>
      <c r="Q83" s="9"/>
      <c r="R83" s="9"/>
      <c r="S83" s="9"/>
      <c r="T83" s="9"/>
      <c r="U83" s="9"/>
      <c r="V83" s="9"/>
      <c r="W83" s="9"/>
      <c r="X83" s="9"/>
      <c r="Y83" s="9"/>
      <c r="Z83" s="9"/>
      <c r="AA83" s="9"/>
      <c r="AB83" s="9"/>
      <c r="AC83" s="9"/>
    </row>
    <row r="84" spans="1:29" ht="13.2">
      <c r="A84" s="9"/>
      <c r="B84" s="9"/>
      <c r="C84" s="14"/>
      <c r="D84" s="9" t="s">
        <v>131</v>
      </c>
      <c r="E84" s="9" t="s">
        <v>54</v>
      </c>
      <c r="F84" s="9" t="s">
        <v>7</v>
      </c>
      <c r="H84" s="9"/>
      <c r="I84" s="9"/>
      <c r="J84" s="9"/>
      <c r="K84" s="9"/>
      <c r="L84" s="9"/>
      <c r="M84" s="9"/>
      <c r="N84" s="9"/>
      <c r="O84" s="9"/>
      <c r="P84" s="9"/>
      <c r="Q84" s="9"/>
      <c r="R84" s="9"/>
      <c r="S84" s="9"/>
      <c r="T84" s="9"/>
      <c r="U84" s="9"/>
      <c r="V84" s="9"/>
      <c r="W84" s="9"/>
      <c r="X84" s="9"/>
      <c r="Y84" s="9"/>
      <c r="Z84" s="9"/>
      <c r="AA84" s="9"/>
      <c r="AB84" s="9"/>
      <c r="AC84" s="9"/>
    </row>
    <row r="85" spans="1:29" ht="13.2">
      <c r="A85" s="9"/>
      <c r="B85" s="9"/>
      <c r="C85" s="14"/>
      <c r="D85" s="9" t="s">
        <v>132</v>
      </c>
      <c r="E85" s="9" t="s">
        <v>10</v>
      </c>
      <c r="F85" s="9" t="s">
        <v>7</v>
      </c>
      <c r="H85" s="9"/>
      <c r="I85" s="9"/>
      <c r="J85" s="9"/>
      <c r="K85" s="9"/>
      <c r="L85" s="9"/>
      <c r="M85" s="9"/>
      <c r="N85" s="9"/>
      <c r="O85" s="9"/>
      <c r="P85" s="9"/>
      <c r="Q85" s="9"/>
      <c r="R85" s="9"/>
      <c r="S85" s="9"/>
      <c r="T85" s="9"/>
      <c r="U85" s="9"/>
      <c r="V85" s="9"/>
      <c r="W85" s="9"/>
      <c r="X85" s="9"/>
      <c r="Y85" s="9"/>
      <c r="Z85" s="9"/>
      <c r="AA85" s="9"/>
      <c r="AB85" s="9"/>
      <c r="AC85" s="9"/>
    </row>
    <row r="86" spans="1:29" ht="13.2">
      <c r="A86" s="9"/>
      <c r="B86" s="9"/>
      <c r="C86" s="14"/>
      <c r="D86" s="9" t="s">
        <v>133</v>
      </c>
      <c r="E86" s="9" t="s">
        <v>32</v>
      </c>
      <c r="F86" s="9" t="s">
        <v>7</v>
      </c>
      <c r="H86" s="9"/>
      <c r="I86" s="9"/>
      <c r="J86" s="9"/>
      <c r="K86" s="9"/>
      <c r="L86" s="9"/>
      <c r="M86" s="9"/>
      <c r="N86" s="9"/>
      <c r="O86" s="9"/>
      <c r="P86" s="9"/>
      <c r="Q86" s="9"/>
      <c r="R86" s="9"/>
      <c r="S86" s="9"/>
      <c r="T86" s="9"/>
      <c r="U86" s="9"/>
      <c r="V86" s="9"/>
      <c r="W86" s="9"/>
      <c r="X86" s="9"/>
      <c r="Y86" s="9"/>
      <c r="Z86" s="9"/>
      <c r="AA86" s="9"/>
      <c r="AB86" s="9"/>
      <c r="AC86" s="9"/>
    </row>
    <row r="87" spans="1:29" ht="13.2">
      <c r="A87" s="9"/>
      <c r="B87" s="9"/>
      <c r="C87" s="14"/>
      <c r="D87" s="9" t="s">
        <v>134</v>
      </c>
      <c r="E87" s="9" t="s">
        <v>10</v>
      </c>
      <c r="F87" s="9" t="s">
        <v>7</v>
      </c>
      <c r="H87" s="9"/>
      <c r="I87" s="9"/>
      <c r="J87" s="9"/>
      <c r="K87" s="9"/>
      <c r="L87" s="9"/>
      <c r="M87" s="9"/>
      <c r="N87" s="9"/>
      <c r="O87" s="9"/>
      <c r="P87" s="9"/>
      <c r="Q87" s="9"/>
      <c r="R87" s="9"/>
      <c r="S87" s="9"/>
      <c r="T87" s="9"/>
      <c r="U87" s="9"/>
      <c r="V87" s="9"/>
      <c r="W87" s="9"/>
      <c r="X87" s="9"/>
      <c r="Y87" s="9"/>
      <c r="Z87" s="9"/>
      <c r="AA87" s="9"/>
      <c r="AB87" s="9"/>
      <c r="AC87" s="9"/>
    </row>
    <row r="88" spans="1:29" ht="13.2">
      <c r="A88" s="9"/>
      <c r="B88" s="9"/>
      <c r="C88" s="14"/>
      <c r="D88" s="9" t="s">
        <v>135</v>
      </c>
      <c r="E88" s="9" t="s">
        <v>10</v>
      </c>
      <c r="F88" s="9" t="s">
        <v>7</v>
      </c>
      <c r="H88" s="9"/>
      <c r="I88" s="9"/>
      <c r="J88" s="9"/>
      <c r="K88" s="9"/>
      <c r="L88" s="9"/>
      <c r="M88" s="9"/>
      <c r="N88" s="9"/>
      <c r="O88" s="9"/>
      <c r="P88" s="9"/>
      <c r="Q88" s="9"/>
      <c r="R88" s="9"/>
      <c r="S88" s="9"/>
      <c r="T88" s="9"/>
      <c r="U88" s="9"/>
      <c r="V88" s="9"/>
      <c r="W88" s="9"/>
      <c r="X88" s="9"/>
      <c r="Y88" s="9"/>
      <c r="Z88" s="9"/>
      <c r="AA88" s="9"/>
      <c r="AB88" s="9"/>
      <c r="AC88" s="9"/>
    </row>
    <row r="89" spans="1:29" ht="13.2">
      <c r="A89" s="9"/>
      <c r="B89" s="9"/>
      <c r="C89" s="14"/>
      <c r="D89" s="9" t="s">
        <v>136</v>
      </c>
      <c r="E89" s="9" t="s">
        <v>10</v>
      </c>
      <c r="F89" s="9" t="s">
        <v>7</v>
      </c>
      <c r="H89" s="9"/>
      <c r="I89" s="9"/>
      <c r="J89" s="9"/>
      <c r="K89" s="9"/>
      <c r="L89" s="9"/>
      <c r="M89" s="9"/>
      <c r="N89" s="9"/>
      <c r="O89" s="9"/>
      <c r="P89" s="9"/>
      <c r="Q89" s="9"/>
      <c r="R89" s="9"/>
      <c r="S89" s="9"/>
      <c r="T89" s="9"/>
      <c r="U89" s="9"/>
      <c r="V89" s="9"/>
      <c r="W89" s="9"/>
      <c r="X89" s="9"/>
      <c r="Y89" s="9"/>
      <c r="Z89" s="9"/>
      <c r="AA89" s="9"/>
      <c r="AB89" s="9"/>
      <c r="AC89" s="9"/>
    </row>
    <row r="90" spans="1:29" ht="13.2">
      <c r="A90" s="9"/>
      <c r="B90" s="9"/>
      <c r="C90" s="14"/>
      <c r="D90" s="9" t="s">
        <v>137</v>
      </c>
      <c r="E90" s="9" t="s">
        <v>69</v>
      </c>
      <c r="F90" s="9" t="s">
        <v>7</v>
      </c>
      <c r="H90" s="9"/>
      <c r="I90" s="9"/>
      <c r="J90" s="9"/>
      <c r="K90" s="9"/>
      <c r="L90" s="9"/>
      <c r="M90" s="9"/>
      <c r="N90" s="9"/>
      <c r="O90" s="9"/>
      <c r="P90" s="9"/>
      <c r="Q90" s="9"/>
      <c r="R90" s="9"/>
      <c r="S90" s="9"/>
      <c r="T90" s="9"/>
      <c r="U90" s="9"/>
      <c r="V90" s="9"/>
      <c r="W90" s="9"/>
      <c r="X90" s="9"/>
      <c r="Y90" s="9"/>
      <c r="Z90" s="9"/>
      <c r="AA90" s="9"/>
      <c r="AB90" s="9"/>
      <c r="AC90" s="9"/>
    </row>
    <row r="91" spans="1:29" ht="13.2">
      <c r="A91" s="9"/>
      <c r="B91" s="9"/>
      <c r="C91" s="14"/>
      <c r="D91" s="9" t="s">
        <v>138</v>
      </c>
      <c r="E91" s="7" t="s">
        <v>14</v>
      </c>
      <c r="F91" s="9" t="s">
        <v>7</v>
      </c>
      <c r="H91" s="9"/>
      <c r="I91" s="9"/>
      <c r="J91" s="9"/>
      <c r="K91" s="9"/>
      <c r="L91" s="9"/>
      <c r="M91" s="9"/>
      <c r="N91" s="9"/>
      <c r="O91" s="9"/>
      <c r="P91" s="9"/>
      <c r="Q91" s="9"/>
      <c r="R91" s="9"/>
      <c r="S91" s="9"/>
      <c r="T91" s="9"/>
      <c r="U91" s="9"/>
      <c r="V91" s="9"/>
      <c r="W91" s="9"/>
      <c r="X91" s="9"/>
      <c r="Y91" s="9"/>
      <c r="Z91" s="9"/>
      <c r="AA91" s="9"/>
      <c r="AB91" s="9"/>
      <c r="AC91" s="9"/>
    </row>
    <row r="92" spans="1:29" ht="13.2">
      <c r="A92" s="9"/>
      <c r="B92" s="9"/>
      <c r="C92" s="14"/>
      <c r="D92" s="9" t="s">
        <v>139</v>
      </c>
      <c r="E92" s="9" t="s">
        <v>9</v>
      </c>
      <c r="F92" s="9" t="s">
        <v>7</v>
      </c>
      <c r="H92" s="9"/>
      <c r="I92" s="9"/>
      <c r="J92" s="9"/>
      <c r="K92" s="9"/>
      <c r="L92" s="9"/>
      <c r="M92" s="9"/>
      <c r="N92" s="9"/>
      <c r="O92" s="9"/>
      <c r="P92" s="9"/>
      <c r="Q92" s="9"/>
      <c r="R92" s="9"/>
      <c r="S92" s="9"/>
      <c r="T92" s="9"/>
      <c r="U92" s="9"/>
      <c r="V92" s="9"/>
      <c r="W92" s="9"/>
      <c r="X92" s="9"/>
      <c r="Y92" s="9"/>
      <c r="Z92" s="9"/>
      <c r="AA92" s="9"/>
      <c r="AB92" s="9"/>
      <c r="AC92" s="9"/>
    </row>
    <row r="93" spans="1:29" ht="13.2">
      <c r="A93" s="9"/>
      <c r="B93" s="9"/>
      <c r="C93" s="14"/>
      <c r="D93" s="9" t="s">
        <v>140</v>
      </c>
      <c r="E93" s="9" t="s">
        <v>10</v>
      </c>
      <c r="F93" s="9" t="s">
        <v>7</v>
      </c>
      <c r="H93" s="9"/>
      <c r="I93" s="9"/>
      <c r="J93" s="9"/>
      <c r="K93" s="9"/>
      <c r="L93" s="9"/>
      <c r="M93" s="9"/>
      <c r="N93" s="9"/>
      <c r="O93" s="9"/>
      <c r="P93" s="9"/>
      <c r="Q93" s="9"/>
      <c r="R93" s="9"/>
      <c r="S93" s="9"/>
      <c r="T93" s="9"/>
      <c r="U93" s="9"/>
      <c r="V93" s="9"/>
      <c r="W93" s="9"/>
      <c r="X93" s="9"/>
      <c r="Y93" s="9"/>
      <c r="Z93" s="9"/>
      <c r="AA93" s="9"/>
      <c r="AB93" s="9"/>
      <c r="AC93" s="9"/>
    </row>
    <row r="94" spans="1:29" ht="13.2">
      <c r="A94" s="9"/>
      <c r="B94" s="9"/>
      <c r="C94" s="14"/>
      <c r="D94" s="9" t="s">
        <v>141</v>
      </c>
      <c r="E94" s="9" t="s">
        <v>14</v>
      </c>
      <c r="F94" s="9" t="s">
        <v>7</v>
      </c>
      <c r="H94" s="9"/>
      <c r="I94" s="9"/>
      <c r="J94" s="9"/>
      <c r="K94" s="9"/>
      <c r="L94" s="9"/>
      <c r="M94" s="9"/>
      <c r="N94" s="9"/>
      <c r="O94" s="9"/>
      <c r="P94" s="9"/>
      <c r="Q94" s="9"/>
      <c r="R94" s="9"/>
      <c r="S94" s="9"/>
      <c r="T94" s="9"/>
      <c r="U94" s="9"/>
      <c r="V94" s="9"/>
      <c r="W94" s="9"/>
      <c r="X94" s="9"/>
      <c r="Y94" s="9"/>
      <c r="Z94" s="9"/>
      <c r="AA94" s="9"/>
      <c r="AB94" s="9"/>
      <c r="AC94" s="9"/>
    </row>
    <row r="95" spans="1:29" ht="13.2">
      <c r="A95" s="9"/>
      <c r="B95" s="9"/>
      <c r="C95" s="14"/>
      <c r="D95" s="9" t="s">
        <v>142</v>
      </c>
      <c r="E95" s="9" t="s">
        <v>9</v>
      </c>
      <c r="F95" s="9" t="s">
        <v>7</v>
      </c>
      <c r="H95" s="9"/>
      <c r="I95" s="9"/>
      <c r="J95" s="9"/>
      <c r="K95" s="9"/>
      <c r="L95" s="9"/>
      <c r="M95" s="9"/>
      <c r="N95" s="9"/>
      <c r="O95" s="9"/>
      <c r="P95" s="9"/>
      <c r="Q95" s="9"/>
      <c r="R95" s="9"/>
      <c r="S95" s="9"/>
      <c r="T95" s="9"/>
      <c r="U95" s="9"/>
      <c r="V95" s="9"/>
      <c r="W95" s="9"/>
      <c r="X95" s="9"/>
      <c r="Y95" s="9"/>
      <c r="Z95" s="9"/>
      <c r="AA95" s="9"/>
      <c r="AB95" s="9"/>
      <c r="AC95" s="9"/>
    </row>
    <row r="96" spans="1:29" ht="13.8">
      <c r="A96" s="9"/>
      <c r="B96" s="9"/>
      <c r="C96" s="14"/>
      <c r="D96" s="16" t="s">
        <v>143</v>
      </c>
      <c r="E96" s="9" t="s">
        <v>45</v>
      </c>
      <c r="F96" s="9" t="s">
        <v>7</v>
      </c>
      <c r="H96" s="9"/>
      <c r="I96" s="9"/>
      <c r="J96" s="9"/>
      <c r="K96" s="9"/>
      <c r="L96" s="9"/>
      <c r="M96" s="9"/>
      <c r="N96" s="9"/>
      <c r="O96" s="9"/>
      <c r="P96" s="9"/>
      <c r="Q96" s="9"/>
      <c r="R96" s="9"/>
      <c r="S96" s="9"/>
      <c r="T96" s="9"/>
      <c r="U96" s="9"/>
      <c r="V96" s="9"/>
      <c r="W96" s="9"/>
      <c r="X96" s="9"/>
      <c r="Y96" s="9"/>
      <c r="Z96" s="9"/>
      <c r="AA96" s="9"/>
      <c r="AB96" s="9"/>
      <c r="AC96" s="9"/>
    </row>
    <row r="97" spans="1:29" ht="13.8">
      <c r="A97" s="9"/>
      <c r="B97" s="9"/>
      <c r="C97" s="14"/>
      <c r="D97" s="17" t="s">
        <v>144</v>
      </c>
      <c r="E97" s="9" t="s">
        <v>9</v>
      </c>
      <c r="F97" s="9" t="s">
        <v>7</v>
      </c>
      <c r="H97" s="9"/>
      <c r="I97" s="9"/>
      <c r="J97" s="9"/>
      <c r="K97" s="9"/>
      <c r="L97" s="9"/>
      <c r="M97" s="9"/>
      <c r="N97" s="9"/>
      <c r="O97" s="9"/>
      <c r="P97" s="9"/>
      <c r="Q97" s="9"/>
      <c r="R97" s="9"/>
      <c r="S97" s="9"/>
      <c r="T97" s="9"/>
      <c r="U97" s="9"/>
      <c r="V97" s="9"/>
      <c r="W97" s="9"/>
      <c r="X97" s="9"/>
      <c r="Y97" s="9"/>
      <c r="Z97" s="9"/>
      <c r="AA97" s="9"/>
      <c r="AB97" s="9"/>
      <c r="AC97" s="9"/>
    </row>
    <row r="98" spans="1:29" ht="13.2">
      <c r="A98" s="9"/>
      <c r="B98" s="9"/>
      <c r="C98" s="14"/>
      <c r="D98" s="9"/>
      <c r="E98" s="9"/>
      <c r="F98" s="9"/>
      <c r="H98" s="9"/>
      <c r="I98" s="9"/>
      <c r="J98" s="9"/>
      <c r="K98" s="9"/>
      <c r="L98" s="9"/>
      <c r="M98" s="9"/>
      <c r="N98" s="9"/>
      <c r="O98" s="9"/>
      <c r="P98" s="9"/>
      <c r="Q98" s="9"/>
      <c r="R98" s="9"/>
      <c r="S98" s="9"/>
      <c r="T98" s="9"/>
      <c r="U98" s="9"/>
      <c r="V98" s="9"/>
      <c r="W98" s="9"/>
      <c r="X98" s="9"/>
      <c r="Y98" s="9"/>
      <c r="Z98" s="9"/>
      <c r="AA98" s="9"/>
      <c r="AB98" s="9"/>
      <c r="AC98" s="9"/>
    </row>
    <row r="99" spans="1:29" ht="13.2">
      <c r="A99" s="9"/>
      <c r="B99" s="9"/>
      <c r="C99" s="14" t="str">
        <f t="shared" ref="C99:C180" si="0">D99&amp;F99</f>
        <v>Akaru华Best Regards</v>
      </c>
      <c r="D99" s="9" t="s">
        <v>8</v>
      </c>
      <c r="E99" s="9" t="s">
        <v>9</v>
      </c>
      <c r="F99" s="9" t="s">
        <v>34</v>
      </c>
      <c r="H99" s="9"/>
      <c r="I99" s="9"/>
      <c r="J99" s="9"/>
      <c r="K99" s="9"/>
      <c r="L99" s="9"/>
      <c r="M99" s="9"/>
      <c r="N99" s="9"/>
      <c r="O99" s="9"/>
      <c r="P99" s="9"/>
      <c r="Q99" s="9"/>
      <c r="R99" s="9"/>
      <c r="S99" s="9"/>
      <c r="T99" s="9"/>
      <c r="U99" s="9"/>
      <c r="V99" s="9"/>
      <c r="W99" s="9"/>
      <c r="X99" s="9"/>
      <c r="Y99" s="9"/>
      <c r="Z99" s="9"/>
      <c r="AA99" s="9"/>
      <c r="AB99" s="9"/>
      <c r="AC99" s="9"/>
    </row>
    <row r="100" spans="1:29" ht="13.2">
      <c r="A100" s="9"/>
      <c r="B100" s="9"/>
      <c r="C100" s="14" t="str">
        <f t="shared" si="0"/>
        <v>apgonzoBest Regards</v>
      </c>
      <c r="D100" s="9" t="s">
        <v>17</v>
      </c>
      <c r="E100" s="9" t="s">
        <v>10</v>
      </c>
      <c r="F100" s="9" t="s">
        <v>34</v>
      </c>
      <c r="H100" s="9"/>
      <c r="I100" s="9"/>
      <c r="J100" s="9"/>
      <c r="K100" s="9"/>
      <c r="L100" s="9"/>
      <c r="M100" s="9"/>
      <c r="N100" s="9"/>
      <c r="O100" s="9"/>
      <c r="P100" s="9"/>
      <c r="Q100" s="9"/>
      <c r="R100" s="9"/>
      <c r="S100" s="9"/>
      <c r="T100" s="9"/>
      <c r="U100" s="9"/>
      <c r="V100" s="9"/>
      <c r="W100" s="9"/>
      <c r="X100" s="9"/>
      <c r="Y100" s="9"/>
      <c r="Z100" s="9"/>
      <c r="AA100" s="9"/>
      <c r="AB100" s="9"/>
      <c r="AC100" s="9"/>
    </row>
    <row r="101" spans="1:29" ht="13.2">
      <c r="A101" s="9"/>
      <c r="B101" s="9"/>
      <c r="C101" s="14" t="str">
        <f t="shared" si="0"/>
        <v>BBest Regards</v>
      </c>
      <c r="D101" s="9" t="s">
        <v>145</v>
      </c>
      <c r="E101" s="9" t="s">
        <v>23</v>
      </c>
      <c r="F101" s="9" t="s">
        <v>34</v>
      </c>
      <c r="H101" s="9"/>
      <c r="I101" s="9"/>
      <c r="J101" s="9"/>
      <c r="K101" s="9"/>
      <c r="L101" s="9"/>
      <c r="M101" s="9"/>
      <c r="N101" s="9"/>
      <c r="O101" s="9"/>
      <c r="P101" s="9"/>
      <c r="Q101" s="9"/>
      <c r="R101" s="9"/>
      <c r="S101" s="9"/>
      <c r="T101" s="9"/>
      <c r="U101" s="9"/>
      <c r="V101" s="9"/>
      <c r="W101" s="9"/>
      <c r="X101" s="9"/>
      <c r="Y101" s="9"/>
      <c r="Z101" s="9"/>
      <c r="AA101" s="9"/>
      <c r="AB101" s="9"/>
      <c r="AC101" s="9"/>
    </row>
    <row r="102" spans="1:29" ht="13.2">
      <c r="A102" s="9"/>
      <c r="B102" s="9"/>
      <c r="C102" s="14" t="str">
        <f t="shared" si="0"/>
        <v>BohardingBest Regards</v>
      </c>
      <c r="D102" s="9" t="s">
        <v>29</v>
      </c>
      <c r="E102" s="9" t="s">
        <v>10</v>
      </c>
      <c r="F102" s="9" t="s">
        <v>34</v>
      </c>
      <c r="H102" s="9"/>
      <c r="I102" s="9"/>
      <c r="J102" s="9"/>
      <c r="K102" s="9"/>
      <c r="L102" s="9"/>
      <c r="M102" s="9"/>
      <c r="N102" s="9"/>
      <c r="O102" s="9"/>
      <c r="P102" s="9"/>
      <c r="Q102" s="9"/>
      <c r="R102" s="9"/>
      <c r="S102" s="9"/>
      <c r="T102" s="9"/>
      <c r="U102" s="9"/>
      <c r="V102" s="9"/>
      <c r="W102" s="9"/>
      <c r="X102" s="9"/>
      <c r="Y102" s="9"/>
      <c r="Z102" s="9"/>
      <c r="AA102" s="9"/>
      <c r="AB102" s="9"/>
      <c r="AC102" s="9"/>
    </row>
    <row r="103" spans="1:29" ht="13.2">
      <c r="A103" s="9"/>
      <c r="B103" s="9"/>
      <c r="C103" s="14" t="str">
        <f t="shared" si="0"/>
        <v>CLEMBest Regards</v>
      </c>
      <c r="D103" s="9" t="s">
        <v>31</v>
      </c>
      <c r="E103" s="9" t="s">
        <v>32</v>
      </c>
      <c r="F103" s="9" t="s">
        <v>34</v>
      </c>
      <c r="H103" s="9"/>
      <c r="I103" s="9"/>
      <c r="J103" s="9"/>
      <c r="K103" s="9"/>
      <c r="L103" s="9"/>
      <c r="M103" s="9"/>
      <c r="N103" s="9"/>
      <c r="O103" s="9"/>
      <c r="P103" s="9"/>
      <c r="Q103" s="9"/>
      <c r="R103" s="9"/>
      <c r="S103" s="9"/>
      <c r="T103" s="9"/>
      <c r="U103" s="9"/>
      <c r="V103" s="9"/>
      <c r="W103" s="9"/>
      <c r="X103" s="9"/>
      <c r="Y103" s="9"/>
      <c r="Z103" s="9"/>
      <c r="AA103" s="9"/>
      <c r="AB103" s="9"/>
      <c r="AC103" s="9"/>
    </row>
    <row r="104" spans="1:29" ht="13.2">
      <c r="A104" s="9"/>
      <c r="B104" s="9"/>
      <c r="C104" s="14" t="str">
        <f t="shared" si="0"/>
        <v>DuskBest Regards</v>
      </c>
      <c r="D104" s="9" t="s">
        <v>146</v>
      </c>
      <c r="E104" s="9" t="s">
        <v>9</v>
      </c>
      <c r="F104" s="9" t="s">
        <v>34</v>
      </c>
      <c r="H104" s="9"/>
      <c r="I104" s="9"/>
      <c r="J104" s="9"/>
      <c r="K104" s="9"/>
      <c r="L104" s="9"/>
      <c r="M104" s="9"/>
      <c r="N104" s="9"/>
      <c r="O104" s="9"/>
      <c r="P104" s="9"/>
      <c r="Q104" s="9"/>
      <c r="R104" s="9"/>
      <c r="S104" s="9"/>
      <c r="T104" s="9"/>
      <c r="U104" s="9"/>
      <c r="V104" s="9"/>
      <c r="W104" s="9"/>
      <c r="X104" s="9"/>
      <c r="Y104" s="9"/>
      <c r="Z104" s="9"/>
      <c r="AA104" s="9"/>
      <c r="AB104" s="9"/>
      <c r="AC104" s="9"/>
    </row>
    <row r="105" spans="1:29" ht="13.2">
      <c r="A105" s="9"/>
      <c r="B105" s="9"/>
      <c r="C105" s="14" t="str">
        <f t="shared" si="0"/>
        <v>EgirlWaifuBest Regards</v>
      </c>
      <c r="D105" s="9" t="s">
        <v>44</v>
      </c>
      <c r="E105" s="9" t="s">
        <v>10</v>
      </c>
      <c r="F105" s="9" t="s">
        <v>34</v>
      </c>
      <c r="H105" s="9"/>
      <c r="I105" s="9"/>
      <c r="J105" s="9"/>
      <c r="K105" s="9"/>
      <c r="L105" s="9"/>
      <c r="M105" s="9"/>
      <c r="N105" s="9"/>
      <c r="O105" s="9"/>
      <c r="P105" s="9"/>
      <c r="Q105" s="9"/>
      <c r="R105" s="9"/>
      <c r="S105" s="9"/>
      <c r="T105" s="9"/>
      <c r="U105" s="9"/>
      <c r="V105" s="9"/>
      <c r="W105" s="9"/>
      <c r="X105" s="9"/>
      <c r="Y105" s="9"/>
      <c r="Z105" s="9"/>
      <c r="AA105" s="9"/>
      <c r="AB105" s="9"/>
      <c r="AC105" s="9"/>
    </row>
    <row r="106" spans="1:29" ht="13.2">
      <c r="A106" s="9"/>
      <c r="B106" s="9"/>
      <c r="C106" s="14" t="str">
        <f t="shared" si="0"/>
        <v>FujiBest Regards</v>
      </c>
      <c r="D106" s="9" t="s">
        <v>51</v>
      </c>
      <c r="E106" s="9" t="s">
        <v>81</v>
      </c>
      <c r="F106" s="9" t="s">
        <v>34</v>
      </c>
      <c r="H106" s="9"/>
      <c r="I106" s="9"/>
      <c r="J106" s="9"/>
      <c r="K106" s="9"/>
      <c r="L106" s="9"/>
      <c r="M106" s="9"/>
      <c r="N106" s="9"/>
      <c r="O106" s="9"/>
      <c r="P106" s="9"/>
      <c r="Q106" s="9"/>
      <c r="R106" s="9"/>
      <c r="S106" s="9"/>
      <c r="T106" s="9"/>
      <c r="U106" s="9"/>
      <c r="V106" s="9"/>
      <c r="W106" s="9"/>
      <c r="X106" s="9"/>
      <c r="Y106" s="9"/>
      <c r="Z106" s="9"/>
      <c r="AA106" s="9"/>
      <c r="AB106" s="9"/>
      <c r="AC106" s="9"/>
    </row>
    <row r="107" spans="1:29" ht="13.2">
      <c r="A107" s="9"/>
      <c r="B107" s="9"/>
      <c r="C107" s="14" t="str">
        <f t="shared" si="0"/>
        <v>GravezBest Regards</v>
      </c>
      <c r="D107" s="9" t="s">
        <v>55</v>
      </c>
      <c r="E107" s="9" t="s">
        <v>14</v>
      </c>
      <c r="F107" s="9" t="s">
        <v>34</v>
      </c>
      <c r="H107" s="9"/>
      <c r="I107" s="9"/>
      <c r="J107" s="9"/>
      <c r="K107" s="9"/>
      <c r="L107" s="9"/>
      <c r="M107" s="9"/>
      <c r="N107" s="9"/>
      <c r="O107" s="9"/>
      <c r="P107" s="9"/>
      <c r="Q107" s="9"/>
      <c r="R107" s="9"/>
      <c r="S107" s="9"/>
      <c r="T107" s="9"/>
      <c r="U107" s="9"/>
      <c r="V107" s="9"/>
      <c r="W107" s="9"/>
      <c r="X107" s="9"/>
      <c r="Y107" s="9"/>
      <c r="Z107" s="9"/>
      <c r="AA107" s="9"/>
      <c r="AB107" s="9"/>
      <c r="AC107" s="9"/>
    </row>
    <row r="108" spans="1:29" ht="13.2">
      <c r="A108" s="9"/>
      <c r="B108" s="9"/>
      <c r="C108" s="14" t="str">
        <f t="shared" si="0"/>
        <v>HaylerBest Regards</v>
      </c>
      <c r="D108" s="9" t="s">
        <v>57</v>
      </c>
      <c r="E108" s="9" t="s">
        <v>14</v>
      </c>
      <c r="F108" s="9" t="s">
        <v>34</v>
      </c>
      <c r="H108" s="9"/>
      <c r="I108" s="9"/>
      <c r="J108" s="9"/>
      <c r="K108" s="9"/>
      <c r="L108" s="9"/>
      <c r="M108" s="9"/>
      <c r="N108" s="9"/>
      <c r="O108" s="9"/>
      <c r="P108" s="9"/>
      <c r="Q108" s="9"/>
      <c r="R108" s="9"/>
      <c r="S108" s="9"/>
      <c r="T108" s="9"/>
      <c r="U108" s="9"/>
      <c r="V108" s="9"/>
      <c r="W108" s="9"/>
      <c r="X108" s="9"/>
      <c r="Y108" s="9"/>
      <c r="Z108" s="9"/>
      <c r="AA108" s="9"/>
      <c r="AB108" s="9"/>
      <c r="AC108" s="9"/>
    </row>
    <row r="109" spans="1:29" ht="13.2">
      <c r="A109" s="9"/>
      <c r="B109" s="9"/>
      <c r="C109" s="14" t="str">
        <f t="shared" si="0"/>
        <v>HubertCumbrdaleBest Regards</v>
      </c>
      <c r="D109" s="9" t="s">
        <v>61</v>
      </c>
      <c r="E109" s="9" t="s">
        <v>62</v>
      </c>
      <c r="F109" s="9" t="s">
        <v>34</v>
      </c>
      <c r="H109" s="9"/>
      <c r="I109" s="9"/>
      <c r="J109" s="9"/>
      <c r="K109" s="9"/>
      <c r="L109" s="9"/>
      <c r="M109" s="9"/>
      <c r="N109" s="9"/>
      <c r="O109" s="9"/>
      <c r="P109" s="9"/>
      <c r="Q109" s="9"/>
      <c r="R109" s="9"/>
      <c r="S109" s="9"/>
      <c r="T109" s="9"/>
      <c r="U109" s="9"/>
      <c r="V109" s="9"/>
      <c r="W109" s="9"/>
      <c r="X109" s="9"/>
      <c r="Y109" s="9"/>
      <c r="Z109" s="9"/>
      <c r="AA109" s="9"/>
      <c r="AB109" s="9"/>
      <c r="AC109" s="9"/>
    </row>
    <row r="110" spans="1:29" ht="13.2">
      <c r="A110" s="9"/>
      <c r="B110" s="9"/>
      <c r="C110" s="14" t="str">
        <f t="shared" si="0"/>
        <v>InvulnerableBest Regards</v>
      </c>
      <c r="D110" s="9" t="s">
        <v>64</v>
      </c>
      <c r="E110" s="9" t="s">
        <v>14</v>
      </c>
      <c r="F110" s="9" t="s">
        <v>34</v>
      </c>
      <c r="H110" s="9"/>
      <c r="I110" s="9"/>
      <c r="J110" s="9"/>
      <c r="K110" s="9"/>
      <c r="L110" s="9"/>
      <c r="M110" s="9"/>
      <c r="N110" s="9"/>
      <c r="O110" s="9"/>
      <c r="P110" s="9"/>
      <c r="Q110" s="9"/>
      <c r="R110" s="9"/>
      <c r="S110" s="9"/>
      <c r="T110" s="9"/>
      <c r="U110" s="9"/>
      <c r="V110" s="9"/>
      <c r="W110" s="9"/>
      <c r="X110" s="9"/>
      <c r="Y110" s="9"/>
      <c r="Z110" s="9"/>
      <c r="AA110" s="9"/>
      <c r="AB110" s="9"/>
      <c r="AC110" s="9"/>
    </row>
    <row r="111" spans="1:29" ht="13.2">
      <c r="A111" s="9"/>
      <c r="B111" s="9"/>
      <c r="C111" s="14" t="str">
        <f t="shared" si="0"/>
        <v>jaMESSSSSBest Regards</v>
      </c>
      <c r="D111" s="9" t="s">
        <v>65</v>
      </c>
      <c r="E111" s="9" t="s">
        <v>52</v>
      </c>
      <c r="F111" s="9" t="s">
        <v>34</v>
      </c>
      <c r="H111" s="9"/>
      <c r="I111" s="9"/>
      <c r="J111" s="9"/>
      <c r="K111" s="9"/>
      <c r="L111" s="9"/>
      <c r="M111" s="9"/>
      <c r="N111" s="9"/>
      <c r="O111" s="9"/>
      <c r="P111" s="9"/>
      <c r="Q111" s="9"/>
      <c r="R111" s="9"/>
      <c r="S111" s="9"/>
      <c r="T111" s="9"/>
      <c r="U111" s="9"/>
      <c r="V111" s="9"/>
      <c r="W111" s="9"/>
      <c r="X111" s="9"/>
      <c r="Y111" s="9"/>
      <c r="Z111" s="9"/>
      <c r="AA111" s="9"/>
      <c r="AB111" s="9"/>
      <c r="AC111" s="9"/>
    </row>
    <row r="112" spans="1:29" ht="13.2">
      <c r="A112" s="9"/>
      <c r="B112" s="9"/>
      <c r="C112" s="14" t="str">
        <f t="shared" si="0"/>
        <v>KalochBest Regards</v>
      </c>
      <c r="D112" s="9" t="s">
        <v>74</v>
      </c>
      <c r="E112" s="9" t="s">
        <v>9</v>
      </c>
      <c r="F112" s="9" t="s">
        <v>34</v>
      </c>
      <c r="H112" s="9"/>
      <c r="I112" s="9"/>
      <c r="J112" s="9"/>
      <c r="K112" s="9"/>
      <c r="L112" s="9"/>
      <c r="M112" s="9"/>
      <c r="N112" s="9"/>
      <c r="O112" s="9"/>
      <c r="P112" s="9"/>
      <c r="Q112" s="9"/>
      <c r="R112" s="9"/>
      <c r="S112" s="9"/>
      <c r="T112" s="9"/>
      <c r="U112" s="9"/>
      <c r="V112" s="9"/>
      <c r="W112" s="9"/>
      <c r="X112" s="9"/>
      <c r="Y112" s="9"/>
      <c r="Z112" s="9"/>
      <c r="AA112" s="9"/>
      <c r="AB112" s="9"/>
      <c r="AC112" s="9"/>
    </row>
    <row r="113" spans="1:29" ht="13.2">
      <c r="A113" s="9"/>
      <c r="B113" s="9"/>
      <c r="C113" s="14" t="str">
        <f t="shared" si="0"/>
        <v>KiefbluntBest Regards</v>
      </c>
      <c r="D113" s="9" t="s">
        <v>76</v>
      </c>
      <c r="E113" s="9" t="s">
        <v>32</v>
      </c>
      <c r="F113" s="9" t="s">
        <v>34</v>
      </c>
      <c r="H113" s="9"/>
      <c r="I113" s="9"/>
      <c r="J113" s="9"/>
      <c r="K113" s="9"/>
      <c r="L113" s="9"/>
      <c r="M113" s="9"/>
      <c r="N113" s="9"/>
      <c r="O113" s="9"/>
      <c r="P113" s="9"/>
      <c r="Q113" s="9"/>
      <c r="R113" s="9"/>
      <c r="S113" s="9"/>
      <c r="T113" s="9"/>
      <c r="U113" s="9"/>
      <c r="V113" s="9"/>
      <c r="W113" s="9"/>
      <c r="X113" s="9"/>
      <c r="Y113" s="9"/>
      <c r="Z113" s="9"/>
      <c r="AA113" s="9"/>
      <c r="AB113" s="9"/>
      <c r="AC113" s="9"/>
    </row>
    <row r="114" spans="1:29" ht="13.2">
      <c r="A114" s="9"/>
      <c r="B114" s="9"/>
      <c r="C114" s="14" t="str">
        <f t="shared" si="0"/>
        <v>KBest Regards</v>
      </c>
      <c r="D114" s="9" t="s">
        <v>147</v>
      </c>
      <c r="E114" s="9" t="s">
        <v>23</v>
      </c>
      <c r="F114" s="9" t="s">
        <v>34</v>
      </c>
      <c r="H114" s="9"/>
      <c r="I114" s="9"/>
      <c r="J114" s="9"/>
      <c r="K114" s="9"/>
      <c r="L114" s="9"/>
      <c r="M114" s="9"/>
      <c r="N114" s="9"/>
      <c r="O114" s="9"/>
      <c r="P114" s="9"/>
      <c r="Q114" s="9"/>
      <c r="R114" s="9"/>
      <c r="S114" s="9"/>
      <c r="T114" s="9"/>
      <c r="U114" s="9"/>
      <c r="V114" s="9"/>
      <c r="W114" s="9"/>
      <c r="X114" s="9"/>
      <c r="Y114" s="9"/>
      <c r="Z114" s="9"/>
      <c r="AA114" s="9"/>
      <c r="AB114" s="9"/>
      <c r="AC114" s="9"/>
    </row>
    <row r="115" spans="1:29" ht="13.2">
      <c r="A115" s="9"/>
      <c r="B115" s="9"/>
      <c r="C115" s="14" t="str">
        <f t="shared" si="0"/>
        <v>LoudpackBest Regards</v>
      </c>
      <c r="D115" s="9" t="s">
        <v>79</v>
      </c>
      <c r="E115" s="9" t="s">
        <v>62</v>
      </c>
      <c r="F115" s="9" t="s">
        <v>34</v>
      </c>
      <c r="H115" s="9"/>
      <c r="I115" s="9"/>
      <c r="J115" s="9"/>
      <c r="K115" s="9"/>
      <c r="L115" s="9"/>
      <c r="M115" s="9"/>
      <c r="N115" s="9"/>
      <c r="O115" s="9"/>
      <c r="P115" s="9"/>
      <c r="Q115" s="9"/>
      <c r="R115" s="9"/>
      <c r="S115" s="9"/>
      <c r="T115" s="9"/>
      <c r="U115" s="9"/>
      <c r="V115" s="9"/>
      <c r="W115" s="9"/>
      <c r="X115" s="9"/>
      <c r="Y115" s="9"/>
      <c r="Z115" s="9"/>
      <c r="AA115" s="9"/>
      <c r="AB115" s="9"/>
      <c r="AC115" s="9"/>
    </row>
    <row r="116" spans="1:29" ht="13.2">
      <c r="A116" s="9"/>
      <c r="B116" s="9"/>
      <c r="C116" s="14" t="str">
        <f t="shared" si="0"/>
        <v>maxgamerBest Regards</v>
      </c>
      <c r="D116" s="9" t="s">
        <v>80</v>
      </c>
      <c r="E116" s="9" t="s">
        <v>14</v>
      </c>
      <c r="F116" s="9" t="s">
        <v>34</v>
      </c>
      <c r="H116" s="9"/>
      <c r="I116" s="9"/>
      <c r="J116" s="9"/>
      <c r="K116" s="9"/>
      <c r="L116" s="9"/>
      <c r="M116" s="9"/>
      <c r="N116" s="9"/>
      <c r="O116" s="9"/>
      <c r="P116" s="9"/>
      <c r="Q116" s="9"/>
      <c r="R116" s="9"/>
      <c r="S116" s="9"/>
      <c r="T116" s="9"/>
      <c r="U116" s="9"/>
      <c r="V116" s="9"/>
      <c r="W116" s="9"/>
      <c r="X116" s="9"/>
      <c r="Y116" s="9"/>
      <c r="Z116" s="9"/>
      <c r="AA116" s="9"/>
      <c r="AB116" s="9"/>
      <c r="AC116" s="9"/>
    </row>
    <row r="117" spans="1:29" ht="13.2">
      <c r="A117" s="9"/>
      <c r="B117" s="9"/>
      <c r="C117" s="14" t="str">
        <f t="shared" si="0"/>
        <v>moBest Regards</v>
      </c>
      <c r="D117" s="9" t="s">
        <v>148</v>
      </c>
      <c r="E117" s="9" t="s">
        <v>14</v>
      </c>
      <c r="F117" s="9" t="s">
        <v>34</v>
      </c>
      <c r="H117" s="9"/>
      <c r="I117" s="9"/>
      <c r="J117" s="9"/>
      <c r="K117" s="9"/>
      <c r="L117" s="9"/>
      <c r="M117" s="9"/>
      <c r="N117" s="9"/>
      <c r="O117" s="9"/>
      <c r="P117" s="9"/>
      <c r="Q117" s="9"/>
      <c r="R117" s="9"/>
      <c r="S117" s="9"/>
      <c r="T117" s="9"/>
      <c r="U117" s="9"/>
      <c r="V117" s="9"/>
      <c r="W117" s="9"/>
      <c r="X117" s="9"/>
      <c r="Y117" s="9"/>
      <c r="Z117" s="9"/>
      <c r="AA117" s="9"/>
      <c r="AB117" s="9"/>
      <c r="AC117" s="9"/>
    </row>
    <row r="118" spans="1:29" ht="13.2">
      <c r="A118" s="9"/>
      <c r="B118" s="9"/>
      <c r="C118" s="14" t="str">
        <f t="shared" si="0"/>
        <v>MrCantoniBest Regards</v>
      </c>
      <c r="D118" s="9" t="s">
        <v>83</v>
      </c>
      <c r="E118" s="9" t="s">
        <v>45</v>
      </c>
      <c r="F118" s="9" t="s">
        <v>34</v>
      </c>
      <c r="H118" s="9"/>
      <c r="I118" s="9"/>
      <c r="J118" s="9"/>
      <c r="K118" s="9"/>
      <c r="L118" s="9"/>
      <c r="M118" s="9"/>
      <c r="N118" s="9"/>
      <c r="O118" s="9"/>
      <c r="P118" s="9"/>
      <c r="Q118" s="9"/>
      <c r="R118" s="9"/>
      <c r="S118" s="9"/>
      <c r="T118" s="9"/>
      <c r="U118" s="9"/>
      <c r="V118" s="9"/>
      <c r="W118" s="9"/>
      <c r="X118" s="9"/>
      <c r="Y118" s="9"/>
      <c r="Z118" s="9"/>
      <c r="AA118" s="9"/>
      <c r="AB118" s="9"/>
      <c r="AC118" s="9"/>
    </row>
    <row r="119" spans="1:29" ht="13.2">
      <c r="A119" s="9"/>
      <c r="B119" s="9"/>
      <c r="C119" s="14" t="str">
        <f t="shared" si="0"/>
        <v>NGMilkManBest Regards</v>
      </c>
      <c r="D119" s="9" t="s">
        <v>85</v>
      </c>
      <c r="E119" s="9" t="s">
        <v>14</v>
      </c>
      <c r="F119" s="9" t="s">
        <v>34</v>
      </c>
      <c r="H119" s="9"/>
      <c r="I119" s="9"/>
      <c r="J119" s="9"/>
      <c r="K119" s="9"/>
      <c r="L119" s="9"/>
      <c r="M119" s="9"/>
      <c r="N119" s="9"/>
      <c r="O119" s="9"/>
      <c r="P119" s="9"/>
      <c r="Q119" s="9"/>
      <c r="R119" s="9"/>
      <c r="S119" s="9"/>
      <c r="T119" s="9"/>
      <c r="U119" s="9"/>
      <c r="V119" s="9"/>
      <c r="W119" s="9"/>
      <c r="X119" s="9"/>
      <c r="Y119" s="9"/>
      <c r="Z119" s="9"/>
      <c r="AA119" s="9"/>
      <c r="AB119" s="9"/>
      <c r="AC119" s="9"/>
    </row>
    <row r="120" spans="1:29" ht="13.2">
      <c r="A120" s="9"/>
      <c r="B120" s="9"/>
      <c r="C120" s="14" t="str">
        <f t="shared" si="0"/>
        <v>RedCamperBest Regards</v>
      </c>
      <c r="D120" s="9" t="s">
        <v>93</v>
      </c>
      <c r="E120" s="9" t="s">
        <v>14</v>
      </c>
      <c r="F120" s="9" t="s">
        <v>34</v>
      </c>
      <c r="H120" s="9"/>
      <c r="I120" s="9"/>
      <c r="J120" s="9"/>
      <c r="K120" s="9"/>
      <c r="L120" s="9"/>
      <c r="M120" s="9"/>
      <c r="N120" s="9"/>
      <c r="O120" s="9"/>
      <c r="P120" s="9"/>
      <c r="Q120" s="9"/>
      <c r="R120" s="9"/>
      <c r="S120" s="9"/>
      <c r="T120" s="9"/>
      <c r="U120" s="9"/>
      <c r="V120" s="9"/>
      <c r="W120" s="9"/>
      <c r="X120" s="9"/>
      <c r="Y120" s="9"/>
      <c r="Z120" s="9"/>
      <c r="AA120" s="9"/>
      <c r="AB120" s="9"/>
      <c r="AC120" s="9"/>
    </row>
    <row r="121" spans="1:29" ht="13.2">
      <c r="A121" s="9"/>
      <c r="B121" s="9"/>
      <c r="C121" s="14" t="str">
        <f t="shared" si="0"/>
        <v>RegaliansBest Regards</v>
      </c>
      <c r="D121" s="9" t="s">
        <v>94</v>
      </c>
      <c r="E121" s="9" t="s">
        <v>50</v>
      </c>
      <c r="F121" s="9" t="s">
        <v>34</v>
      </c>
      <c r="H121" s="9"/>
      <c r="I121" s="9"/>
      <c r="J121" s="9"/>
      <c r="K121" s="9"/>
      <c r="L121" s="9"/>
      <c r="M121" s="9"/>
      <c r="N121" s="9"/>
      <c r="O121" s="9"/>
      <c r="P121" s="9"/>
      <c r="Q121" s="9"/>
      <c r="R121" s="9"/>
      <c r="S121" s="9"/>
      <c r="T121" s="9"/>
      <c r="U121" s="9"/>
      <c r="V121" s="9"/>
      <c r="W121" s="9"/>
      <c r="X121" s="9"/>
      <c r="Y121" s="9"/>
      <c r="Z121" s="9"/>
      <c r="AA121" s="9"/>
      <c r="AB121" s="9"/>
      <c r="AC121" s="9"/>
    </row>
    <row r="122" spans="1:29" ht="13.2">
      <c r="A122" s="9"/>
      <c r="B122" s="9"/>
      <c r="C122" s="14" t="str">
        <f t="shared" si="0"/>
        <v>ReinaKertiaBest Regards</v>
      </c>
      <c r="D122" s="9" t="s">
        <v>96</v>
      </c>
      <c r="E122" s="9" t="s">
        <v>9</v>
      </c>
      <c r="F122" s="9" t="s">
        <v>34</v>
      </c>
      <c r="H122" s="9"/>
      <c r="I122" s="9"/>
      <c r="J122" s="9"/>
      <c r="K122" s="9"/>
      <c r="L122" s="9"/>
      <c r="M122" s="9"/>
      <c r="N122" s="9"/>
      <c r="O122" s="9"/>
      <c r="P122" s="9"/>
      <c r="Q122" s="9"/>
      <c r="R122" s="9"/>
      <c r="S122" s="9"/>
      <c r="T122" s="9"/>
      <c r="U122" s="9"/>
      <c r="V122" s="9"/>
      <c r="W122" s="9"/>
      <c r="X122" s="9"/>
      <c r="Y122" s="9"/>
      <c r="Z122" s="9"/>
      <c r="AA122" s="9"/>
      <c r="AB122" s="9"/>
      <c r="AC122" s="9"/>
    </row>
    <row r="123" spans="1:29" ht="13.2">
      <c r="A123" s="9"/>
      <c r="B123" s="9"/>
      <c r="C123" s="14" t="str">
        <f t="shared" si="0"/>
        <v>Sayaka·Best Regards</v>
      </c>
      <c r="D123" s="9" t="s">
        <v>97</v>
      </c>
      <c r="E123" s="9" t="s">
        <v>9</v>
      </c>
      <c r="F123" s="9" t="s">
        <v>34</v>
      </c>
      <c r="H123" s="9"/>
      <c r="I123" s="9"/>
      <c r="J123" s="9"/>
      <c r="K123" s="9"/>
      <c r="L123" s="9"/>
      <c r="M123" s="9"/>
      <c r="N123" s="9"/>
      <c r="O123" s="9"/>
      <c r="P123" s="9"/>
      <c r="Q123" s="9"/>
      <c r="R123" s="9"/>
      <c r="S123" s="9"/>
      <c r="T123" s="9"/>
      <c r="U123" s="9"/>
      <c r="V123" s="9"/>
      <c r="W123" s="9"/>
      <c r="X123" s="9"/>
      <c r="Y123" s="9"/>
      <c r="Z123" s="9"/>
      <c r="AA123" s="9"/>
      <c r="AB123" s="9"/>
      <c r="AC123" s="9"/>
    </row>
    <row r="124" spans="1:29" ht="13.2">
      <c r="A124" s="9"/>
      <c r="B124" s="9"/>
      <c r="C124" s="14" t="str">
        <f t="shared" si="0"/>
        <v>ShawarmaShuffleBest Regards</v>
      </c>
      <c r="D124" s="9" t="s">
        <v>98</v>
      </c>
      <c r="E124" s="9" t="s">
        <v>69</v>
      </c>
      <c r="F124" s="9" t="s">
        <v>34</v>
      </c>
      <c r="H124" s="9"/>
      <c r="I124" s="9"/>
      <c r="J124" s="9"/>
      <c r="K124" s="9"/>
      <c r="L124" s="9"/>
      <c r="M124" s="9"/>
      <c r="N124" s="9"/>
      <c r="O124" s="9"/>
      <c r="P124" s="9"/>
      <c r="Q124" s="9"/>
      <c r="R124" s="9"/>
      <c r="S124" s="9"/>
      <c r="T124" s="9"/>
      <c r="U124" s="9"/>
      <c r="V124" s="9"/>
      <c r="W124" s="9"/>
      <c r="X124" s="9"/>
      <c r="Y124" s="9"/>
      <c r="Z124" s="9"/>
      <c r="AA124" s="9"/>
      <c r="AB124" s="9"/>
      <c r="AC124" s="9"/>
    </row>
    <row r="125" spans="1:29" ht="13.2">
      <c r="A125" s="9"/>
      <c r="B125" s="9"/>
      <c r="C125" s="14" t="str">
        <f t="shared" si="0"/>
        <v>SuperluigiBest Regards</v>
      </c>
      <c r="D125" s="9" t="s">
        <v>104</v>
      </c>
      <c r="E125" s="9" t="s">
        <v>24</v>
      </c>
      <c r="F125" s="9" t="s">
        <v>34</v>
      </c>
      <c r="H125" s="9"/>
      <c r="I125" s="9"/>
      <c r="J125" s="9"/>
      <c r="K125" s="9"/>
      <c r="L125" s="9"/>
      <c r="M125" s="9"/>
      <c r="N125" s="9"/>
      <c r="O125" s="9"/>
      <c r="P125" s="9"/>
      <c r="Q125" s="9"/>
      <c r="R125" s="9"/>
      <c r="S125" s="9"/>
      <c r="T125" s="9"/>
      <c r="U125" s="9"/>
      <c r="V125" s="9"/>
      <c r="W125" s="9"/>
      <c r="X125" s="9"/>
      <c r="Y125" s="9"/>
      <c r="Z125" s="9"/>
      <c r="AA125" s="9"/>
      <c r="AB125" s="9"/>
      <c r="AC125" s="9"/>
    </row>
    <row r="126" spans="1:29" ht="13.2">
      <c r="A126" s="9"/>
      <c r="B126" s="9"/>
      <c r="C126" s="14" t="str">
        <f t="shared" si="0"/>
        <v>SybileneBest Regards</v>
      </c>
      <c r="D126" s="9" t="s">
        <v>105</v>
      </c>
      <c r="E126" s="9" t="s">
        <v>10</v>
      </c>
      <c r="F126" s="9" t="s">
        <v>34</v>
      </c>
      <c r="H126" s="9"/>
      <c r="I126" s="9"/>
      <c r="J126" s="9"/>
      <c r="K126" s="9"/>
      <c r="L126" s="9"/>
      <c r="M126" s="9"/>
      <c r="N126" s="9"/>
      <c r="O126" s="9"/>
      <c r="P126" s="9"/>
      <c r="Q126" s="9"/>
      <c r="R126" s="9"/>
      <c r="S126" s="9"/>
      <c r="T126" s="9"/>
      <c r="U126" s="9"/>
      <c r="V126" s="9"/>
      <c r="W126" s="9"/>
      <c r="X126" s="9"/>
      <c r="Y126" s="9"/>
      <c r="Z126" s="9"/>
      <c r="AA126" s="9"/>
      <c r="AB126" s="9"/>
      <c r="AC126" s="9"/>
    </row>
    <row r="127" spans="1:29" ht="13.2">
      <c r="A127" s="9"/>
      <c r="B127" s="9"/>
      <c r="C127" s="14" t="str">
        <f t="shared" si="0"/>
        <v>TagatoBest Regards</v>
      </c>
      <c r="D127" s="9" t="s">
        <v>106</v>
      </c>
      <c r="E127" s="9" t="s">
        <v>10</v>
      </c>
      <c r="F127" s="9" t="s">
        <v>34</v>
      </c>
      <c r="H127" s="9"/>
      <c r="I127" s="9"/>
      <c r="J127" s="9"/>
      <c r="K127" s="9"/>
      <c r="L127" s="9"/>
      <c r="M127" s="9"/>
      <c r="N127" s="9"/>
      <c r="O127" s="9"/>
      <c r="P127" s="9"/>
      <c r="Q127" s="9"/>
      <c r="R127" s="9"/>
      <c r="S127" s="9"/>
      <c r="T127" s="9"/>
      <c r="U127" s="9"/>
      <c r="V127" s="9"/>
      <c r="W127" s="9"/>
      <c r="X127" s="9"/>
      <c r="Y127" s="9"/>
      <c r="Z127" s="9"/>
      <c r="AA127" s="9"/>
      <c r="AB127" s="9"/>
      <c r="AC127" s="9"/>
    </row>
    <row r="128" spans="1:29" ht="13.2">
      <c r="A128" s="9"/>
      <c r="B128" s="9"/>
      <c r="C128" s="14" t="str">
        <f t="shared" si="0"/>
        <v>TanksViciousBest Regards</v>
      </c>
      <c r="D128" s="9" t="s">
        <v>107</v>
      </c>
      <c r="E128" s="9" t="s">
        <v>32</v>
      </c>
      <c r="F128" s="9" t="s">
        <v>34</v>
      </c>
      <c r="H128" s="9"/>
      <c r="I128" s="9"/>
      <c r="J128" s="9"/>
      <c r="K128" s="9"/>
      <c r="L128" s="9"/>
      <c r="M128" s="9"/>
      <c r="N128" s="9"/>
      <c r="O128" s="9"/>
      <c r="P128" s="9"/>
      <c r="Q128" s="9"/>
      <c r="R128" s="9"/>
      <c r="S128" s="9"/>
      <c r="T128" s="9"/>
      <c r="U128" s="9"/>
      <c r="V128" s="9"/>
      <c r="W128" s="9"/>
      <c r="X128" s="9"/>
      <c r="Y128" s="9"/>
      <c r="Z128" s="9"/>
      <c r="AA128" s="9"/>
      <c r="AB128" s="9"/>
      <c r="AC128" s="9"/>
    </row>
    <row r="129" spans="1:29" ht="13.2">
      <c r="A129" s="9"/>
      <c r="B129" s="9"/>
      <c r="C129" s="14" t="str">
        <f t="shared" si="0"/>
        <v>TeensyBest Regards</v>
      </c>
      <c r="D129" s="9" t="s">
        <v>108</v>
      </c>
      <c r="E129" s="9" t="s">
        <v>10</v>
      </c>
      <c r="F129" s="9" t="s">
        <v>34</v>
      </c>
      <c r="H129" s="9"/>
      <c r="I129" s="9"/>
      <c r="J129" s="9"/>
      <c r="K129" s="9"/>
      <c r="L129" s="9"/>
      <c r="M129" s="9"/>
      <c r="N129" s="9"/>
      <c r="O129" s="9"/>
      <c r="P129" s="9"/>
      <c r="Q129" s="9"/>
      <c r="R129" s="9"/>
      <c r="S129" s="9"/>
      <c r="T129" s="9"/>
      <c r="U129" s="9"/>
      <c r="V129" s="9"/>
      <c r="W129" s="9"/>
      <c r="X129" s="9"/>
      <c r="Y129" s="9"/>
      <c r="Z129" s="9"/>
      <c r="AA129" s="9"/>
      <c r="AB129" s="9"/>
      <c r="AC129" s="9"/>
    </row>
    <row r="130" spans="1:29" ht="13.2">
      <c r="A130" s="9"/>
      <c r="B130" s="9"/>
      <c r="C130" s="14" t="str">
        <f t="shared" si="0"/>
        <v>TemporalRageBest Regards</v>
      </c>
      <c r="D130" s="9" t="s">
        <v>109</v>
      </c>
      <c r="E130" s="9" t="s">
        <v>14</v>
      </c>
      <c r="F130" s="9" t="s">
        <v>34</v>
      </c>
      <c r="H130" s="9"/>
      <c r="I130" s="9"/>
      <c r="J130" s="9"/>
      <c r="K130" s="9"/>
      <c r="L130" s="9"/>
      <c r="M130" s="9"/>
      <c r="N130" s="9"/>
      <c r="O130" s="9"/>
      <c r="P130" s="9"/>
      <c r="Q130" s="9"/>
      <c r="R130" s="9"/>
      <c r="S130" s="9"/>
      <c r="T130" s="9"/>
      <c r="U130" s="9"/>
      <c r="V130" s="9"/>
      <c r="W130" s="9"/>
      <c r="X130" s="9"/>
      <c r="Y130" s="9"/>
      <c r="Z130" s="9"/>
      <c r="AA130" s="9"/>
      <c r="AB130" s="9"/>
      <c r="AC130" s="9"/>
    </row>
    <row r="131" spans="1:29" ht="13.2">
      <c r="A131" s="9"/>
      <c r="B131" s="9"/>
      <c r="C131" s="14" t="str">
        <f t="shared" si="0"/>
        <v>TimbusBest Regards</v>
      </c>
      <c r="D131" s="9" t="s">
        <v>111</v>
      </c>
      <c r="E131" s="9" t="s">
        <v>14</v>
      </c>
      <c r="F131" s="9" t="s">
        <v>34</v>
      </c>
      <c r="H131" s="9"/>
      <c r="I131" s="9"/>
      <c r="J131" s="9"/>
      <c r="K131" s="9"/>
      <c r="L131" s="9"/>
      <c r="M131" s="9"/>
      <c r="N131" s="9"/>
      <c r="O131" s="9"/>
      <c r="P131" s="9"/>
      <c r="Q131" s="9"/>
      <c r="R131" s="9"/>
      <c r="S131" s="9"/>
      <c r="T131" s="9"/>
      <c r="U131" s="9"/>
      <c r="V131" s="9"/>
      <c r="W131" s="9"/>
      <c r="X131" s="9"/>
      <c r="Y131" s="9"/>
      <c r="Z131" s="9"/>
      <c r="AA131" s="9"/>
      <c r="AB131" s="9"/>
      <c r="AC131" s="9"/>
    </row>
    <row r="132" spans="1:29" ht="13.2">
      <c r="A132" s="9"/>
      <c r="B132" s="9"/>
      <c r="C132" s="14" t="str">
        <f t="shared" si="0"/>
        <v>WillanBest Regards</v>
      </c>
      <c r="D132" s="9" t="s">
        <v>113</v>
      </c>
      <c r="E132" s="9" t="s">
        <v>23</v>
      </c>
      <c r="F132" s="9" t="s">
        <v>34</v>
      </c>
      <c r="H132" s="9"/>
      <c r="I132" s="9"/>
      <c r="J132" s="9"/>
      <c r="K132" s="9"/>
      <c r="L132" s="9"/>
      <c r="M132" s="9"/>
      <c r="N132" s="9"/>
      <c r="O132" s="9"/>
      <c r="P132" s="9"/>
      <c r="Q132" s="9"/>
      <c r="R132" s="9"/>
      <c r="S132" s="9"/>
      <c r="T132" s="9"/>
      <c r="U132" s="9"/>
      <c r="V132" s="9"/>
      <c r="W132" s="9"/>
      <c r="X132" s="9"/>
      <c r="Y132" s="9"/>
      <c r="Z132" s="9"/>
      <c r="AA132" s="9"/>
      <c r="AB132" s="9"/>
      <c r="AC132" s="9"/>
    </row>
    <row r="133" spans="1:29" ht="13.2">
      <c r="A133" s="9"/>
      <c r="B133" s="9"/>
      <c r="C133" s="14" t="str">
        <f t="shared" si="0"/>
        <v>ZaelsBest Regards</v>
      </c>
      <c r="D133" s="9" t="s">
        <v>114</v>
      </c>
      <c r="E133" s="9" t="s">
        <v>73</v>
      </c>
      <c r="F133" s="9" t="s">
        <v>34</v>
      </c>
      <c r="H133" s="9"/>
      <c r="I133" s="9"/>
      <c r="J133" s="9"/>
      <c r="K133" s="9"/>
      <c r="L133" s="9"/>
      <c r="M133" s="9"/>
      <c r="N133" s="9"/>
      <c r="O133" s="9"/>
      <c r="P133" s="9"/>
      <c r="Q133" s="9"/>
      <c r="R133" s="9"/>
      <c r="S133" s="9"/>
      <c r="T133" s="9"/>
      <c r="U133" s="9"/>
      <c r="V133" s="9"/>
      <c r="W133" s="9"/>
      <c r="X133" s="9"/>
      <c r="Y133" s="9"/>
      <c r="Z133" s="9"/>
      <c r="AA133" s="9"/>
      <c r="AB133" s="9"/>
      <c r="AC133" s="9"/>
    </row>
    <row r="134" spans="1:29" ht="13.2">
      <c r="A134" s="9"/>
      <c r="B134" s="9"/>
      <c r="C134" s="14" t="str">
        <f t="shared" si="0"/>
        <v>ZBest Regards</v>
      </c>
      <c r="D134" s="9" t="s">
        <v>149</v>
      </c>
      <c r="E134" s="9" t="s">
        <v>10</v>
      </c>
      <c r="F134" s="9" t="s">
        <v>34</v>
      </c>
      <c r="H134" s="9"/>
      <c r="I134" s="9"/>
      <c r="J134" s="9"/>
      <c r="K134" s="9"/>
      <c r="L134" s="9"/>
      <c r="M134" s="9"/>
      <c r="N134" s="9"/>
      <c r="O134" s="9"/>
      <c r="P134" s="9"/>
      <c r="Q134" s="9"/>
      <c r="R134" s="9"/>
      <c r="S134" s="9"/>
      <c r="T134" s="9"/>
      <c r="U134" s="9"/>
      <c r="V134" s="9"/>
      <c r="W134" s="9"/>
      <c r="X134" s="9"/>
      <c r="Y134" s="9"/>
      <c r="Z134" s="9"/>
      <c r="AA134" s="9"/>
      <c r="AB134" s="9"/>
      <c r="AC134" s="9"/>
    </row>
    <row r="135" spans="1:29" ht="14.4">
      <c r="A135" s="9"/>
      <c r="B135" s="9"/>
      <c r="C135" s="14" t="str">
        <f t="shared" si="0"/>
        <v>PBest Regards</v>
      </c>
      <c r="D135" s="18" t="s">
        <v>150</v>
      </c>
      <c r="E135" s="9" t="s">
        <v>14</v>
      </c>
      <c r="F135" s="9" t="s">
        <v>34</v>
      </c>
      <c r="H135" s="9"/>
      <c r="I135" s="9"/>
      <c r="J135" s="9"/>
      <c r="K135" s="9"/>
      <c r="L135" s="9"/>
      <c r="M135" s="9"/>
      <c r="N135" s="9"/>
      <c r="O135" s="9"/>
      <c r="P135" s="9"/>
      <c r="Q135" s="9"/>
      <c r="R135" s="9"/>
      <c r="S135" s="9"/>
      <c r="T135" s="9"/>
      <c r="U135" s="9"/>
      <c r="V135" s="9"/>
      <c r="W135" s="9"/>
      <c r="X135" s="9"/>
      <c r="Y135" s="9"/>
      <c r="Z135" s="9"/>
      <c r="AA135" s="9"/>
      <c r="AB135" s="9"/>
      <c r="AC135" s="9"/>
    </row>
    <row r="136" spans="1:29" ht="13.2">
      <c r="A136" s="9"/>
      <c r="B136" s="9"/>
      <c r="C136" s="14" t="str">
        <f t="shared" si="0"/>
        <v>FeelixBest Regards</v>
      </c>
      <c r="D136" s="7" t="s">
        <v>118</v>
      </c>
      <c r="E136" s="9" t="s">
        <v>14</v>
      </c>
      <c r="F136" s="9" t="s">
        <v>34</v>
      </c>
      <c r="H136" s="9"/>
      <c r="I136" s="9"/>
      <c r="J136" s="9"/>
      <c r="K136" s="9"/>
      <c r="L136" s="9"/>
      <c r="M136" s="9"/>
      <c r="N136" s="9"/>
      <c r="O136" s="9"/>
      <c r="P136" s="9"/>
      <c r="Q136" s="9"/>
      <c r="R136" s="9"/>
      <c r="S136" s="9"/>
      <c r="T136" s="9"/>
      <c r="U136" s="9"/>
      <c r="V136" s="9"/>
      <c r="W136" s="9"/>
      <c r="X136" s="9"/>
      <c r="Y136" s="9"/>
      <c r="Z136" s="9"/>
      <c r="AA136" s="9"/>
      <c r="AB136" s="9"/>
      <c r="AC136" s="9"/>
    </row>
    <row r="137" spans="1:29" ht="14.4">
      <c r="A137" s="9"/>
      <c r="B137" s="9"/>
      <c r="C137" s="14" t="str">
        <f t="shared" si="0"/>
        <v>RheGGieBest Regards</v>
      </c>
      <c r="D137" s="13" t="s">
        <v>123</v>
      </c>
      <c r="E137" s="7" t="s">
        <v>14</v>
      </c>
      <c r="F137" s="9" t="s">
        <v>34</v>
      </c>
      <c r="H137" s="9"/>
      <c r="I137" s="9"/>
      <c r="J137" s="9"/>
      <c r="K137" s="9"/>
      <c r="L137" s="9"/>
      <c r="M137" s="9"/>
      <c r="N137" s="9"/>
      <c r="O137" s="9"/>
      <c r="P137" s="9"/>
      <c r="Q137" s="9"/>
      <c r="R137" s="9"/>
      <c r="S137" s="9"/>
      <c r="T137" s="9"/>
      <c r="U137" s="9"/>
      <c r="V137" s="9"/>
      <c r="W137" s="9"/>
      <c r="X137" s="9"/>
      <c r="Y137" s="9"/>
      <c r="Z137" s="9"/>
      <c r="AA137" s="9"/>
      <c r="AB137" s="9"/>
      <c r="AC137" s="9"/>
    </row>
    <row r="138" spans="1:29" ht="14.4">
      <c r="A138" s="9"/>
      <c r="B138" s="9"/>
      <c r="C138" s="14" t="str">
        <f t="shared" si="0"/>
        <v>hammyjammyBest Regards</v>
      </c>
      <c r="D138" s="13" t="s">
        <v>151</v>
      </c>
      <c r="E138" s="9" t="s">
        <v>9</v>
      </c>
      <c r="F138" s="9" t="s">
        <v>34</v>
      </c>
      <c r="H138" s="9"/>
      <c r="I138" s="9"/>
      <c r="J138" s="9"/>
      <c r="K138" s="9"/>
      <c r="L138" s="9"/>
      <c r="M138" s="9"/>
      <c r="N138" s="9"/>
      <c r="O138" s="9"/>
      <c r="P138" s="9"/>
      <c r="Q138" s="9"/>
      <c r="R138" s="9"/>
      <c r="S138" s="9"/>
      <c r="T138" s="9"/>
      <c r="U138" s="9"/>
      <c r="V138" s="9"/>
      <c r="W138" s="9"/>
      <c r="X138" s="9"/>
      <c r="Y138" s="9"/>
      <c r="Z138" s="9"/>
      <c r="AA138" s="9"/>
      <c r="AB138" s="9"/>
      <c r="AC138" s="9"/>
    </row>
    <row r="139" spans="1:29" ht="13.2">
      <c r="A139" s="9"/>
      <c r="B139" s="9"/>
      <c r="C139" s="14" t="str">
        <f t="shared" si="0"/>
        <v>raitouBest Regards</v>
      </c>
      <c r="D139" s="9" t="s">
        <v>129</v>
      </c>
      <c r="E139" s="9" t="s">
        <v>54</v>
      </c>
      <c r="F139" s="9" t="s">
        <v>34</v>
      </c>
      <c r="H139" s="9"/>
      <c r="I139" s="9"/>
      <c r="J139" s="9"/>
      <c r="K139" s="9"/>
      <c r="L139" s="9"/>
      <c r="M139" s="9"/>
      <c r="N139" s="9"/>
      <c r="O139" s="9"/>
      <c r="P139" s="9"/>
      <c r="Q139" s="9"/>
      <c r="R139" s="9"/>
      <c r="S139" s="9"/>
      <c r="T139" s="9"/>
      <c r="U139" s="9"/>
      <c r="V139" s="9"/>
      <c r="W139" s="9"/>
      <c r="X139" s="9"/>
      <c r="Y139" s="9"/>
      <c r="Z139" s="9"/>
      <c r="AA139" s="9"/>
      <c r="AB139" s="9"/>
      <c r="AC139" s="9"/>
    </row>
    <row r="140" spans="1:29" ht="13.2">
      <c r="A140" s="9"/>
      <c r="B140" s="9"/>
      <c r="C140" s="14" t="str">
        <f t="shared" si="0"/>
        <v>eepyBest Regards</v>
      </c>
      <c r="D140" s="9" t="s">
        <v>152</v>
      </c>
      <c r="E140" s="9" t="s">
        <v>54</v>
      </c>
      <c r="F140" s="9" t="s">
        <v>34</v>
      </c>
      <c r="H140" s="9"/>
      <c r="I140" s="9"/>
      <c r="J140" s="9"/>
      <c r="K140" s="9"/>
      <c r="L140" s="9"/>
      <c r="M140" s="9"/>
      <c r="N140" s="9"/>
      <c r="O140" s="9"/>
      <c r="P140" s="9"/>
      <c r="Q140" s="9"/>
      <c r="R140" s="9"/>
      <c r="S140" s="9"/>
      <c r="T140" s="9"/>
      <c r="U140" s="9"/>
      <c r="V140" s="9"/>
      <c r="W140" s="9"/>
      <c r="X140" s="9"/>
      <c r="Y140" s="9"/>
      <c r="Z140" s="9"/>
      <c r="AA140" s="9"/>
      <c r="AB140" s="9"/>
      <c r="AC140" s="9"/>
    </row>
    <row r="141" spans="1:29" ht="13.2">
      <c r="A141" s="9"/>
      <c r="B141" s="9"/>
      <c r="C141" s="14" t="str">
        <f t="shared" si="0"/>
        <v>napBest Regards</v>
      </c>
      <c r="D141" s="9" t="s">
        <v>153</v>
      </c>
      <c r="E141" s="9" t="s">
        <v>9</v>
      </c>
      <c r="F141" s="9" t="s">
        <v>34</v>
      </c>
      <c r="H141" s="9"/>
      <c r="I141" s="9"/>
      <c r="J141" s="9"/>
      <c r="K141" s="9"/>
      <c r="L141" s="9"/>
      <c r="M141" s="9"/>
      <c r="N141" s="9"/>
      <c r="O141" s="9"/>
      <c r="P141" s="9"/>
      <c r="Q141" s="9"/>
      <c r="R141" s="9"/>
      <c r="S141" s="9"/>
      <c r="T141" s="9"/>
      <c r="U141" s="9"/>
      <c r="V141" s="9"/>
      <c r="W141" s="9"/>
      <c r="X141" s="9"/>
      <c r="Y141" s="9"/>
      <c r="Z141" s="9"/>
      <c r="AA141" s="9"/>
      <c r="AB141" s="9"/>
      <c r="AC141" s="9"/>
    </row>
    <row r="142" spans="1:29" ht="13.2">
      <c r="A142" s="9"/>
      <c r="B142" s="9"/>
      <c r="C142" s="14" t="str">
        <f t="shared" si="0"/>
        <v>IttyBest Regards</v>
      </c>
      <c r="D142" s="9" t="s">
        <v>133</v>
      </c>
      <c r="E142" s="9" t="s">
        <v>32</v>
      </c>
      <c r="F142" s="9" t="s">
        <v>34</v>
      </c>
      <c r="H142" s="9"/>
      <c r="I142" s="9"/>
      <c r="J142" s="9"/>
      <c r="K142" s="9"/>
      <c r="L142" s="9"/>
      <c r="M142" s="9"/>
      <c r="N142" s="9"/>
      <c r="O142" s="9"/>
      <c r="P142" s="9"/>
      <c r="Q142" s="9"/>
      <c r="R142" s="9"/>
      <c r="S142" s="9"/>
      <c r="T142" s="9"/>
      <c r="U142" s="9"/>
      <c r="V142" s="9"/>
      <c r="W142" s="9"/>
      <c r="X142" s="9"/>
      <c r="Y142" s="9"/>
      <c r="Z142" s="9"/>
      <c r="AA142" s="9"/>
      <c r="AB142" s="9"/>
      <c r="AC142" s="9"/>
    </row>
    <row r="143" spans="1:29" ht="13.2">
      <c r="A143" s="9"/>
      <c r="B143" s="9"/>
      <c r="C143" s="14" t="str">
        <f t="shared" si="0"/>
        <v>LeiselBest Regards</v>
      </c>
      <c r="D143" s="9" t="s">
        <v>134</v>
      </c>
      <c r="E143" s="9" t="s">
        <v>9</v>
      </c>
      <c r="F143" s="9" t="s">
        <v>34</v>
      </c>
      <c r="H143" s="9"/>
      <c r="I143" s="9"/>
      <c r="J143" s="9"/>
      <c r="K143" s="9"/>
      <c r="L143" s="9"/>
      <c r="M143" s="9"/>
      <c r="N143" s="9"/>
      <c r="O143" s="9"/>
      <c r="P143" s="9"/>
      <c r="Q143" s="9"/>
      <c r="R143" s="9"/>
      <c r="S143" s="9"/>
      <c r="T143" s="9"/>
      <c r="U143" s="9"/>
      <c r="V143" s="9"/>
      <c r="W143" s="9"/>
      <c r="X143" s="9"/>
      <c r="Y143" s="9"/>
      <c r="Z143" s="9"/>
      <c r="AA143" s="9"/>
      <c r="AB143" s="9"/>
      <c r="AC143" s="9"/>
    </row>
    <row r="144" spans="1:29" ht="13.2">
      <c r="A144" s="9"/>
      <c r="B144" s="9"/>
      <c r="C144" s="14" t="str">
        <f t="shared" si="0"/>
        <v>sunshineBest Regards</v>
      </c>
      <c r="D144" s="9" t="s">
        <v>135</v>
      </c>
      <c r="E144" s="9" t="s">
        <v>10</v>
      </c>
      <c r="F144" s="9" t="s">
        <v>34</v>
      </c>
      <c r="H144" s="9"/>
      <c r="I144" s="9"/>
      <c r="J144" s="9"/>
      <c r="K144" s="9"/>
      <c r="L144" s="9"/>
      <c r="M144" s="9"/>
      <c r="N144" s="9"/>
      <c r="O144" s="9"/>
      <c r="P144" s="9"/>
      <c r="Q144" s="9"/>
      <c r="R144" s="9"/>
      <c r="S144" s="9"/>
      <c r="T144" s="9"/>
      <c r="U144" s="9"/>
      <c r="V144" s="9"/>
      <c r="W144" s="9"/>
      <c r="X144" s="9"/>
      <c r="Y144" s="9"/>
      <c r="Z144" s="9"/>
      <c r="AA144" s="9"/>
      <c r="AB144" s="9"/>
      <c r="AC144" s="9"/>
    </row>
    <row r="145" spans="1:29" ht="13.2">
      <c r="A145" s="9"/>
      <c r="B145" s="9"/>
      <c r="C145" s="14" t="str">
        <f t="shared" si="0"/>
        <v>AkaruBest Regards</v>
      </c>
      <c r="D145" s="9" t="s">
        <v>136</v>
      </c>
      <c r="E145" s="9" t="s">
        <v>10</v>
      </c>
      <c r="F145" s="9" t="s">
        <v>34</v>
      </c>
      <c r="H145" s="9"/>
      <c r="I145" s="9"/>
      <c r="J145" s="9"/>
      <c r="K145" s="9"/>
      <c r="L145" s="9"/>
      <c r="M145" s="9"/>
      <c r="N145" s="9"/>
      <c r="O145" s="9"/>
      <c r="P145" s="9"/>
      <c r="Q145" s="9"/>
      <c r="R145" s="9"/>
      <c r="S145" s="9"/>
      <c r="T145" s="9"/>
      <c r="U145" s="9"/>
      <c r="V145" s="9"/>
      <c r="W145" s="9"/>
      <c r="X145" s="9"/>
      <c r="Y145" s="9"/>
      <c r="Z145" s="9"/>
      <c r="AA145" s="9"/>
      <c r="AB145" s="9"/>
      <c r="AC145" s="9"/>
    </row>
    <row r="146" spans="1:29" ht="13.2">
      <c r="A146" s="9"/>
      <c r="B146" s="9"/>
      <c r="C146" s="14" t="str">
        <f t="shared" si="0"/>
        <v>RaypeatBest Regards</v>
      </c>
      <c r="D146" s="9" t="s">
        <v>154</v>
      </c>
      <c r="E146" s="9" t="s">
        <v>69</v>
      </c>
      <c r="F146" s="9" t="s">
        <v>34</v>
      </c>
      <c r="H146" s="9"/>
      <c r="I146" s="9"/>
      <c r="J146" s="9"/>
      <c r="K146" s="9"/>
      <c r="L146" s="9"/>
      <c r="M146" s="9"/>
      <c r="N146" s="9"/>
      <c r="O146" s="9"/>
      <c r="P146" s="9"/>
      <c r="Q146" s="9"/>
      <c r="R146" s="9"/>
      <c r="S146" s="9"/>
      <c r="T146" s="9"/>
      <c r="U146" s="9"/>
      <c r="V146" s="9"/>
      <c r="W146" s="9"/>
      <c r="X146" s="9"/>
      <c r="Y146" s="9"/>
      <c r="Z146" s="9"/>
      <c r="AA146" s="9"/>
      <c r="AB146" s="9"/>
      <c r="AC146" s="9"/>
    </row>
    <row r="147" spans="1:29" ht="14.4">
      <c r="A147" s="9"/>
      <c r="B147" s="9"/>
      <c r="C147" s="14" t="str">
        <f t="shared" si="0"/>
        <v>GI0XBest Regards</v>
      </c>
      <c r="D147" s="13" t="s">
        <v>155</v>
      </c>
      <c r="E147" s="7" t="s">
        <v>14</v>
      </c>
      <c r="F147" s="9" t="s">
        <v>34</v>
      </c>
      <c r="H147" s="9"/>
      <c r="I147" s="9"/>
      <c r="J147" s="9"/>
      <c r="K147" s="9"/>
      <c r="L147" s="9"/>
      <c r="M147" s="9"/>
      <c r="N147" s="9"/>
      <c r="O147" s="9"/>
      <c r="P147" s="9"/>
      <c r="Q147" s="9"/>
      <c r="R147" s="9"/>
      <c r="S147" s="9"/>
      <c r="T147" s="9"/>
      <c r="U147" s="9"/>
      <c r="V147" s="9"/>
      <c r="W147" s="9"/>
      <c r="X147" s="9"/>
      <c r="Y147" s="9"/>
      <c r="Z147" s="9"/>
      <c r="AA147" s="9"/>
      <c r="AB147" s="9"/>
      <c r="AC147" s="9"/>
    </row>
    <row r="148" spans="1:29" ht="13.2">
      <c r="A148" s="9"/>
      <c r="B148" s="9"/>
      <c r="C148" s="14" t="str">
        <f t="shared" si="0"/>
        <v>SabbieBest Regards</v>
      </c>
      <c r="D148" s="9" t="s">
        <v>139</v>
      </c>
      <c r="E148" s="9" t="s">
        <v>9</v>
      </c>
      <c r="F148" s="9" t="s">
        <v>34</v>
      </c>
      <c r="H148" s="9"/>
      <c r="I148" s="9"/>
      <c r="J148" s="9"/>
      <c r="K148" s="9"/>
      <c r="L148" s="9"/>
      <c r="M148" s="9"/>
      <c r="N148" s="9"/>
      <c r="O148" s="9"/>
      <c r="P148" s="9"/>
      <c r="Q148" s="9"/>
      <c r="R148" s="9"/>
      <c r="S148" s="9"/>
      <c r="T148" s="9"/>
      <c r="U148" s="9"/>
      <c r="V148" s="9"/>
      <c r="W148" s="9"/>
      <c r="X148" s="9"/>
      <c r="Y148" s="9"/>
      <c r="Z148" s="9"/>
      <c r="AA148" s="9"/>
      <c r="AB148" s="9"/>
      <c r="AC148" s="9"/>
    </row>
    <row r="149" spans="1:29" ht="13.2">
      <c r="A149" s="9"/>
      <c r="B149" s="9"/>
      <c r="C149" s="14" t="str">
        <f t="shared" si="0"/>
        <v>ThundercatsBest Regards</v>
      </c>
      <c r="D149" s="9" t="s">
        <v>141</v>
      </c>
      <c r="E149" s="9" t="s">
        <v>45</v>
      </c>
      <c r="F149" s="9" t="s">
        <v>34</v>
      </c>
      <c r="H149" s="9"/>
      <c r="I149" s="9"/>
      <c r="J149" s="9"/>
      <c r="K149" s="9"/>
      <c r="L149" s="9"/>
      <c r="M149" s="9"/>
      <c r="N149" s="9"/>
      <c r="O149" s="9"/>
      <c r="P149" s="9"/>
      <c r="Q149" s="9"/>
      <c r="R149" s="9"/>
      <c r="S149" s="9"/>
      <c r="T149" s="9"/>
      <c r="U149" s="9"/>
      <c r="V149" s="9"/>
      <c r="W149" s="9"/>
      <c r="X149" s="9"/>
      <c r="Y149" s="9"/>
      <c r="Z149" s="9"/>
      <c r="AA149" s="9"/>
      <c r="AB149" s="9"/>
      <c r="AC149" s="9"/>
    </row>
    <row r="150" spans="1:29" ht="13.8">
      <c r="A150" s="9"/>
      <c r="B150" s="9"/>
      <c r="C150" s="14" t="str">
        <f t="shared" si="0"/>
        <v>incakolatapupaBest Regards</v>
      </c>
      <c r="D150" s="16" t="s">
        <v>143</v>
      </c>
      <c r="E150" s="9" t="s">
        <v>45</v>
      </c>
      <c r="F150" s="9" t="s">
        <v>34</v>
      </c>
      <c r="H150" s="9"/>
      <c r="I150" s="9"/>
      <c r="J150" s="9"/>
      <c r="K150" s="9"/>
      <c r="L150" s="9"/>
      <c r="M150" s="9"/>
      <c r="N150" s="9"/>
      <c r="O150" s="9"/>
      <c r="P150" s="9"/>
      <c r="Q150" s="9"/>
      <c r="R150" s="9"/>
      <c r="S150" s="9"/>
      <c r="T150" s="9"/>
      <c r="U150" s="9"/>
      <c r="V150" s="9"/>
      <c r="W150" s="9"/>
      <c r="X150" s="9"/>
      <c r="Y150" s="9"/>
      <c r="Z150" s="9"/>
      <c r="AA150" s="9"/>
      <c r="AB150" s="9"/>
      <c r="AC150" s="9"/>
    </row>
    <row r="151" spans="1:29" ht="13.8">
      <c r="A151" s="9"/>
      <c r="B151" s="9"/>
      <c r="C151" s="14" t="str">
        <f t="shared" si="0"/>
        <v>CurufinweiBest Regards</v>
      </c>
      <c r="D151" s="17" t="s">
        <v>144</v>
      </c>
      <c r="E151" s="9" t="s">
        <v>9</v>
      </c>
      <c r="F151" s="9" t="s">
        <v>34</v>
      </c>
      <c r="H151" s="9"/>
      <c r="I151" s="9"/>
      <c r="J151" s="9"/>
      <c r="K151" s="9"/>
      <c r="L151" s="9"/>
      <c r="M151" s="9"/>
      <c r="N151" s="9"/>
      <c r="O151" s="9"/>
      <c r="P151" s="9"/>
      <c r="Q151" s="9"/>
      <c r="R151" s="9"/>
      <c r="S151" s="9"/>
      <c r="T151" s="9"/>
      <c r="U151" s="9"/>
      <c r="V151" s="9"/>
      <c r="W151" s="9"/>
      <c r="X151" s="9"/>
      <c r="Y151" s="9"/>
      <c r="Z151" s="9"/>
      <c r="AA151" s="9"/>
      <c r="AB151" s="9"/>
      <c r="AC151" s="9"/>
    </row>
    <row r="152" spans="1:29" ht="13.2">
      <c r="A152" s="9"/>
      <c r="B152" s="9"/>
      <c r="C152" s="14" t="str">
        <f t="shared" si="0"/>
        <v>RyujinBest Regards</v>
      </c>
      <c r="D152" s="9" t="s">
        <v>156</v>
      </c>
      <c r="E152" s="9" t="s">
        <v>58</v>
      </c>
      <c r="F152" s="9" t="s">
        <v>34</v>
      </c>
      <c r="H152" s="9"/>
      <c r="I152" s="9"/>
      <c r="J152" s="9"/>
      <c r="K152" s="9"/>
      <c r="L152" s="9"/>
      <c r="M152" s="9"/>
      <c r="N152" s="9"/>
      <c r="O152" s="9"/>
      <c r="P152" s="9"/>
      <c r="Q152" s="9"/>
      <c r="R152" s="9"/>
      <c r="S152" s="9"/>
      <c r="T152" s="9"/>
      <c r="U152" s="9"/>
      <c r="V152" s="9"/>
      <c r="W152" s="9"/>
      <c r="X152" s="9"/>
      <c r="Y152" s="9"/>
      <c r="Z152" s="9"/>
      <c r="AA152" s="9"/>
      <c r="AB152" s="9"/>
      <c r="AC152" s="9"/>
    </row>
    <row r="153" spans="1:29" ht="14.4">
      <c r="A153" s="9"/>
      <c r="B153" s="9"/>
      <c r="C153" s="14" t="str">
        <f t="shared" si="0"/>
        <v>MICTECACIHUATLBest Regards</v>
      </c>
      <c r="D153" s="13" t="s">
        <v>157</v>
      </c>
      <c r="E153" s="9" t="s">
        <v>10</v>
      </c>
      <c r="F153" s="9" t="s">
        <v>34</v>
      </c>
      <c r="H153" s="9"/>
      <c r="I153" s="9"/>
      <c r="J153" s="9"/>
      <c r="K153" s="9"/>
      <c r="L153" s="9"/>
      <c r="M153" s="9"/>
      <c r="N153" s="9"/>
      <c r="O153" s="9"/>
      <c r="P153" s="9"/>
      <c r="Q153" s="9"/>
      <c r="R153" s="9"/>
      <c r="S153" s="9"/>
      <c r="T153" s="9"/>
      <c r="U153" s="9"/>
      <c r="V153" s="9"/>
      <c r="W153" s="9"/>
      <c r="X153" s="9"/>
      <c r="Y153" s="9"/>
      <c r="Z153" s="9"/>
      <c r="AA153" s="9"/>
      <c r="AB153" s="9"/>
      <c r="AC153" s="9"/>
    </row>
    <row r="154" spans="1:29" ht="14.4">
      <c r="A154" s="9"/>
      <c r="B154" s="9"/>
      <c r="C154" s="14" t="str">
        <f t="shared" si="0"/>
        <v>CevicheBest Regards</v>
      </c>
      <c r="D154" s="13" t="s">
        <v>158</v>
      </c>
      <c r="E154" s="9" t="s">
        <v>32</v>
      </c>
      <c r="F154" s="9" t="s">
        <v>34</v>
      </c>
      <c r="H154" s="9"/>
      <c r="I154" s="9"/>
      <c r="J154" s="9"/>
      <c r="K154" s="9"/>
      <c r="L154" s="9"/>
      <c r="M154" s="9"/>
      <c r="N154" s="9"/>
      <c r="O154" s="9"/>
      <c r="P154" s="9"/>
      <c r="Q154" s="9"/>
      <c r="R154" s="9"/>
      <c r="S154" s="9"/>
      <c r="T154" s="9"/>
      <c r="U154" s="9"/>
      <c r="V154" s="9"/>
      <c r="W154" s="9"/>
      <c r="X154" s="9"/>
      <c r="Y154" s="9"/>
      <c r="Z154" s="9"/>
      <c r="AA154" s="9"/>
      <c r="AB154" s="9"/>
      <c r="AC154" s="9"/>
    </row>
    <row r="155" spans="1:29" ht="13.8">
      <c r="A155" s="9"/>
      <c r="B155" s="9"/>
      <c r="C155" s="14" t="str">
        <f t="shared" si="0"/>
        <v>vexzusBest Regards</v>
      </c>
      <c r="D155" s="17" t="s">
        <v>159</v>
      </c>
      <c r="E155" s="9" t="s">
        <v>54</v>
      </c>
      <c r="F155" s="9" t="s">
        <v>34</v>
      </c>
      <c r="H155" s="9"/>
      <c r="I155" s="9"/>
      <c r="J155" s="9"/>
      <c r="K155" s="9"/>
      <c r="L155" s="9"/>
      <c r="M155" s="9"/>
      <c r="N155" s="9"/>
      <c r="O155" s="9"/>
      <c r="P155" s="9"/>
      <c r="Q155" s="9"/>
      <c r="R155" s="9"/>
      <c r="S155" s="9"/>
      <c r="T155" s="9"/>
      <c r="U155" s="9"/>
      <c r="V155" s="9"/>
      <c r="W155" s="9"/>
      <c r="X155" s="9"/>
      <c r="Y155" s="9"/>
      <c r="Z155" s="9"/>
      <c r="AA155" s="9"/>
      <c r="AB155" s="9"/>
      <c r="AC155" s="9"/>
    </row>
    <row r="156" spans="1:29" ht="14.4">
      <c r="A156" s="9"/>
      <c r="B156" s="9"/>
      <c r="C156" s="14" t="str">
        <f t="shared" si="0"/>
        <v>EnoughCrazyBest Regards</v>
      </c>
      <c r="D156" s="13" t="s">
        <v>160</v>
      </c>
      <c r="E156" s="9" t="s">
        <v>58</v>
      </c>
      <c r="F156" s="9" t="s">
        <v>34</v>
      </c>
      <c r="H156" s="9"/>
      <c r="I156" s="9"/>
      <c r="J156" s="9"/>
      <c r="K156" s="9"/>
      <c r="L156" s="9"/>
      <c r="M156" s="9"/>
      <c r="N156" s="9"/>
      <c r="O156" s="9"/>
      <c r="P156" s="9"/>
      <c r="Q156" s="9"/>
      <c r="R156" s="9"/>
      <c r="S156" s="9"/>
      <c r="T156" s="9"/>
      <c r="U156" s="9"/>
      <c r="V156" s="9"/>
      <c r="W156" s="9"/>
      <c r="X156" s="9"/>
      <c r="Y156" s="9"/>
      <c r="Z156" s="9"/>
      <c r="AA156" s="9"/>
      <c r="AB156" s="9"/>
      <c r="AC156" s="9"/>
    </row>
    <row r="157" spans="1:29" ht="14.4">
      <c r="A157" s="9"/>
      <c r="B157" s="9"/>
      <c r="C157" s="14" t="str">
        <f t="shared" si="0"/>
        <v>EshaberryBest Regards</v>
      </c>
      <c r="D157" s="13" t="s">
        <v>161</v>
      </c>
      <c r="E157" s="9" t="s">
        <v>54</v>
      </c>
      <c r="F157" s="9" t="s">
        <v>34</v>
      </c>
      <c r="H157" s="9"/>
      <c r="I157" s="9"/>
      <c r="J157" s="9"/>
      <c r="K157" s="9"/>
      <c r="L157" s="9"/>
      <c r="M157" s="9"/>
      <c r="N157" s="9"/>
      <c r="O157" s="9"/>
      <c r="P157" s="9"/>
      <c r="Q157" s="9"/>
      <c r="R157" s="9"/>
      <c r="S157" s="9"/>
      <c r="T157" s="9"/>
      <c r="U157" s="9"/>
      <c r="V157" s="9"/>
      <c r="W157" s="9"/>
      <c r="X157" s="9"/>
      <c r="Y157" s="9"/>
      <c r="Z157" s="9"/>
      <c r="AA157" s="9"/>
      <c r="AB157" s="9"/>
      <c r="AC157" s="9"/>
    </row>
    <row r="158" spans="1:29" ht="14.4">
      <c r="A158" s="9"/>
      <c r="B158" s="9"/>
      <c r="C158" s="14" t="str">
        <f t="shared" si="0"/>
        <v>SwayzexExpressBest Regards</v>
      </c>
      <c r="D158" s="13" t="s">
        <v>162</v>
      </c>
      <c r="E158" s="9" t="s">
        <v>52</v>
      </c>
      <c r="F158" s="9" t="s">
        <v>34</v>
      </c>
      <c r="H158" s="9"/>
      <c r="I158" s="9"/>
      <c r="J158" s="9"/>
      <c r="K158" s="9"/>
      <c r="L158" s="9"/>
      <c r="M158" s="9"/>
      <c r="N158" s="9"/>
      <c r="O158" s="9"/>
      <c r="P158" s="9"/>
      <c r="Q158" s="9"/>
      <c r="R158" s="9"/>
      <c r="S158" s="9"/>
      <c r="T158" s="9"/>
      <c r="U158" s="9"/>
      <c r="V158" s="9"/>
      <c r="W158" s="9"/>
      <c r="X158" s="9"/>
      <c r="Y158" s="9"/>
      <c r="Z158" s="9"/>
      <c r="AA158" s="9"/>
      <c r="AB158" s="9"/>
      <c r="AC158" s="9"/>
    </row>
    <row r="159" spans="1:29" ht="13.2">
      <c r="A159" s="9"/>
      <c r="B159" s="9"/>
      <c r="C159" s="14" t="str">
        <f t="shared" si="0"/>
        <v>HexapodBest Regards</v>
      </c>
      <c r="D159" s="6" t="s">
        <v>163</v>
      </c>
      <c r="E159" s="9" t="s">
        <v>14</v>
      </c>
      <c r="F159" s="9" t="s">
        <v>34</v>
      </c>
      <c r="H159" s="9"/>
      <c r="I159" s="9"/>
      <c r="J159" s="9"/>
      <c r="K159" s="9"/>
      <c r="L159" s="9"/>
      <c r="M159" s="9"/>
      <c r="N159" s="9"/>
      <c r="O159" s="9"/>
      <c r="P159" s="9"/>
      <c r="Q159" s="9"/>
      <c r="R159" s="9"/>
      <c r="S159" s="9"/>
      <c r="T159" s="9"/>
      <c r="U159" s="9"/>
      <c r="V159" s="9"/>
      <c r="W159" s="9"/>
      <c r="X159" s="9"/>
      <c r="Y159" s="9"/>
      <c r="Z159" s="9"/>
      <c r="AA159" s="9"/>
      <c r="AB159" s="9"/>
      <c r="AC159" s="9"/>
    </row>
    <row r="160" spans="1:29" ht="14.4">
      <c r="A160" s="9"/>
      <c r="B160" s="9"/>
      <c r="C160" s="14" t="str">
        <f t="shared" si="0"/>
        <v>LuanDCBest Regards</v>
      </c>
      <c r="D160" s="13" t="s">
        <v>164</v>
      </c>
      <c r="E160" s="9" t="s">
        <v>9</v>
      </c>
      <c r="F160" s="9" t="s">
        <v>34</v>
      </c>
      <c r="H160" s="9"/>
      <c r="I160" s="9"/>
      <c r="J160" s="9"/>
      <c r="K160" s="9"/>
      <c r="L160" s="9"/>
      <c r="M160" s="9"/>
      <c r="N160" s="9"/>
      <c r="O160" s="9"/>
      <c r="P160" s="9"/>
      <c r="Q160" s="9"/>
      <c r="R160" s="9"/>
      <c r="S160" s="9"/>
      <c r="T160" s="9"/>
      <c r="U160" s="9"/>
      <c r="V160" s="9"/>
      <c r="W160" s="9"/>
      <c r="X160" s="9"/>
      <c r="Y160" s="9"/>
      <c r="Z160" s="9"/>
      <c r="AA160" s="9"/>
      <c r="AB160" s="9"/>
      <c r="AC160" s="9"/>
    </row>
    <row r="161" spans="1:29" ht="14.4">
      <c r="A161" s="9"/>
      <c r="B161" s="9"/>
      <c r="C161" s="14" t="str">
        <f t="shared" si="0"/>
        <v>ReinnierBest Regards</v>
      </c>
      <c r="D161" s="13" t="s">
        <v>165</v>
      </c>
      <c r="E161" s="9" t="s">
        <v>10</v>
      </c>
      <c r="F161" s="9" t="s">
        <v>34</v>
      </c>
      <c r="H161" s="9"/>
      <c r="I161" s="9"/>
      <c r="J161" s="9"/>
      <c r="K161" s="9"/>
      <c r="L161" s="9"/>
      <c r="M161" s="9"/>
      <c r="N161" s="9"/>
      <c r="O161" s="9"/>
      <c r="P161" s="9"/>
      <c r="Q161" s="9"/>
      <c r="R161" s="9"/>
      <c r="S161" s="9"/>
      <c r="T161" s="9"/>
      <c r="U161" s="9"/>
      <c r="V161" s="9"/>
      <c r="W161" s="9"/>
      <c r="X161" s="9"/>
      <c r="Y161" s="9"/>
      <c r="Z161" s="9"/>
      <c r="AA161" s="9"/>
      <c r="AB161" s="9"/>
      <c r="AC161" s="9"/>
    </row>
    <row r="162" spans="1:29" ht="14.4">
      <c r="A162" s="9"/>
      <c r="B162" s="9"/>
      <c r="C162" s="14" t="str">
        <f t="shared" si="0"/>
        <v>StephyBabyxBest Regards</v>
      </c>
      <c r="D162" s="13" t="s">
        <v>166</v>
      </c>
      <c r="E162" s="9" t="s">
        <v>14</v>
      </c>
      <c r="F162" s="9" t="s">
        <v>34</v>
      </c>
      <c r="H162" s="9"/>
      <c r="I162" s="9"/>
      <c r="J162" s="9"/>
      <c r="K162" s="9"/>
      <c r="L162" s="9"/>
      <c r="M162" s="9"/>
      <c r="N162" s="9"/>
      <c r="O162" s="9"/>
      <c r="P162" s="9"/>
      <c r="Q162" s="9"/>
      <c r="R162" s="9"/>
      <c r="S162" s="9"/>
      <c r="T162" s="9"/>
      <c r="U162" s="9"/>
      <c r="V162" s="9"/>
      <c r="W162" s="9"/>
      <c r="X162" s="9"/>
      <c r="Y162" s="9"/>
      <c r="Z162" s="9"/>
      <c r="AA162" s="9"/>
      <c r="AB162" s="9"/>
      <c r="AC162" s="9"/>
    </row>
    <row r="163" spans="1:29" ht="14.4">
      <c r="A163" s="9"/>
      <c r="B163" s="9"/>
      <c r="C163" s="14" t="str">
        <f t="shared" si="0"/>
        <v>charigueyaBest Regards</v>
      </c>
      <c r="D163" s="13" t="s">
        <v>167</v>
      </c>
      <c r="E163" s="9" t="s">
        <v>45</v>
      </c>
      <c r="F163" s="9" t="s">
        <v>34</v>
      </c>
      <c r="H163" s="9"/>
      <c r="I163" s="9"/>
      <c r="J163" s="9"/>
      <c r="K163" s="9"/>
      <c r="L163" s="9"/>
      <c r="M163" s="9"/>
      <c r="N163" s="9"/>
      <c r="O163" s="9"/>
      <c r="P163" s="9"/>
      <c r="Q163" s="9"/>
      <c r="R163" s="9"/>
      <c r="S163" s="9"/>
      <c r="T163" s="9"/>
      <c r="U163" s="9"/>
      <c r="V163" s="9"/>
      <c r="W163" s="9"/>
      <c r="X163" s="9"/>
      <c r="Y163" s="9"/>
      <c r="Z163" s="9"/>
      <c r="AA163" s="9"/>
      <c r="AB163" s="9"/>
      <c r="AC163" s="9"/>
    </row>
    <row r="164" spans="1:29" ht="14.4">
      <c r="A164" s="9"/>
      <c r="B164" s="9"/>
      <c r="C164" s="14" t="str">
        <f t="shared" si="0"/>
        <v>AbixBest Regards</v>
      </c>
      <c r="D164" s="13" t="s">
        <v>168</v>
      </c>
      <c r="E164" s="9" t="s">
        <v>9</v>
      </c>
      <c r="F164" s="9" t="s">
        <v>34</v>
      </c>
      <c r="H164" s="9"/>
      <c r="I164" s="9"/>
      <c r="J164" s="9"/>
      <c r="K164" s="9"/>
      <c r="L164" s="9"/>
      <c r="M164" s="9"/>
      <c r="N164" s="9"/>
      <c r="O164" s="9"/>
      <c r="P164" s="9"/>
      <c r="Q164" s="9"/>
      <c r="R164" s="9"/>
      <c r="S164" s="9"/>
      <c r="T164" s="9"/>
      <c r="U164" s="9"/>
      <c r="V164" s="9"/>
      <c r="W164" s="9"/>
      <c r="X164" s="9"/>
      <c r="Y164" s="9"/>
      <c r="Z164" s="9"/>
      <c r="AA164" s="9"/>
      <c r="AB164" s="9"/>
      <c r="AC164" s="9"/>
    </row>
    <row r="165" spans="1:29" ht="13.2">
      <c r="A165" s="9"/>
      <c r="B165" s="9"/>
      <c r="C165" s="14" t="str">
        <f t="shared" si="0"/>
        <v>H612Best Regards</v>
      </c>
      <c r="D165" s="9" t="s">
        <v>169</v>
      </c>
      <c r="E165" s="9" t="s">
        <v>24</v>
      </c>
      <c r="F165" s="9" t="s">
        <v>34</v>
      </c>
      <c r="H165" s="9"/>
      <c r="I165" s="9"/>
      <c r="J165" s="9"/>
      <c r="K165" s="9"/>
      <c r="L165" s="9"/>
      <c r="M165" s="9"/>
      <c r="N165" s="9"/>
      <c r="O165" s="9"/>
      <c r="P165" s="9"/>
      <c r="Q165" s="9"/>
      <c r="R165" s="9"/>
      <c r="S165" s="9"/>
      <c r="T165" s="9"/>
      <c r="U165" s="9"/>
      <c r="V165" s="9"/>
      <c r="W165" s="9"/>
      <c r="X165" s="9"/>
      <c r="Y165" s="9"/>
      <c r="Z165" s="9"/>
      <c r="AA165" s="9"/>
      <c r="AB165" s="9"/>
      <c r="AC165" s="9"/>
    </row>
    <row r="166" spans="1:29" ht="14.4">
      <c r="A166" s="9"/>
      <c r="B166" s="9"/>
      <c r="C166" s="14" t="str">
        <f t="shared" si="0"/>
        <v>JDAWGGGGBest Regards</v>
      </c>
      <c r="D166" s="13" t="s">
        <v>170</v>
      </c>
      <c r="E166" s="9" t="s">
        <v>69</v>
      </c>
      <c r="F166" s="9" t="s">
        <v>34</v>
      </c>
      <c r="H166" s="9"/>
      <c r="I166" s="9"/>
      <c r="J166" s="9"/>
      <c r="K166" s="9"/>
      <c r="L166" s="9"/>
      <c r="M166" s="9"/>
      <c r="N166" s="9"/>
      <c r="O166" s="9"/>
      <c r="P166" s="9"/>
      <c r="Q166" s="9"/>
      <c r="R166" s="9"/>
      <c r="S166" s="9"/>
      <c r="T166" s="9"/>
      <c r="U166" s="9"/>
      <c r="V166" s="9"/>
      <c r="W166" s="9"/>
      <c r="X166" s="9"/>
      <c r="Y166" s="9"/>
      <c r="Z166" s="9"/>
      <c r="AA166" s="9"/>
      <c r="AB166" s="9"/>
      <c r="AC166" s="9"/>
    </row>
    <row r="167" spans="1:29" ht="13.2">
      <c r="A167" s="9"/>
      <c r="B167" s="9"/>
      <c r="C167" s="14" t="str">
        <f t="shared" si="0"/>
        <v>NeonBest Regards</v>
      </c>
      <c r="D167" s="9" t="s">
        <v>171</v>
      </c>
      <c r="E167" s="9" t="s">
        <v>9</v>
      </c>
      <c r="F167" s="9" t="s">
        <v>34</v>
      </c>
      <c r="H167" s="9"/>
      <c r="I167" s="9"/>
      <c r="J167" s="9"/>
      <c r="K167" s="9"/>
      <c r="L167" s="9"/>
      <c r="M167" s="9"/>
      <c r="N167" s="9"/>
      <c r="O167" s="9"/>
      <c r="P167" s="9"/>
      <c r="Q167" s="9"/>
      <c r="R167" s="9"/>
      <c r="S167" s="9"/>
      <c r="T167" s="9"/>
      <c r="U167" s="9"/>
      <c r="V167" s="9"/>
      <c r="W167" s="9"/>
      <c r="X167" s="9"/>
      <c r="Y167" s="9"/>
      <c r="Z167" s="9"/>
      <c r="AA167" s="9"/>
      <c r="AB167" s="9"/>
      <c r="AC167" s="9"/>
    </row>
    <row r="168" spans="1:29" ht="14.4">
      <c r="A168" s="9"/>
      <c r="B168" s="9"/>
      <c r="C168" s="14" t="str">
        <f t="shared" si="0"/>
        <v>ELCHAMOBest Regards</v>
      </c>
      <c r="D168" s="13" t="s">
        <v>172</v>
      </c>
      <c r="E168" s="9" t="s">
        <v>32</v>
      </c>
      <c r="F168" s="9" t="s">
        <v>34</v>
      </c>
      <c r="H168" s="9"/>
      <c r="I168" s="9"/>
      <c r="J168" s="9"/>
      <c r="K168" s="9"/>
      <c r="L168" s="9"/>
      <c r="M168" s="9"/>
      <c r="N168" s="9"/>
      <c r="O168" s="9"/>
      <c r="P168" s="9"/>
      <c r="Q168" s="9"/>
      <c r="R168" s="9"/>
      <c r="S168" s="9"/>
      <c r="T168" s="9"/>
      <c r="U168" s="9"/>
      <c r="V168" s="9"/>
      <c r="W168" s="9"/>
      <c r="X168" s="9"/>
      <c r="Y168" s="9"/>
      <c r="Z168" s="9"/>
      <c r="AA168" s="9"/>
      <c r="AB168" s="9"/>
      <c r="AC168" s="9"/>
    </row>
    <row r="169" spans="1:29" ht="13.2">
      <c r="A169" s="9"/>
      <c r="B169" s="9"/>
      <c r="C169" s="14" t="str">
        <f t="shared" si="0"/>
        <v>MicheruBest Regards</v>
      </c>
      <c r="D169" s="9" t="s">
        <v>173</v>
      </c>
      <c r="E169" s="9" t="s">
        <v>14</v>
      </c>
      <c r="F169" s="9" t="s">
        <v>34</v>
      </c>
      <c r="H169" s="9"/>
      <c r="I169" s="9"/>
      <c r="J169" s="9"/>
      <c r="K169" s="9"/>
      <c r="L169" s="9"/>
      <c r="M169" s="9"/>
      <c r="N169" s="9"/>
      <c r="O169" s="9"/>
      <c r="P169" s="9"/>
      <c r="Q169" s="9"/>
      <c r="R169" s="9"/>
      <c r="S169" s="9"/>
      <c r="T169" s="9"/>
      <c r="U169" s="9"/>
      <c r="V169" s="9"/>
      <c r="W169" s="9"/>
      <c r="X169" s="9"/>
      <c r="Y169" s="9"/>
      <c r="Z169" s="9"/>
      <c r="AA169" s="9"/>
      <c r="AB169" s="9"/>
      <c r="AC169" s="9"/>
    </row>
    <row r="170" spans="1:29" ht="14.4">
      <c r="A170" s="9"/>
      <c r="B170" s="9"/>
      <c r="C170" s="14" t="str">
        <f t="shared" si="0"/>
        <v>SmashBest Regards</v>
      </c>
      <c r="D170" s="13" t="s">
        <v>174</v>
      </c>
      <c r="E170" s="9" t="s">
        <v>14</v>
      </c>
      <c r="F170" s="9" t="s">
        <v>34</v>
      </c>
      <c r="H170" s="9"/>
      <c r="I170" s="9"/>
      <c r="J170" s="9"/>
      <c r="K170" s="9"/>
      <c r="L170" s="9"/>
      <c r="M170" s="9"/>
      <c r="N170" s="9"/>
      <c r="O170" s="9"/>
      <c r="P170" s="9"/>
      <c r="Q170" s="9"/>
      <c r="R170" s="9"/>
      <c r="S170" s="9"/>
      <c r="T170" s="9"/>
      <c r="U170" s="9"/>
      <c r="V170" s="9"/>
      <c r="W170" s="9"/>
      <c r="X170" s="9"/>
      <c r="Y170" s="9"/>
      <c r="Z170" s="9"/>
      <c r="AA170" s="9"/>
      <c r="AB170" s="9"/>
      <c r="AC170" s="9"/>
    </row>
    <row r="171" spans="1:29" ht="14.4">
      <c r="A171" s="9"/>
      <c r="B171" s="9"/>
      <c r="C171" s="14" t="str">
        <f t="shared" si="0"/>
        <v>EnnergeBest Regards</v>
      </c>
      <c r="D171" s="13" t="s">
        <v>175</v>
      </c>
      <c r="E171" s="9" t="s">
        <v>62</v>
      </c>
      <c r="F171" s="9" t="s">
        <v>34</v>
      </c>
      <c r="H171" s="9"/>
      <c r="I171" s="9"/>
      <c r="J171" s="9"/>
      <c r="K171" s="9"/>
      <c r="L171" s="9"/>
      <c r="M171" s="9"/>
      <c r="N171" s="9"/>
      <c r="O171" s="9"/>
      <c r="P171" s="9"/>
      <c r="Q171" s="9"/>
      <c r="R171" s="9"/>
      <c r="S171" s="9"/>
      <c r="T171" s="9"/>
      <c r="U171" s="9"/>
      <c r="V171" s="9"/>
      <c r="W171" s="9"/>
      <c r="X171" s="9"/>
      <c r="Y171" s="9"/>
      <c r="Z171" s="9"/>
      <c r="AA171" s="9"/>
      <c r="AB171" s="9"/>
      <c r="AC171" s="9"/>
    </row>
    <row r="172" spans="1:29" ht="13.8">
      <c r="A172" s="9"/>
      <c r="B172" s="9"/>
      <c r="C172" s="14" t="str">
        <f t="shared" si="0"/>
        <v>JayAcyBest Regards</v>
      </c>
      <c r="D172" s="16" t="s">
        <v>121</v>
      </c>
      <c r="E172" s="9" t="s">
        <v>9</v>
      </c>
      <c r="F172" s="9" t="s">
        <v>34</v>
      </c>
      <c r="H172" s="9"/>
      <c r="I172" s="9"/>
      <c r="J172" s="9"/>
      <c r="K172" s="9"/>
      <c r="L172" s="9"/>
      <c r="M172" s="9"/>
      <c r="N172" s="9"/>
      <c r="O172" s="9"/>
      <c r="P172" s="9"/>
      <c r="Q172" s="9"/>
      <c r="R172" s="9"/>
      <c r="S172" s="9"/>
      <c r="T172" s="9"/>
      <c r="U172" s="9"/>
      <c r="V172" s="9"/>
      <c r="W172" s="9"/>
      <c r="X172" s="9"/>
      <c r="Y172" s="9"/>
      <c r="Z172" s="9"/>
      <c r="AA172" s="9"/>
      <c r="AB172" s="9"/>
      <c r="AC172" s="9"/>
    </row>
    <row r="173" spans="1:29" ht="14.4">
      <c r="A173" s="9"/>
      <c r="B173" s="9"/>
      <c r="C173" s="14" t="str">
        <f t="shared" si="0"/>
        <v>ガブリエルーBest Regards</v>
      </c>
      <c r="D173" s="19" t="s">
        <v>176</v>
      </c>
      <c r="E173" s="20" t="s">
        <v>14</v>
      </c>
      <c r="F173" s="9" t="s">
        <v>34</v>
      </c>
      <c r="H173" s="9"/>
      <c r="I173" s="9"/>
      <c r="J173" s="9"/>
      <c r="K173" s="9"/>
      <c r="L173" s="9"/>
      <c r="M173" s="9"/>
      <c r="N173" s="9"/>
      <c r="O173" s="9"/>
      <c r="P173" s="9"/>
      <c r="Q173" s="9"/>
      <c r="R173" s="9"/>
      <c r="S173" s="9"/>
      <c r="T173" s="9"/>
      <c r="U173" s="9"/>
      <c r="V173" s="9"/>
      <c r="W173" s="9"/>
      <c r="X173" s="9"/>
      <c r="Y173" s="9"/>
      <c r="Z173" s="9"/>
      <c r="AA173" s="9"/>
      <c r="AB173" s="9"/>
      <c r="AC173" s="9"/>
    </row>
    <row r="174" spans="1:29" ht="14.4">
      <c r="A174" s="9"/>
      <c r="B174" s="9"/>
      <c r="C174" s="14" t="str">
        <f t="shared" si="0"/>
        <v>SupraOzzBest Regards</v>
      </c>
      <c r="D174" s="13" t="s">
        <v>177</v>
      </c>
      <c r="E174" s="20" t="s">
        <v>70</v>
      </c>
      <c r="F174" s="9" t="s">
        <v>34</v>
      </c>
      <c r="H174" s="9"/>
      <c r="I174" s="9"/>
      <c r="J174" s="9"/>
      <c r="K174" s="9"/>
      <c r="L174" s="9"/>
      <c r="M174" s="9"/>
      <c r="N174" s="9"/>
      <c r="O174" s="9"/>
      <c r="P174" s="9"/>
      <c r="Q174" s="9"/>
      <c r="R174" s="9"/>
      <c r="S174" s="9"/>
      <c r="T174" s="9"/>
      <c r="U174" s="9"/>
      <c r="V174" s="9"/>
      <c r="W174" s="9"/>
      <c r="X174" s="9"/>
      <c r="Y174" s="9"/>
      <c r="Z174" s="9"/>
      <c r="AA174" s="9"/>
      <c r="AB174" s="9"/>
      <c r="AC174" s="9"/>
    </row>
    <row r="175" spans="1:29" ht="14.4">
      <c r="A175" s="9"/>
      <c r="B175" s="9"/>
      <c r="C175" s="14" t="str">
        <f t="shared" si="0"/>
        <v>MoonBest Regards</v>
      </c>
      <c r="D175" s="13" t="s">
        <v>178</v>
      </c>
      <c r="E175" s="20" t="s">
        <v>14</v>
      </c>
      <c r="F175" s="9" t="s">
        <v>34</v>
      </c>
      <c r="H175" s="9"/>
      <c r="I175" s="9"/>
      <c r="J175" s="9"/>
      <c r="K175" s="9"/>
      <c r="L175" s="9"/>
      <c r="M175" s="9"/>
      <c r="N175" s="9"/>
      <c r="O175" s="9"/>
      <c r="P175" s="9"/>
      <c r="Q175" s="9"/>
      <c r="R175" s="9"/>
      <c r="S175" s="9"/>
      <c r="T175" s="9"/>
      <c r="U175" s="9"/>
      <c r="V175" s="9"/>
      <c r="W175" s="9"/>
      <c r="X175" s="9"/>
      <c r="Y175" s="9"/>
      <c r="Z175" s="9"/>
      <c r="AA175" s="9"/>
      <c r="AB175" s="9"/>
      <c r="AC175" s="9"/>
    </row>
    <row r="176" spans="1:29" ht="14.4">
      <c r="A176" s="9"/>
      <c r="B176" s="9"/>
      <c r="C176" s="14" t="str">
        <f t="shared" si="0"/>
        <v>POMEBest Regards</v>
      </c>
      <c r="D176" s="13" t="s">
        <v>179</v>
      </c>
      <c r="E176" s="9" t="s">
        <v>23</v>
      </c>
      <c r="F176" s="9" t="s">
        <v>34</v>
      </c>
      <c r="H176" s="9"/>
      <c r="I176" s="9"/>
      <c r="J176" s="9"/>
      <c r="K176" s="9"/>
      <c r="L176" s="9"/>
      <c r="M176" s="9"/>
      <c r="N176" s="9"/>
      <c r="O176" s="9"/>
      <c r="P176" s="9"/>
      <c r="Q176" s="9"/>
      <c r="R176" s="9"/>
      <c r="S176" s="9"/>
      <c r="T176" s="9"/>
      <c r="U176" s="9"/>
      <c r="V176" s="9"/>
      <c r="W176" s="9"/>
      <c r="X176" s="9"/>
      <c r="Y176" s="9"/>
      <c r="Z176" s="9"/>
      <c r="AA176" s="9"/>
      <c r="AB176" s="9"/>
      <c r="AC176" s="9"/>
    </row>
    <row r="177" spans="1:29" ht="14.4">
      <c r="A177" s="9"/>
      <c r="B177" s="9"/>
      <c r="C177" s="14" t="str">
        <f t="shared" si="0"/>
        <v>BombaTrixBest Regards</v>
      </c>
      <c r="D177" s="13" t="s">
        <v>180</v>
      </c>
      <c r="E177" s="9" t="s">
        <v>10</v>
      </c>
      <c r="F177" s="9" t="s">
        <v>34</v>
      </c>
      <c r="H177" s="9"/>
      <c r="I177" s="9"/>
      <c r="J177" s="9"/>
      <c r="K177" s="9"/>
      <c r="L177" s="9"/>
      <c r="M177" s="9"/>
      <c r="N177" s="9"/>
      <c r="O177" s="9"/>
      <c r="P177" s="9"/>
      <c r="Q177" s="9"/>
      <c r="R177" s="9"/>
      <c r="S177" s="9"/>
      <c r="T177" s="9"/>
      <c r="U177" s="9"/>
      <c r="V177" s="9"/>
      <c r="W177" s="9"/>
      <c r="X177" s="9"/>
      <c r="Y177" s="9"/>
      <c r="Z177" s="9"/>
      <c r="AA177" s="9"/>
      <c r="AB177" s="9"/>
      <c r="AC177" s="9"/>
    </row>
    <row r="178" spans="1:29" ht="14.4">
      <c r="A178" s="9"/>
      <c r="B178" s="9"/>
      <c r="C178" s="14" t="str">
        <f t="shared" si="0"/>
        <v>SpicieeeBest Regards</v>
      </c>
      <c r="D178" s="13" t="s">
        <v>181</v>
      </c>
      <c r="E178" s="9" t="s">
        <v>9</v>
      </c>
      <c r="F178" s="9" t="s">
        <v>34</v>
      </c>
      <c r="H178" s="9"/>
      <c r="I178" s="9"/>
      <c r="J178" s="9"/>
      <c r="K178" s="9"/>
      <c r="L178" s="9"/>
      <c r="M178" s="9"/>
      <c r="N178" s="9"/>
      <c r="O178" s="9"/>
      <c r="P178" s="9"/>
      <c r="Q178" s="9"/>
      <c r="R178" s="9"/>
      <c r="S178" s="9"/>
      <c r="T178" s="9"/>
      <c r="U178" s="9"/>
      <c r="V178" s="9"/>
      <c r="W178" s="9"/>
      <c r="X178" s="9"/>
      <c r="Y178" s="9"/>
      <c r="Z178" s="9"/>
      <c r="AA178" s="9"/>
      <c r="AB178" s="9"/>
      <c r="AC178" s="9"/>
    </row>
    <row r="179" spans="1:29" ht="14.4">
      <c r="A179" s="9"/>
      <c r="B179" s="9"/>
      <c r="C179" s="14" t="str">
        <f t="shared" si="0"/>
        <v>皮姆利Best Regards</v>
      </c>
      <c r="D179" s="13" t="s">
        <v>182</v>
      </c>
      <c r="E179" s="9" t="s">
        <v>69</v>
      </c>
      <c r="F179" s="9" t="s">
        <v>34</v>
      </c>
      <c r="H179" s="9"/>
      <c r="I179" s="9"/>
      <c r="J179" s="9"/>
      <c r="K179" s="9"/>
      <c r="L179" s="9"/>
      <c r="M179" s="9"/>
      <c r="N179" s="9"/>
      <c r="O179" s="9"/>
      <c r="P179" s="9"/>
      <c r="Q179" s="9"/>
      <c r="R179" s="9"/>
      <c r="S179" s="9"/>
      <c r="T179" s="9"/>
      <c r="U179" s="9"/>
      <c r="V179" s="9"/>
      <c r="W179" s="9"/>
      <c r="X179" s="9"/>
      <c r="Y179" s="9"/>
      <c r="Z179" s="9"/>
      <c r="AA179" s="9"/>
      <c r="AB179" s="9"/>
      <c r="AC179" s="9"/>
    </row>
    <row r="180" spans="1:29" ht="14.4">
      <c r="A180" s="9"/>
      <c r="B180" s="9"/>
      <c r="C180" s="14" t="str">
        <f t="shared" si="0"/>
        <v>ArtemixBest Regards</v>
      </c>
      <c r="D180" s="18" t="s">
        <v>183</v>
      </c>
      <c r="E180" s="9" t="s">
        <v>9</v>
      </c>
      <c r="F180" s="9" t="s">
        <v>34</v>
      </c>
      <c r="H180" s="9"/>
      <c r="I180" s="9"/>
      <c r="J180" s="9"/>
      <c r="K180" s="9"/>
      <c r="L180" s="9"/>
      <c r="M180" s="9"/>
      <c r="N180" s="9"/>
      <c r="O180" s="9"/>
      <c r="P180" s="9"/>
      <c r="Q180" s="9"/>
      <c r="R180" s="9"/>
      <c r="S180" s="9"/>
      <c r="T180" s="9"/>
      <c r="U180" s="9"/>
      <c r="V180" s="9"/>
      <c r="W180" s="9"/>
      <c r="X180" s="9"/>
      <c r="Y180" s="9"/>
      <c r="Z180" s="9"/>
      <c r="AA180" s="9"/>
      <c r="AB180" s="9"/>
      <c r="AC180" s="9"/>
    </row>
    <row r="181" spans="1:29" ht="13.2">
      <c r="A181" s="9"/>
      <c r="B181" s="9"/>
      <c r="C181" s="14"/>
      <c r="D181" s="9"/>
      <c r="E181" s="9"/>
      <c r="F181" s="9"/>
      <c r="H181" s="9"/>
      <c r="I181" s="9"/>
      <c r="J181" s="9"/>
      <c r="K181" s="9"/>
      <c r="L181" s="9"/>
      <c r="M181" s="9"/>
      <c r="N181" s="9"/>
      <c r="O181" s="9"/>
      <c r="P181" s="9"/>
      <c r="Q181" s="9"/>
      <c r="R181" s="9"/>
      <c r="S181" s="9"/>
      <c r="T181" s="9"/>
      <c r="U181" s="9"/>
      <c r="V181" s="9"/>
      <c r="W181" s="9"/>
      <c r="X181" s="9"/>
      <c r="Y181" s="9"/>
      <c r="Z181" s="9"/>
      <c r="AA181" s="9"/>
      <c r="AB181" s="9"/>
      <c r="AC181" s="9"/>
    </row>
    <row r="182" spans="1:29" ht="13.2">
      <c r="A182" s="9"/>
      <c r="B182" s="9"/>
      <c r="C182" s="14"/>
      <c r="D182" s="9"/>
      <c r="E182" s="9"/>
      <c r="F182" s="9"/>
      <c r="H182" s="9"/>
      <c r="I182" s="9"/>
      <c r="J182" s="9"/>
      <c r="K182" s="9"/>
      <c r="L182" s="9"/>
      <c r="M182" s="9"/>
      <c r="N182" s="9"/>
      <c r="O182" s="9"/>
      <c r="P182" s="9"/>
      <c r="Q182" s="9"/>
      <c r="R182" s="9"/>
      <c r="S182" s="9"/>
      <c r="T182" s="9"/>
      <c r="U182" s="9"/>
      <c r="V182" s="9"/>
      <c r="W182" s="9"/>
      <c r="X182" s="9"/>
      <c r="Y182" s="9"/>
      <c r="Z182" s="9"/>
      <c r="AA182" s="9"/>
      <c r="AB182" s="9"/>
      <c r="AC182" s="9"/>
    </row>
    <row r="183" spans="1:29" ht="13.2">
      <c r="A183" s="9"/>
      <c r="B183" s="9"/>
      <c r="C183" s="14"/>
      <c r="D183" s="9"/>
      <c r="E183" s="9"/>
      <c r="F183" s="9"/>
      <c r="H183" s="9"/>
      <c r="I183" s="9"/>
      <c r="J183" s="9"/>
      <c r="K183" s="9"/>
      <c r="L183" s="9"/>
      <c r="M183" s="9"/>
      <c r="N183" s="9"/>
      <c r="O183" s="9"/>
      <c r="P183" s="9"/>
      <c r="Q183" s="9"/>
      <c r="R183" s="9"/>
      <c r="S183" s="9"/>
      <c r="T183" s="9"/>
      <c r="U183" s="9"/>
      <c r="V183" s="9"/>
      <c r="W183" s="9"/>
      <c r="X183" s="9"/>
      <c r="Y183" s="9"/>
      <c r="Z183" s="9"/>
      <c r="AA183" s="9"/>
      <c r="AB183" s="9"/>
      <c r="AC183" s="9"/>
    </row>
    <row r="184" spans="1:29" ht="13.2">
      <c r="A184" s="9"/>
      <c r="B184" s="9"/>
      <c r="C184" s="14"/>
      <c r="D184" s="9"/>
      <c r="E184" s="9"/>
      <c r="F184" s="9"/>
      <c r="H184" s="9"/>
      <c r="I184" s="9"/>
      <c r="J184" s="9"/>
      <c r="K184" s="9"/>
      <c r="L184" s="9"/>
      <c r="M184" s="9"/>
      <c r="N184" s="9"/>
      <c r="O184" s="9"/>
      <c r="P184" s="9"/>
      <c r="Q184" s="9"/>
      <c r="R184" s="9"/>
      <c r="S184" s="9"/>
      <c r="T184" s="9"/>
      <c r="U184" s="9"/>
      <c r="V184" s="9"/>
      <c r="W184" s="9"/>
      <c r="X184" s="9"/>
      <c r="Y184" s="9"/>
      <c r="Z184" s="9"/>
      <c r="AA184" s="9"/>
      <c r="AB184" s="9"/>
      <c r="AC184" s="9"/>
    </row>
    <row r="185" spans="1:29" ht="13.2">
      <c r="A185" s="9"/>
      <c r="B185" s="9"/>
      <c r="C185" s="14" t="str">
        <f t="shared" ref="C185:C249" si="1">D185&amp;F185</f>
        <v>apgonzoHouse Regard</v>
      </c>
      <c r="D185" s="9" t="s">
        <v>17</v>
      </c>
      <c r="E185" s="9" t="s">
        <v>10</v>
      </c>
      <c r="F185" s="9" t="s">
        <v>40</v>
      </c>
      <c r="H185" s="9"/>
      <c r="I185" s="9"/>
      <c r="J185" s="9"/>
      <c r="K185" s="9"/>
      <c r="L185" s="9"/>
      <c r="M185" s="9"/>
      <c r="N185" s="9"/>
      <c r="O185" s="9"/>
      <c r="P185" s="9"/>
      <c r="Q185" s="9"/>
      <c r="R185" s="9"/>
      <c r="S185" s="9"/>
      <c r="T185" s="9"/>
      <c r="U185" s="9"/>
      <c r="V185" s="9"/>
      <c r="W185" s="9"/>
      <c r="X185" s="9"/>
      <c r="Y185" s="9"/>
      <c r="Z185" s="9"/>
      <c r="AA185" s="9"/>
      <c r="AB185" s="9"/>
      <c r="AC185" s="9"/>
    </row>
    <row r="186" spans="1:29" ht="13.2">
      <c r="A186" s="9"/>
      <c r="B186" s="9"/>
      <c r="C186" s="14" t="str">
        <f t="shared" si="1"/>
        <v>BHouse Regard</v>
      </c>
      <c r="D186" s="9" t="s">
        <v>145</v>
      </c>
      <c r="E186" s="9" t="s">
        <v>23</v>
      </c>
      <c r="F186" s="9" t="s">
        <v>40</v>
      </c>
      <c r="H186" s="9"/>
      <c r="I186" s="9"/>
      <c r="J186" s="9"/>
      <c r="K186" s="9"/>
      <c r="L186" s="9"/>
      <c r="M186" s="9"/>
      <c r="N186" s="9"/>
      <c r="O186" s="9"/>
      <c r="P186" s="9"/>
      <c r="Q186" s="9"/>
      <c r="R186" s="9"/>
      <c r="S186" s="9"/>
      <c r="T186" s="9"/>
      <c r="U186" s="9"/>
      <c r="V186" s="9"/>
      <c r="W186" s="9"/>
      <c r="X186" s="9"/>
      <c r="Y186" s="9"/>
      <c r="Z186" s="9"/>
      <c r="AA186" s="9"/>
      <c r="AB186" s="9"/>
      <c r="AC186" s="9"/>
    </row>
    <row r="187" spans="1:29" ht="13.2">
      <c r="A187" s="9"/>
      <c r="B187" s="9"/>
      <c r="C187" s="14" t="str">
        <f t="shared" si="1"/>
        <v>BohardingHouse Regard</v>
      </c>
      <c r="D187" s="9" t="s">
        <v>29</v>
      </c>
      <c r="E187" s="9" t="s">
        <v>10</v>
      </c>
      <c r="F187" s="9" t="s">
        <v>40</v>
      </c>
      <c r="H187" s="9"/>
      <c r="I187" s="9"/>
      <c r="J187" s="9"/>
      <c r="K187" s="9"/>
      <c r="L187" s="9"/>
      <c r="M187" s="9"/>
      <c r="N187" s="9"/>
      <c r="O187" s="9"/>
      <c r="P187" s="9"/>
      <c r="Q187" s="9"/>
      <c r="R187" s="9"/>
      <c r="S187" s="9"/>
      <c r="T187" s="9"/>
      <c r="U187" s="9"/>
      <c r="V187" s="9"/>
      <c r="W187" s="9"/>
      <c r="X187" s="9"/>
      <c r="Y187" s="9"/>
      <c r="Z187" s="9"/>
      <c r="AA187" s="9"/>
      <c r="AB187" s="9"/>
      <c r="AC187" s="9"/>
    </row>
    <row r="188" spans="1:29" ht="13.2">
      <c r="A188" s="9"/>
      <c r="B188" s="9"/>
      <c r="C188" s="14" t="str">
        <f t="shared" si="1"/>
        <v>CLEMHouse Regard</v>
      </c>
      <c r="D188" s="9" t="s">
        <v>31</v>
      </c>
      <c r="E188" s="9" t="s">
        <v>32</v>
      </c>
      <c r="F188" s="9" t="s">
        <v>40</v>
      </c>
      <c r="H188" s="9"/>
      <c r="I188" s="9"/>
      <c r="J188" s="9"/>
      <c r="K188" s="9"/>
      <c r="L188" s="9"/>
      <c r="M188" s="9"/>
      <c r="N188" s="9"/>
      <c r="O188" s="9"/>
      <c r="P188" s="9"/>
      <c r="Q188" s="9"/>
      <c r="R188" s="9"/>
      <c r="S188" s="9"/>
      <c r="T188" s="9"/>
      <c r="U188" s="9"/>
      <c r="V188" s="9"/>
      <c r="W188" s="9"/>
      <c r="X188" s="9"/>
      <c r="Y188" s="9"/>
      <c r="Z188" s="9"/>
      <c r="AA188" s="9"/>
      <c r="AB188" s="9"/>
      <c r="AC188" s="9"/>
    </row>
    <row r="189" spans="1:29" ht="13.2">
      <c r="A189" s="9"/>
      <c r="B189" s="9"/>
      <c r="C189" s="14" t="str">
        <f t="shared" si="1"/>
        <v>DuskHouse Regard</v>
      </c>
      <c r="D189" s="9" t="s">
        <v>146</v>
      </c>
      <c r="E189" s="9" t="s">
        <v>9</v>
      </c>
      <c r="F189" s="9" t="s">
        <v>40</v>
      </c>
      <c r="H189" s="9"/>
      <c r="I189" s="9"/>
      <c r="J189" s="9"/>
      <c r="K189" s="9"/>
      <c r="L189" s="9"/>
      <c r="M189" s="9"/>
      <c r="N189" s="9"/>
      <c r="O189" s="9"/>
      <c r="P189" s="9"/>
      <c r="Q189" s="9"/>
      <c r="R189" s="9"/>
      <c r="S189" s="9"/>
      <c r="T189" s="9"/>
      <c r="U189" s="9"/>
      <c r="V189" s="9"/>
      <c r="W189" s="9"/>
      <c r="X189" s="9"/>
      <c r="Y189" s="9"/>
      <c r="Z189" s="9"/>
      <c r="AA189" s="9"/>
      <c r="AB189" s="9"/>
      <c r="AC189" s="9"/>
    </row>
    <row r="190" spans="1:29" ht="13.2">
      <c r="A190" s="9"/>
      <c r="B190" s="9"/>
      <c r="C190" s="14" t="str">
        <f t="shared" si="1"/>
        <v>EgirlWaifuHouse Regard</v>
      </c>
      <c r="D190" s="9" t="s">
        <v>44</v>
      </c>
      <c r="E190" s="9" t="s">
        <v>10</v>
      </c>
      <c r="F190" s="9" t="s">
        <v>40</v>
      </c>
      <c r="H190" s="9"/>
      <c r="I190" s="9"/>
      <c r="J190" s="9"/>
      <c r="K190" s="9"/>
      <c r="L190" s="9"/>
      <c r="M190" s="9"/>
      <c r="N190" s="9"/>
      <c r="O190" s="9"/>
      <c r="P190" s="9"/>
      <c r="Q190" s="9"/>
      <c r="R190" s="9"/>
      <c r="S190" s="9"/>
      <c r="T190" s="9"/>
      <c r="U190" s="9"/>
      <c r="V190" s="9"/>
      <c r="W190" s="9"/>
      <c r="X190" s="9"/>
      <c r="Y190" s="9"/>
      <c r="Z190" s="9"/>
      <c r="AA190" s="9"/>
      <c r="AB190" s="9"/>
      <c r="AC190" s="9"/>
    </row>
    <row r="191" spans="1:29" ht="13.2">
      <c r="A191" s="9"/>
      <c r="B191" s="9"/>
      <c r="C191" s="14" t="str">
        <f t="shared" si="1"/>
        <v>FujiHouse Regard</v>
      </c>
      <c r="D191" s="9" t="s">
        <v>51</v>
      </c>
      <c r="E191" s="9" t="s">
        <v>81</v>
      </c>
      <c r="F191" s="9" t="s">
        <v>40</v>
      </c>
      <c r="H191" s="9"/>
      <c r="I191" s="9"/>
      <c r="J191" s="9"/>
      <c r="K191" s="9"/>
      <c r="L191" s="9"/>
      <c r="M191" s="9"/>
      <c r="N191" s="9"/>
      <c r="O191" s="9"/>
      <c r="P191" s="9"/>
      <c r="Q191" s="9"/>
      <c r="R191" s="9"/>
      <c r="S191" s="9"/>
      <c r="T191" s="9"/>
      <c r="U191" s="9"/>
      <c r="V191" s="9"/>
      <c r="W191" s="9"/>
      <c r="X191" s="9"/>
      <c r="Y191" s="9"/>
      <c r="Z191" s="9"/>
      <c r="AA191" s="9"/>
      <c r="AB191" s="9"/>
      <c r="AC191" s="9"/>
    </row>
    <row r="192" spans="1:29" ht="13.2">
      <c r="A192" s="9"/>
      <c r="B192" s="9"/>
      <c r="C192" s="14" t="str">
        <f t="shared" si="1"/>
        <v>GravezHouse Regard</v>
      </c>
      <c r="D192" s="9" t="s">
        <v>55</v>
      </c>
      <c r="E192" s="9" t="s">
        <v>14</v>
      </c>
      <c r="F192" s="9" t="s">
        <v>40</v>
      </c>
      <c r="H192" s="9"/>
      <c r="I192" s="9"/>
      <c r="J192" s="9"/>
      <c r="K192" s="9"/>
      <c r="L192" s="9"/>
      <c r="M192" s="9"/>
      <c r="N192" s="9"/>
      <c r="O192" s="9"/>
      <c r="P192" s="9"/>
      <c r="Q192" s="9"/>
      <c r="R192" s="9"/>
      <c r="S192" s="9"/>
      <c r="T192" s="9"/>
      <c r="U192" s="9"/>
      <c r="V192" s="9"/>
      <c r="W192" s="9"/>
      <c r="X192" s="9"/>
      <c r="Y192" s="9"/>
      <c r="Z192" s="9"/>
      <c r="AA192" s="9"/>
      <c r="AB192" s="9"/>
      <c r="AC192" s="9"/>
    </row>
    <row r="193" spans="1:29" ht="13.2">
      <c r="A193" s="9"/>
      <c r="B193" s="9"/>
      <c r="C193" s="14" t="str">
        <f t="shared" si="1"/>
        <v>HaylerHouse Regard</v>
      </c>
      <c r="D193" s="9" t="s">
        <v>57</v>
      </c>
      <c r="E193" s="9" t="s">
        <v>14</v>
      </c>
      <c r="F193" s="9" t="s">
        <v>40</v>
      </c>
      <c r="H193" s="9"/>
      <c r="I193" s="9"/>
      <c r="J193" s="9"/>
      <c r="K193" s="9"/>
      <c r="L193" s="9"/>
      <c r="M193" s="9"/>
      <c r="N193" s="9"/>
      <c r="O193" s="9"/>
      <c r="P193" s="9"/>
      <c r="Q193" s="9"/>
      <c r="R193" s="9"/>
      <c r="S193" s="9"/>
      <c r="T193" s="9"/>
      <c r="U193" s="9"/>
      <c r="V193" s="9"/>
      <c r="W193" s="9"/>
      <c r="X193" s="9"/>
      <c r="Y193" s="9"/>
      <c r="Z193" s="9"/>
      <c r="AA193" s="9"/>
      <c r="AB193" s="9"/>
      <c r="AC193" s="9"/>
    </row>
    <row r="194" spans="1:29" ht="13.2">
      <c r="A194" s="9"/>
      <c r="B194" s="9"/>
      <c r="C194" s="14" t="str">
        <f t="shared" si="1"/>
        <v>HubertCumbrdaleHouse Regard</v>
      </c>
      <c r="D194" s="9" t="s">
        <v>61</v>
      </c>
      <c r="E194" s="9" t="s">
        <v>62</v>
      </c>
      <c r="F194" s="9" t="s">
        <v>40</v>
      </c>
      <c r="H194" s="9"/>
      <c r="I194" s="9"/>
      <c r="J194" s="9"/>
      <c r="K194" s="9"/>
      <c r="L194" s="9"/>
      <c r="M194" s="9"/>
      <c r="N194" s="9"/>
      <c r="O194" s="9"/>
      <c r="P194" s="9"/>
      <c r="Q194" s="9"/>
      <c r="R194" s="9"/>
      <c r="S194" s="9"/>
      <c r="T194" s="9"/>
      <c r="U194" s="9"/>
      <c r="V194" s="9"/>
      <c r="W194" s="9"/>
      <c r="X194" s="9"/>
      <c r="Y194" s="9"/>
      <c r="Z194" s="9"/>
      <c r="AA194" s="9"/>
      <c r="AB194" s="9"/>
      <c r="AC194" s="9"/>
    </row>
    <row r="195" spans="1:29" ht="13.2">
      <c r="A195" s="9"/>
      <c r="B195" s="9"/>
      <c r="C195" s="14" t="str">
        <f t="shared" si="1"/>
        <v>jaMESSSSSHouse Regard</v>
      </c>
      <c r="D195" s="9" t="s">
        <v>65</v>
      </c>
      <c r="E195" s="9" t="s">
        <v>52</v>
      </c>
      <c r="F195" s="9" t="s">
        <v>40</v>
      </c>
      <c r="H195" s="9"/>
      <c r="I195" s="9"/>
      <c r="J195" s="9"/>
      <c r="K195" s="9"/>
      <c r="L195" s="9"/>
      <c r="M195" s="9"/>
      <c r="N195" s="9"/>
      <c r="O195" s="9"/>
      <c r="P195" s="9"/>
      <c r="Q195" s="9"/>
      <c r="R195" s="9"/>
      <c r="S195" s="9"/>
      <c r="T195" s="9"/>
      <c r="U195" s="9"/>
      <c r="V195" s="9"/>
      <c r="W195" s="9"/>
      <c r="X195" s="9"/>
      <c r="Y195" s="9"/>
      <c r="Z195" s="9"/>
      <c r="AA195" s="9"/>
      <c r="AB195" s="9"/>
      <c r="AC195" s="9"/>
    </row>
    <row r="196" spans="1:29" ht="13.2">
      <c r="A196" s="9"/>
      <c r="B196" s="9"/>
      <c r="C196" s="14" t="str">
        <f t="shared" si="1"/>
        <v>KalochHouse Regard</v>
      </c>
      <c r="D196" s="9" t="s">
        <v>74</v>
      </c>
      <c r="E196" s="9" t="s">
        <v>9</v>
      </c>
      <c r="F196" s="9" t="s">
        <v>40</v>
      </c>
      <c r="H196" s="9"/>
      <c r="I196" s="9"/>
      <c r="J196" s="9"/>
      <c r="K196" s="9"/>
      <c r="L196" s="9"/>
      <c r="M196" s="9"/>
      <c r="N196" s="9"/>
      <c r="O196" s="9"/>
      <c r="P196" s="9"/>
      <c r="Q196" s="9"/>
      <c r="R196" s="9"/>
      <c r="S196" s="9"/>
      <c r="T196" s="9"/>
      <c r="U196" s="9"/>
      <c r="V196" s="9"/>
      <c r="W196" s="9"/>
      <c r="X196" s="9"/>
      <c r="Y196" s="9"/>
      <c r="Z196" s="9"/>
      <c r="AA196" s="9"/>
      <c r="AB196" s="9"/>
      <c r="AC196" s="9"/>
    </row>
    <row r="197" spans="1:29" ht="13.2">
      <c r="A197" s="9"/>
      <c r="B197" s="9"/>
      <c r="C197" s="14" t="str">
        <f t="shared" si="1"/>
        <v>KiefbluntHouse Regard</v>
      </c>
      <c r="D197" s="9" t="s">
        <v>76</v>
      </c>
      <c r="E197" s="9" t="s">
        <v>32</v>
      </c>
      <c r="F197" s="9" t="s">
        <v>40</v>
      </c>
      <c r="H197" s="9"/>
      <c r="I197" s="9"/>
      <c r="J197" s="9"/>
      <c r="K197" s="9"/>
      <c r="L197" s="9"/>
      <c r="M197" s="9"/>
      <c r="N197" s="9"/>
      <c r="O197" s="9"/>
      <c r="P197" s="9"/>
      <c r="Q197" s="9"/>
      <c r="R197" s="9"/>
      <c r="S197" s="9"/>
      <c r="T197" s="9"/>
      <c r="U197" s="9"/>
      <c r="V197" s="9"/>
      <c r="W197" s="9"/>
      <c r="X197" s="9"/>
      <c r="Y197" s="9"/>
      <c r="Z197" s="9"/>
      <c r="AA197" s="9"/>
      <c r="AB197" s="9"/>
      <c r="AC197" s="9"/>
    </row>
    <row r="198" spans="1:29" ht="13.2">
      <c r="A198" s="9"/>
      <c r="B198" s="9"/>
      <c r="C198" s="14" t="str">
        <f t="shared" si="1"/>
        <v>KHouse Regard</v>
      </c>
      <c r="D198" s="9" t="s">
        <v>147</v>
      </c>
      <c r="E198" s="9" t="s">
        <v>23</v>
      </c>
      <c r="F198" s="9" t="s">
        <v>40</v>
      </c>
      <c r="H198" s="9"/>
      <c r="I198" s="9"/>
      <c r="J198" s="9"/>
      <c r="K198" s="9"/>
      <c r="L198" s="9"/>
      <c r="M198" s="9"/>
      <c r="N198" s="9"/>
      <c r="O198" s="9"/>
      <c r="P198" s="9"/>
      <c r="Q198" s="9"/>
      <c r="R198" s="9"/>
      <c r="S198" s="9"/>
      <c r="T198" s="9"/>
      <c r="U198" s="9"/>
      <c r="V198" s="9"/>
      <c r="W198" s="9"/>
      <c r="X198" s="9"/>
      <c r="Y198" s="9"/>
      <c r="Z198" s="9"/>
      <c r="AA198" s="9"/>
      <c r="AB198" s="9"/>
      <c r="AC198" s="9"/>
    </row>
    <row r="199" spans="1:29" ht="13.2">
      <c r="A199" s="9"/>
      <c r="B199" s="9"/>
      <c r="C199" s="14" t="str">
        <f t="shared" si="1"/>
        <v>LoudpackHouse Regard</v>
      </c>
      <c r="D199" s="9" t="s">
        <v>79</v>
      </c>
      <c r="E199" s="9" t="s">
        <v>62</v>
      </c>
      <c r="F199" s="9" t="s">
        <v>40</v>
      </c>
      <c r="H199" s="9"/>
      <c r="I199" s="9"/>
      <c r="J199" s="9"/>
      <c r="K199" s="9"/>
      <c r="L199" s="9"/>
      <c r="M199" s="9"/>
      <c r="N199" s="9"/>
      <c r="O199" s="9"/>
      <c r="P199" s="9"/>
      <c r="Q199" s="9"/>
      <c r="R199" s="9"/>
      <c r="S199" s="9"/>
      <c r="T199" s="9"/>
      <c r="U199" s="9"/>
      <c r="V199" s="9"/>
      <c r="W199" s="9"/>
      <c r="X199" s="9"/>
      <c r="Y199" s="9"/>
      <c r="Z199" s="9"/>
      <c r="AA199" s="9"/>
      <c r="AB199" s="9"/>
      <c r="AC199" s="9"/>
    </row>
    <row r="200" spans="1:29" ht="13.2">
      <c r="A200" s="9"/>
      <c r="B200" s="9"/>
      <c r="C200" s="14" t="str">
        <f t="shared" si="1"/>
        <v>moHouse Regard</v>
      </c>
      <c r="D200" s="9" t="s">
        <v>148</v>
      </c>
      <c r="E200" s="9" t="s">
        <v>14</v>
      </c>
      <c r="F200" s="9" t="s">
        <v>40</v>
      </c>
      <c r="H200" s="9"/>
      <c r="I200" s="9"/>
      <c r="J200" s="9"/>
      <c r="K200" s="9"/>
      <c r="L200" s="9"/>
      <c r="M200" s="9"/>
      <c r="N200" s="9"/>
      <c r="O200" s="9"/>
      <c r="P200" s="9"/>
      <c r="Q200" s="9"/>
      <c r="R200" s="9"/>
      <c r="S200" s="9"/>
      <c r="T200" s="9"/>
      <c r="U200" s="9"/>
      <c r="V200" s="9"/>
      <c r="W200" s="9"/>
      <c r="X200" s="9"/>
      <c r="Y200" s="9"/>
      <c r="Z200" s="9"/>
      <c r="AA200" s="9"/>
      <c r="AB200" s="9"/>
      <c r="AC200" s="9"/>
    </row>
    <row r="201" spans="1:29" ht="13.2">
      <c r="A201" s="9"/>
      <c r="B201" s="9"/>
      <c r="C201" s="14" t="str">
        <f t="shared" si="1"/>
        <v>MrCantoniHouse Regard</v>
      </c>
      <c r="D201" s="9" t="s">
        <v>83</v>
      </c>
      <c r="E201" s="9" t="s">
        <v>45</v>
      </c>
      <c r="F201" s="9" t="s">
        <v>40</v>
      </c>
      <c r="H201" s="9"/>
      <c r="I201" s="9"/>
      <c r="J201" s="9"/>
      <c r="K201" s="9"/>
      <c r="L201" s="9"/>
      <c r="M201" s="9"/>
      <c r="N201" s="9"/>
      <c r="O201" s="9"/>
      <c r="P201" s="9"/>
      <c r="Q201" s="9"/>
      <c r="R201" s="9"/>
      <c r="S201" s="9"/>
      <c r="T201" s="9"/>
      <c r="U201" s="9"/>
      <c r="V201" s="9"/>
      <c r="W201" s="9"/>
      <c r="X201" s="9"/>
      <c r="Y201" s="9"/>
      <c r="Z201" s="9"/>
      <c r="AA201" s="9"/>
      <c r="AB201" s="9"/>
      <c r="AC201" s="9"/>
    </row>
    <row r="202" spans="1:29" ht="13.2">
      <c r="A202" s="9"/>
      <c r="B202" s="9"/>
      <c r="C202" s="14" t="str">
        <f t="shared" si="1"/>
        <v>RedCamperHouse Regard</v>
      </c>
      <c r="D202" s="9" t="s">
        <v>93</v>
      </c>
      <c r="E202" s="9" t="s">
        <v>14</v>
      </c>
      <c r="F202" s="9" t="s">
        <v>40</v>
      </c>
      <c r="H202" s="9"/>
      <c r="I202" s="9"/>
      <c r="J202" s="9"/>
      <c r="K202" s="9"/>
      <c r="L202" s="9"/>
      <c r="M202" s="9"/>
      <c r="N202" s="9"/>
      <c r="O202" s="9"/>
      <c r="P202" s="9"/>
      <c r="Q202" s="9"/>
      <c r="R202" s="9"/>
      <c r="S202" s="9"/>
      <c r="T202" s="9"/>
      <c r="U202" s="9"/>
      <c r="V202" s="9"/>
      <c r="W202" s="9"/>
      <c r="X202" s="9"/>
      <c r="Y202" s="9"/>
      <c r="Z202" s="9"/>
      <c r="AA202" s="9"/>
      <c r="AB202" s="9"/>
      <c r="AC202" s="9"/>
    </row>
    <row r="203" spans="1:29" ht="13.2">
      <c r="A203" s="9"/>
      <c r="B203" s="9"/>
      <c r="C203" s="14" t="str">
        <f t="shared" si="1"/>
        <v>RegaliansHouse Regard</v>
      </c>
      <c r="D203" s="9" t="s">
        <v>94</v>
      </c>
      <c r="E203" s="9" t="s">
        <v>50</v>
      </c>
      <c r="F203" s="9" t="s">
        <v>40</v>
      </c>
      <c r="H203" s="9"/>
      <c r="I203" s="9"/>
      <c r="J203" s="9"/>
      <c r="K203" s="9"/>
      <c r="L203" s="9"/>
      <c r="M203" s="9"/>
      <c r="N203" s="9"/>
      <c r="O203" s="9"/>
      <c r="P203" s="9"/>
      <c r="Q203" s="9"/>
      <c r="R203" s="9"/>
      <c r="S203" s="9"/>
      <c r="T203" s="9"/>
      <c r="U203" s="9"/>
      <c r="V203" s="9"/>
      <c r="W203" s="9"/>
      <c r="X203" s="9"/>
      <c r="Y203" s="9"/>
      <c r="Z203" s="9"/>
      <c r="AA203" s="9"/>
      <c r="AB203" s="9"/>
      <c r="AC203" s="9"/>
    </row>
    <row r="204" spans="1:29" ht="13.2">
      <c r="A204" s="9"/>
      <c r="B204" s="9"/>
      <c r="C204" s="14" t="str">
        <f t="shared" si="1"/>
        <v>ReinaKertiaHouse Regard</v>
      </c>
      <c r="D204" s="9" t="s">
        <v>96</v>
      </c>
      <c r="E204" s="9" t="s">
        <v>9</v>
      </c>
      <c r="F204" s="9" t="s">
        <v>40</v>
      </c>
      <c r="H204" s="9"/>
      <c r="I204" s="9"/>
      <c r="J204" s="9"/>
      <c r="K204" s="9"/>
      <c r="L204" s="9"/>
      <c r="M204" s="9"/>
      <c r="N204" s="9"/>
      <c r="O204" s="9"/>
      <c r="P204" s="9"/>
      <c r="Q204" s="9"/>
      <c r="R204" s="9"/>
      <c r="S204" s="9"/>
      <c r="T204" s="9"/>
      <c r="U204" s="9"/>
      <c r="V204" s="9"/>
      <c r="W204" s="9"/>
      <c r="X204" s="9"/>
      <c r="Y204" s="9"/>
      <c r="Z204" s="9"/>
      <c r="AA204" s="9"/>
      <c r="AB204" s="9"/>
      <c r="AC204" s="9"/>
    </row>
    <row r="205" spans="1:29" ht="13.2">
      <c r="A205" s="9"/>
      <c r="B205" s="9"/>
      <c r="C205" s="14" t="str">
        <f t="shared" si="1"/>
        <v>Sayaka·House Regard</v>
      </c>
      <c r="D205" s="9" t="s">
        <v>97</v>
      </c>
      <c r="E205" s="9" t="s">
        <v>9</v>
      </c>
      <c r="F205" s="9" t="s">
        <v>40</v>
      </c>
      <c r="H205" s="9"/>
      <c r="I205" s="9"/>
      <c r="J205" s="9"/>
      <c r="K205" s="9"/>
      <c r="L205" s="9"/>
      <c r="M205" s="9"/>
      <c r="N205" s="9"/>
      <c r="O205" s="9"/>
      <c r="P205" s="9"/>
      <c r="Q205" s="9"/>
      <c r="R205" s="9"/>
      <c r="S205" s="9"/>
      <c r="T205" s="9"/>
      <c r="U205" s="9"/>
      <c r="V205" s="9"/>
      <c r="W205" s="9"/>
      <c r="X205" s="9"/>
      <c r="Y205" s="9"/>
      <c r="Z205" s="9"/>
      <c r="AA205" s="9"/>
      <c r="AB205" s="9"/>
      <c r="AC205" s="9"/>
    </row>
    <row r="206" spans="1:29" ht="13.2">
      <c r="A206" s="9"/>
      <c r="B206" s="9"/>
      <c r="C206" s="14" t="str">
        <f t="shared" si="1"/>
        <v>ShawarmaShuffleHouse Regard</v>
      </c>
      <c r="D206" s="9" t="s">
        <v>98</v>
      </c>
      <c r="E206" s="9" t="s">
        <v>69</v>
      </c>
      <c r="F206" s="9" t="s">
        <v>40</v>
      </c>
      <c r="H206" s="9"/>
      <c r="I206" s="9"/>
      <c r="J206" s="9"/>
      <c r="K206" s="9"/>
      <c r="L206" s="9"/>
      <c r="M206" s="9"/>
      <c r="N206" s="9"/>
      <c r="O206" s="9"/>
      <c r="P206" s="9"/>
      <c r="Q206" s="9"/>
      <c r="R206" s="9"/>
      <c r="S206" s="9"/>
      <c r="T206" s="9"/>
      <c r="U206" s="9"/>
      <c r="V206" s="9"/>
      <c r="W206" s="9"/>
      <c r="X206" s="9"/>
      <c r="Y206" s="9"/>
      <c r="Z206" s="9"/>
      <c r="AA206" s="9"/>
      <c r="AB206" s="9"/>
      <c r="AC206" s="9"/>
    </row>
    <row r="207" spans="1:29" ht="13.2">
      <c r="A207" s="9"/>
      <c r="B207" s="9"/>
      <c r="C207" s="14" t="str">
        <f t="shared" si="1"/>
        <v>SuperluigiHouse Regard</v>
      </c>
      <c r="D207" s="9" t="s">
        <v>104</v>
      </c>
      <c r="E207" s="9" t="s">
        <v>24</v>
      </c>
      <c r="F207" s="9" t="s">
        <v>40</v>
      </c>
      <c r="H207" s="9"/>
      <c r="I207" s="9"/>
      <c r="J207" s="9"/>
      <c r="K207" s="9"/>
      <c r="L207" s="9"/>
      <c r="M207" s="9"/>
      <c r="N207" s="9"/>
      <c r="O207" s="9"/>
      <c r="P207" s="9"/>
      <c r="Q207" s="9"/>
      <c r="R207" s="9"/>
      <c r="S207" s="9"/>
      <c r="T207" s="9"/>
      <c r="U207" s="9"/>
      <c r="V207" s="9"/>
      <c r="W207" s="9"/>
      <c r="X207" s="9"/>
      <c r="Y207" s="9"/>
      <c r="Z207" s="9"/>
      <c r="AA207" s="9"/>
      <c r="AB207" s="9"/>
      <c r="AC207" s="9"/>
    </row>
    <row r="208" spans="1:29" ht="13.2">
      <c r="A208" s="9"/>
      <c r="B208" s="9"/>
      <c r="C208" s="14" t="str">
        <f t="shared" si="1"/>
        <v>TagatoHouse Regard</v>
      </c>
      <c r="D208" s="9" t="s">
        <v>106</v>
      </c>
      <c r="E208" s="9" t="s">
        <v>10</v>
      </c>
      <c r="F208" s="9" t="s">
        <v>40</v>
      </c>
      <c r="H208" s="9"/>
      <c r="I208" s="9"/>
      <c r="J208" s="9"/>
      <c r="K208" s="9"/>
      <c r="L208" s="9"/>
      <c r="M208" s="9"/>
      <c r="N208" s="9"/>
      <c r="O208" s="9"/>
      <c r="P208" s="9"/>
      <c r="Q208" s="9"/>
      <c r="R208" s="9"/>
      <c r="S208" s="9"/>
      <c r="T208" s="9"/>
      <c r="U208" s="9"/>
      <c r="V208" s="9"/>
      <c r="W208" s="9"/>
      <c r="X208" s="9"/>
      <c r="Y208" s="9"/>
      <c r="Z208" s="9"/>
      <c r="AA208" s="9"/>
      <c r="AB208" s="9"/>
      <c r="AC208" s="9"/>
    </row>
    <row r="209" spans="1:29" ht="13.2">
      <c r="A209" s="9"/>
      <c r="B209" s="9"/>
      <c r="C209" s="14" t="str">
        <f t="shared" si="1"/>
        <v>TanksViciousHouse Regard</v>
      </c>
      <c r="D209" s="9" t="s">
        <v>107</v>
      </c>
      <c r="E209" s="9" t="s">
        <v>32</v>
      </c>
      <c r="F209" s="9" t="s">
        <v>40</v>
      </c>
      <c r="H209" s="9"/>
      <c r="I209" s="9"/>
      <c r="J209" s="9"/>
      <c r="K209" s="9"/>
      <c r="L209" s="9"/>
      <c r="M209" s="9"/>
      <c r="N209" s="9"/>
      <c r="O209" s="9"/>
      <c r="P209" s="9"/>
      <c r="Q209" s="9"/>
      <c r="R209" s="9"/>
      <c r="S209" s="9"/>
      <c r="T209" s="9"/>
      <c r="U209" s="9"/>
      <c r="V209" s="9"/>
      <c r="W209" s="9"/>
      <c r="X209" s="9"/>
      <c r="Y209" s="9"/>
      <c r="Z209" s="9"/>
      <c r="AA209" s="9"/>
      <c r="AB209" s="9"/>
      <c r="AC209" s="9"/>
    </row>
    <row r="210" spans="1:29" ht="13.2">
      <c r="A210" s="9"/>
      <c r="B210" s="9"/>
      <c r="C210" s="14" t="str">
        <f t="shared" si="1"/>
        <v>TemporalRageHouse Regard</v>
      </c>
      <c r="D210" s="9" t="s">
        <v>109</v>
      </c>
      <c r="E210" s="9" t="s">
        <v>14</v>
      </c>
      <c r="F210" s="9" t="s">
        <v>40</v>
      </c>
      <c r="H210" s="9"/>
      <c r="I210" s="9"/>
      <c r="J210" s="9"/>
      <c r="K210" s="9"/>
      <c r="L210" s="9"/>
      <c r="M210" s="9"/>
      <c r="N210" s="9"/>
      <c r="O210" s="9"/>
      <c r="P210" s="9"/>
      <c r="Q210" s="9"/>
      <c r="R210" s="9"/>
      <c r="S210" s="9"/>
      <c r="T210" s="9"/>
      <c r="U210" s="9"/>
      <c r="V210" s="9"/>
      <c r="W210" s="9"/>
      <c r="X210" s="9"/>
      <c r="Y210" s="9"/>
      <c r="Z210" s="9"/>
      <c r="AA210" s="9"/>
      <c r="AB210" s="9"/>
      <c r="AC210" s="9"/>
    </row>
    <row r="211" spans="1:29" ht="13.2">
      <c r="A211" s="9"/>
      <c r="B211" s="9"/>
      <c r="C211" s="14" t="str">
        <f t="shared" si="1"/>
        <v>TimbusHouse Regard</v>
      </c>
      <c r="D211" s="9" t="s">
        <v>111</v>
      </c>
      <c r="E211" s="9" t="s">
        <v>14</v>
      </c>
      <c r="F211" s="9" t="s">
        <v>40</v>
      </c>
      <c r="H211" s="9"/>
      <c r="I211" s="9"/>
      <c r="J211" s="9"/>
      <c r="K211" s="9"/>
      <c r="L211" s="9"/>
      <c r="M211" s="9"/>
      <c r="N211" s="9"/>
      <c r="O211" s="9"/>
      <c r="P211" s="9"/>
      <c r="Q211" s="9"/>
      <c r="R211" s="9"/>
      <c r="S211" s="9"/>
      <c r="T211" s="9"/>
      <c r="U211" s="9"/>
      <c r="V211" s="9"/>
      <c r="W211" s="9"/>
      <c r="X211" s="9"/>
      <c r="Y211" s="9"/>
      <c r="Z211" s="9"/>
      <c r="AA211" s="9"/>
      <c r="AB211" s="9"/>
      <c r="AC211" s="9"/>
    </row>
    <row r="212" spans="1:29" ht="13.2">
      <c r="A212" s="9"/>
      <c r="B212" s="9"/>
      <c r="C212" s="14" t="str">
        <f t="shared" si="1"/>
        <v>ZaelsHouse Regard</v>
      </c>
      <c r="D212" s="9" t="s">
        <v>114</v>
      </c>
      <c r="E212" s="9" t="s">
        <v>73</v>
      </c>
      <c r="F212" s="9" t="s">
        <v>40</v>
      </c>
      <c r="H212" s="9"/>
      <c r="I212" s="9"/>
      <c r="J212" s="9"/>
      <c r="K212" s="9"/>
      <c r="L212" s="9"/>
      <c r="M212" s="9"/>
      <c r="N212" s="9"/>
      <c r="O212" s="9"/>
      <c r="P212" s="9"/>
      <c r="Q212" s="9"/>
      <c r="R212" s="9"/>
      <c r="S212" s="9"/>
      <c r="T212" s="9"/>
      <c r="U212" s="9"/>
      <c r="V212" s="9"/>
      <c r="W212" s="9"/>
      <c r="X212" s="9"/>
      <c r="Y212" s="9"/>
      <c r="Z212" s="9"/>
      <c r="AA212" s="9"/>
      <c r="AB212" s="9"/>
      <c r="AC212" s="9"/>
    </row>
    <row r="213" spans="1:29" ht="13.2">
      <c r="A213" s="9"/>
      <c r="B213" s="9"/>
      <c r="C213" s="14" t="str">
        <f t="shared" si="1"/>
        <v>ZHouse Regard</v>
      </c>
      <c r="D213" s="9" t="s">
        <v>149</v>
      </c>
      <c r="E213" s="9" t="s">
        <v>10</v>
      </c>
      <c r="F213" s="9" t="s">
        <v>40</v>
      </c>
      <c r="H213" s="9"/>
      <c r="I213" s="9"/>
      <c r="J213" s="9"/>
      <c r="K213" s="9"/>
      <c r="L213" s="9"/>
      <c r="M213" s="9"/>
      <c r="N213" s="9"/>
      <c r="O213" s="9"/>
      <c r="P213" s="9"/>
      <c r="Q213" s="9"/>
      <c r="R213" s="9"/>
      <c r="S213" s="9"/>
      <c r="T213" s="9"/>
      <c r="U213" s="9"/>
      <c r="V213" s="9"/>
      <c r="W213" s="9"/>
      <c r="X213" s="9"/>
      <c r="Y213" s="9"/>
      <c r="Z213" s="9"/>
      <c r="AA213" s="9"/>
      <c r="AB213" s="9"/>
      <c r="AC213" s="9"/>
    </row>
    <row r="214" spans="1:29" ht="14.4">
      <c r="A214" s="9"/>
      <c r="B214" s="9"/>
      <c r="C214" s="14" t="str">
        <f t="shared" si="1"/>
        <v>PHouse Regard</v>
      </c>
      <c r="D214" s="18" t="s">
        <v>150</v>
      </c>
      <c r="E214" s="9" t="s">
        <v>14</v>
      </c>
      <c r="F214" s="9" t="s">
        <v>40</v>
      </c>
      <c r="H214" s="9"/>
      <c r="I214" s="9"/>
      <c r="J214" s="9"/>
      <c r="K214" s="9"/>
      <c r="L214" s="9"/>
      <c r="M214" s="9"/>
      <c r="N214" s="9"/>
      <c r="O214" s="9"/>
      <c r="P214" s="9"/>
      <c r="Q214" s="9"/>
      <c r="R214" s="9"/>
      <c r="S214" s="9"/>
      <c r="T214" s="9"/>
      <c r="U214" s="9"/>
      <c r="V214" s="9"/>
      <c r="W214" s="9"/>
      <c r="X214" s="9"/>
      <c r="Y214" s="9"/>
      <c r="Z214" s="9"/>
      <c r="AA214" s="9"/>
      <c r="AB214" s="9"/>
      <c r="AC214" s="9"/>
    </row>
    <row r="215" spans="1:29" ht="13.2">
      <c r="A215" s="9"/>
      <c r="B215" s="9"/>
      <c r="C215" s="14" t="str">
        <f t="shared" si="1"/>
        <v>FeelixHouse Regard</v>
      </c>
      <c r="D215" s="7" t="s">
        <v>118</v>
      </c>
      <c r="E215" s="9" t="s">
        <v>14</v>
      </c>
      <c r="F215" s="9" t="s">
        <v>40</v>
      </c>
      <c r="H215" s="9"/>
      <c r="I215" s="9"/>
      <c r="J215" s="9"/>
      <c r="K215" s="9"/>
      <c r="L215" s="9"/>
      <c r="M215" s="9"/>
      <c r="N215" s="9"/>
      <c r="O215" s="9"/>
      <c r="P215" s="9"/>
      <c r="Q215" s="9"/>
      <c r="R215" s="9"/>
      <c r="S215" s="9"/>
      <c r="T215" s="9"/>
      <c r="U215" s="9"/>
      <c r="V215" s="9"/>
      <c r="W215" s="9"/>
      <c r="X215" s="9"/>
      <c r="Y215" s="9"/>
      <c r="Z215" s="9"/>
      <c r="AA215" s="9"/>
      <c r="AB215" s="9"/>
      <c r="AC215" s="9"/>
    </row>
    <row r="216" spans="1:29" ht="14.4">
      <c r="A216" s="9"/>
      <c r="B216" s="9"/>
      <c r="C216" s="14" t="str">
        <f t="shared" si="1"/>
        <v>RheGGieHouse Regard</v>
      </c>
      <c r="D216" s="13" t="s">
        <v>123</v>
      </c>
      <c r="E216" s="7" t="s">
        <v>14</v>
      </c>
      <c r="F216" s="9" t="s">
        <v>40</v>
      </c>
      <c r="H216" s="9"/>
      <c r="I216" s="9"/>
      <c r="J216" s="9"/>
      <c r="K216" s="9"/>
      <c r="L216" s="9"/>
      <c r="M216" s="9"/>
      <c r="N216" s="9"/>
      <c r="O216" s="9"/>
      <c r="P216" s="9"/>
      <c r="Q216" s="9"/>
      <c r="R216" s="9"/>
      <c r="S216" s="9"/>
      <c r="T216" s="9"/>
      <c r="U216" s="9"/>
      <c r="V216" s="9"/>
      <c r="W216" s="9"/>
      <c r="X216" s="9"/>
      <c r="Y216" s="9"/>
      <c r="Z216" s="9"/>
      <c r="AA216" s="9"/>
      <c r="AB216" s="9"/>
      <c r="AC216" s="9"/>
    </row>
    <row r="217" spans="1:29" ht="14.4">
      <c r="A217" s="9"/>
      <c r="B217" s="9"/>
      <c r="C217" s="14" t="str">
        <f t="shared" si="1"/>
        <v>hammyjammyHouse Regard</v>
      </c>
      <c r="D217" s="13" t="s">
        <v>151</v>
      </c>
      <c r="E217" s="9" t="s">
        <v>9</v>
      </c>
      <c r="F217" s="9" t="s">
        <v>40</v>
      </c>
      <c r="H217" s="9"/>
      <c r="I217" s="9"/>
      <c r="J217" s="9"/>
      <c r="K217" s="9"/>
      <c r="L217" s="9"/>
      <c r="M217" s="9"/>
      <c r="N217" s="9"/>
      <c r="O217" s="9"/>
      <c r="P217" s="9"/>
      <c r="Q217" s="9"/>
      <c r="R217" s="9"/>
      <c r="S217" s="9"/>
      <c r="T217" s="9"/>
      <c r="U217" s="9"/>
      <c r="V217" s="9"/>
      <c r="W217" s="9"/>
      <c r="X217" s="9"/>
      <c r="Y217" s="9"/>
      <c r="Z217" s="9"/>
      <c r="AA217" s="9"/>
      <c r="AB217" s="9"/>
      <c r="AC217" s="9"/>
    </row>
    <row r="218" spans="1:29" ht="13.2">
      <c r="A218" s="9"/>
      <c r="B218" s="9"/>
      <c r="C218" s="14" t="str">
        <f t="shared" si="1"/>
        <v>raitouHouse Regard</v>
      </c>
      <c r="D218" s="9" t="s">
        <v>129</v>
      </c>
      <c r="E218" s="9" t="s">
        <v>54</v>
      </c>
      <c r="F218" s="9" t="s">
        <v>40</v>
      </c>
      <c r="H218" s="9"/>
      <c r="I218" s="9"/>
      <c r="J218" s="9"/>
      <c r="K218" s="9"/>
      <c r="L218" s="9"/>
      <c r="M218" s="9"/>
      <c r="N218" s="9"/>
      <c r="O218" s="9"/>
      <c r="P218" s="9"/>
      <c r="Q218" s="9"/>
      <c r="R218" s="9"/>
      <c r="S218" s="9"/>
      <c r="T218" s="9"/>
      <c r="U218" s="9"/>
      <c r="V218" s="9"/>
      <c r="W218" s="9"/>
      <c r="X218" s="9"/>
      <c r="Y218" s="9"/>
      <c r="Z218" s="9"/>
      <c r="AA218" s="9"/>
      <c r="AB218" s="9"/>
      <c r="AC218" s="9"/>
    </row>
    <row r="219" spans="1:29" ht="13.2">
      <c r="A219" s="9"/>
      <c r="B219" s="9"/>
      <c r="C219" s="14" t="str">
        <f t="shared" si="1"/>
        <v>eepyHouse Regard</v>
      </c>
      <c r="D219" s="9" t="s">
        <v>152</v>
      </c>
      <c r="E219" s="9" t="s">
        <v>54</v>
      </c>
      <c r="F219" s="9" t="s">
        <v>40</v>
      </c>
      <c r="H219" s="9"/>
      <c r="I219" s="9"/>
      <c r="J219" s="9"/>
      <c r="K219" s="9"/>
      <c r="L219" s="9"/>
      <c r="M219" s="9"/>
      <c r="N219" s="9"/>
      <c r="O219" s="9"/>
      <c r="P219" s="9"/>
      <c r="Q219" s="9"/>
      <c r="R219" s="9"/>
      <c r="S219" s="9"/>
      <c r="T219" s="9"/>
      <c r="U219" s="9"/>
      <c r="V219" s="9"/>
      <c r="W219" s="9"/>
      <c r="X219" s="9"/>
      <c r="Y219" s="9"/>
      <c r="Z219" s="9"/>
      <c r="AA219" s="9"/>
      <c r="AB219" s="9"/>
      <c r="AC219" s="9"/>
    </row>
    <row r="220" spans="1:29" ht="13.2">
      <c r="A220" s="9"/>
      <c r="B220" s="9"/>
      <c r="C220" s="14" t="str">
        <f t="shared" si="1"/>
        <v>napHouse Regard</v>
      </c>
      <c r="D220" s="9" t="s">
        <v>153</v>
      </c>
      <c r="E220" s="9" t="s">
        <v>9</v>
      </c>
      <c r="F220" s="9" t="s">
        <v>40</v>
      </c>
      <c r="H220" s="9"/>
      <c r="I220" s="9"/>
      <c r="J220" s="9"/>
      <c r="K220" s="9"/>
      <c r="L220" s="9"/>
      <c r="M220" s="9"/>
      <c r="N220" s="9"/>
      <c r="O220" s="9"/>
      <c r="P220" s="9"/>
      <c r="Q220" s="9"/>
      <c r="R220" s="9"/>
      <c r="S220" s="9"/>
      <c r="T220" s="9"/>
      <c r="U220" s="9"/>
      <c r="V220" s="9"/>
      <c r="W220" s="9"/>
      <c r="X220" s="9"/>
      <c r="Y220" s="9"/>
      <c r="Z220" s="9"/>
      <c r="AA220" s="9"/>
      <c r="AB220" s="9"/>
      <c r="AC220" s="9"/>
    </row>
    <row r="221" spans="1:29" ht="13.2">
      <c r="A221" s="9"/>
      <c r="B221" s="9"/>
      <c r="C221" s="14" t="str">
        <f t="shared" si="1"/>
        <v>LeiselHouse Regard</v>
      </c>
      <c r="D221" s="9" t="s">
        <v>134</v>
      </c>
      <c r="E221" s="9" t="s">
        <v>9</v>
      </c>
      <c r="F221" s="9" t="s">
        <v>40</v>
      </c>
      <c r="H221" s="9"/>
      <c r="I221" s="9"/>
      <c r="J221" s="9"/>
      <c r="K221" s="9"/>
      <c r="L221" s="9"/>
      <c r="M221" s="9"/>
      <c r="N221" s="9"/>
      <c r="O221" s="9"/>
      <c r="P221" s="9"/>
      <c r="Q221" s="9"/>
      <c r="R221" s="9"/>
      <c r="S221" s="9"/>
      <c r="T221" s="9"/>
      <c r="U221" s="9"/>
      <c r="V221" s="9"/>
      <c r="W221" s="9"/>
      <c r="X221" s="9"/>
      <c r="Y221" s="9"/>
      <c r="Z221" s="9"/>
      <c r="AA221" s="9"/>
      <c r="AB221" s="9"/>
      <c r="AC221" s="9"/>
    </row>
    <row r="222" spans="1:29" ht="13.2">
      <c r="A222" s="9"/>
      <c r="B222" s="9"/>
      <c r="C222" s="14" t="str">
        <f t="shared" si="1"/>
        <v>sunshineHouse Regard</v>
      </c>
      <c r="D222" s="9" t="s">
        <v>135</v>
      </c>
      <c r="E222" s="9" t="s">
        <v>10</v>
      </c>
      <c r="F222" s="9" t="s">
        <v>40</v>
      </c>
      <c r="H222" s="9"/>
      <c r="I222" s="9"/>
      <c r="J222" s="9"/>
      <c r="K222" s="9"/>
      <c r="L222" s="9"/>
      <c r="M222" s="9"/>
      <c r="N222" s="9"/>
      <c r="O222" s="9"/>
      <c r="P222" s="9"/>
      <c r="Q222" s="9"/>
      <c r="R222" s="9"/>
      <c r="S222" s="9"/>
      <c r="T222" s="9"/>
      <c r="U222" s="9"/>
      <c r="V222" s="9"/>
      <c r="W222" s="9"/>
      <c r="X222" s="9"/>
      <c r="Y222" s="9"/>
      <c r="Z222" s="9"/>
      <c r="AA222" s="9"/>
      <c r="AB222" s="9"/>
      <c r="AC222" s="9"/>
    </row>
    <row r="223" spans="1:29" ht="13.2">
      <c r="A223" s="9"/>
      <c r="B223" s="9"/>
      <c r="C223" s="14" t="str">
        <f t="shared" si="1"/>
        <v>AkaruHouse Regard</v>
      </c>
      <c r="D223" s="9" t="s">
        <v>136</v>
      </c>
      <c r="E223" s="9" t="s">
        <v>9</v>
      </c>
      <c r="F223" s="9" t="s">
        <v>40</v>
      </c>
      <c r="H223" s="9"/>
      <c r="I223" s="9"/>
      <c r="J223" s="9"/>
      <c r="K223" s="9"/>
      <c r="L223" s="9"/>
      <c r="M223" s="9"/>
      <c r="N223" s="9"/>
      <c r="O223" s="9"/>
      <c r="P223" s="9"/>
      <c r="Q223" s="9"/>
      <c r="R223" s="9"/>
      <c r="S223" s="9"/>
      <c r="T223" s="9"/>
      <c r="U223" s="9"/>
      <c r="V223" s="9"/>
      <c r="W223" s="9"/>
      <c r="X223" s="9"/>
      <c r="Y223" s="9"/>
      <c r="Z223" s="9"/>
      <c r="AA223" s="9"/>
      <c r="AB223" s="9"/>
      <c r="AC223" s="9"/>
    </row>
    <row r="224" spans="1:29" ht="13.2">
      <c r="A224" s="9"/>
      <c r="B224" s="9"/>
      <c r="C224" s="14" t="str">
        <f t="shared" si="1"/>
        <v>RaypeatHouse Regard</v>
      </c>
      <c r="D224" s="9" t="s">
        <v>154</v>
      </c>
      <c r="E224" s="9" t="s">
        <v>69</v>
      </c>
      <c r="F224" s="9" t="s">
        <v>40</v>
      </c>
      <c r="H224" s="9"/>
      <c r="I224" s="9"/>
      <c r="J224" s="9"/>
      <c r="K224" s="9"/>
      <c r="L224" s="9"/>
      <c r="M224" s="9"/>
      <c r="N224" s="9"/>
      <c r="O224" s="9"/>
      <c r="P224" s="9"/>
      <c r="Q224" s="9"/>
      <c r="R224" s="9"/>
      <c r="S224" s="9"/>
      <c r="T224" s="9"/>
      <c r="U224" s="9"/>
      <c r="V224" s="9"/>
      <c r="W224" s="9"/>
      <c r="X224" s="9"/>
      <c r="Y224" s="9"/>
      <c r="Z224" s="9"/>
      <c r="AA224" s="9"/>
      <c r="AB224" s="9"/>
      <c r="AC224" s="9"/>
    </row>
    <row r="225" spans="1:29" ht="13.2">
      <c r="A225" s="9"/>
      <c r="B225" s="9"/>
      <c r="C225" s="14" t="str">
        <f t="shared" si="1"/>
        <v>SabbieHouse Regard</v>
      </c>
      <c r="D225" s="9" t="s">
        <v>139</v>
      </c>
      <c r="E225" s="9" t="s">
        <v>9</v>
      </c>
      <c r="F225" s="9" t="s">
        <v>40</v>
      </c>
      <c r="H225" s="9"/>
      <c r="I225" s="9"/>
      <c r="J225" s="9"/>
      <c r="K225" s="9"/>
      <c r="L225" s="9"/>
      <c r="M225" s="9"/>
      <c r="N225" s="9"/>
      <c r="O225" s="9"/>
      <c r="P225" s="9"/>
      <c r="Q225" s="9"/>
      <c r="R225" s="9"/>
      <c r="S225" s="9"/>
      <c r="T225" s="9"/>
      <c r="U225" s="9"/>
      <c r="V225" s="9"/>
      <c r="W225" s="9"/>
      <c r="X225" s="9"/>
      <c r="Y225" s="9"/>
      <c r="Z225" s="9"/>
      <c r="AA225" s="9"/>
      <c r="AB225" s="9"/>
      <c r="AC225" s="9"/>
    </row>
    <row r="226" spans="1:29" ht="13.2">
      <c r="A226" s="9"/>
      <c r="B226" s="9"/>
      <c r="C226" s="14" t="str">
        <f t="shared" si="1"/>
        <v>ThundercatsHouse Regard</v>
      </c>
      <c r="D226" s="9" t="s">
        <v>141</v>
      </c>
      <c r="E226" s="9" t="s">
        <v>45</v>
      </c>
      <c r="F226" s="9" t="s">
        <v>40</v>
      </c>
      <c r="H226" s="9"/>
      <c r="I226" s="9"/>
      <c r="J226" s="9"/>
      <c r="K226" s="9"/>
      <c r="L226" s="9"/>
      <c r="M226" s="9"/>
      <c r="N226" s="9"/>
      <c r="O226" s="9"/>
      <c r="P226" s="9"/>
      <c r="Q226" s="9"/>
      <c r="R226" s="9"/>
      <c r="S226" s="9"/>
      <c r="T226" s="9"/>
      <c r="U226" s="9"/>
      <c r="V226" s="9"/>
      <c r="W226" s="9"/>
      <c r="X226" s="9"/>
      <c r="Y226" s="9"/>
      <c r="Z226" s="9"/>
      <c r="AA226" s="9"/>
      <c r="AB226" s="9"/>
      <c r="AC226" s="9"/>
    </row>
    <row r="227" spans="1:29" ht="13.8">
      <c r="A227" s="9"/>
      <c r="B227" s="9"/>
      <c r="C227" s="14" t="str">
        <f t="shared" si="1"/>
        <v>incakolatapupaHouse Regard</v>
      </c>
      <c r="D227" s="16" t="s">
        <v>143</v>
      </c>
      <c r="E227" s="9" t="s">
        <v>45</v>
      </c>
      <c r="F227" s="9" t="s">
        <v>40</v>
      </c>
      <c r="H227" s="9"/>
      <c r="I227" s="9"/>
      <c r="J227" s="9"/>
      <c r="K227" s="9"/>
      <c r="L227" s="9"/>
      <c r="M227" s="9"/>
      <c r="N227" s="9"/>
      <c r="O227" s="9"/>
      <c r="P227" s="9"/>
      <c r="Q227" s="9"/>
      <c r="R227" s="9"/>
      <c r="S227" s="9"/>
      <c r="T227" s="9"/>
      <c r="U227" s="9"/>
      <c r="V227" s="9"/>
      <c r="W227" s="9"/>
      <c r="X227" s="9"/>
      <c r="Y227" s="9"/>
      <c r="Z227" s="9"/>
      <c r="AA227" s="9"/>
      <c r="AB227" s="9"/>
      <c r="AC227" s="9"/>
    </row>
    <row r="228" spans="1:29" ht="13.8">
      <c r="A228" s="9"/>
      <c r="B228" s="9"/>
      <c r="C228" s="14" t="str">
        <f t="shared" si="1"/>
        <v>CurufinweiHouse Regard</v>
      </c>
      <c r="D228" s="17" t="s">
        <v>144</v>
      </c>
      <c r="E228" s="9" t="s">
        <v>9</v>
      </c>
      <c r="F228" s="9" t="s">
        <v>40</v>
      </c>
      <c r="H228" s="9"/>
      <c r="I228" s="9"/>
      <c r="J228" s="9"/>
      <c r="K228" s="9"/>
      <c r="L228" s="9"/>
      <c r="M228" s="9"/>
      <c r="N228" s="9"/>
      <c r="O228" s="9"/>
      <c r="P228" s="9"/>
      <c r="Q228" s="9"/>
      <c r="R228" s="9"/>
      <c r="S228" s="9"/>
      <c r="T228" s="9"/>
      <c r="U228" s="9"/>
      <c r="V228" s="9"/>
      <c r="W228" s="9"/>
      <c r="X228" s="9"/>
      <c r="Y228" s="9"/>
      <c r="Z228" s="9"/>
      <c r="AA228" s="9"/>
      <c r="AB228" s="9"/>
      <c r="AC228" s="9"/>
    </row>
    <row r="229" spans="1:29" ht="13.2">
      <c r="A229" s="9"/>
      <c r="B229" s="9"/>
      <c r="C229" s="14" t="str">
        <f t="shared" si="1"/>
        <v>RyujinHouse Regard</v>
      </c>
      <c r="D229" s="9" t="s">
        <v>156</v>
      </c>
      <c r="E229" s="9" t="s">
        <v>58</v>
      </c>
      <c r="F229" s="9" t="s">
        <v>40</v>
      </c>
      <c r="H229" s="9"/>
      <c r="I229" s="9"/>
      <c r="J229" s="9"/>
      <c r="K229" s="9"/>
      <c r="L229" s="9"/>
      <c r="M229" s="9"/>
      <c r="N229" s="9"/>
      <c r="O229" s="9"/>
      <c r="P229" s="9"/>
      <c r="Q229" s="9"/>
      <c r="R229" s="9"/>
      <c r="S229" s="9"/>
      <c r="T229" s="9"/>
      <c r="U229" s="9"/>
      <c r="V229" s="9"/>
      <c r="W229" s="9"/>
      <c r="X229" s="9"/>
      <c r="Y229" s="9"/>
      <c r="Z229" s="9"/>
      <c r="AA229" s="9"/>
      <c r="AB229" s="9"/>
      <c r="AC229" s="9"/>
    </row>
    <row r="230" spans="1:29" ht="14.4">
      <c r="A230" s="9"/>
      <c r="B230" s="9"/>
      <c r="C230" s="14" t="str">
        <f t="shared" si="1"/>
        <v>MICTECACIHUATLHouse Regard</v>
      </c>
      <c r="D230" s="13" t="s">
        <v>157</v>
      </c>
      <c r="E230" s="9" t="s">
        <v>10</v>
      </c>
      <c r="F230" s="9" t="s">
        <v>40</v>
      </c>
      <c r="H230" s="9"/>
      <c r="I230" s="9"/>
      <c r="J230" s="9"/>
      <c r="K230" s="9"/>
      <c r="L230" s="9"/>
      <c r="M230" s="9"/>
      <c r="N230" s="9"/>
      <c r="O230" s="9"/>
      <c r="P230" s="9"/>
      <c r="Q230" s="9"/>
      <c r="R230" s="9"/>
      <c r="S230" s="9"/>
      <c r="T230" s="9"/>
      <c r="U230" s="9"/>
      <c r="V230" s="9"/>
      <c r="W230" s="9"/>
      <c r="X230" s="9"/>
      <c r="Y230" s="9"/>
      <c r="Z230" s="9"/>
      <c r="AA230" s="9"/>
      <c r="AB230" s="9"/>
      <c r="AC230" s="9"/>
    </row>
    <row r="231" spans="1:29" ht="14.4">
      <c r="A231" s="9"/>
      <c r="B231" s="9"/>
      <c r="C231" s="14" t="str">
        <f t="shared" si="1"/>
        <v>CevicheHouse Regard</v>
      </c>
      <c r="D231" s="13" t="s">
        <v>158</v>
      </c>
      <c r="E231" s="9" t="s">
        <v>32</v>
      </c>
      <c r="F231" s="9" t="s">
        <v>40</v>
      </c>
      <c r="H231" s="9"/>
      <c r="I231" s="9"/>
      <c r="J231" s="9"/>
      <c r="K231" s="9"/>
      <c r="L231" s="9"/>
      <c r="M231" s="9"/>
      <c r="N231" s="9"/>
      <c r="O231" s="9"/>
      <c r="P231" s="9"/>
      <c r="Q231" s="9"/>
      <c r="R231" s="9"/>
      <c r="S231" s="9"/>
      <c r="T231" s="9"/>
      <c r="U231" s="9"/>
      <c r="V231" s="9"/>
      <c r="W231" s="9"/>
      <c r="X231" s="9"/>
      <c r="Y231" s="9"/>
      <c r="Z231" s="9"/>
      <c r="AA231" s="9"/>
      <c r="AB231" s="9"/>
      <c r="AC231" s="9"/>
    </row>
    <row r="232" spans="1:29" ht="13.8">
      <c r="A232" s="9"/>
      <c r="B232" s="9"/>
      <c r="C232" s="14" t="str">
        <f t="shared" si="1"/>
        <v>vexzusHouse Regard</v>
      </c>
      <c r="D232" s="17" t="s">
        <v>159</v>
      </c>
      <c r="E232" s="9" t="s">
        <v>54</v>
      </c>
      <c r="F232" s="9" t="s">
        <v>40</v>
      </c>
      <c r="H232" s="9"/>
      <c r="I232" s="9"/>
      <c r="J232" s="9"/>
      <c r="K232" s="9"/>
      <c r="L232" s="9"/>
      <c r="M232" s="9"/>
      <c r="N232" s="9"/>
      <c r="O232" s="9"/>
      <c r="P232" s="9"/>
      <c r="Q232" s="9"/>
      <c r="R232" s="9"/>
      <c r="S232" s="9"/>
      <c r="T232" s="9"/>
      <c r="U232" s="9"/>
      <c r="V232" s="9"/>
      <c r="W232" s="9"/>
      <c r="X232" s="9"/>
      <c r="Y232" s="9"/>
      <c r="Z232" s="9"/>
      <c r="AA232" s="9"/>
      <c r="AB232" s="9"/>
      <c r="AC232" s="9"/>
    </row>
    <row r="233" spans="1:29" ht="14.4">
      <c r="A233" s="9"/>
      <c r="B233" s="9"/>
      <c r="C233" s="14" t="str">
        <f t="shared" si="1"/>
        <v>EnoughCrazyHouse Regard</v>
      </c>
      <c r="D233" s="13" t="s">
        <v>160</v>
      </c>
      <c r="E233" s="9" t="s">
        <v>58</v>
      </c>
      <c r="F233" s="9" t="s">
        <v>40</v>
      </c>
      <c r="H233" s="9"/>
      <c r="I233" s="9"/>
      <c r="J233" s="9"/>
      <c r="K233" s="9"/>
      <c r="L233" s="9"/>
      <c r="M233" s="9"/>
      <c r="N233" s="9"/>
      <c r="O233" s="9"/>
      <c r="P233" s="9"/>
      <c r="Q233" s="9"/>
      <c r="R233" s="9"/>
      <c r="S233" s="9"/>
      <c r="T233" s="9"/>
      <c r="U233" s="9"/>
      <c r="V233" s="9"/>
      <c r="W233" s="9"/>
      <c r="X233" s="9"/>
      <c r="Y233" s="9"/>
      <c r="Z233" s="9"/>
      <c r="AA233" s="9"/>
      <c r="AB233" s="9"/>
      <c r="AC233" s="9"/>
    </row>
    <row r="234" spans="1:29" ht="14.4">
      <c r="A234" s="9"/>
      <c r="B234" s="9"/>
      <c r="C234" s="14" t="str">
        <f t="shared" si="1"/>
        <v>EshaberryHouse Regard</v>
      </c>
      <c r="D234" s="13" t="s">
        <v>161</v>
      </c>
      <c r="E234" s="9" t="s">
        <v>54</v>
      </c>
      <c r="F234" s="9" t="s">
        <v>40</v>
      </c>
      <c r="H234" s="9"/>
      <c r="I234" s="9"/>
      <c r="J234" s="9"/>
      <c r="K234" s="9"/>
      <c r="L234" s="9"/>
      <c r="M234" s="9"/>
      <c r="N234" s="9"/>
      <c r="O234" s="9"/>
      <c r="P234" s="9"/>
      <c r="Q234" s="9"/>
      <c r="R234" s="9"/>
      <c r="S234" s="9"/>
      <c r="T234" s="9"/>
      <c r="U234" s="9"/>
      <c r="V234" s="9"/>
      <c r="W234" s="9"/>
      <c r="X234" s="9"/>
      <c r="Y234" s="9"/>
      <c r="Z234" s="9"/>
      <c r="AA234" s="9"/>
      <c r="AB234" s="9"/>
      <c r="AC234" s="9"/>
    </row>
    <row r="235" spans="1:29" ht="14.4">
      <c r="A235" s="9"/>
      <c r="B235" s="9"/>
      <c r="C235" s="14" t="str">
        <f t="shared" si="1"/>
        <v>SwayzexExpressHouse Regard</v>
      </c>
      <c r="D235" s="13" t="s">
        <v>162</v>
      </c>
      <c r="E235" s="9" t="s">
        <v>52</v>
      </c>
      <c r="F235" s="9" t="s">
        <v>40</v>
      </c>
      <c r="H235" s="9"/>
      <c r="I235" s="9"/>
      <c r="J235" s="9"/>
      <c r="K235" s="9"/>
      <c r="L235" s="9"/>
      <c r="M235" s="9"/>
      <c r="N235" s="9"/>
      <c r="O235" s="9"/>
      <c r="P235" s="9"/>
      <c r="Q235" s="9"/>
      <c r="R235" s="9"/>
      <c r="S235" s="9"/>
      <c r="T235" s="9"/>
      <c r="U235" s="9"/>
      <c r="V235" s="9"/>
      <c r="W235" s="9"/>
      <c r="X235" s="9"/>
      <c r="Y235" s="9"/>
      <c r="Z235" s="9"/>
      <c r="AA235" s="9"/>
      <c r="AB235" s="9"/>
      <c r="AC235" s="9"/>
    </row>
    <row r="236" spans="1:29" ht="13.2">
      <c r="A236" s="9"/>
      <c r="B236" s="9"/>
      <c r="C236" s="14" t="str">
        <f t="shared" si="1"/>
        <v>HexapodHouse Regard</v>
      </c>
      <c r="D236" s="6" t="s">
        <v>163</v>
      </c>
      <c r="E236" s="9" t="s">
        <v>14</v>
      </c>
      <c r="F236" s="9" t="s">
        <v>40</v>
      </c>
      <c r="H236" s="9"/>
      <c r="I236" s="9"/>
      <c r="J236" s="9"/>
      <c r="K236" s="9"/>
      <c r="L236" s="9"/>
      <c r="M236" s="9"/>
      <c r="N236" s="9"/>
      <c r="O236" s="9"/>
      <c r="P236" s="9"/>
      <c r="Q236" s="9"/>
      <c r="R236" s="9"/>
      <c r="S236" s="9"/>
      <c r="T236" s="9"/>
      <c r="U236" s="9"/>
      <c r="V236" s="9"/>
      <c r="W236" s="9"/>
      <c r="X236" s="9"/>
      <c r="Y236" s="9"/>
      <c r="Z236" s="9"/>
      <c r="AA236" s="9"/>
      <c r="AB236" s="9"/>
      <c r="AC236" s="9"/>
    </row>
    <row r="237" spans="1:29" ht="14.4">
      <c r="A237" s="9"/>
      <c r="B237" s="9"/>
      <c r="C237" s="14" t="str">
        <f t="shared" si="1"/>
        <v>LuanDCHouse Regard</v>
      </c>
      <c r="D237" s="13" t="s">
        <v>164</v>
      </c>
      <c r="E237" s="9" t="s">
        <v>9</v>
      </c>
      <c r="F237" s="9" t="s">
        <v>40</v>
      </c>
      <c r="H237" s="9"/>
      <c r="I237" s="9"/>
      <c r="J237" s="9"/>
      <c r="K237" s="9"/>
      <c r="L237" s="9"/>
      <c r="M237" s="9"/>
      <c r="N237" s="9"/>
      <c r="O237" s="9"/>
      <c r="P237" s="9"/>
      <c r="Q237" s="9"/>
      <c r="R237" s="9"/>
      <c r="S237" s="9"/>
      <c r="T237" s="9"/>
      <c r="U237" s="9"/>
      <c r="V237" s="9"/>
      <c r="W237" s="9"/>
      <c r="X237" s="9"/>
      <c r="Y237" s="9"/>
      <c r="Z237" s="9"/>
      <c r="AA237" s="9"/>
      <c r="AB237" s="9"/>
      <c r="AC237" s="9"/>
    </row>
    <row r="238" spans="1:29" ht="14.4">
      <c r="A238" s="9"/>
      <c r="B238" s="9"/>
      <c r="C238" s="14" t="str">
        <f t="shared" si="1"/>
        <v>ReinnierHouse Regard</v>
      </c>
      <c r="D238" s="13" t="s">
        <v>165</v>
      </c>
      <c r="E238" s="9" t="s">
        <v>10</v>
      </c>
      <c r="F238" s="9" t="s">
        <v>40</v>
      </c>
      <c r="H238" s="9"/>
      <c r="I238" s="9"/>
      <c r="J238" s="9"/>
      <c r="K238" s="9"/>
      <c r="L238" s="9"/>
      <c r="M238" s="9"/>
      <c r="N238" s="9"/>
      <c r="O238" s="9"/>
      <c r="P238" s="9"/>
      <c r="Q238" s="9"/>
      <c r="R238" s="9"/>
      <c r="S238" s="9"/>
      <c r="T238" s="9"/>
      <c r="U238" s="9"/>
      <c r="V238" s="9"/>
      <c r="W238" s="9"/>
      <c r="X238" s="9"/>
      <c r="Y238" s="9"/>
      <c r="Z238" s="9"/>
      <c r="AA238" s="9"/>
      <c r="AB238" s="9"/>
      <c r="AC238" s="9"/>
    </row>
    <row r="239" spans="1:29" ht="14.4">
      <c r="A239" s="9"/>
      <c r="B239" s="9"/>
      <c r="C239" s="14" t="str">
        <f t="shared" si="1"/>
        <v>StephyBabyxHouse Regard</v>
      </c>
      <c r="D239" s="13" t="s">
        <v>166</v>
      </c>
      <c r="E239" s="9" t="s">
        <v>14</v>
      </c>
      <c r="F239" s="9" t="s">
        <v>40</v>
      </c>
      <c r="H239" s="9"/>
      <c r="I239" s="9"/>
      <c r="J239" s="9"/>
      <c r="K239" s="9"/>
      <c r="L239" s="9"/>
      <c r="M239" s="9"/>
      <c r="N239" s="9"/>
      <c r="O239" s="9"/>
      <c r="P239" s="9"/>
      <c r="Q239" s="9"/>
      <c r="R239" s="9"/>
      <c r="S239" s="9"/>
      <c r="T239" s="9"/>
      <c r="U239" s="9"/>
      <c r="V239" s="9"/>
      <c r="W239" s="9"/>
      <c r="X239" s="9"/>
      <c r="Y239" s="9"/>
      <c r="Z239" s="9"/>
      <c r="AA239" s="9"/>
      <c r="AB239" s="9"/>
      <c r="AC239" s="9"/>
    </row>
    <row r="240" spans="1:29" ht="14.4">
      <c r="A240" s="9"/>
      <c r="B240" s="9"/>
      <c r="C240" s="14" t="str">
        <f t="shared" si="1"/>
        <v>charigueyaHouse Regard</v>
      </c>
      <c r="D240" s="13" t="s">
        <v>167</v>
      </c>
      <c r="E240" s="9" t="s">
        <v>45</v>
      </c>
      <c r="F240" s="9" t="s">
        <v>40</v>
      </c>
      <c r="H240" s="9"/>
      <c r="I240" s="9"/>
      <c r="J240" s="9"/>
      <c r="K240" s="9"/>
      <c r="L240" s="9"/>
      <c r="M240" s="9"/>
      <c r="N240" s="9"/>
      <c r="O240" s="9"/>
      <c r="P240" s="9"/>
      <c r="Q240" s="9"/>
      <c r="R240" s="9"/>
      <c r="S240" s="9"/>
      <c r="T240" s="9"/>
      <c r="U240" s="9"/>
      <c r="V240" s="9"/>
      <c r="W240" s="9"/>
      <c r="X240" s="9"/>
      <c r="Y240" s="9"/>
      <c r="Z240" s="9"/>
      <c r="AA240" s="9"/>
      <c r="AB240" s="9"/>
      <c r="AC240" s="9"/>
    </row>
    <row r="241" spans="1:29" ht="14.4">
      <c r="A241" s="9"/>
      <c r="B241" s="9"/>
      <c r="C241" s="14" t="str">
        <f t="shared" si="1"/>
        <v>AbixHouse Regard</v>
      </c>
      <c r="D241" s="13" t="s">
        <v>168</v>
      </c>
      <c r="E241" s="9" t="s">
        <v>9</v>
      </c>
      <c r="F241" s="9" t="s">
        <v>40</v>
      </c>
      <c r="H241" s="9"/>
      <c r="I241" s="9"/>
      <c r="J241" s="9"/>
      <c r="K241" s="9"/>
      <c r="L241" s="9"/>
      <c r="M241" s="9"/>
      <c r="N241" s="9"/>
      <c r="O241" s="9"/>
      <c r="P241" s="9"/>
      <c r="Q241" s="9"/>
      <c r="R241" s="9"/>
      <c r="S241" s="9"/>
      <c r="T241" s="9"/>
      <c r="U241" s="9"/>
      <c r="V241" s="9"/>
      <c r="W241" s="9"/>
      <c r="X241" s="9"/>
      <c r="Y241" s="9"/>
      <c r="Z241" s="9"/>
      <c r="AA241" s="9"/>
      <c r="AB241" s="9"/>
      <c r="AC241" s="9"/>
    </row>
    <row r="242" spans="1:29" ht="13.2">
      <c r="A242" s="9"/>
      <c r="B242" s="9"/>
      <c r="C242" s="14" t="str">
        <f t="shared" si="1"/>
        <v>H612House Regard</v>
      </c>
      <c r="D242" s="9" t="s">
        <v>169</v>
      </c>
      <c r="E242" s="9" t="s">
        <v>24</v>
      </c>
      <c r="F242" s="9" t="s">
        <v>40</v>
      </c>
      <c r="H242" s="9"/>
      <c r="I242" s="9"/>
      <c r="J242" s="9"/>
      <c r="K242" s="9"/>
      <c r="L242" s="9"/>
      <c r="M242" s="9"/>
      <c r="N242" s="9"/>
      <c r="O242" s="9"/>
      <c r="P242" s="9"/>
      <c r="Q242" s="9"/>
      <c r="R242" s="9"/>
      <c r="S242" s="9"/>
      <c r="T242" s="9"/>
      <c r="U242" s="9"/>
      <c r="V242" s="9"/>
      <c r="W242" s="9"/>
      <c r="X242" s="9"/>
      <c r="Y242" s="9"/>
      <c r="Z242" s="9"/>
      <c r="AA242" s="9"/>
      <c r="AB242" s="9"/>
      <c r="AC242" s="9"/>
    </row>
    <row r="243" spans="1:29" ht="14.4">
      <c r="A243" s="9"/>
      <c r="B243" s="9"/>
      <c r="C243" s="14" t="str">
        <f t="shared" si="1"/>
        <v>JDAWGGGGHouse Regard</v>
      </c>
      <c r="D243" s="13" t="s">
        <v>170</v>
      </c>
      <c r="E243" s="9" t="s">
        <v>69</v>
      </c>
      <c r="F243" s="9" t="s">
        <v>40</v>
      </c>
      <c r="H243" s="9"/>
      <c r="I243" s="9"/>
      <c r="J243" s="9"/>
      <c r="K243" s="9"/>
      <c r="L243" s="9"/>
      <c r="M243" s="9"/>
      <c r="N243" s="9"/>
      <c r="O243" s="9"/>
      <c r="P243" s="9"/>
      <c r="Q243" s="9"/>
      <c r="R243" s="9"/>
      <c r="S243" s="9"/>
      <c r="T243" s="9"/>
      <c r="U243" s="9"/>
      <c r="V243" s="9"/>
      <c r="W243" s="9"/>
      <c r="X243" s="9"/>
      <c r="Y243" s="9"/>
      <c r="Z243" s="9"/>
      <c r="AA243" s="9"/>
      <c r="AB243" s="9"/>
      <c r="AC243" s="9"/>
    </row>
    <row r="244" spans="1:29" ht="13.2">
      <c r="A244" s="9"/>
      <c r="B244" s="9"/>
      <c r="C244" s="14" t="str">
        <f t="shared" si="1"/>
        <v>NeonHouse Regard</v>
      </c>
      <c r="D244" s="9" t="s">
        <v>171</v>
      </c>
      <c r="E244" s="9" t="s">
        <v>9</v>
      </c>
      <c r="F244" s="9" t="s">
        <v>40</v>
      </c>
      <c r="H244" s="9"/>
      <c r="I244" s="9"/>
      <c r="J244" s="9"/>
      <c r="K244" s="9"/>
      <c r="L244" s="9"/>
      <c r="M244" s="9"/>
      <c r="N244" s="9"/>
      <c r="O244" s="9"/>
      <c r="P244" s="9"/>
      <c r="Q244" s="9"/>
      <c r="R244" s="9"/>
      <c r="S244" s="9"/>
      <c r="T244" s="9"/>
      <c r="U244" s="9"/>
      <c r="V244" s="9"/>
      <c r="W244" s="9"/>
      <c r="X244" s="9"/>
      <c r="Y244" s="9"/>
      <c r="Z244" s="9"/>
      <c r="AA244" s="9"/>
      <c r="AB244" s="9"/>
      <c r="AC244" s="9"/>
    </row>
    <row r="245" spans="1:29" ht="14.4">
      <c r="A245" s="9"/>
      <c r="B245" s="9"/>
      <c r="C245" s="14" t="str">
        <f t="shared" si="1"/>
        <v>ELCHAMOHouse Regard</v>
      </c>
      <c r="D245" s="13" t="s">
        <v>172</v>
      </c>
      <c r="E245" s="9" t="s">
        <v>32</v>
      </c>
      <c r="F245" s="9" t="s">
        <v>40</v>
      </c>
      <c r="H245" s="9"/>
      <c r="I245" s="9"/>
      <c r="J245" s="9"/>
      <c r="K245" s="9"/>
      <c r="L245" s="9"/>
      <c r="M245" s="9"/>
      <c r="N245" s="9"/>
      <c r="O245" s="9"/>
      <c r="P245" s="9"/>
      <c r="Q245" s="9"/>
      <c r="R245" s="9"/>
      <c r="S245" s="9"/>
      <c r="T245" s="9"/>
      <c r="U245" s="9"/>
      <c r="V245" s="9"/>
      <c r="W245" s="9"/>
      <c r="X245" s="9"/>
      <c r="Y245" s="9"/>
      <c r="Z245" s="9"/>
      <c r="AA245" s="9"/>
      <c r="AB245" s="9"/>
      <c r="AC245" s="9"/>
    </row>
    <row r="246" spans="1:29" ht="13.2">
      <c r="A246" s="9"/>
      <c r="B246" s="9"/>
      <c r="C246" s="14" t="str">
        <f t="shared" si="1"/>
        <v>MicheruHouse Regard</v>
      </c>
      <c r="D246" s="9" t="s">
        <v>173</v>
      </c>
      <c r="E246" s="9" t="s">
        <v>14</v>
      </c>
      <c r="F246" s="9" t="s">
        <v>40</v>
      </c>
      <c r="H246" s="9"/>
      <c r="I246" s="9"/>
      <c r="J246" s="9"/>
      <c r="K246" s="9"/>
      <c r="L246" s="9"/>
      <c r="M246" s="9"/>
      <c r="N246" s="9"/>
      <c r="O246" s="9"/>
      <c r="P246" s="9"/>
      <c r="Q246" s="9"/>
      <c r="R246" s="9"/>
      <c r="S246" s="9"/>
      <c r="T246" s="9"/>
      <c r="U246" s="9"/>
      <c r="V246" s="9"/>
      <c r="W246" s="9"/>
      <c r="X246" s="9"/>
      <c r="Y246" s="9"/>
      <c r="Z246" s="9"/>
      <c r="AA246" s="9"/>
      <c r="AB246" s="9"/>
      <c r="AC246" s="9"/>
    </row>
    <row r="247" spans="1:29" ht="14.4">
      <c r="A247" s="9"/>
      <c r="B247" s="9"/>
      <c r="C247" s="14" t="str">
        <f t="shared" si="1"/>
        <v>SmashHouse Regard</v>
      </c>
      <c r="D247" s="13" t="s">
        <v>174</v>
      </c>
      <c r="E247" s="9" t="s">
        <v>14</v>
      </c>
      <c r="F247" s="9" t="s">
        <v>40</v>
      </c>
      <c r="H247" s="9"/>
      <c r="I247" s="9"/>
      <c r="J247" s="9"/>
      <c r="K247" s="9"/>
      <c r="L247" s="9"/>
      <c r="M247" s="9"/>
      <c r="N247" s="9"/>
      <c r="O247" s="9"/>
      <c r="P247" s="9"/>
      <c r="Q247" s="9"/>
      <c r="R247" s="9"/>
      <c r="S247" s="9"/>
      <c r="T247" s="9"/>
      <c r="U247" s="9"/>
      <c r="V247" s="9"/>
      <c r="W247" s="9"/>
      <c r="X247" s="9"/>
      <c r="Y247" s="9"/>
      <c r="Z247" s="9"/>
      <c r="AA247" s="9"/>
      <c r="AB247" s="9"/>
      <c r="AC247" s="9"/>
    </row>
    <row r="248" spans="1:29" ht="14.4">
      <c r="A248" s="9"/>
      <c r="B248" s="9"/>
      <c r="C248" s="14" t="str">
        <f t="shared" si="1"/>
        <v>EnnergeHouse Regard</v>
      </c>
      <c r="D248" s="13" t="s">
        <v>175</v>
      </c>
      <c r="E248" s="9" t="s">
        <v>62</v>
      </c>
      <c r="F248" s="9" t="s">
        <v>40</v>
      </c>
      <c r="H248" s="9"/>
      <c r="I248" s="9"/>
      <c r="J248" s="9"/>
      <c r="K248" s="9"/>
      <c r="L248" s="9"/>
      <c r="M248" s="9"/>
      <c r="N248" s="9"/>
      <c r="O248" s="9"/>
      <c r="P248" s="9"/>
      <c r="Q248" s="9"/>
      <c r="R248" s="9"/>
      <c r="S248" s="9"/>
      <c r="T248" s="9"/>
      <c r="U248" s="9"/>
      <c r="V248" s="9"/>
      <c r="W248" s="9"/>
      <c r="X248" s="9"/>
      <c r="Y248" s="9"/>
      <c r="Z248" s="9"/>
      <c r="AA248" s="9"/>
      <c r="AB248" s="9"/>
      <c r="AC248" s="9"/>
    </row>
    <row r="249" spans="1:29" ht="13.8">
      <c r="A249" s="9"/>
      <c r="B249" s="9"/>
      <c r="C249" s="14" t="str">
        <f t="shared" si="1"/>
        <v>JayAcyHouse Regard</v>
      </c>
      <c r="D249" s="16" t="s">
        <v>121</v>
      </c>
      <c r="E249" s="9" t="s">
        <v>9</v>
      </c>
      <c r="F249" s="9" t="s">
        <v>40</v>
      </c>
      <c r="H249" s="9"/>
      <c r="I249" s="9"/>
      <c r="J249" s="9"/>
      <c r="K249" s="9"/>
      <c r="L249" s="9"/>
      <c r="M249" s="9"/>
      <c r="N249" s="9"/>
      <c r="O249" s="9"/>
      <c r="P249" s="9"/>
      <c r="Q249" s="9"/>
      <c r="R249" s="9"/>
      <c r="S249" s="9"/>
      <c r="T249" s="9"/>
      <c r="U249" s="9"/>
      <c r="V249" s="9"/>
      <c r="W249" s="9"/>
      <c r="X249" s="9"/>
      <c r="Y249" s="9"/>
      <c r="Z249" s="9"/>
      <c r="AA249" s="9"/>
      <c r="AB249" s="9"/>
      <c r="AC249" s="9"/>
    </row>
    <row r="250" spans="1:29" ht="14.4">
      <c r="A250" s="9"/>
      <c r="B250" s="9"/>
      <c r="C250" s="14" t="str">
        <f>D250&amp;F261</f>
        <v>ガブリエルーHouse Regard</v>
      </c>
      <c r="D250" s="19" t="s">
        <v>176</v>
      </c>
      <c r="E250" s="20" t="s">
        <v>14</v>
      </c>
      <c r="F250" s="9" t="s">
        <v>40</v>
      </c>
      <c r="H250" s="9"/>
      <c r="I250" s="9"/>
      <c r="J250" s="9"/>
      <c r="K250" s="9"/>
      <c r="L250" s="9"/>
      <c r="M250" s="9"/>
      <c r="N250" s="9"/>
      <c r="O250" s="9"/>
      <c r="P250" s="9"/>
      <c r="Q250" s="9"/>
      <c r="R250" s="9"/>
      <c r="S250" s="9"/>
      <c r="T250" s="9"/>
      <c r="U250" s="9"/>
      <c r="V250" s="9"/>
      <c r="W250" s="9"/>
      <c r="X250" s="9"/>
      <c r="Y250" s="9"/>
      <c r="Z250" s="9"/>
      <c r="AA250" s="9"/>
      <c r="AB250" s="9"/>
      <c r="AC250" s="9"/>
    </row>
    <row r="251" spans="1:29" ht="14.4">
      <c r="A251" s="9"/>
      <c r="B251" s="9"/>
      <c r="C251" s="14" t="str">
        <f t="shared" ref="C251:C262" si="2">D251&amp;F251</f>
        <v>SupraOzzHouse Regard</v>
      </c>
      <c r="D251" s="13" t="s">
        <v>177</v>
      </c>
      <c r="E251" s="20" t="s">
        <v>70</v>
      </c>
      <c r="F251" s="9" t="s">
        <v>40</v>
      </c>
      <c r="H251" s="9"/>
      <c r="I251" s="9"/>
      <c r="J251" s="9"/>
      <c r="K251" s="9"/>
      <c r="L251" s="9"/>
      <c r="M251" s="9"/>
      <c r="N251" s="9"/>
      <c r="O251" s="9"/>
      <c r="P251" s="9"/>
      <c r="Q251" s="9"/>
      <c r="R251" s="9"/>
      <c r="S251" s="9"/>
      <c r="T251" s="9"/>
      <c r="U251" s="9"/>
      <c r="V251" s="9"/>
      <c r="W251" s="9"/>
      <c r="X251" s="9"/>
      <c r="Y251" s="9"/>
      <c r="Z251" s="9"/>
      <c r="AA251" s="9"/>
      <c r="AB251" s="9"/>
      <c r="AC251" s="9"/>
    </row>
    <row r="252" spans="1:29" ht="14.4">
      <c r="A252" s="9"/>
      <c r="B252" s="9"/>
      <c r="C252" s="14" t="str">
        <f t="shared" si="2"/>
        <v>MoonHouse Regard</v>
      </c>
      <c r="D252" s="13" t="s">
        <v>178</v>
      </c>
      <c r="E252" s="20" t="s">
        <v>14</v>
      </c>
      <c r="F252" s="9" t="s">
        <v>40</v>
      </c>
      <c r="H252" s="9"/>
      <c r="I252" s="9"/>
      <c r="J252" s="9"/>
      <c r="K252" s="9"/>
      <c r="L252" s="9"/>
      <c r="M252" s="9"/>
      <c r="N252" s="9"/>
      <c r="O252" s="9"/>
      <c r="P252" s="9"/>
      <c r="Q252" s="9"/>
      <c r="R252" s="9"/>
      <c r="S252" s="9"/>
      <c r="T252" s="9"/>
      <c r="U252" s="9"/>
      <c r="V252" s="9"/>
      <c r="W252" s="9"/>
      <c r="X252" s="9"/>
      <c r="Y252" s="9"/>
      <c r="Z252" s="9"/>
      <c r="AA252" s="9"/>
      <c r="AB252" s="9"/>
      <c r="AC252" s="9"/>
    </row>
    <row r="253" spans="1:29" ht="14.4">
      <c r="A253" s="9"/>
      <c r="B253" s="9"/>
      <c r="C253" s="14" t="str">
        <f t="shared" si="2"/>
        <v>POMEHouse Regard</v>
      </c>
      <c r="D253" s="13" t="s">
        <v>179</v>
      </c>
      <c r="E253" s="9" t="s">
        <v>23</v>
      </c>
      <c r="F253" s="9" t="s">
        <v>40</v>
      </c>
      <c r="H253" s="9"/>
      <c r="I253" s="9"/>
      <c r="J253" s="9"/>
      <c r="K253" s="9"/>
      <c r="L253" s="9"/>
      <c r="M253" s="9"/>
      <c r="N253" s="9"/>
      <c r="O253" s="9"/>
      <c r="P253" s="9"/>
      <c r="Q253" s="9"/>
      <c r="R253" s="9"/>
      <c r="S253" s="9"/>
      <c r="T253" s="9"/>
      <c r="U253" s="9"/>
      <c r="V253" s="9"/>
      <c r="W253" s="9"/>
      <c r="X253" s="9"/>
      <c r="Y253" s="9"/>
      <c r="Z253" s="9"/>
      <c r="AA253" s="9"/>
      <c r="AB253" s="9"/>
      <c r="AC253" s="9"/>
    </row>
    <row r="254" spans="1:29" ht="14.4">
      <c r="A254" s="9"/>
      <c r="B254" s="9"/>
      <c r="C254" s="14" t="str">
        <f t="shared" si="2"/>
        <v>BombaTrixHouse Regard</v>
      </c>
      <c r="D254" s="13" t="s">
        <v>180</v>
      </c>
      <c r="E254" s="9" t="s">
        <v>10</v>
      </c>
      <c r="F254" s="9" t="s">
        <v>40</v>
      </c>
      <c r="H254" s="9"/>
      <c r="I254" s="9"/>
      <c r="J254" s="9"/>
      <c r="K254" s="9"/>
      <c r="L254" s="9"/>
      <c r="M254" s="9"/>
      <c r="N254" s="9"/>
      <c r="O254" s="9"/>
      <c r="P254" s="9"/>
      <c r="Q254" s="9"/>
      <c r="R254" s="9"/>
      <c r="S254" s="9"/>
      <c r="T254" s="9"/>
      <c r="U254" s="9"/>
      <c r="V254" s="9"/>
      <c r="W254" s="9"/>
      <c r="X254" s="9"/>
      <c r="Y254" s="9"/>
      <c r="Z254" s="9"/>
      <c r="AA254" s="9"/>
      <c r="AB254" s="9"/>
      <c r="AC254" s="9"/>
    </row>
    <row r="255" spans="1:29" ht="14.4">
      <c r="A255" s="9"/>
      <c r="B255" s="9"/>
      <c r="C255" s="14" t="str">
        <f t="shared" si="2"/>
        <v>SpicieeeHouse Regard</v>
      </c>
      <c r="D255" s="13" t="s">
        <v>181</v>
      </c>
      <c r="E255" s="9" t="s">
        <v>9</v>
      </c>
      <c r="F255" s="9" t="s">
        <v>40</v>
      </c>
      <c r="H255" s="9"/>
      <c r="I255" s="9"/>
      <c r="J255" s="9"/>
      <c r="K255" s="9"/>
      <c r="L255" s="9"/>
      <c r="M255" s="9"/>
      <c r="N255" s="9"/>
      <c r="O255" s="9"/>
      <c r="P255" s="9"/>
      <c r="Q255" s="9"/>
      <c r="R255" s="9"/>
      <c r="S255" s="9"/>
      <c r="T255" s="9"/>
      <c r="U255" s="9"/>
      <c r="V255" s="9"/>
      <c r="W255" s="9"/>
      <c r="X255" s="9"/>
      <c r="Y255" s="9"/>
      <c r="Z255" s="9"/>
      <c r="AA255" s="9"/>
      <c r="AB255" s="9"/>
      <c r="AC255" s="9"/>
    </row>
    <row r="256" spans="1:29" ht="14.4">
      <c r="A256" s="9"/>
      <c r="B256" s="9"/>
      <c r="C256" s="14" t="str">
        <f t="shared" si="2"/>
        <v>皮姆利House Regard</v>
      </c>
      <c r="D256" s="13" t="s">
        <v>182</v>
      </c>
      <c r="E256" s="9" t="s">
        <v>69</v>
      </c>
      <c r="F256" s="9" t="s">
        <v>40</v>
      </c>
      <c r="H256" s="9"/>
      <c r="I256" s="9"/>
      <c r="J256" s="9"/>
      <c r="K256" s="9"/>
      <c r="L256" s="9"/>
      <c r="M256" s="9"/>
      <c r="N256" s="9"/>
      <c r="O256" s="9"/>
      <c r="P256" s="9"/>
      <c r="Q256" s="9"/>
      <c r="R256" s="9"/>
      <c r="S256" s="9"/>
      <c r="T256" s="9"/>
      <c r="U256" s="9"/>
      <c r="V256" s="9"/>
      <c r="W256" s="9"/>
      <c r="X256" s="9"/>
      <c r="Y256" s="9"/>
      <c r="Z256" s="9"/>
      <c r="AA256" s="9"/>
      <c r="AB256" s="9"/>
      <c r="AC256" s="9"/>
    </row>
    <row r="257" spans="1:29" ht="14.4">
      <c r="A257" s="9"/>
      <c r="B257" s="9"/>
      <c r="C257" s="14" t="str">
        <f t="shared" si="2"/>
        <v>ArtemixHouse Regard</v>
      </c>
      <c r="D257" s="18" t="s">
        <v>183</v>
      </c>
      <c r="E257" s="9" t="s">
        <v>9</v>
      </c>
      <c r="F257" s="9" t="s">
        <v>40</v>
      </c>
      <c r="H257" s="9"/>
      <c r="I257" s="9"/>
      <c r="J257" s="9"/>
      <c r="K257" s="9"/>
      <c r="L257" s="9"/>
      <c r="M257" s="9"/>
      <c r="N257" s="9"/>
      <c r="O257" s="9"/>
      <c r="P257" s="9"/>
      <c r="Q257" s="9"/>
      <c r="R257" s="9"/>
      <c r="S257" s="9"/>
      <c r="T257" s="9"/>
      <c r="U257" s="9"/>
      <c r="V257" s="9"/>
      <c r="W257" s="9"/>
      <c r="X257" s="9"/>
      <c r="Y257" s="9"/>
      <c r="Z257" s="9"/>
      <c r="AA257" s="9"/>
      <c r="AB257" s="9"/>
      <c r="AC257" s="9"/>
    </row>
    <row r="258" spans="1:29" ht="14.4">
      <c r="A258" s="9"/>
      <c r="B258" s="9"/>
      <c r="C258" s="14" t="str">
        <f t="shared" si="2"/>
        <v>BaozerHouse Regard</v>
      </c>
      <c r="D258" s="13" t="s">
        <v>22</v>
      </c>
      <c r="E258" s="11" t="s">
        <v>23</v>
      </c>
      <c r="F258" s="9" t="s">
        <v>40</v>
      </c>
      <c r="H258" s="9"/>
      <c r="I258" s="9"/>
      <c r="J258" s="9"/>
      <c r="K258" s="9"/>
      <c r="L258" s="9"/>
      <c r="M258" s="9"/>
      <c r="N258" s="9"/>
      <c r="O258" s="9"/>
      <c r="P258" s="9"/>
      <c r="Q258" s="9"/>
      <c r="R258" s="9"/>
      <c r="S258" s="9"/>
      <c r="T258" s="9"/>
      <c r="U258" s="9"/>
      <c r="V258" s="9"/>
      <c r="W258" s="9"/>
      <c r="X258" s="9"/>
      <c r="Y258" s="9"/>
      <c r="Z258" s="9"/>
      <c r="AA258" s="9"/>
      <c r="AB258" s="9"/>
      <c r="AC258" s="9"/>
    </row>
    <row r="259" spans="1:29" ht="14.4">
      <c r="A259" s="9"/>
      <c r="B259" s="9"/>
      <c r="C259" s="14" t="str">
        <f t="shared" si="2"/>
        <v>SovwangHouse Regard</v>
      </c>
      <c r="D259" s="13" t="s">
        <v>184</v>
      </c>
      <c r="E259" s="9" t="s">
        <v>14</v>
      </c>
      <c r="F259" s="9" t="s">
        <v>40</v>
      </c>
      <c r="H259" s="9"/>
      <c r="I259" s="9"/>
      <c r="J259" s="9"/>
      <c r="K259" s="9"/>
      <c r="L259" s="9"/>
      <c r="M259" s="9"/>
      <c r="N259" s="9"/>
      <c r="O259" s="9"/>
      <c r="P259" s="9"/>
      <c r="Q259" s="9"/>
      <c r="R259" s="9"/>
      <c r="S259" s="9"/>
      <c r="T259" s="9"/>
      <c r="U259" s="9"/>
      <c r="V259" s="9"/>
      <c r="W259" s="9"/>
      <c r="X259" s="9"/>
      <c r="Y259" s="9"/>
      <c r="Z259" s="9"/>
      <c r="AA259" s="9"/>
      <c r="AB259" s="9"/>
      <c r="AC259" s="9"/>
    </row>
    <row r="260" spans="1:29" ht="14.4">
      <c r="A260" s="9"/>
      <c r="B260" s="9"/>
      <c r="C260" s="14" t="str">
        <f t="shared" si="2"/>
        <v>PurpleHouse Regard</v>
      </c>
      <c r="D260" s="13" t="s">
        <v>91</v>
      </c>
      <c r="E260" s="9" t="s">
        <v>9</v>
      </c>
      <c r="F260" s="9" t="s">
        <v>40</v>
      </c>
      <c r="H260" s="9"/>
      <c r="I260" s="9"/>
      <c r="J260" s="9"/>
      <c r="K260" s="9"/>
      <c r="L260" s="9"/>
      <c r="M260" s="9"/>
      <c r="N260" s="9"/>
      <c r="O260" s="9"/>
      <c r="P260" s="9"/>
      <c r="Q260" s="9"/>
      <c r="R260" s="9"/>
      <c r="S260" s="9"/>
      <c r="T260" s="9"/>
      <c r="U260" s="9"/>
      <c r="V260" s="9"/>
      <c r="W260" s="9"/>
      <c r="X260" s="9"/>
      <c r="Y260" s="9"/>
      <c r="Z260" s="9"/>
      <c r="AA260" s="9"/>
      <c r="AB260" s="9"/>
      <c r="AC260" s="9"/>
    </row>
    <row r="261" spans="1:29" ht="14.4">
      <c r="A261" s="9"/>
      <c r="B261" s="9"/>
      <c r="C261" s="14" t="str">
        <f t="shared" si="2"/>
        <v>CertifiedSquishyHouse Regard</v>
      </c>
      <c r="D261" s="13" t="s">
        <v>185</v>
      </c>
      <c r="E261" s="20" t="s">
        <v>14</v>
      </c>
      <c r="F261" s="9" t="s">
        <v>40</v>
      </c>
      <c r="H261" s="9"/>
      <c r="I261" s="9"/>
      <c r="J261" s="9"/>
      <c r="K261" s="9"/>
      <c r="L261" s="9"/>
      <c r="M261" s="9"/>
      <c r="N261" s="9"/>
      <c r="O261" s="9"/>
      <c r="P261" s="9"/>
      <c r="Q261" s="9"/>
      <c r="R261" s="9"/>
      <c r="S261" s="9"/>
      <c r="T261" s="9"/>
      <c r="U261" s="9"/>
      <c r="V261" s="9"/>
      <c r="W261" s="9"/>
      <c r="X261" s="9"/>
      <c r="Y261" s="9"/>
      <c r="Z261" s="9"/>
      <c r="AA261" s="9"/>
      <c r="AB261" s="9"/>
      <c r="AC261" s="9"/>
    </row>
    <row r="262" spans="1:29" ht="14.4">
      <c r="A262" s="9"/>
      <c r="B262" s="9"/>
      <c r="C262" s="14" t="str">
        <f t="shared" si="2"/>
        <v>jaMESSSSSSSSHouse Regard</v>
      </c>
      <c r="D262" s="13" t="s">
        <v>186</v>
      </c>
      <c r="E262" s="9" t="s">
        <v>52</v>
      </c>
      <c r="F262" s="9" t="s">
        <v>40</v>
      </c>
      <c r="H262" s="9"/>
      <c r="I262" s="9"/>
      <c r="J262" s="9"/>
      <c r="K262" s="9"/>
      <c r="L262" s="9"/>
      <c r="M262" s="9"/>
      <c r="N262" s="9"/>
      <c r="O262" s="9"/>
      <c r="P262" s="9"/>
      <c r="Q262" s="9"/>
      <c r="R262" s="9"/>
      <c r="S262" s="9"/>
      <c r="T262" s="9"/>
      <c r="U262" s="9"/>
      <c r="V262" s="9"/>
      <c r="W262" s="9"/>
      <c r="X262" s="9"/>
      <c r="Y262" s="9"/>
      <c r="Z262" s="9"/>
      <c r="AA262" s="9"/>
      <c r="AB262" s="9"/>
      <c r="AC262" s="9"/>
    </row>
    <row r="263" spans="1:29" ht="13.2">
      <c r="A263" s="9"/>
      <c r="B263" s="9"/>
      <c r="C263" s="14"/>
      <c r="D263" s="9"/>
      <c r="E263" s="9"/>
      <c r="F263" s="9"/>
      <c r="H263" s="9"/>
      <c r="I263" s="9"/>
      <c r="J263" s="9"/>
      <c r="K263" s="9"/>
      <c r="L263" s="9"/>
      <c r="M263" s="9"/>
      <c r="N263" s="9"/>
      <c r="O263" s="9"/>
      <c r="P263" s="9"/>
      <c r="Q263" s="9"/>
      <c r="R263" s="9"/>
      <c r="S263" s="9"/>
      <c r="T263" s="9"/>
      <c r="U263" s="9"/>
      <c r="V263" s="9"/>
      <c r="W263" s="9"/>
      <c r="X263" s="9"/>
      <c r="Y263" s="9"/>
      <c r="Z263" s="9"/>
      <c r="AA263" s="9"/>
      <c r="AB263" s="9"/>
      <c r="AC263" s="9"/>
    </row>
    <row r="264" spans="1:29" ht="13.2">
      <c r="A264" s="9"/>
      <c r="B264" s="9"/>
      <c r="C264" s="14"/>
      <c r="D264" s="9"/>
      <c r="E264" s="9"/>
      <c r="F264" s="9"/>
      <c r="H264" s="9"/>
      <c r="I264" s="9"/>
      <c r="J264" s="9"/>
      <c r="K264" s="9"/>
      <c r="L264" s="9"/>
      <c r="M264" s="9"/>
      <c r="N264" s="9"/>
      <c r="O264" s="9"/>
      <c r="P264" s="9"/>
      <c r="Q264" s="9"/>
      <c r="R264" s="9"/>
      <c r="S264" s="9"/>
      <c r="T264" s="9"/>
      <c r="U264" s="9"/>
      <c r="V264" s="9"/>
      <c r="W264" s="9"/>
      <c r="X264" s="9"/>
      <c r="Y264" s="9"/>
      <c r="Z264" s="9"/>
      <c r="AA264" s="9"/>
      <c r="AB264" s="9"/>
      <c r="AC264" s="9"/>
    </row>
    <row r="265" spans="1:29" ht="13.2">
      <c r="A265" s="9"/>
      <c r="B265" s="9"/>
      <c r="C265" s="14"/>
      <c r="D265" s="9"/>
      <c r="E265" s="9"/>
      <c r="F265" s="9"/>
      <c r="H265" s="9"/>
      <c r="I265" s="9"/>
      <c r="J265" s="9"/>
      <c r="K265" s="9"/>
      <c r="L265" s="9"/>
      <c r="M265" s="9"/>
      <c r="N265" s="9"/>
      <c r="O265" s="9"/>
      <c r="P265" s="9"/>
      <c r="Q265" s="9"/>
      <c r="R265" s="9"/>
      <c r="S265" s="9"/>
      <c r="T265" s="9"/>
      <c r="U265" s="9"/>
      <c r="V265" s="9"/>
      <c r="W265" s="9"/>
      <c r="X265" s="9"/>
      <c r="Y265" s="9"/>
      <c r="Z265" s="9"/>
      <c r="AA265" s="9"/>
      <c r="AB265" s="9"/>
      <c r="AC265" s="9"/>
    </row>
    <row r="266" spans="1:29" ht="13.2">
      <c r="A266" s="9"/>
      <c r="B266" s="9"/>
      <c r="C266" s="14"/>
      <c r="D266" s="9"/>
      <c r="E266" s="9"/>
      <c r="F266" s="9"/>
      <c r="H266" s="9"/>
      <c r="I266" s="9"/>
      <c r="J266" s="9"/>
      <c r="K266" s="9"/>
      <c r="L266" s="9"/>
      <c r="M266" s="9"/>
      <c r="N266" s="9"/>
      <c r="O266" s="9"/>
      <c r="P266" s="9"/>
      <c r="Q266" s="9"/>
      <c r="R266" s="9"/>
      <c r="S266" s="9"/>
      <c r="T266" s="9"/>
      <c r="U266" s="9"/>
      <c r="V266" s="9"/>
      <c r="W266" s="9"/>
      <c r="X266" s="9"/>
      <c r="Y266" s="9"/>
      <c r="Z266" s="9"/>
      <c r="AA266" s="9"/>
      <c r="AB266" s="9"/>
      <c r="AC266" s="9"/>
    </row>
    <row r="267" spans="1:29" ht="14.4">
      <c r="A267" s="9"/>
      <c r="B267" s="9"/>
      <c r="C267" s="14"/>
      <c r="D267" s="13" t="s">
        <v>187</v>
      </c>
      <c r="E267" s="9"/>
      <c r="F267" s="9"/>
      <c r="H267" s="9"/>
      <c r="I267" s="9"/>
      <c r="J267" s="9"/>
      <c r="K267" s="9"/>
      <c r="L267" s="9"/>
      <c r="M267" s="9"/>
      <c r="N267" s="9"/>
      <c r="O267" s="9"/>
      <c r="P267" s="9"/>
      <c r="Q267" s="9"/>
      <c r="R267" s="9"/>
      <c r="S267" s="9"/>
      <c r="T267" s="9"/>
      <c r="U267" s="9"/>
      <c r="V267" s="9"/>
      <c r="W267" s="9"/>
      <c r="X267" s="9"/>
      <c r="Y267" s="9"/>
      <c r="Z267" s="9"/>
      <c r="AA267" s="9"/>
      <c r="AB267" s="9"/>
      <c r="AC267" s="9"/>
    </row>
    <row r="268" spans="1:29" ht="14.4">
      <c r="A268" s="9"/>
      <c r="B268" s="9"/>
      <c r="C268" s="14"/>
      <c r="D268" s="13" t="s">
        <v>188</v>
      </c>
      <c r="E268" s="9" t="s">
        <v>10</v>
      </c>
      <c r="F268" s="9" t="s">
        <v>189</v>
      </c>
      <c r="H268" s="9"/>
      <c r="I268" s="9"/>
      <c r="J268" s="9"/>
      <c r="K268" s="9"/>
      <c r="L268" s="9"/>
      <c r="M268" s="9"/>
      <c r="N268" s="9"/>
      <c r="O268" s="9"/>
      <c r="P268" s="9"/>
      <c r="Q268" s="9"/>
      <c r="R268" s="9"/>
      <c r="S268" s="9"/>
      <c r="T268" s="9"/>
      <c r="U268" s="9"/>
      <c r="V268" s="9"/>
      <c r="W268" s="9"/>
      <c r="X268" s="9"/>
      <c r="Y268" s="9"/>
      <c r="Z268" s="9"/>
      <c r="AA268" s="9"/>
      <c r="AB268" s="9"/>
      <c r="AC268" s="9"/>
    </row>
    <row r="269" spans="1:29" ht="14.4">
      <c r="A269" s="9"/>
      <c r="B269" s="9"/>
      <c r="C269" s="14"/>
      <c r="D269" s="13" t="s">
        <v>190</v>
      </c>
      <c r="E269" s="9" t="s">
        <v>10</v>
      </c>
      <c r="F269" s="9" t="s">
        <v>189</v>
      </c>
      <c r="H269" s="9"/>
      <c r="I269" s="9"/>
      <c r="J269" s="9"/>
      <c r="K269" s="9"/>
      <c r="L269" s="9"/>
      <c r="M269" s="9"/>
      <c r="N269" s="9"/>
      <c r="O269" s="9"/>
      <c r="P269" s="9"/>
      <c r="Q269" s="9"/>
      <c r="R269" s="9"/>
      <c r="S269" s="9"/>
      <c r="T269" s="9"/>
      <c r="U269" s="9"/>
      <c r="V269" s="9"/>
      <c r="W269" s="9"/>
      <c r="X269" s="9"/>
      <c r="Y269" s="9"/>
      <c r="Z269" s="9"/>
      <c r="AA269" s="9"/>
      <c r="AB269" s="9"/>
      <c r="AC269" s="9"/>
    </row>
    <row r="270" spans="1:29" ht="14.4">
      <c r="A270" s="9"/>
      <c r="B270" s="9"/>
      <c r="C270" s="14"/>
      <c r="D270" s="13" t="s">
        <v>191</v>
      </c>
      <c r="E270" s="9" t="s">
        <v>10</v>
      </c>
      <c r="F270" s="9" t="s">
        <v>189</v>
      </c>
      <c r="H270" s="9"/>
      <c r="I270" s="9"/>
      <c r="J270" s="9"/>
      <c r="K270" s="9"/>
      <c r="L270" s="9"/>
      <c r="M270" s="9"/>
      <c r="N270" s="9"/>
      <c r="O270" s="9"/>
      <c r="P270" s="9"/>
      <c r="Q270" s="9"/>
      <c r="R270" s="9"/>
      <c r="S270" s="9"/>
      <c r="T270" s="9"/>
      <c r="U270" s="9"/>
      <c r="V270" s="9"/>
      <c r="W270" s="9"/>
      <c r="X270" s="9"/>
      <c r="Y270" s="9"/>
      <c r="Z270" s="9"/>
      <c r="AA270" s="9"/>
      <c r="AB270" s="9"/>
      <c r="AC270" s="9"/>
    </row>
    <row r="271" spans="1:29" ht="14.4">
      <c r="A271" s="9"/>
      <c r="B271" s="9"/>
      <c r="C271" s="14"/>
      <c r="D271" s="13" t="s">
        <v>192</v>
      </c>
      <c r="E271" s="9" t="s">
        <v>10</v>
      </c>
      <c r="F271" s="9" t="s">
        <v>189</v>
      </c>
      <c r="H271" s="9"/>
      <c r="I271" s="9"/>
      <c r="J271" s="9"/>
      <c r="K271" s="9"/>
      <c r="L271" s="9"/>
      <c r="M271" s="9"/>
      <c r="N271" s="9"/>
      <c r="O271" s="9"/>
      <c r="P271" s="9"/>
      <c r="Q271" s="9"/>
      <c r="R271" s="9"/>
      <c r="S271" s="9"/>
      <c r="T271" s="9"/>
      <c r="U271" s="9"/>
      <c r="V271" s="9"/>
      <c r="W271" s="9"/>
      <c r="X271" s="9"/>
      <c r="Y271" s="9"/>
      <c r="Z271" s="9"/>
      <c r="AA271" s="9"/>
      <c r="AB271" s="9"/>
      <c r="AC271" s="9"/>
    </row>
    <row r="272" spans="1:29" ht="14.4">
      <c r="A272" s="9"/>
      <c r="B272" s="9"/>
      <c r="C272" s="14"/>
      <c r="D272" s="13" t="s">
        <v>193</v>
      </c>
      <c r="E272" s="9" t="s">
        <v>10</v>
      </c>
      <c r="F272" s="9" t="s">
        <v>189</v>
      </c>
      <c r="H272" s="9"/>
      <c r="I272" s="9"/>
      <c r="J272" s="9"/>
      <c r="K272" s="9"/>
      <c r="L272" s="9"/>
      <c r="M272" s="9"/>
      <c r="N272" s="9"/>
      <c r="O272" s="9"/>
      <c r="P272" s="9"/>
      <c r="Q272" s="9"/>
      <c r="R272" s="9"/>
      <c r="S272" s="9"/>
      <c r="T272" s="9"/>
      <c r="U272" s="9"/>
      <c r="V272" s="9"/>
      <c r="W272" s="9"/>
      <c r="X272" s="9"/>
      <c r="Y272" s="9"/>
      <c r="Z272" s="9"/>
      <c r="AA272" s="9"/>
      <c r="AB272" s="9"/>
      <c r="AC272" s="9"/>
    </row>
    <row r="273" spans="1:29" ht="14.4">
      <c r="A273" s="9"/>
      <c r="B273" s="9"/>
      <c r="C273" s="14"/>
      <c r="D273" s="13" t="s">
        <v>194</v>
      </c>
      <c r="E273" s="9" t="s">
        <v>10</v>
      </c>
      <c r="F273" s="9" t="s">
        <v>189</v>
      </c>
      <c r="H273" s="9"/>
      <c r="I273" s="9"/>
      <c r="J273" s="9"/>
      <c r="K273" s="9"/>
      <c r="L273" s="9"/>
      <c r="M273" s="9"/>
      <c r="N273" s="9"/>
      <c r="O273" s="9"/>
      <c r="P273" s="9"/>
      <c r="Q273" s="9"/>
      <c r="R273" s="9"/>
      <c r="S273" s="9"/>
      <c r="T273" s="9"/>
      <c r="U273" s="9"/>
      <c r="V273" s="9"/>
      <c r="W273" s="9"/>
      <c r="X273" s="9"/>
      <c r="Y273" s="9"/>
      <c r="Z273" s="9"/>
      <c r="AA273" s="9"/>
      <c r="AB273" s="9"/>
      <c r="AC273" s="9"/>
    </row>
    <row r="274" spans="1:29" ht="14.4">
      <c r="A274" s="9"/>
      <c r="B274" s="9"/>
      <c r="C274" s="14"/>
      <c r="D274" s="13" t="s">
        <v>195</v>
      </c>
      <c r="E274" s="9" t="s">
        <v>10</v>
      </c>
      <c r="F274" s="9" t="s">
        <v>189</v>
      </c>
      <c r="H274" s="9"/>
      <c r="I274" s="9"/>
      <c r="J274" s="9"/>
      <c r="K274" s="9"/>
      <c r="L274" s="9"/>
      <c r="M274" s="9"/>
      <c r="N274" s="9"/>
      <c r="O274" s="9"/>
      <c r="P274" s="9"/>
      <c r="Q274" s="9"/>
      <c r="R274" s="9"/>
      <c r="S274" s="9"/>
      <c r="T274" s="9"/>
      <c r="U274" s="9"/>
      <c r="V274" s="9"/>
      <c r="W274" s="9"/>
      <c r="X274" s="9"/>
      <c r="Y274" s="9"/>
      <c r="Z274" s="9"/>
      <c r="AA274" s="9"/>
      <c r="AB274" s="9"/>
      <c r="AC274" s="9"/>
    </row>
    <row r="275" spans="1:29" ht="14.4">
      <c r="A275" s="9"/>
      <c r="B275" s="9"/>
      <c r="C275" s="14"/>
      <c r="D275" s="13" t="s">
        <v>196</v>
      </c>
      <c r="E275" s="9" t="s">
        <v>10</v>
      </c>
      <c r="F275" s="9" t="s">
        <v>189</v>
      </c>
      <c r="H275" s="9"/>
      <c r="I275" s="9"/>
      <c r="J275" s="9"/>
      <c r="K275" s="9"/>
      <c r="L275" s="9"/>
      <c r="M275" s="9"/>
      <c r="N275" s="9"/>
      <c r="O275" s="9"/>
      <c r="P275" s="9"/>
      <c r="Q275" s="9"/>
      <c r="R275" s="9"/>
      <c r="S275" s="9"/>
      <c r="T275" s="9"/>
      <c r="U275" s="9"/>
      <c r="V275" s="9"/>
      <c r="W275" s="9"/>
      <c r="X275" s="9"/>
      <c r="Y275" s="9"/>
      <c r="Z275" s="9"/>
      <c r="AA275" s="9"/>
      <c r="AB275" s="9"/>
      <c r="AC275" s="9"/>
    </row>
    <row r="276" spans="1:29" ht="14.4">
      <c r="A276" s="9"/>
      <c r="B276" s="9"/>
      <c r="C276" s="14"/>
      <c r="D276" s="13" t="s">
        <v>197</v>
      </c>
      <c r="E276" s="9" t="s">
        <v>10</v>
      </c>
      <c r="F276" s="9" t="s">
        <v>189</v>
      </c>
      <c r="H276" s="9"/>
      <c r="I276" s="9"/>
      <c r="J276" s="9"/>
      <c r="K276" s="9"/>
      <c r="L276" s="9"/>
      <c r="M276" s="9"/>
      <c r="N276" s="9"/>
      <c r="O276" s="9"/>
      <c r="P276" s="9"/>
      <c r="Q276" s="9"/>
      <c r="R276" s="9"/>
      <c r="S276" s="9"/>
      <c r="T276" s="9"/>
      <c r="U276" s="9"/>
      <c r="V276" s="9"/>
      <c r="W276" s="9"/>
      <c r="X276" s="9"/>
      <c r="Y276" s="9"/>
      <c r="Z276" s="9"/>
      <c r="AA276" s="9"/>
      <c r="AB276" s="9"/>
      <c r="AC276" s="9"/>
    </row>
    <row r="277" spans="1:29" ht="14.4">
      <c r="A277" s="9"/>
      <c r="B277" s="9"/>
      <c r="C277" s="14"/>
      <c r="D277" s="13" t="s">
        <v>198</v>
      </c>
      <c r="E277" s="9" t="s">
        <v>10</v>
      </c>
      <c r="F277" s="9" t="s">
        <v>189</v>
      </c>
      <c r="H277" s="9"/>
      <c r="I277" s="9"/>
      <c r="J277" s="9"/>
      <c r="K277" s="9"/>
      <c r="L277" s="9"/>
      <c r="M277" s="9"/>
      <c r="N277" s="9"/>
      <c r="O277" s="9"/>
      <c r="P277" s="9"/>
      <c r="Q277" s="9"/>
      <c r="R277" s="9"/>
      <c r="S277" s="9"/>
      <c r="T277" s="9"/>
      <c r="U277" s="9"/>
      <c r="V277" s="9"/>
      <c r="W277" s="9"/>
      <c r="X277" s="9"/>
      <c r="Y277" s="9"/>
      <c r="Z277" s="9"/>
      <c r="AA277" s="9"/>
      <c r="AB277" s="9"/>
      <c r="AC277" s="9"/>
    </row>
    <row r="278" spans="1:29" ht="14.4">
      <c r="A278" s="9"/>
      <c r="B278" s="9"/>
      <c r="C278" s="14"/>
      <c r="D278" s="13" t="s">
        <v>199</v>
      </c>
      <c r="E278" s="9" t="s">
        <v>9</v>
      </c>
      <c r="F278" s="9" t="s">
        <v>189</v>
      </c>
      <c r="H278" s="9"/>
      <c r="I278" s="9"/>
      <c r="J278" s="9"/>
      <c r="K278" s="9"/>
      <c r="L278" s="9"/>
      <c r="M278" s="9"/>
      <c r="N278" s="9"/>
      <c r="O278" s="9"/>
      <c r="P278" s="9"/>
      <c r="Q278" s="9"/>
      <c r="R278" s="9"/>
      <c r="S278" s="9"/>
      <c r="T278" s="9"/>
      <c r="U278" s="9"/>
      <c r="V278" s="9"/>
      <c r="W278" s="9"/>
      <c r="X278" s="9"/>
      <c r="Y278" s="9"/>
      <c r="Z278" s="9"/>
      <c r="AA278" s="9"/>
      <c r="AB278" s="9"/>
      <c r="AC278" s="9"/>
    </row>
    <row r="279" spans="1:29" ht="14.4">
      <c r="A279" s="9"/>
      <c r="B279" s="9"/>
      <c r="C279" s="14"/>
      <c r="D279" s="13" t="s">
        <v>200</v>
      </c>
      <c r="E279" s="9" t="s">
        <v>9</v>
      </c>
      <c r="F279" s="9" t="s">
        <v>189</v>
      </c>
      <c r="H279" s="9"/>
      <c r="I279" s="9"/>
      <c r="J279" s="9"/>
      <c r="K279" s="9"/>
      <c r="L279" s="9"/>
      <c r="M279" s="9"/>
      <c r="N279" s="9"/>
      <c r="O279" s="9"/>
      <c r="P279" s="9"/>
      <c r="Q279" s="9"/>
      <c r="R279" s="9"/>
      <c r="S279" s="9"/>
      <c r="T279" s="9"/>
      <c r="U279" s="9"/>
      <c r="V279" s="9"/>
      <c r="W279" s="9"/>
      <c r="X279" s="9"/>
      <c r="Y279" s="9"/>
      <c r="Z279" s="9"/>
      <c r="AA279" s="9"/>
      <c r="AB279" s="9"/>
      <c r="AC279" s="9"/>
    </row>
    <row r="280" spans="1:29" ht="14.4">
      <c r="A280" s="9"/>
      <c r="B280" s="9"/>
      <c r="C280" s="14"/>
      <c r="D280" s="13" t="s">
        <v>201</v>
      </c>
      <c r="E280" s="9" t="s">
        <v>9</v>
      </c>
      <c r="F280" s="9" t="s">
        <v>189</v>
      </c>
      <c r="H280" s="9"/>
      <c r="I280" s="9"/>
      <c r="J280" s="9"/>
      <c r="K280" s="9"/>
      <c r="L280" s="9"/>
      <c r="M280" s="9"/>
      <c r="N280" s="9"/>
      <c r="O280" s="9"/>
      <c r="P280" s="9"/>
      <c r="Q280" s="9"/>
      <c r="R280" s="9"/>
      <c r="S280" s="9"/>
      <c r="T280" s="9"/>
      <c r="U280" s="9"/>
      <c r="V280" s="9"/>
      <c r="W280" s="9"/>
      <c r="X280" s="9"/>
      <c r="Y280" s="9"/>
      <c r="Z280" s="9"/>
      <c r="AA280" s="9"/>
      <c r="AB280" s="9"/>
      <c r="AC280" s="9"/>
    </row>
    <row r="281" spans="1:29" ht="14.4">
      <c r="A281" s="9"/>
      <c r="B281" s="9"/>
      <c r="C281" s="14"/>
      <c r="D281" s="13" t="s">
        <v>202</v>
      </c>
      <c r="E281" s="9" t="s">
        <v>9</v>
      </c>
      <c r="F281" s="9" t="s">
        <v>189</v>
      </c>
      <c r="H281" s="9"/>
      <c r="I281" s="9"/>
      <c r="J281" s="9"/>
      <c r="K281" s="9"/>
      <c r="L281" s="9"/>
      <c r="M281" s="9"/>
      <c r="N281" s="9"/>
      <c r="O281" s="9"/>
      <c r="P281" s="9"/>
      <c r="Q281" s="9"/>
      <c r="R281" s="9"/>
      <c r="S281" s="9"/>
      <c r="T281" s="9"/>
      <c r="U281" s="9"/>
      <c r="V281" s="9"/>
      <c r="W281" s="9"/>
      <c r="X281" s="9"/>
      <c r="Y281" s="9"/>
      <c r="Z281" s="9"/>
      <c r="AA281" s="9"/>
      <c r="AB281" s="9"/>
      <c r="AC281" s="9"/>
    </row>
    <row r="282" spans="1:29" ht="14.4">
      <c r="A282" s="9"/>
      <c r="B282" s="9"/>
      <c r="C282" s="14"/>
      <c r="D282" s="13" t="s">
        <v>203</v>
      </c>
      <c r="E282" s="9" t="s">
        <v>9</v>
      </c>
      <c r="F282" s="9" t="s">
        <v>189</v>
      </c>
      <c r="H282" s="9"/>
      <c r="I282" s="9"/>
      <c r="J282" s="9"/>
      <c r="K282" s="9"/>
      <c r="L282" s="9"/>
      <c r="M282" s="9"/>
      <c r="N282" s="9"/>
      <c r="O282" s="9"/>
      <c r="P282" s="9"/>
      <c r="Q282" s="9"/>
      <c r="R282" s="9"/>
      <c r="S282" s="9"/>
      <c r="T282" s="9"/>
      <c r="U282" s="9"/>
      <c r="V282" s="9"/>
      <c r="W282" s="9"/>
      <c r="X282" s="9"/>
      <c r="Y282" s="9"/>
      <c r="Z282" s="9"/>
      <c r="AA282" s="9"/>
      <c r="AB282" s="9"/>
      <c r="AC282" s="9"/>
    </row>
    <row r="283" spans="1:29" ht="14.4">
      <c r="A283" s="9"/>
      <c r="B283" s="9"/>
      <c r="C283" s="14"/>
      <c r="D283" s="13" t="s">
        <v>204</v>
      </c>
      <c r="E283" s="9" t="s">
        <v>9</v>
      </c>
      <c r="F283" s="9" t="s">
        <v>189</v>
      </c>
      <c r="H283" s="9"/>
      <c r="I283" s="9"/>
      <c r="J283" s="9"/>
      <c r="K283" s="9"/>
      <c r="L283" s="9"/>
      <c r="M283" s="9"/>
      <c r="N283" s="9"/>
      <c r="O283" s="9"/>
      <c r="P283" s="9"/>
      <c r="Q283" s="9"/>
      <c r="R283" s="9"/>
      <c r="S283" s="9"/>
      <c r="T283" s="9"/>
      <c r="U283" s="9"/>
      <c r="V283" s="9"/>
      <c r="W283" s="9"/>
      <c r="X283" s="9"/>
      <c r="Y283" s="9"/>
      <c r="Z283" s="9"/>
      <c r="AA283" s="9"/>
      <c r="AB283" s="9"/>
      <c r="AC283" s="9"/>
    </row>
    <row r="284" spans="1:29" ht="14.4">
      <c r="A284" s="9"/>
      <c r="B284" s="9"/>
      <c r="C284" s="14"/>
      <c r="D284" s="13" t="s">
        <v>205</v>
      </c>
      <c r="E284" s="9" t="s">
        <v>9</v>
      </c>
      <c r="F284" s="9" t="s">
        <v>189</v>
      </c>
      <c r="H284" s="9"/>
      <c r="I284" s="9"/>
      <c r="J284" s="9"/>
      <c r="K284" s="9"/>
      <c r="L284" s="9"/>
      <c r="M284" s="9"/>
      <c r="N284" s="9"/>
      <c r="O284" s="9"/>
      <c r="P284" s="9"/>
      <c r="Q284" s="9"/>
      <c r="R284" s="9"/>
      <c r="S284" s="9"/>
      <c r="T284" s="9"/>
      <c r="U284" s="9"/>
      <c r="V284" s="9"/>
      <c r="W284" s="9"/>
      <c r="X284" s="9"/>
      <c r="Y284" s="9"/>
      <c r="Z284" s="9"/>
      <c r="AA284" s="9"/>
      <c r="AB284" s="9"/>
      <c r="AC284" s="9"/>
    </row>
    <row r="285" spans="1:29" ht="14.4">
      <c r="A285" s="9"/>
      <c r="B285" s="9"/>
      <c r="C285" s="14"/>
      <c r="D285" s="13" t="s">
        <v>206</v>
      </c>
      <c r="E285" s="9" t="s">
        <v>9</v>
      </c>
      <c r="F285" s="9" t="s">
        <v>189</v>
      </c>
      <c r="H285" s="9"/>
      <c r="I285" s="9"/>
      <c r="J285" s="9"/>
      <c r="K285" s="9"/>
      <c r="L285" s="9"/>
      <c r="M285" s="9"/>
      <c r="N285" s="9"/>
      <c r="O285" s="9"/>
      <c r="P285" s="9"/>
      <c r="Q285" s="9"/>
      <c r="R285" s="9"/>
      <c r="S285" s="9"/>
      <c r="T285" s="9"/>
      <c r="U285" s="9"/>
      <c r="V285" s="9"/>
      <c r="W285" s="9"/>
      <c r="X285" s="9"/>
      <c r="Y285" s="9"/>
      <c r="Z285" s="9"/>
      <c r="AA285" s="9"/>
      <c r="AB285" s="9"/>
      <c r="AC285" s="9"/>
    </row>
    <row r="286" spans="1:29" ht="14.4">
      <c r="A286" s="9"/>
      <c r="B286" s="9"/>
      <c r="C286" s="14"/>
      <c r="D286" s="13" t="s">
        <v>207</v>
      </c>
      <c r="E286" s="9" t="s">
        <v>75</v>
      </c>
      <c r="F286" s="9" t="s">
        <v>189</v>
      </c>
      <c r="H286" s="9"/>
      <c r="I286" s="9"/>
      <c r="J286" s="9"/>
      <c r="K286" s="9"/>
      <c r="L286" s="9"/>
      <c r="M286" s="9"/>
      <c r="N286" s="9"/>
      <c r="O286" s="9"/>
      <c r="P286" s="9"/>
      <c r="Q286" s="9"/>
      <c r="R286" s="9"/>
      <c r="S286" s="9"/>
      <c r="T286" s="9"/>
      <c r="U286" s="9"/>
      <c r="V286" s="9"/>
      <c r="W286" s="9"/>
      <c r="X286" s="9"/>
      <c r="Y286" s="9"/>
      <c r="Z286" s="9"/>
      <c r="AA286" s="9"/>
      <c r="AB286" s="9"/>
      <c r="AC286" s="9"/>
    </row>
    <row r="287" spans="1:29" ht="14.4">
      <c r="A287" s="9"/>
      <c r="B287" s="9"/>
      <c r="C287" s="14"/>
      <c r="D287" s="13" t="s">
        <v>208</v>
      </c>
      <c r="E287" s="7" t="s">
        <v>14</v>
      </c>
      <c r="F287" s="9" t="s">
        <v>189</v>
      </c>
      <c r="H287" s="9"/>
      <c r="I287" s="9"/>
      <c r="J287" s="9"/>
      <c r="K287" s="9"/>
      <c r="L287" s="9"/>
      <c r="M287" s="9"/>
      <c r="N287" s="9"/>
      <c r="O287" s="9"/>
      <c r="P287" s="9"/>
      <c r="Q287" s="9"/>
      <c r="R287" s="9"/>
      <c r="S287" s="9"/>
      <c r="T287" s="9"/>
      <c r="U287" s="9"/>
      <c r="V287" s="9"/>
      <c r="W287" s="9"/>
      <c r="X287" s="9"/>
      <c r="Y287" s="9"/>
      <c r="Z287" s="9"/>
      <c r="AA287" s="9"/>
      <c r="AB287" s="9"/>
      <c r="AC287" s="9"/>
    </row>
    <row r="288" spans="1:29" ht="14.4">
      <c r="A288" s="9"/>
      <c r="B288" s="9"/>
      <c r="C288" s="14"/>
      <c r="D288" s="13" t="s">
        <v>209</v>
      </c>
      <c r="E288" s="7" t="s">
        <v>14</v>
      </c>
      <c r="F288" s="9" t="s">
        <v>189</v>
      </c>
      <c r="H288" s="9"/>
      <c r="I288" s="9"/>
      <c r="J288" s="9"/>
      <c r="K288" s="9"/>
      <c r="L288" s="9"/>
      <c r="M288" s="9"/>
      <c r="N288" s="9"/>
      <c r="O288" s="9"/>
      <c r="P288" s="9"/>
      <c r="Q288" s="9"/>
      <c r="R288" s="9"/>
      <c r="S288" s="9"/>
      <c r="T288" s="9"/>
      <c r="U288" s="9"/>
      <c r="V288" s="9"/>
      <c r="W288" s="9"/>
      <c r="X288" s="9"/>
      <c r="Y288" s="9"/>
      <c r="Z288" s="9"/>
      <c r="AA288" s="9"/>
      <c r="AB288" s="9"/>
      <c r="AC288" s="9"/>
    </row>
    <row r="289" spans="1:29" ht="14.4">
      <c r="A289" s="9"/>
      <c r="B289" s="9"/>
      <c r="C289" s="14"/>
      <c r="D289" s="13" t="s">
        <v>210</v>
      </c>
      <c r="E289" s="7" t="s">
        <v>14</v>
      </c>
      <c r="F289" s="9" t="s">
        <v>189</v>
      </c>
      <c r="H289" s="9"/>
      <c r="I289" s="9"/>
      <c r="J289" s="9"/>
      <c r="K289" s="9"/>
      <c r="L289" s="9"/>
      <c r="M289" s="9"/>
      <c r="N289" s="9"/>
      <c r="O289" s="9"/>
      <c r="P289" s="9"/>
      <c r="Q289" s="9"/>
      <c r="R289" s="9"/>
      <c r="S289" s="9"/>
      <c r="T289" s="9"/>
      <c r="U289" s="9"/>
      <c r="V289" s="9"/>
      <c r="W289" s="9"/>
      <c r="X289" s="9"/>
      <c r="Y289" s="9"/>
      <c r="Z289" s="9"/>
      <c r="AA289" s="9"/>
      <c r="AB289" s="9"/>
      <c r="AC289" s="9"/>
    </row>
    <row r="290" spans="1:29" ht="14.4">
      <c r="A290" s="9"/>
      <c r="B290" s="9"/>
      <c r="C290" s="14"/>
      <c r="D290" s="13" t="s">
        <v>211</v>
      </c>
      <c r="E290" s="7" t="s">
        <v>14</v>
      </c>
      <c r="F290" s="9" t="s">
        <v>189</v>
      </c>
      <c r="H290" s="9"/>
      <c r="I290" s="9"/>
      <c r="J290" s="9"/>
      <c r="K290" s="9"/>
      <c r="L290" s="9"/>
      <c r="M290" s="9"/>
      <c r="N290" s="9"/>
      <c r="O290" s="9"/>
      <c r="P290" s="9"/>
      <c r="Q290" s="9"/>
      <c r="R290" s="9"/>
      <c r="S290" s="9"/>
      <c r="T290" s="9"/>
      <c r="U290" s="9"/>
      <c r="V290" s="9"/>
      <c r="W290" s="9"/>
      <c r="X290" s="9"/>
      <c r="Y290" s="9"/>
      <c r="Z290" s="9"/>
      <c r="AA290" s="9"/>
      <c r="AB290" s="9"/>
      <c r="AC290" s="9"/>
    </row>
    <row r="291" spans="1:29" ht="14.4">
      <c r="A291" s="9"/>
      <c r="B291" s="9"/>
      <c r="C291" s="14"/>
      <c r="D291" s="13" t="s">
        <v>212</v>
      </c>
      <c r="E291" s="7" t="s">
        <v>14</v>
      </c>
      <c r="F291" s="9" t="s">
        <v>189</v>
      </c>
      <c r="H291" s="9"/>
      <c r="I291" s="9"/>
      <c r="J291" s="9"/>
      <c r="K291" s="9"/>
      <c r="L291" s="9"/>
      <c r="M291" s="9"/>
      <c r="N291" s="9"/>
      <c r="O291" s="9"/>
      <c r="P291" s="9"/>
      <c r="Q291" s="9"/>
      <c r="R291" s="9"/>
      <c r="S291" s="9"/>
      <c r="T291" s="9"/>
      <c r="U291" s="9"/>
      <c r="V291" s="9"/>
      <c r="W291" s="9"/>
      <c r="X291" s="9"/>
      <c r="Y291" s="9"/>
      <c r="Z291" s="9"/>
      <c r="AA291" s="9"/>
      <c r="AB291" s="9"/>
      <c r="AC291" s="9"/>
    </row>
    <row r="292" spans="1:29" ht="14.4">
      <c r="A292" s="9"/>
      <c r="B292" s="9"/>
      <c r="C292" s="14"/>
      <c r="D292" s="13" t="s">
        <v>213</v>
      </c>
      <c r="E292" s="7" t="s">
        <v>14</v>
      </c>
      <c r="F292" s="9" t="s">
        <v>189</v>
      </c>
      <c r="H292" s="9"/>
      <c r="I292" s="9"/>
      <c r="J292" s="9"/>
      <c r="K292" s="9"/>
      <c r="L292" s="9"/>
      <c r="M292" s="9"/>
      <c r="N292" s="9"/>
      <c r="O292" s="9"/>
      <c r="P292" s="9"/>
      <c r="Q292" s="9"/>
      <c r="R292" s="9"/>
      <c r="S292" s="9"/>
      <c r="T292" s="9"/>
      <c r="U292" s="9"/>
      <c r="V292" s="9"/>
      <c r="W292" s="9"/>
      <c r="X292" s="9"/>
      <c r="Y292" s="9"/>
      <c r="Z292" s="9"/>
      <c r="AA292" s="9"/>
      <c r="AB292" s="9"/>
      <c r="AC292" s="9"/>
    </row>
    <row r="293" spans="1:29" ht="14.4">
      <c r="A293" s="9"/>
      <c r="B293" s="9"/>
      <c r="C293" s="14"/>
      <c r="D293" s="13" t="s">
        <v>214</v>
      </c>
      <c r="E293" s="7" t="s">
        <v>14</v>
      </c>
      <c r="F293" s="9" t="s">
        <v>189</v>
      </c>
      <c r="H293" s="9"/>
      <c r="I293" s="9"/>
      <c r="J293" s="9"/>
      <c r="K293" s="9"/>
      <c r="L293" s="9"/>
      <c r="M293" s="9"/>
      <c r="N293" s="9"/>
      <c r="O293" s="9"/>
      <c r="P293" s="9"/>
      <c r="Q293" s="9"/>
      <c r="R293" s="9"/>
      <c r="S293" s="9"/>
      <c r="T293" s="9"/>
      <c r="U293" s="9"/>
      <c r="V293" s="9"/>
      <c r="W293" s="9"/>
      <c r="X293" s="9"/>
      <c r="Y293" s="9"/>
      <c r="Z293" s="9"/>
      <c r="AA293" s="9"/>
      <c r="AB293" s="9"/>
      <c r="AC293" s="9"/>
    </row>
    <row r="294" spans="1:29" ht="14.4">
      <c r="A294" s="9"/>
      <c r="B294" s="9"/>
      <c r="C294" s="14"/>
      <c r="D294" s="13" t="s">
        <v>215</v>
      </c>
      <c r="E294" s="7" t="s">
        <v>14</v>
      </c>
      <c r="F294" s="9" t="s">
        <v>189</v>
      </c>
      <c r="H294" s="9"/>
      <c r="I294" s="9"/>
      <c r="J294" s="9"/>
      <c r="K294" s="9"/>
      <c r="L294" s="9"/>
      <c r="M294" s="9"/>
      <c r="N294" s="9"/>
      <c r="O294" s="9"/>
      <c r="P294" s="9"/>
      <c r="Q294" s="9"/>
      <c r="R294" s="9"/>
      <c r="S294" s="9"/>
      <c r="T294" s="9"/>
      <c r="U294" s="9"/>
      <c r="V294" s="9"/>
      <c r="W294" s="9"/>
      <c r="X294" s="9"/>
      <c r="Y294" s="9"/>
      <c r="Z294" s="9"/>
      <c r="AA294" s="9"/>
      <c r="AB294" s="9"/>
      <c r="AC294" s="9"/>
    </row>
    <row r="295" spans="1:29" ht="14.4">
      <c r="A295" s="9"/>
      <c r="B295" s="9"/>
      <c r="C295" s="14"/>
      <c r="D295" s="13" t="s">
        <v>216</v>
      </c>
      <c r="E295" s="7" t="s">
        <v>14</v>
      </c>
      <c r="F295" s="9" t="s">
        <v>189</v>
      </c>
      <c r="H295" s="9"/>
      <c r="I295" s="9"/>
      <c r="J295" s="9"/>
      <c r="K295" s="9"/>
      <c r="L295" s="9"/>
      <c r="M295" s="9"/>
      <c r="N295" s="9"/>
      <c r="O295" s="9"/>
      <c r="P295" s="9"/>
      <c r="Q295" s="9"/>
      <c r="R295" s="9"/>
      <c r="S295" s="9"/>
      <c r="T295" s="9"/>
      <c r="U295" s="9"/>
      <c r="V295" s="9"/>
      <c r="W295" s="9"/>
      <c r="X295" s="9"/>
      <c r="Y295" s="9"/>
      <c r="Z295" s="9"/>
      <c r="AA295" s="9"/>
      <c r="AB295" s="9"/>
      <c r="AC295" s="9"/>
    </row>
    <row r="296" spans="1:29" ht="14.4">
      <c r="A296" s="9"/>
      <c r="B296" s="9"/>
      <c r="C296" s="14"/>
      <c r="D296" s="13" t="s">
        <v>217</v>
      </c>
      <c r="E296" s="9" t="s">
        <v>24</v>
      </c>
      <c r="F296" s="9" t="s">
        <v>189</v>
      </c>
      <c r="H296" s="9"/>
      <c r="I296" s="9"/>
      <c r="J296" s="9"/>
      <c r="K296" s="9"/>
      <c r="L296" s="9"/>
      <c r="M296" s="9"/>
      <c r="N296" s="9"/>
      <c r="O296" s="9"/>
      <c r="P296" s="9"/>
      <c r="Q296" s="9"/>
      <c r="R296" s="9"/>
      <c r="S296" s="9"/>
      <c r="T296" s="9"/>
      <c r="U296" s="9"/>
      <c r="V296" s="9"/>
      <c r="W296" s="9"/>
      <c r="X296" s="9"/>
      <c r="Y296" s="9"/>
      <c r="Z296" s="9"/>
      <c r="AA296" s="9"/>
      <c r="AB296" s="9"/>
      <c r="AC296" s="9"/>
    </row>
    <row r="297" spans="1:29" ht="14.4">
      <c r="A297" s="9"/>
      <c r="B297" s="9"/>
      <c r="C297" s="14"/>
      <c r="D297" s="13" t="s">
        <v>218</v>
      </c>
      <c r="E297" s="9" t="s">
        <v>69</v>
      </c>
      <c r="F297" s="9" t="s">
        <v>189</v>
      </c>
      <c r="H297" s="9"/>
      <c r="I297" s="9"/>
      <c r="J297" s="9"/>
      <c r="K297" s="9"/>
      <c r="L297" s="9"/>
      <c r="M297" s="9"/>
      <c r="N297" s="9"/>
      <c r="O297" s="9"/>
      <c r="P297" s="9"/>
      <c r="Q297" s="9"/>
      <c r="R297" s="9"/>
      <c r="S297" s="9"/>
      <c r="T297" s="9"/>
      <c r="U297" s="9"/>
      <c r="V297" s="9"/>
      <c r="W297" s="9"/>
      <c r="X297" s="9"/>
      <c r="Y297" s="9"/>
      <c r="Z297" s="9"/>
      <c r="AA297" s="9"/>
      <c r="AB297" s="9"/>
      <c r="AC297" s="9"/>
    </row>
    <row r="298" spans="1:29" ht="14.4">
      <c r="A298" s="9"/>
      <c r="B298" s="9"/>
      <c r="C298" s="14"/>
      <c r="D298" s="13" t="s">
        <v>219</v>
      </c>
      <c r="E298" s="9" t="s">
        <v>69</v>
      </c>
      <c r="F298" s="9" t="s">
        <v>189</v>
      </c>
      <c r="H298" s="9"/>
      <c r="I298" s="9"/>
      <c r="J298" s="9"/>
      <c r="K298" s="9"/>
      <c r="L298" s="9"/>
      <c r="M298" s="9"/>
      <c r="N298" s="9"/>
      <c r="O298" s="9"/>
      <c r="P298" s="9"/>
      <c r="Q298" s="9"/>
      <c r="R298" s="9"/>
      <c r="S298" s="9"/>
      <c r="T298" s="9"/>
      <c r="U298" s="9"/>
      <c r="V298" s="9"/>
      <c r="W298" s="9"/>
      <c r="X298" s="9"/>
      <c r="Y298" s="9"/>
      <c r="Z298" s="9"/>
      <c r="AA298" s="9"/>
      <c r="AB298" s="9"/>
      <c r="AC298" s="9"/>
    </row>
    <row r="299" spans="1:29" ht="14.4">
      <c r="A299" s="9"/>
      <c r="B299" s="9"/>
      <c r="C299" s="14"/>
      <c r="D299" s="13" t="s">
        <v>220</v>
      </c>
      <c r="E299" s="9" t="s">
        <v>54</v>
      </c>
      <c r="F299" s="9" t="s">
        <v>189</v>
      </c>
      <c r="H299" s="9"/>
      <c r="I299" s="9"/>
      <c r="J299" s="9"/>
      <c r="K299" s="9"/>
      <c r="L299" s="9"/>
      <c r="M299" s="9"/>
      <c r="N299" s="9"/>
      <c r="O299" s="9"/>
      <c r="P299" s="9"/>
      <c r="Q299" s="9"/>
      <c r="R299" s="9"/>
      <c r="S299" s="9"/>
      <c r="T299" s="9"/>
      <c r="U299" s="9"/>
      <c r="V299" s="9"/>
      <c r="W299" s="9"/>
      <c r="X299" s="9"/>
      <c r="Y299" s="9"/>
      <c r="Z299" s="9"/>
      <c r="AA299" s="9"/>
      <c r="AB299" s="9"/>
      <c r="AC299" s="9"/>
    </row>
    <row r="300" spans="1:29" ht="14.4">
      <c r="A300" s="9"/>
      <c r="B300" s="9"/>
      <c r="C300" s="14"/>
      <c r="D300" s="13" t="s">
        <v>221</v>
      </c>
      <c r="E300" s="9" t="s">
        <v>69</v>
      </c>
      <c r="F300" s="9" t="s">
        <v>189</v>
      </c>
      <c r="H300" s="9"/>
      <c r="I300" s="9"/>
      <c r="J300" s="9"/>
      <c r="K300" s="9"/>
      <c r="L300" s="9"/>
      <c r="M300" s="9"/>
      <c r="N300" s="9"/>
      <c r="O300" s="9"/>
      <c r="P300" s="9"/>
      <c r="Q300" s="9"/>
      <c r="R300" s="9"/>
      <c r="S300" s="9"/>
      <c r="T300" s="9"/>
      <c r="U300" s="9"/>
      <c r="V300" s="9"/>
      <c r="W300" s="9"/>
      <c r="X300" s="9"/>
      <c r="Y300" s="9"/>
      <c r="Z300" s="9"/>
      <c r="AA300" s="9"/>
      <c r="AB300" s="9"/>
      <c r="AC300" s="9"/>
    </row>
    <row r="301" spans="1:29" ht="14.4">
      <c r="A301" s="9"/>
      <c r="B301" s="9"/>
      <c r="C301" s="14"/>
      <c r="D301" s="13" t="s">
        <v>222</v>
      </c>
      <c r="E301" s="9" t="s">
        <v>23</v>
      </c>
      <c r="F301" s="9" t="s">
        <v>189</v>
      </c>
      <c r="H301" s="9"/>
      <c r="I301" s="9"/>
      <c r="J301" s="9"/>
      <c r="K301" s="9"/>
      <c r="L301" s="9"/>
      <c r="M301" s="9"/>
      <c r="N301" s="9"/>
      <c r="O301" s="9"/>
      <c r="P301" s="9"/>
      <c r="Q301" s="9"/>
      <c r="R301" s="9"/>
      <c r="S301" s="9"/>
      <c r="T301" s="9"/>
      <c r="U301" s="9"/>
      <c r="V301" s="9"/>
      <c r="W301" s="9"/>
      <c r="X301" s="9"/>
      <c r="Y301" s="9"/>
      <c r="Z301" s="9"/>
      <c r="AA301" s="9"/>
      <c r="AB301" s="9"/>
      <c r="AC301" s="9"/>
    </row>
    <row r="302" spans="1:29" ht="14.4">
      <c r="A302" s="9"/>
      <c r="B302" s="9"/>
      <c r="C302" s="14"/>
      <c r="D302" s="13" t="s">
        <v>223</v>
      </c>
      <c r="E302" s="9" t="s">
        <v>23</v>
      </c>
      <c r="F302" s="9" t="s">
        <v>189</v>
      </c>
      <c r="H302" s="9"/>
      <c r="I302" s="9"/>
      <c r="J302" s="9"/>
      <c r="K302" s="9"/>
      <c r="L302" s="9"/>
      <c r="M302" s="9"/>
      <c r="N302" s="9"/>
      <c r="O302" s="9"/>
      <c r="P302" s="9"/>
      <c r="Q302" s="9"/>
      <c r="R302" s="9"/>
      <c r="S302" s="9"/>
      <c r="T302" s="9"/>
      <c r="U302" s="9"/>
      <c r="V302" s="9"/>
      <c r="W302" s="9"/>
      <c r="X302" s="9"/>
      <c r="Y302" s="9"/>
      <c r="Z302" s="9"/>
      <c r="AA302" s="9"/>
      <c r="AB302" s="9"/>
      <c r="AC302" s="9"/>
    </row>
    <row r="303" spans="1:29" ht="14.4">
      <c r="A303" s="9"/>
      <c r="B303" s="9"/>
      <c r="C303" s="14"/>
      <c r="D303" s="13" t="s">
        <v>224</v>
      </c>
      <c r="E303" s="7" t="s">
        <v>56</v>
      </c>
      <c r="F303" s="9" t="s">
        <v>189</v>
      </c>
      <c r="H303" s="9"/>
      <c r="I303" s="9"/>
      <c r="J303" s="9"/>
      <c r="K303" s="9"/>
      <c r="L303" s="9"/>
      <c r="M303" s="9"/>
      <c r="N303" s="9"/>
      <c r="O303" s="9"/>
      <c r="P303" s="9"/>
      <c r="Q303" s="9"/>
      <c r="R303" s="9"/>
      <c r="S303" s="9"/>
      <c r="T303" s="9"/>
      <c r="U303" s="9"/>
      <c r="V303" s="9"/>
      <c r="W303" s="9"/>
      <c r="X303" s="9"/>
      <c r="Y303" s="9"/>
      <c r="Z303" s="9"/>
      <c r="AA303" s="9"/>
      <c r="AB303" s="9"/>
      <c r="AC303" s="9"/>
    </row>
    <row r="304" spans="1:29" ht="14.4">
      <c r="A304" s="9"/>
      <c r="B304" s="9"/>
      <c r="C304" s="14"/>
      <c r="D304" s="13" t="s">
        <v>225</v>
      </c>
      <c r="E304" s="7" t="s">
        <v>81</v>
      </c>
      <c r="F304" s="9" t="s">
        <v>189</v>
      </c>
      <c r="H304" s="9"/>
      <c r="I304" s="9"/>
      <c r="J304" s="9"/>
      <c r="K304" s="9"/>
      <c r="L304" s="9"/>
      <c r="M304" s="9"/>
      <c r="N304" s="9"/>
      <c r="O304" s="9"/>
      <c r="P304" s="9"/>
      <c r="Q304" s="9"/>
      <c r="R304" s="9"/>
      <c r="S304" s="9"/>
      <c r="T304" s="9"/>
      <c r="U304" s="9"/>
      <c r="V304" s="9"/>
      <c r="W304" s="9"/>
      <c r="X304" s="9"/>
      <c r="Y304" s="9"/>
      <c r="Z304" s="9"/>
      <c r="AA304" s="9"/>
      <c r="AB304" s="9"/>
      <c r="AC304" s="9"/>
    </row>
    <row r="305" spans="1:29" ht="14.4">
      <c r="A305" s="9"/>
      <c r="B305" s="9"/>
      <c r="C305" s="14"/>
      <c r="D305" s="13" t="s">
        <v>226</v>
      </c>
      <c r="E305" s="9" t="s">
        <v>32</v>
      </c>
      <c r="F305" s="9" t="s">
        <v>189</v>
      </c>
      <c r="H305" s="9"/>
      <c r="I305" s="9"/>
      <c r="J305" s="9"/>
      <c r="K305" s="9"/>
      <c r="L305" s="9"/>
      <c r="M305" s="9"/>
      <c r="N305" s="9"/>
      <c r="O305" s="9"/>
      <c r="P305" s="9"/>
      <c r="Q305" s="9"/>
      <c r="R305" s="9"/>
      <c r="S305" s="9"/>
      <c r="T305" s="9"/>
      <c r="U305" s="9"/>
      <c r="V305" s="9"/>
      <c r="W305" s="9"/>
      <c r="X305" s="9"/>
      <c r="Y305" s="9"/>
      <c r="Z305" s="9"/>
      <c r="AA305" s="9"/>
      <c r="AB305" s="9"/>
      <c r="AC305" s="9"/>
    </row>
    <row r="306" spans="1:29" ht="14.4">
      <c r="A306" s="9"/>
      <c r="B306" s="9"/>
      <c r="C306" s="14"/>
      <c r="D306" s="13" t="s">
        <v>227</v>
      </c>
      <c r="E306" s="9" t="s">
        <v>54</v>
      </c>
      <c r="F306" s="9" t="s">
        <v>189</v>
      </c>
      <c r="H306" s="9"/>
      <c r="I306" s="9"/>
      <c r="J306" s="9"/>
      <c r="K306" s="9"/>
      <c r="L306" s="9"/>
      <c r="M306" s="9"/>
      <c r="N306" s="9"/>
      <c r="O306" s="9"/>
      <c r="P306" s="9"/>
      <c r="Q306" s="9"/>
      <c r="R306" s="9"/>
      <c r="S306" s="9"/>
      <c r="T306" s="9"/>
      <c r="U306" s="9"/>
      <c r="V306" s="9"/>
      <c r="W306" s="9"/>
      <c r="X306" s="9"/>
      <c r="Y306" s="9"/>
      <c r="Z306" s="9"/>
      <c r="AA306" s="9"/>
      <c r="AB306" s="9"/>
      <c r="AC306" s="9"/>
    </row>
    <row r="307" spans="1:29" ht="14.4">
      <c r="A307" s="9"/>
      <c r="B307" s="9"/>
      <c r="C307" s="14"/>
      <c r="D307" s="13" t="s">
        <v>228</v>
      </c>
      <c r="E307" s="9" t="s">
        <v>24</v>
      </c>
      <c r="F307" s="9" t="s">
        <v>189</v>
      </c>
      <c r="H307" s="9"/>
      <c r="I307" s="9"/>
      <c r="J307" s="9"/>
      <c r="K307" s="9"/>
      <c r="L307" s="9"/>
      <c r="M307" s="9"/>
      <c r="N307" s="9"/>
      <c r="O307" s="9"/>
      <c r="P307" s="9"/>
      <c r="Q307" s="9"/>
      <c r="R307" s="9"/>
      <c r="S307" s="9"/>
      <c r="T307" s="9"/>
      <c r="U307" s="9"/>
      <c r="V307" s="9"/>
      <c r="W307" s="9"/>
      <c r="X307" s="9"/>
      <c r="Y307" s="9"/>
      <c r="Z307" s="9"/>
      <c r="AA307" s="9"/>
      <c r="AB307" s="9"/>
      <c r="AC307" s="9"/>
    </row>
    <row r="308" spans="1:29" ht="14.4">
      <c r="A308" s="9"/>
      <c r="B308" s="9"/>
      <c r="C308" s="14"/>
      <c r="D308" s="13" t="s">
        <v>229</v>
      </c>
      <c r="E308" s="9" t="s">
        <v>54</v>
      </c>
      <c r="F308" s="9" t="s">
        <v>189</v>
      </c>
      <c r="H308" s="9"/>
      <c r="I308" s="9"/>
      <c r="J308" s="9"/>
      <c r="K308" s="9"/>
      <c r="L308" s="9"/>
      <c r="M308" s="9"/>
      <c r="N308" s="9"/>
      <c r="O308" s="9"/>
      <c r="P308" s="9"/>
      <c r="Q308" s="9"/>
      <c r="R308" s="9"/>
      <c r="S308" s="9"/>
      <c r="T308" s="9"/>
      <c r="U308" s="9"/>
      <c r="V308" s="9"/>
      <c r="W308" s="9"/>
      <c r="X308" s="9"/>
      <c r="Y308" s="9"/>
      <c r="Z308" s="9"/>
      <c r="AA308" s="9"/>
      <c r="AB308" s="9"/>
      <c r="AC308" s="9"/>
    </row>
    <row r="309" spans="1:29" ht="14.4">
      <c r="A309" s="9"/>
      <c r="B309" s="9"/>
      <c r="C309" s="14"/>
      <c r="D309" s="13" t="s">
        <v>230</v>
      </c>
      <c r="E309" s="9" t="s">
        <v>58</v>
      </c>
      <c r="F309" s="9" t="s">
        <v>189</v>
      </c>
      <c r="H309" s="9"/>
      <c r="I309" s="9"/>
      <c r="J309" s="9"/>
      <c r="K309" s="9"/>
      <c r="L309" s="9"/>
      <c r="M309" s="9"/>
      <c r="N309" s="9"/>
      <c r="O309" s="9"/>
      <c r="P309" s="9"/>
      <c r="Q309" s="9"/>
      <c r="R309" s="9"/>
      <c r="S309" s="9"/>
      <c r="T309" s="9"/>
      <c r="U309" s="9"/>
      <c r="V309" s="9"/>
      <c r="W309" s="9"/>
      <c r="X309" s="9"/>
      <c r="Y309" s="9"/>
      <c r="Z309" s="9"/>
      <c r="AA309" s="9"/>
      <c r="AB309" s="9"/>
      <c r="AC309" s="9"/>
    </row>
    <row r="310" spans="1:29" ht="14.4">
      <c r="A310" s="9"/>
      <c r="B310" s="9"/>
      <c r="C310" s="14"/>
      <c r="D310" s="13" t="s">
        <v>231</v>
      </c>
      <c r="E310" s="9" t="s">
        <v>32</v>
      </c>
      <c r="F310" s="9" t="s">
        <v>189</v>
      </c>
      <c r="H310" s="9"/>
      <c r="I310" s="9"/>
      <c r="J310" s="9"/>
      <c r="K310" s="9"/>
      <c r="L310" s="9"/>
      <c r="M310" s="9"/>
      <c r="N310" s="9"/>
      <c r="O310" s="9"/>
      <c r="P310" s="9"/>
      <c r="Q310" s="9"/>
      <c r="R310" s="9"/>
      <c r="S310" s="9"/>
      <c r="T310" s="9"/>
      <c r="U310" s="9"/>
      <c r="V310" s="9"/>
      <c r="W310" s="9"/>
      <c r="X310" s="9"/>
      <c r="Y310" s="9"/>
      <c r="Z310" s="9"/>
      <c r="AA310" s="9"/>
      <c r="AB310" s="9"/>
      <c r="AC310" s="9"/>
    </row>
    <row r="311" spans="1:29" ht="14.4">
      <c r="A311" s="9"/>
      <c r="B311" s="9"/>
      <c r="C311" s="14"/>
      <c r="D311" s="13" t="s">
        <v>232</v>
      </c>
      <c r="E311" s="9" t="s">
        <v>69</v>
      </c>
      <c r="F311" s="9" t="s">
        <v>189</v>
      </c>
      <c r="H311" s="9"/>
      <c r="I311" s="9"/>
      <c r="J311" s="9"/>
      <c r="K311" s="9"/>
      <c r="L311" s="9"/>
      <c r="M311" s="9"/>
      <c r="N311" s="9"/>
      <c r="O311" s="9"/>
      <c r="P311" s="9"/>
      <c r="Q311" s="9"/>
      <c r="R311" s="9"/>
      <c r="S311" s="9"/>
      <c r="T311" s="9"/>
      <c r="U311" s="9"/>
      <c r="V311" s="9"/>
      <c r="W311" s="9"/>
      <c r="X311" s="9"/>
      <c r="Y311" s="9"/>
      <c r="Z311" s="9"/>
      <c r="AA311" s="9"/>
      <c r="AB311" s="9"/>
      <c r="AC311" s="9"/>
    </row>
    <row r="312" spans="1:29" ht="13.2">
      <c r="A312" s="9"/>
      <c r="B312" s="9"/>
      <c r="C312" s="14"/>
      <c r="D312" s="9"/>
      <c r="E312" s="9"/>
      <c r="F312" s="9"/>
      <c r="H312" s="9"/>
      <c r="I312" s="9"/>
      <c r="J312" s="9"/>
      <c r="K312" s="9"/>
      <c r="L312" s="9"/>
      <c r="M312" s="9"/>
      <c r="N312" s="9"/>
      <c r="O312" s="9"/>
      <c r="P312" s="9"/>
      <c r="Q312" s="9"/>
      <c r="R312" s="9"/>
      <c r="S312" s="9"/>
      <c r="T312" s="9"/>
      <c r="U312" s="9"/>
      <c r="V312" s="9"/>
      <c r="W312" s="9"/>
      <c r="X312" s="9"/>
      <c r="Y312" s="9"/>
      <c r="Z312" s="9"/>
      <c r="AA312" s="9"/>
      <c r="AB312" s="9"/>
      <c r="AC312" s="9"/>
    </row>
    <row r="313" spans="1:29" ht="13.2">
      <c r="A313" s="9"/>
      <c r="B313" s="9"/>
      <c r="C313" s="14"/>
      <c r="D313" s="9"/>
      <c r="E313" s="9"/>
      <c r="F313" s="9"/>
      <c r="H313" s="9"/>
      <c r="I313" s="9"/>
      <c r="J313" s="9"/>
      <c r="K313" s="9"/>
      <c r="L313" s="9"/>
      <c r="M313" s="9"/>
      <c r="N313" s="9"/>
      <c r="O313" s="9"/>
      <c r="P313" s="9"/>
      <c r="Q313" s="9"/>
      <c r="R313" s="9"/>
      <c r="S313" s="9"/>
      <c r="T313" s="9"/>
      <c r="U313" s="9"/>
      <c r="V313" s="9"/>
      <c r="W313" s="9"/>
      <c r="X313" s="9"/>
      <c r="Y313" s="9"/>
      <c r="Z313" s="9"/>
      <c r="AA313" s="9"/>
      <c r="AB313" s="9"/>
      <c r="AC313" s="9"/>
    </row>
    <row r="314" spans="1:29" ht="13.2">
      <c r="A314" s="9"/>
      <c r="B314" s="9"/>
      <c r="C314" s="14"/>
      <c r="D314" s="9"/>
      <c r="E314" s="9"/>
      <c r="F314" s="9"/>
      <c r="H314" s="9"/>
      <c r="I314" s="9"/>
      <c r="J314" s="9"/>
      <c r="K314" s="9"/>
      <c r="L314" s="9"/>
      <c r="M314" s="9"/>
      <c r="N314" s="9"/>
      <c r="O314" s="9"/>
      <c r="P314" s="9"/>
      <c r="Q314" s="9"/>
      <c r="R314" s="9"/>
      <c r="S314" s="9"/>
      <c r="T314" s="9"/>
      <c r="U314" s="9"/>
      <c r="V314" s="9"/>
      <c r="W314" s="9"/>
      <c r="X314" s="9"/>
      <c r="Y314" s="9"/>
      <c r="Z314" s="9"/>
      <c r="AA314" s="9"/>
      <c r="AB314" s="9"/>
      <c r="AC314" s="9"/>
    </row>
    <row r="315" spans="1:29" ht="14.4">
      <c r="A315" s="9"/>
      <c r="B315" s="9"/>
      <c r="C315" s="14" t="str">
        <f t="shared" ref="C315:C419" si="3">D315&amp;F315</f>
        <v>zoomtarUnhinged肉</v>
      </c>
      <c r="D315" s="13" t="s">
        <v>233</v>
      </c>
      <c r="E315" s="18" t="s">
        <v>54</v>
      </c>
      <c r="F315" s="18" t="s">
        <v>36</v>
      </c>
      <c r="H315" s="9"/>
      <c r="I315" s="9"/>
      <c r="J315" s="9"/>
      <c r="K315" s="9"/>
      <c r="L315" s="9"/>
      <c r="M315" s="9"/>
      <c r="N315" s="9"/>
      <c r="O315" s="9"/>
      <c r="P315" s="9"/>
      <c r="Q315" s="9"/>
      <c r="R315" s="9"/>
      <c r="S315" s="9"/>
      <c r="T315" s="9"/>
      <c r="U315" s="9"/>
      <c r="V315" s="9"/>
      <c r="W315" s="9"/>
      <c r="X315" s="9"/>
      <c r="Y315" s="9"/>
      <c r="Z315" s="9"/>
      <c r="AA315" s="9"/>
      <c r="AB315" s="9"/>
      <c r="AC315" s="9"/>
    </row>
    <row r="316" spans="1:29" ht="14.4">
      <c r="A316" s="9"/>
      <c r="B316" s="9"/>
      <c r="C316" s="14" t="str">
        <f t="shared" si="3"/>
        <v>PapaHeightsUnhinged肉</v>
      </c>
      <c r="D316" s="13" t="s">
        <v>234</v>
      </c>
      <c r="E316" s="18" t="s">
        <v>62</v>
      </c>
      <c r="F316" s="18" t="s">
        <v>36</v>
      </c>
      <c r="H316" s="9"/>
      <c r="I316" s="9"/>
      <c r="J316" s="9"/>
      <c r="K316" s="9"/>
      <c r="L316" s="9"/>
      <c r="M316" s="9"/>
      <c r="N316" s="9"/>
      <c r="O316" s="9"/>
      <c r="P316" s="9"/>
      <c r="Q316" s="9"/>
      <c r="R316" s="9"/>
      <c r="S316" s="9"/>
      <c r="T316" s="9"/>
      <c r="U316" s="9"/>
      <c r="V316" s="9"/>
      <c r="W316" s="9"/>
      <c r="X316" s="9"/>
      <c r="Y316" s="9"/>
      <c r="Z316" s="9"/>
      <c r="AA316" s="9"/>
      <c r="AB316" s="9"/>
      <c r="AC316" s="9"/>
    </row>
    <row r="317" spans="1:29" ht="14.4">
      <c r="A317" s="9"/>
      <c r="B317" s="9"/>
      <c r="C317" s="14" t="str">
        <f t="shared" si="3"/>
        <v>LewpsUnhinged肉</v>
      </c>
      <c r="D317" s="13" t="s">
        <v>235</v>
      </c>
      <c r="E317" s="18" t="s">
        <v>23</v>
      </c>
      <c r="F317" s="18" t="s">
        <v>36</v>
      </c>
      <c r="H317" s="9"/>
      <c r="I317" s="9"/>
      <c r="J317" s="9"/>
      <c r="K317" s="9"/>
      <c r="L317" s="9"/>
      <c r="M317" s="9"/>
      <c r="N317" s="9"/>
      <c r="O317" s="9"/>
      <c r="P317" s="9"/>
      <c r="Q317" s="9"/>
      <c r="R317" s="9"/>
      <c r="S317" s="9"/>
      <c r="T317" s="9"/>
      <c r="U317" s="9"/>
      <c r="V317" s="9"/>
      <c r="W317" s="9"/>
      <c r="X317" s="9"/>
      <c r="Y317" s="9"/>
      <c r="Z317" s="9"/>
      <c r="AA317" s="9"/>
      <c r="AB317" s="9"/>
      <c r="AC317" s="9"/>
    </row>
    <row r="318" spans="1:29" ht="14.4">
      <c r="A318" s="9"/>
      <c r="B318" s="9"/>
      <c r="C318" s="14" t="str">
        <f t="shared" si="3"/>
        <v>BonkeyJoJoUnhinged肉</v>
      </c>
      <c r="D318" s="13" t="s">
        <v>236</v>
      </c>
      <c r="E318" s="18" t="s">
        <v>52</v>
      </c>
      <c r="F318" s="18" t="s">
        <v>36</v>
      </c>
      <c r="H318" s="9"/>
      <c r="I318" s="9"/>
      <c r="J318" s="9"/>
      <c r="K318" s="9"/>
      <c r="L318" s="9"/>
      <c r="M318" s="9"/>
      <c r="N318" s="9"/>
      <c r="O318" s="9"/>
      <c r="P318" s="9"/>
      <c r="Q318" s="9"/>
      <c r="R318" s="9"/>
      <c r="S318" s="9"/>
      <c r="T318" s="9"/>
      <c r="U318" s="9"/>
      <c r="V318" s="9"/>
      <c r="W318" s="9"/>
      <c r="X318" s="9"/>
      <c r="Y318" s="9"/>
      <c r="Z318" s="9"/>
      <c r="AA318" s="9"/>
      <c r="AB318" s="9"/>
      <c r="AC318" s="9"/>
    </row>
    <row r="319" spans="1:29" ht="14.4">
      <c r="A319" s="9"/>
      <c r="B319" s="9"/>
      <c r="C319" s="14" t="str">
        <f t="shared" si="3"/>
        <v>AlphuUnhinged肉</v>
      </c>
      <c r="D319" s="13" t="s">
        <v>237</v>
      </c>
      <c r="E319" s="18" t="s">
        <v>69</v>
      </c>
      <c r="F319" s="18" t="s">
        <v>36</v>
      </c>
      <c r="H319" s="9"/>
      <c r="I319" s="9"/>
      <c r="J319" s="9"/>
      <c r="K319" s="9"/>
      <c r="L319" s="9"/>
      <c r="M319" s="9"/>
      <c r="N319" s="9"/>
      <c r="O319" s="9"/>
      <c r="P319" s="9"/>
      <c r="Q319" s="9"/>
      <c r="R319" s="9"/>
      <c r="S319" s="9"/>
      <c r="T319" s="9"/>
      <c r="U319" s="9"/>
      <c r="V319" s="9"/>
      <c r="W319" s="9"/>
      <c r="X319" s="9"/>
      <c r="Y319" s="9"/>
      <c r="Z319" s="9"/>
      <c r="AA319" s="9"/>
      <c r="AB319" s="9"/>
      <c r="AC319" s="9"/>
    </row>
    <row r="320" spans="1:29" ht="14.4">
      <c r="A320" s="9"/>
      <c r="B320" s="9"/>
      <c r="C320" s="14" t="str">
        <f t="shared" si="3"/>
        <v>T0j愛Unhinged肉</v>
      </c>
      <c r="D320" s="13" t="s">
        <v>238</v>
      </c>
      <c r="E320" s="18" t="s">
        <v>69</v>
      </c>
      <c r="F320" s="18" t="s">
        <v>36</v>
      </c>
      <c r="H320" s="9"/>
      <c r="I320" s="9"/>
      <c r="J320" s="9"/>
      <c r="K320" s="9"/>
      <c r="L320" s="9"/>
      <c r="M320" s="9"/>
      <c r="N320" s="9"/>
      <c r="O320" s="9"/>
      <c r="P320" s="9"/>
      <c r="Q320" s="9"/>
      <c r="R320" s="9"/>
      <c r="S320" s="9"/>
      <c r="T320" s="9"/>
      <c r="U320" s="9"/>
      <c r="V320" s="9"/>
      <c r="W320" s="9"/>
      <c r="X320" s="9"/>
      <c r="Y320" s="9"/>
      <c r="Z320" s="9"/>
      <c r="AA320" s="9"/>
      <c r="AB320" s="9"/>
      <c r="AC320" s="9"/>
    </row>
    <row r="321" spans="1:29" ht="14.4">
      <c r="A321" s="9"/>
      <c r="B321" s="9"/>
      <c r="C321" s="14" t="str">
        <f t="shared" si="3"/>
        <v>XytosUnhinged肉</v>
      </c>
      <c r="D321" s="13" t="s">
        <v>239</v>
      </c>
      <c r="E321" s="18" t="s">
        <v>81</v>
      </c>
      <c r="F321" s="18" t="s">
        <v>36</v>
      </c>
      <c r="H321" s="9"/>
      <c r="I321" s="9"/>
      <c r="J321" s="9"/>
      <c r="K321" s="9"/>
      <c r="L321" s="9"/>
      <c r="M321" s="9"/>
      <c r="N321" s="9"/>
      <c r="O321" s="9"/>
      <c r="P321" s="9"/>
      <c r="Q321" s="9"/>
      <c r="R321" s="9"/>
      <c r="S321" s="9"/>
      <c r="T321" s="9"/>
      <c r="U321" s="9"/>
      <c r="V321" s="9"/>
      <c r="W321" s="9"/>
      <c r="X321" s="9"/>
      <c r="Y321" s="9"/>
      <c r="Z321" s="9"/>
      <c r="AA321" s="9"/>
      <c r="AB321" s="9"/>
      <c r="AC321" s="9"/>
    </row>
    <row r="322" spans="1:29" ht="14.4">
      <c r="A322" s="9"/>
      <c r="B322" s="9"/>
      <c r="C322" s="14" t="str">
        <f t="shared" si="3"/>
        <v>AYAYAツUnhinged肉</v>
      </c>
      <c r="D322" s="13" t="s">
        <v>240</v>
      </c>
      <c r="E322" s="18" t="s">
        <v>32</v>
      </c>
      <c r="F322" s="18" t="s">
        <v>36</v>
      </c>
      <c r="H322" s="9"/>
      <c r="I322" s="9"/>
      <c r="J322" s="9"/>
      <c r="K322" s="9"/>
      <c r="L322" s="9"/>
      <c r="M322" s="9"/>
      <c r="N322" s="9"/>
      <c r="O322" s="9"/>
      <c r="P322" s="9"/>
      <c r="Q322" s="9"/>
      <c r="R322" s="9"/>
      <c r="S322" s="9"/>
      <c r="T322" s="9"/>
      <c r="U322" s="9"/>
      <c r="V322" s="9"/>
      <c r="W322" s="9"/>
      <c r="X322" s="9"/>
      <c r="Y322" s="9"/>
      <c r="Z322" s="9"/>
      <c r="AA322" s="9"/>
      <c r="AB322" s="9"/>
      <c r="AC322" s="9"/>
    </row>
    <row r="323" spans="1:29" ht="14.4">
      <c r="A323" s="9"/>
      <c r="B323" s="9"/>
      <c r="C323" s="14" t="str">
        <f t="shared" si="3"/>
        <v>chottyUnhinged肉</v>
      </c>
      <c r="D323" s="13" t="s">
        <v>241</v>
      </c>
      <c r="E323" s="18" t="s">
        <v>62</v>
      </c>
      <c r="F323" s="18" t="s">
        <v>36</v>
      </c>
      <c r="H323" s="9"/>
      <c r="I323" s="9"/>
      <c r="J323" s="9"/>
      <c r="K323" s="9"/>
      <c r="L323" s="9"/>
      <c r="M323" s="9"/>
      <c r="N323" s="9"/>
      <c r="O323" s="9"/>
      <c r="P323" s="9"/>
      <c r="Q323" s="9"/>
      <c r="R323" s="9"/>
      <c r="S323" s="9"/>
      <c r="T323" s="9"/>
      <c r="U323" s="9"/>
      <c r="V323" s="9"/>
      <c r="W323" s="9"/>
      <c r="X323" s="9"/>
      <c r="Y323" s="9"/>
      <c r="Z323" s="9"/>
      <c r="AA323" s="9"/>
      <c r="AB323" s="9"/>
      <c r="AC323" s="9"/>
    </row>
    <row r="324" spans="1:29" ht="14.4">
      <c r="A324" s="9"/>
      <c r="B324" s="9"/>
      <c r="C324" s="14" t="str">
        <f t="shared" si="3"/>
        <v>LeftriggeredUnhinged肉</v>
      </c>
      <c r="D324" s="13" t="s">
        <v>242</v>
      </c>
      <c r="E324" s="18" t="s">
        <v>62</v>
      </c>
      <c r="F324" s="18" t="s">
        <v>36</v>
      </c>
      <c r="H324" s="9"/>
      <c r="I324" s="9"/>
      <c r="J324" s="9"/>
      <c r="K324" s="9"/>
      <c r="L324" s="9"/>
      <c r="M324" s="9"/>
      <c r="N324" s="9"/>
      <c r="O324" s="9"/>
      <c r="P324" s="9"/>
      <c r="Q324" s="9"/>
      <c r="R324" s="9"/>
      <c r="S324" s="9"/>
      <c r="T324" s="9"/>
      <c r="U324" s="9"/>
      <c r="V324" s="9"/>
      <c r="W324" s="9"/>
      <c r="X324" s="9"/>
      <c r="Y324" s="9"/>
      <c r="Z324" s="9"/>
      <c r="AA324" s="9"/>
      <c r="AB324" s="9"/>
      <c r="AC324" s="9"/>
    </row>
    <row r="325" spans="1:29" ht="14.4">
      <c r="A325" s="9"/>
      <c r="B325" s="9"/>
      <c r="C325" s="14" t="str">
        <f t="shared" si="3"/>
        <v>·slowdecay·Unhinged肉</v>
      </c>
      <c r="D325" s="13" t="s">
        <v>243</v>
      </c>
      <c r="E325" s="18" t="s">
        <v>32</v>
      </c>
      <c r="F325" s="18" t="s">
        <v>36</v>
      </c>
      <c r="H325" s="9"/>
      <c r="I325" s="9"/>
      <c r="J325" s="9"/>
      <c r="K325" s="9"/>
      <c r="L325" s="9"/>
      <c r="M325" s="9"/>
      <c r="N325" s="9"/>
      <c r="O325" s="9"/>
      <c r="P325" s="9"/>
      <c r="Q325" s="9"/>
      <c r="R325" s="9"/>
      <c r="S325" s="9"/>
      <c r="T325" s="9"/>
      <c r="U325" s="9"/>
      <c r="V325" s="9"/>
      <c r="W325" s="9"/>
      <c r="X325" s="9"/>
      <c r="Y325" s="9"/>
      <c r="Z325" s="9"/>
      <c r="AA325" s="9"/>
      <c r="AB325" s="9"/>
      <c r="AC325" s="9"/>
    </row>
    <row r="326" spans="1:29" ht="14.4">
      <c r="A326" s="9"/>
      <c r="B326" s="9"/>
      <c r="C326" s="14" t="str">
        <f t="shared" si="3"/>
        <v>DeliraxUnhinged肉</v>
      </c>
      <c r="D326" s="13" t="s">
        <v>244</v>
      </c>
      <c r="E326" s="18" t="s">
        <v>45</v>
      </c>
      <c r="F326" s="18" t="s">
        <v>36</v>
      </c>
      <c r="H326" s="9"/>
      <c r="I326" s="9"/>
      <c r="J326" s="9"/>
      <c r="K326" s="9"/>
      <c r="L326" s="9"/>
      <c r="M326" s="9"/>
      <c r="N326" s="9"/>
      <c r="O326" s="9"/>
      <c r="P326" s="9"/>
      <c r="Q326" s="9"/>
      <c r="R326" s="9"/>
      <c r="S326" s="9"/>
      <c r="T326" s="9"/>
      <c r="U326" s="9"/>
      <c r="V326" s="9"/>
      <c r="W326" s="9"/>
      <c r="X326" s="9"/>
      <c r="Y326" s="9"/>
      <c r="Z326" s="9"/>
      <c r="AA326" s="9"/>
      <c r="AB326" s="9"/>
      <c r="AC326" s="9"/>
    </row>
    <row r="327" spans="1:29" ht="14.4">
      <c r="A327" s="9"/>
      <c r="B327" s="9"/>
      <c r="C327" s="14" t="str">
        <f t="shared" si="3"/>
        <v>DragonOfManyUnhinged肉</v>
      </c>
      <c r="D327" s="13" t="s">
        <v>245</v>
      </c>
      <c r="E327" s="18" t="s">
        <v>32</v>
      </c>
      <c r="F327" s="18" t="s">
        <v>36</v>
      </c>
      <c r="H327" s="9"/>
      <c r="I327" s="9"/>
      <c r="J327" s="9"/>
      <c r="K327" s="9"/>
      <c r="L327" s="9"/>
      <c r="M327" s="9"/>
      <c r="N327" s="9"/>
      <c r="O327" s="9"/>
      <c r="P327" s="9"/>
      <c r="Q327" s="9"/>
      <c r="R327" s="9"/>
      <c r="S327" s="9"/>
      <c r="T327" s="9"/>
      <c r="U327" s="9"/>
      <c r="V327" s="9"/>
      <c r="W327" s="9"/>
      <c r="X327" s="9"/>
      <c r="Y327" s="9"/>
      <c r="Z327" s="9"/>
      <c r="AA327" s="9"/>
      <c r="AB327" s="9"/>
      <c r="AC327" s="9"/>
    </row>
    <row r="328" spans="1:29" ht="14.4">
      <c r="A328" s="9"/>
      <c r="B328" s="9"/>
      <c r="C328" s="14" t="str">
        <f t="shared" si="3"/>
        <v>·EnyaUnhinged肉</v>
      </c>
      <c r="D328" s="13" t="s">
        <v>246</v>
      </c>
      <c r="E328" s="18" t="s">
        <v>32</v>
      </c>
      <c r="F328" s="18" t="s">
        <v>36</v>
      </c>
      <c r="H328" s="9"/>
      <c r="I328" s="9"/>
      <c r="J328" s="9"/>
      <c r="K328" s="9"/>
      <c r="L328" s="9"/>
      <c r="M328" s="9"/>
      <c r="N328" s="9"/>
      <c r="O328" s="9"/>
      <c r="P328" s="9"/>
      <c r="Q328" s="9"/>
      <c r="R328" s="9"/>
      <c r="S328" s="9"/>
      <c r="T328" s="9"/>
      <c r="U328" s="9"/>
      <c r="V328" s="9"/>
      <c r="W328" s="9"/>
      <c r="X328" s="9"/>
      <c r="Y328" s="9"/>
      <c r="Z328" s="9"/>
      <c r="AA328" s="9"/>
      <c r="AB328" s="9"/>
      <c r="AC328" s="9"/>
    </row>
    <row r="329" spans="1:29" ht="14.4">
      <c r="A329" s="9"/>
      <c r="B329" s="9"/>
      <c r="C329" s="14" t="str">
        <f t="shared" si="3"/>
        <v>EpocheUnhinged肉</v>
      </c>
      <c r="D329" s="13" t="s">
        <v>247</v>
      </c>
      <c r="E329" s="18" t="s">
        <v>23</v>
      </c>
      <c r="F329" s="18" t="s">
        <v>36</v>
      </c>
      <c r="H329" s="9"/>
      <c r="I329" s="9"/>
      <c r="J329" s="9"/>
      <c r="K329" s="9"/>
      <c r="L329" s="9"/>
      <c r="M329" s="9"/>
      <c r="N329" s="9"/>
      <c r="O329" s="9"/>
      <c r="P329" s="9"/>
      <c r="Q329" s="9"/>
      <c r="R329" s="9"/>
      <c r="S329" s="9"/>
      <c r="T329" s="9"/>
      <c r="U329" s="9"/>
      <c r="V329" s="9"/>
      <c r="W329" s="9"/>
      <c r="X329" s="9"/>
      <c r="Y329" s="9"/>
      <c r="Z329" s="9"/>
      <c r="AA329" s="9"/>
      <c r="AB329" s="9"/>
      <c r="AC329" s="9"/>
    </row>
    <row r="330" spans="1:29" ht="14.4">
      <c r="A330" s="9"/>
      <c r="B330" s="9"/>
      <c r="C330" s="14" t="str">
        <f t="shared" si="3"/>
        <v>HardUnhinged肉</v>
      </c>
      <c r="D330" s="13" t="s">
        <v>248</v>
      </c>
      <c r="E330" s="18" t="s">
        <v>23</v>
      </c>
      <c r="F330" s="18" t="s">
        <v>36</v>
      </c>
      <c r="H330" s="9"/>
      <c r="I330" s="9"/>
      <c r="J330" s="9"/>
      <c r="K330" s="9"/>
      <c r="L330" s="9"/>
      <c r="M330" s="9"/>
      <c r="N330" s="9"/>
      <c r="O330" s="9"/>
      <c r="P330" s="9"/>
      <c r="Q330" s="9"/>
      <c r="R330" s="9"/>
      <c r="S330" s="9"/>
      <c r="T330" s="9"/>
      <c r="U330" s="9"/>
      <c r="V330" s="9"/>
      <c r="W330" s="9"/>
      <c r="X330" s="9"/>
      <c r="Y330" s="9"/>
      <c r="Z330" s="9"/>
      <c r="AA330" s="9"/>
      <c r="AB330" s="9"/>
      <c r="AC330" s="9"/>
    </row>
    <row r="331" spans="1:29" ht="14.4">
      <c r="A331" s="9"/>
      <c r="B331" s="9"/>
      <c r="C331" s="14" t="str">
        <f t="shared" si="3"/>
        <v>TomateSamaUnhinged肉</v>
      </c>
      <c r="D331" s="13" t="s">
        <v>249</v>
      </c>
      <c r="E331" s="18" t="s">
        <v>23</v>
      </c>
      <c r="F331" s="18" t="s">
        <v>36</v>
      </c>
      <c r="H331" s="9"/>
      <c r="I331" s="9"/>
      <c r="J331" s="9"/>
      <c r="K331" s="9"/>
      <c r="L331" s="9"/>
      <c r="M331" s="9"/>
      <c r="N331" s="9"/>
      <c r="O331" s="9"/>
      <c r="P331" s="9"/>
      <c r="Q331" s="9"/>
      <c r="R331" s="9"/>
      <c r="S331" s="9"/>
      <c r="T331" s="9"/>
      <c r="U331" s="9"/>
      <c r="V331" s="9"/>
      <c r="W331" s="9"/>
      <c r="X331" s="9"/>
      <c r="Y331" s="9"/>
      <c r="Z331" s="9"/>
      <c r="AA331" s="9"/>
      <c r="AB331" s="9"/>
      <c r="AC331" s="9"/>
    </row>
    <row r="332" spans="1:29" ht="14.4">
      <c r="A332" s="9"/>
      <c r="B332" s="9"/>
      <c r="C332" s="14" t="str">
        <f t="shared" si="3"/>
        <v>AyoJohnUnhinged肉</v>
      </c>
      <c r="D332" s="13" t="s">
        <v>250</v>
      </c>
      <c r="E332" s="18" t="s">
        <v>32</v>
      </c>
      <c r="F332" s="18" t="s">
        <v>36</v>
      </c>
      <c r="H332" s="9"/>
      <c r="I332" s="9"/>
      <c r="J332" s="9"/>
      <c r="K332" s="9"/>
      <c r="L332" s="9"/>
      <c r="M332" s="9"/>
      <c r="N332" s="9"/>
      <c r="O332" s="9"/>
      <c r="P332" s="9"/>
      <c r="Q332" s="9"/>
      <c r="R332" s="9"/>
      <c r="S332" s="9"/>
      <c r="T332" s="9"/>
      <c r="U332" s="9"/>
      <c r="V332" s="9"/>
      <c r="W332" s="9"/>
      <c r="X332" s="9"/>
      <c r="Y332" s="9"/>
      <c r="Z332" s="9"/>
      <c r="AA332" s="9"/>
      <c r="AB332" s="9"/>
      <c r="AC332" s="9"/>
    </row>
    <row r="333" spans="1:29" ht="14.4">
      <c r="A333" s="9"/>
      <c r="B333" s="9"/>
      <c r="C333" s="14" t="str">
        <f t="shared" si="3"/>
        <v>xxNODxxUnhinged肉</v>
      </c>
      <c r="D333" s="13" t="s">
        <v>251</v>
      </c>
      <c r="E333" s="18" t="s">
        <v>32</v>
      </c>
      <c r="F333" s="18" t="s">
        <v>36</v>
      </c>
      <c r="H333" s="9"/>
      <c r="I333" s="9"/>
      <c r="J333" s="9"/>
      <c r="K333" s="9"/>
      <c r="L333" s="9"/>
      <c r="M333" s="9"/>
      <c r="N333" s="9"/>
      <c r="O333" s="9"/>
      <c r="P333" s="9"/>
      <c r="Q333" s="9"/>
      <c r="R333" s="9"/>
      <c r="S333" s="9"/>
      <c r="T333" s="9"/>
      <c r="U333" s="9"/>
      <c r="V333" s="9"/>
      <c r="W333" s="9"/>
      <c r="X333" s="9"/>
      <c r="Y333" s="9"/>
      <c r="Z333" s="9"/>
      <c r="AA333" s="9"/>
      <c r="AB333" s="9"/>
      <c r="AC333" s="9"/>
    </row>
    <row r="334" spans="1:29" ht="14.4">
      <c r="A334" s="9"/>
      <c r="B334" s="9"/>
      <c r="C334" s="14" t="str">
        <f t="shared" si="3"/>
        <v>LagabodiniUnhinged肉</v>
      </c>
      <c r="D334" s="13" t="s">
        <v>252</v>
      </c>
      <c r="E334" s="18" t="s">
        <v>14</v>
      </c>
      <c r="F334" s="18" t="s">
        <v>36</v>
      </c>
      <c r="H334" s="9"/>
      <c r="I334" s="9"/>
      <c r="J334" s="9"/>
      <c r="K334" s="9"/>
      <c r="L334" s="9"/>
      <c r="M334" s="9"/>
      <c r="N334" s="9"/>
      <c r="O334" s="9"/>
      <c r="P334" s="9"/>
      <c r="Q334" s="9"/>
      <c r="R334" s="9"/>
      <c r="S334" s="9"/>
      <c r="T334" s="9"/>
      <c r="U334" s="9"/>
      <c r="V334" s="9"/>
      <c r="W334" s="9"/>
      <c r="X334" s="9"/>
      <c r="Y334" s="9"/>
      <c r="Z334" s="9"/>
      <c r="AA334" s="9"/>
      <c r="AB334" s="9"/>
      <c r="AC334" s="9"/>
    </row>
    <row r="335" spans="1:29" ht="14.4">
      <c r="A335" s="9"/>
      <c r="B335" s="9"/>
      <c r="C335" s="14" t="str">
        <f t="shared" si="3"/>
        <v>BeruUnhinged肉</v>
      </c>
      <c r="D335" s="13" t="s">
        <v>253</v>
      </c>
      <c r="E335" s="18" t="s">
        <v>45</v>
      </c>
      <c r="F335" s="18" t="s">
        <v>36</v>
      </c>
      <c r="H335" s="9"/>
      <c r="I335" s="9"/>
      <c r="J335" s="9"/>
      <c r="K335" s="9"/>
      <c r="L335" s="9"/>
      <c r="M335" s="9"/>
      <c r="N335" s="9"/>
      <c r="O335" s="9"/>
      <c r="P335" s="9"/>
      <c r="Q335" s="9"/>
      <c r="R335" s="9"/>
      <c r="S335" s="9"/>
      <c r="T335" s="9"/>
      <c r="U335" s="9"/>
      <c r="V335" s="9"/>
      <c r="W335" s="9"/>
      <c r="X335" s="9"/>
      <c r="Y335" s="9"/>
      <c r="Z335" s="9"/>
      <c r="AA335" s="9"/>
      <c r="AB335" s="9"/>
      <c r="AC335" s="9"/>
    </row>
    <row r="336" spans="1:29" ht="14.4">
      <c r="A336" s="9"/>
      <c r="B336" s="9"/>
      <c r="C336" s="14" t="str">
        <f t="shared" si="3"/>
        <v>Borgz皇Unhinged肉</v>
      </c>
      <c r="D336" s="13" t="s">
        <v>254</v>
      </c>
      <c r="E336" s="18" t="s">
        <v>32</v>
      </c>
      <c r="F336" s="18" t="s">
        <v>36</v>
      </c>
      <c r="H336" s="9"/>
      <c r="I336" s="9"/>
      <c r="J336" s="9"/>
      <c r="K336" s="9"/>
      <c r="L336" s="9"/>
      <c r="M336" s="9"/>
      <c r="N336" s="9"/>
      <c r="O336" s="9"/>
      <c r="P336" s="9"/>
      <c r="Q336" s="9"/>
      <c r="R336" s="9"/>
      <c r="S336" s="9"/>
      <c r="T336" s="9"/>
      <c r="U336" s="9"/>
      <c r="V336" s="9"/>
      <c r="W336" s="9"/>
      <c r="X336" s="9"/>
      <c r="Y336" s="9"/>
      <c r="Z336" s="9"/>
      <c r="AA336" s="9"/>
      <c r="AB336" s="9"/>
      <c r="AC336" s="9"/>
    </row>
    <row r="337" spans="1:29" ht="14.4">
      <c r="A337" s="9"/>
      <c r="B337" s="9"/>
      <c r="C337" s="14" t="str">
        <f t="shared" si="3"/>
        <v>×ypherUnhinged肉</v>
      </c>
      <c r="D337" s="13" t="s">
        <v>255</v>
      </c>
      <c r="E337" s="18" t="s">
        <v>38</v>
      </c>
      <c r="F337" s="18" t="s">
        <v>36</v>
      </c>
      <c r="H337" s="9"/>
      <c r="I337" s="9"/>
      <c r="J337" s="9"/>
      <c r="K337" s="9"/>
      <c r="L337" s="9"/>
      <c r="M337" s="9"/>
      <c r="N337" s="9"/>
      <c r="O337" s="9"/>
      <c r="P337" s="9"/>
      <c r="Q337" s="9"/>
      <c r="R337" s="9"/>
      <c r="S337" s="9"/>
      <c r="T337" s="9"/>
      <c r="U337" s="9"/>
      <c r="V337" s="9"/>
      <c r="W337" s="9"/>
      <c r="X337" s="9"/>
      <c r="Y337" s="9"/>
      <c r="Z337" s="9"/>
      <c r="AA337" s="9"/>
      <c r="AB337" s="9"/>
      <c r="AC337" s="9"/>
    </row>
    <row r="338" spans="1:29" ht="14.4">
      <c r="A338" s="9"/>
      <c r="B338" s="9"/>
      <c r="C338" s="14" t="str">
        <f t="shared" si="3"/>
        <v>mSilenusUnhinged肉</v>
      </c>
      <c r="D338" s="13" t="s">
        <v>256</v>
      </c>
      <c r="E338" s="18" t="s">
        <v>62</v>
      </c>
      <c r="F338" s="18" t="s">
        <v>36</v>
      </c>
      <c r="H338" s="9"/>
      <c r="I338" s="9"/>
      <c r="J338" s="9"/>
      <c r="K338" s="9"/>
      <c r="L338" s="9"/>
      <c r="M338" s="9"/>
      <c r="N338" s="9"/>
      <c r="O338" s="9"/>
      <c r="P338" s="9"/>
      <c r="Q338" s="9"/>
      <c r="R338" s="9"/>
      <c r="S338" s="9"/>
      <c r="T338" s="9"/>
      <c r="U338" s="9"/>
      <c r="V338" s="9"/>
      <c r="W338" s="9"/>
      <c r="X338" s="9"/>
      <c r="Y338" s="9"/>
      <c r="Z338" s="9"/>
      <c r="AA338" s="9"/>
      <c r="AB338" s="9"/>
      <c r="AC338" s="9"/>
    </row>
    <row r="339" spans="1:29" ht="14.4">
      <c r="A339" s="9"/>
      <c r="B339" s="9"/>
      <c r="C339" s="14" t="str">
        <f t="shared" si="3"/>
        <v>Dodge天Unhinged肉</v>
      </c>
      <c r="D339" s="13" t="s">
        <v>257</v>
      </c>
      <c r="E339" s="18" t="s">
        <v>14</v>
      </c>
      <c r="F339" s="18" t="s">
        <v>36</v>
      </c>
      <c r="H339" s="9"/>
      <c r="I339" s="9"/>
      <c r="J339" s="9"/>
      <c r="K339" s="9"/>
      <c r="L339" s="9"/>
      <c r="M339" s="9"/>
      <c r="N339" s="9"/>
      <c r="O339" s="9"/>
      <c r="P339" s="9"/>
      <c r="Q339" s="9"/>
      <c r="R339" s="9"/>
      <c r="S339" s="9"/>
      <c r="T339" s="9"/>
      <c r="U339" s="9"/>
      <c r="V339" s="9"/>
      <c r="W339" s="9"/>
      <c r="X339" s="9"/>
      <c r="Y339" s="9"/>
      <c r="Z339" s="9"/>
      <c r="AA339" s="9"/>
      <c r="AB339" s="9"/>
      <c r="AC339" s="9"/>
    </row>
    <row r="340" spans="1:29" ht="14.4">
      <c r="A340" s="9"/>
      <c r="B340" s="9"/>
      <c r="C340" s="14" t="str">
        <f t="shared" si="3"/>
        <v>BreedableUnhinged肉</v>
      </c>
      <c r="D340" s="13" t="s">
        <v>258</v>
      </c>
      <c r="E340" s="18" t="s">
        <v>10</v>
      </c>
      <c r="F340" s="18" t="s">
        <v>36</v>
      </c>
      <c r="H340" s="9"/>
      <c r="I340" s="9"/>
      <c r="J340" s="9"/>
      <c r="K340" s="9"/>
      <c r="L340" s="9"/>
      <c r="M340" s="9"/>
      <c r="N340" s="9"/>
      <c r="O340" s="9"/>
      <c r="P340" s="9"/>
      <c r="Q340" s="9"/>
      <c r="R340" s="9"/>
      <c r="S340" s="9"/>
      <c r="T340" s="9"/>
      <c r="U340" s="9"/>
      <c r="V340" s="9"/>
      <c r="W340" s="9"/>
      <c r="X340" s="9"/>
      <c r="Y340" s="9"/>
      <c r="Z340" s="9"/>
      <c r="AA340" s="9"/>
      <c r="AB340" s="9"/>
      <c r="AC340" s="9"/>
    </row>
    <row r="341" spans="1:29" ht="14.4">
      <c r="A341" s="9"/>
      <c r="B341" s="9"/>
      <c r="C341" s="14" t="str">
        <f t="shared" si="3"/>
        <v>BrockleUnhinged肉</v>
      </c>
      <c r="D341" s="13" t="s">
        <v>259</v>
      </c>
      <c r="E341" s="18" t="s">
        <v>32</v>
      </c>
      <c r="F341" s="18" t="s">
        <v>36</v>
      </c>
      <c r="H341" s="9"/>
      <c r="I341" s="9"/>
      <c r="J341" s="9"/>
      <c r="K341" s="9"/>
      <c r="L341" s="9"/>
      <c r="M341" s="9"/>
      <c r="N341" s="9"/>
      <c r="O341" s="9"/>
      <c r="P341" s="9"/>
      <c r="Q341" s="9"/>
      <c r="R341" s="9"/>
      <c r="S341" s="9"/>
      <c r="T341" s="9"/>
      <c r="U341" s="9"/>
      <c r="V341" s="9"/>
      <c r="W341" s="9"/>
      <c r="X341" s="9"/>
      <c r="Y341" s="9"/>
      <c r="Z341" s="9"/>
      <c r="AA341" s="9"/>
      <c r="AB341" s="9"/>
      <c r="AC341" s="9"/>
    </row>
    <row r="342" spans="1:29" ht="14.4">
      <c r="A342" s="9"/>
      <c r="B342" s="9"/>
      <c r="C342" s="14" t="str">
        <f t="shared" si="3"/>
        <v>Shawn死Unhinged肉</v>
      </c>
      <c r="D342" s="13" t="s">
        <v>260</v>
      </c>
      <c r="E342" s="18" t="s">
        <v>14</v>
      </c>
      <c r="F342" s="18" t="s">
        <v>36</v>
      </c>
      <c r="H342" s="9"/>
      <c r="I342" s="9"/>
      <c r="J342" s="9"/>
      <c r="K342" s="9"/>
      <c r="L342" s="9"/>
      <c r="M342" s="9"/>
      <c r="N342" s="9"/>
      <c r="O342" s="9"/>
      <c r="P342" s="9"/>
      <c r="Q342" s="9"/>
      <c r="R342" s="9"/>
      <c r="S342" s="9"/>
      <c r="T342" s="9"/>
      <c r="U342" s="9"/>
      <c r="V342" s="9"/>
      <c r="W342" s="9"/>
      <c r="X342" s="9"/>
      <c r="Y342" s="9"/>
      <c r="Z342" s="9"/>
      <c r="AA342" s="9"/>
      <c r="AB342" s="9"/>
      <c r="AC342" s="9"/>
    </row>
    <row r="343" spans="1:29" ht="14.4">
      <c r="A343" s="9"/>
      <c r="B343" s="9"/>
      <c r="C343" s="14" t="str">
        <f t="shared" si="3"/>
        <v>MiPi♀미피Unhinged肉</v>
      </c>
      <c r="D343" s="13" t="s">
        <v>261</v>
      </c>
      <c r="E343" s="18" t="s">
        <v>14</v>
      </c>
      <c r="F343" s="18" t="s">
        <v>36</v>
      </c>
      <c r="H343" s="9"/>
      <c r="I343" s="9"/>
      <c r="J343" s="9"/>
      <c r="K343" s="9"/>
      <c r="L343" s="9"/>
      <c r="M343" s="9"/>
      <c r="N343" s="9"/>
      <c r="O343" s="9"/>
      <c r="P343" s="9"/>
      <c r="Q343" s="9"/>
      <c r="R343" s="9"/>
      <c r="S343" s="9"/>
      <c r="T343" s="9"/>
      <c r="U343" s="9"/>
      <c r="V343" s="9"/>
      <c r="W343" s="9"/>
      <c r="X343" s="9"/>
      <c r="Y343" s="9"/>
      <c r="Z343" s="9"/>
      <c r="AA343" s="9"/>
      <c r="AB343" s="9"/>
      <c r="AC343" s="9"/>
    </row>
    <row r="344" spans="1:29" ht="14.4">
      <c r="A344" s="9"/>
      <c r="B344" s="9"/>
      <c r="C344" s="14" t="str">
        <f t="shared" si="3"/>
        <v>KoeKaineUnhinged肉</v>
      </c>
      <c r="D344" s="13" t="s">
        <v>262</v>
      </c>
      <c r="E344" s="18" t="s">
        <v>10</v>
      </c>
      <c r="F344" s="18" t="s">
        <v>36</v>
      </c>
      <c r="H344" s="9"/>
      <c r="I344" s="9"/>
      <c r="J344" s="9"/>
      <c r="K344" s="9"/>
      <c r="L344" s="9"/>
      <c r="M344" s="9"/>
      <c r="N344" s="9"/>
      <c r="O344" s="9"/>
      <c r="P344" s="9"/>
      <c r="Q344" s="9"/>
      <c r="R344" s="9"/>
      <c r="S344" s="9"/>
      <c r="T344" s="9"/>
      <c r="U344" s="9"/>
      <c r="V344" s="9"/>
      <c r="W344" s="9"/>
      <c r="X344" s="9"/>
      <c r="Y344" s="9"/>
      <c r="Z344" s="9"/>
      <c r="AA344" s="9"/>
      <c r="AB344" s="9"/>
      <c r="AC344" s="9"/>
    </row>
    <row r="345" spans="1:29" ht="14.4">
      <c r="A345" s="9"/>
      <c r="B345" s="9"/>
      <c r="C345" s="14" t="str">
        <f t="shared" si="3"/>
        <v>PukeiUnhinged肉</v>
      </c>
      <c r="D345" s="13" t="s">
        <v>263</v>
      </c>
      <c r="E345" s="18" t="s">
        <v>62</v>
      </c>
      <c r="F345" s="18" t="s">
        <v>36</v>
      </c>
      <c r="H345" s="9"/>
      <c r="I345" s="9"/>
      <c r="J345" s="9"/>
      <c r="K345" s="9"/>
      <c r="L345" s="9"/>
      <c r="M345" s="9"/>
      <c r="N345" s="9"/>
      <c r="O345" s="9"/>
      <c r="P345" s="9"/>
      <c r="Q345" s="9"/>
      <c r="R345" s="9"/>
      <c r="S345" s="9"/>
      <c r="T345" s="9"/>
      <c r="U345" s="9"/>
      <c r="V345" s="9"/>
      <c r="W345" s="9"/>
      <c r="X345" s="9"/>
      <c r="Y345" s="9"/>
      <c r="Z345" s="9"/>
      <c r="AA345" s="9"/>
      <c r="AB345" s="9"/>
      <c r="AC345" s="9"/>
    </row>
    <row r="346" spans="1:29" ht="14.4">
      <c r="A346" s="9"/>
      <c r="B346" s="9"/>
      <c r="C346" s="14" t="str">
        <f t="shared" si="3"/>
        <v>XxZORKxXUnhinged肉</v>
      </c>
      <c r="D346" s="13" t="s">
        <v>264</v>
      </c>
      <c r="E346" s="18" t="s">
        <v>14</v>
      </c>
      <c r="F346" s="18" t="s">
        <v>36</v>
      </c>
      <c r="H346" s="9"/>
      <c r="I346" s="9"/>
      <c r="J346" s="9"/>
      <c r="K346" s="9"/>
      <c r="L346" s="9"/>
      <c r="M346" s="9"/>
      <c r="N346" s="9"/>
      <c r="O346" s="9"/>
      <c r="P346" s="9"/>
      <c r="Q346" s="9"/>
      <c r="R346" s="9"/>
      <c r="S346" s="9"/>
      <c r="T346" s="9"/>
      <c r="U346" s="9"/>
      <c r="V346" s="9"/>
      <c r="W346" s="9"/>
      <c r="X346" s="9"/>
      <c r="Y346" s="9"/>
      <c r="Z346" s="9"/>
      <c r="AA346" s="9"/>
      <c r="AB346" s="9"/>
      <c r="AC346" s="9"/>
    </row>
    <row r="347" spans="1:29" ht="14.4">
      <c r="A347" s="9"/>
      <c r="B347" s="9"/>
      <c r="C347" s="14" t="str">
        <f t="shared" si="3"/>
        <v>AfroツUnhinged肉</v>
      </c>
      <c r="D347" s="13" t="s">
        <v>265</v>
      </c>
      <c r="E347" s="18" t="s">
        <v>9</v>
      </c>
      <c r="F347" s="18" t="s">
        <v>36</v>
      </c>
      <c r="H347" s="9"/>
      <c r="I347" s="9"/>
      <c r="J347" s="9"/>
      <c r="K347" s="9"/>
      <c r="L347" s="9"/>
      <c r="M347" s="9"/>
      <c r="N347" s="9"/>
      <c r="O347" s="9"/>
      <c r="P347" s="9"/>
      <c r="Q347" s="9"/>
      <c r="R347" s="9"/>
      <c r="S347" s="9"/>
      <c r="T347" s="9"/>
      <c r="U347" s="9"/>
      <c r="V347" s="9"/>
      <c r="W347" s="9"/>
      <c r="X347" s="9"/>
      <c r="Y347" s="9"/>
      <c r="Z347" s="9"/>
      <c r="AA347" s="9"/>
      <c r="AB347" s="9"/>
      <c r="AC347" s="9"/>
    </row>
    <row r="348" spans="1:29" ht="14.4">
      <c r="A348" s="9"/>
      <c r="B348" s="9"/>
      <c r="C348" s="14" t="str">
        <f t="shared" si="3"/>
        <v>barbie·Unhinged肉</v>
      </c>
      <c r="D348" s="13" t="s">
        <v>266</v>
      </c>
      <c r="E348" s="18" t="s">
        <v>9</v>
      </c>
      <c r="F348" s="18" t="s">
        <v>36</v>
      </c>
      <c r="H348" s="9"/>
      <c r="I348" s="9"/>
      <c r="J348" s="9"/>
      <c r="K348" s="9"/>
      <c r="L348" s="9"/>
      <c r="M348" s="9"/>
      <c r="N348" s="9"/>
      <c r="O348" s="9"/>
      <c r="P348" s="9"/>
      <c r="Q348" s="9"/>
      <c r="R348" s="9"/>
      <c r="S348" s="9"/>
      <c r="T348" s="9"/>
      <c r="U348" s="9"/>
      <c r="V348" s="9"/>
      <c r="W348" s="9"/>
      <c r="X348" s="9"/>
      <c r="Y348" s="9"/>
      <c r="Z348" s="9"/>
      <c r="AA348" s="9"/>
      <c r="AB348" s="9"/>
      <c r="AC348" s="9"/>
    </row>
    <row r="349" spans="1:29" ht="14.4">
      <c r="A349" s="9"/>
      <c r="B349" s="9"/>
      <c r="C349" s="14" t="str">
        <f t="shared" si="3"/>
        <v>Yellowfever69Unhinged肉</v>
      </c>
      <c r="D349" s="13" t="s">
        <v>267</v>
      </c>
      <c r="E349" s="18" t="s">
        <v>10</v>
      </c>
      <c r="F349" s="18" t="s">
        <v>36</v>
      </c>
      <c r="H349" s="9"/>
      <c r="I349" s="9"/>
      <c r="J349" s="9"/>
      <c r="K349" s="9"/>
      <c r="L349" s="9"/>
      <c r="M349" s="9"/>
      <c r="N349" s="9"/>
      <c r="O349" s="9"/>
      <c r="P349" s="9"/>
      <c r="Q349" s="9"/>
      <c r="R349" s="9"/>
      <c r="S349" s="9"/>
      <c r="T349" s="9"/>
      <c r="U349" s="9"/>
      <c r="V349" s="9"/>
      <c r="W349" s="9"/>
      <c r="X349" s="9"/>
      <c r="Y349" s="9"/>
      <c r="Z349" s="9"/>
      <c r="AA349" s="9"/>
      <c r="AB349" s="9"/>
      <c r="AC349" s="9"/>
    </row>
    <row r="350" spans="1:29" ht="14.4">
      <c r="A350" s="9"/>
      <c r="B350" s="9"/>
      <c r="C350" s="14" t="str">
        <f t="shared" si="3"/>
        <v>CinglezUnhinged肉</v>
      </c>
      <c r="D350" s="13" t="s">
        <v>268</v>
      </c>
      <c r="E350" s="18" t="s">
        <v>10</v>
      </c>
      <c r="F350" s="18" t="s">
        <v>36</v>
      </c>
      <c r="H350" s="9"/>
      <c r="I350" s="9"/>
      <c r="J350" s="9"/>
      <c r="K350" s="9"/>
      <c r="L350" s="9"/>
      <c r="M350" s="9"/>
      <c r="N350" s="9"/>
      <c r="O350" s="9"/>
      <c r="P350" s="9"/>
      <c r="Q350" s="9"/>
      <c r="R350" s="9"/>
      <c r="S350" s="9"/>
      <c r="T350" s="9"/>
      <c r="U350" s="9"/>
      <c r="V350" s="9"/>
      <c r="W350" s="9"/>
      <c r="X350" s="9"/>
      <c r="Y350" s="9"/>
      <c r="Z350" s="9"/>
      <c r="AA350" s="9"/>
      <c r="AB350" s="9"/>
      <c r="AC350" s="9"/>
    </row>
    <row r="351" spans="1:29" ht="14.4">
      <c r="A351" s="9"/>
      <c r="B351" s="9"/>
      <c r="C351" s="14" t="str">
        <f t="shared" si="3"/>
        <v>ChouxCremeUnhinged肉</v>
      </c>
      <c r="D351" s="13" t="s">
        <v>269</v>
      </c>
      <c r="E351" s="18" t="s">
        <v>9</v>
      </c>
      <c r="F351" s="18" t="s">
        <v>36</v>
      </c>
      <c r="H351" s="9"/>
      <c r="I351" s="9"/>
      <c r="J351" s="9"/>
      <c r="K351" s="9"/>
      <c r="L351" s="9"/>
      <c r="M351" s="9"/>
      <c r="N351" s="9"/>
      <c r="O351" s="9"/>
      <c r="P351" s="9"/>
      <c r="Q351" s="9"/>
      <c r="R351" s="9"/>
      <c r="S351" s="9"/>
      <c r="T351" s="9"/>
      <c r="U351" s="9"/>
      <c r="V351" s="9"/>
      <c r="W351" s="9"/>
      <c r="X351" s="9"/>
      <c r="Y351" s="9"/>
      <c r="Z351" s="9"/>
      <c r="AA351" s="9"/>
      <c r="AB351" s="9"/>
      <c r="AC351" s="9"/>
    </row>
    <row r="352" spans="1:29" ht="14.4">
      <c r="A352" s="9"/>
      <c r="B352" s="9"/>
      <c r="C352" s="14" t="str">
        <f t="shared" si="3"/>
        <v>GlaceonツUnhinged肉</v>
      </c>
      <c r="D352" s="13" t="s">
        <v>270</v>
      </c>
      <c r="E352" s="18" t="s">
        <v>10</v>
      </c>
      <c r="F352" s="18" t="s">
        <v>36</v>
      </c>
      <c r="H352" s="9"/>
      <c r="I352" s="9"/>
      <c r="J352" s="9"/>
      <c r="K352" s="9"/>
      <c r="L352" s="9"/>
      <c r="M352" s="9"/>
      <c r="N352" s="9"/>
      <c r="O352" s="9"/>
      <c r="P352" s="9"/>
      <c r="Q352" s="9"/>
      <c r="R352" s="9"/>
      <c r="S352" s="9"/>
      <c r="T352" s="9"/>
      <c r="U352" s="9"/>
      <c r="V352" s="9"/>
      <c r="W352" s="9"/>
      <c r="X352" s="9"/>
      <c r="Y352" s="9"/>
      <c r="Z352" s="9"/>
      <c r="AA352" s="9"/>
      <c r="AB352" s="9"/>
      <c r="AC352" s="9"/>
    </row>
    <row r="353" spans="1:29" ht="14.4">
      <c r="A353" s="9"/>
      <c r="B353" s="9"/>
      <c r="C353" s="14" t="str">
        <f t="shared" si="3"/>
        <v>SkilletosUnhinged肉</v>
      </c>
      <c r="D353" s="13" t="s">
        <v>271</v>
      </c>
      <c r="E353" s="18" t="s">
        <v>10</v>
      </c>
      <c r="F353" s="18" t="s">
        <v>36</v>
      </c>
      <c r="H353" s="9"/>
      <c r="I353" s="9"/>
      <c r="J353" s="9"/>
      <c r="K353" s="9"/>
      <c r="L353" s="9"/>
      <c r="M353" s="9"/>
      <c r="N353" s="9"/>
      <c r="O353" s="9"/>
      <c r="P353" s="9"/>
      <c r="Q353" s="9"/>
      <c r="R353" s="9"/>
      <c r="S353" s="9"/>
      <c r="T353" s="9"/>
      <c r="U353" s="9"/>
      <c r="V353" s="9"/>
      <c r="W353" s="9"/>
      <c r="X353" s="9"/>
      <c r="Y353" s="9"/>
      <c r="Z353" s="9"/>
      <c r="AA353" s="9"/>
      <c r="AB353" s="9"/>
      <c r="AC353" s="9"/>
    </row>
    <row r="354" spans="1:29" ht="14.4">
      <c r="A354" s="9"/>
      <c r="B354" s="9"/>
      <c r="C354" s="14" t="str">
        <f t="shared" si="3"/>
        <v>SoftUnhinged肉</v>
      </c>
      <c r="D354" s="13" t="s">
        <v>272</v>
      </c>
      <c r="E354" s="18" t="s">
        <v>9</v>
      </c>
      <c r="F354" s="18" t="s">
        <v>36</v>
      </c>
      <c r="H354" s="9"/>
      <c r="I354" s="9"/>
      <c r="J354" s="9"/>
      <c r="K354" s="9"/>
      <c r="L354" s="9"/>
      <c r="M354" s="9"/>
      <c r="N354" s="9"/>
      <c r="O354" s="9"/>
      <c r="P354" s="9"/>
      <c r="Q354" s="9"/>
      <c r="R354" s="9"/>
      <c r="S354" s="9"/>
      <c r="T354" s="9"/>
      <c r="U354" s="9"/>
      <c r="V354" s="9"/>
      <c r="W354" s="9"/>
      <c r="X354" s="9"/>
      <c r="Y354" s="9"/>
      <c r="Z354" s="9"/>
      <c r="AA354" s="9"/>
      <c r="AB354" s="9"/>
      <c r="AC354" s="9"/>
    </row>
    <row r="355" spans="1:29" ht="14.4">
      <c r="A355" s="9"/>
      <c r="B355" s="9"/>
      <c r="C355" s="14" t="str">
        <f t="shared" si="3"/>
        <v>foxglovesUnhinged肉</v>
      </c>
      <c r="D355" s="13" t="s">
        <v>273</v>
      </c>
      <c r="E355" s="18" t="s">
        <v>10</v>
      </c>
      <c r="F355" s="18" t="s">
        <v>36</v>
      </c>
      <c r="H355" s="9"/>
      <c r="I355" s="9"/>
      <c r="J355" s="9"/>
      <c r="K355" s="9"/>
      <c r="L355" s="9"/>
      <c r="M355" s="9"/>
      <c r="N355" s="9"/>
      <c r="O355" s="9"/>
      <c r="P355" s="9"/>
      <c r="Q355" s="9"/>
      <c r="R355" s="9"/>
      <c r="S355" s="9"/>
      <c r="T355" s="9"/>
      <c r="U355" s="9"/>
      <c r="V355" s="9"/>
      <c r="W355" s="9"/>
      <c r="X355" s="9"/>
      <c r="Y355" s="9"/>
      <c r="Z355" s="9"/>
      <c r="AA355" s="9"/>
      <c r="AB355" s="9"/>
      <c r="AC355" s="9"/>
    </row>
    <row r="356" spans="1:29" ht="14.4">
      <c r="A356" s="9"/>
      <c r="B356" s="9"/>
      <c r="C356" s="14" t="str">
        <f t="shared" si="3"/>
        <v>AdasUnhinged肉</v>
      </c>
      <c r="D356" s="13" t="s">
        <v>274</v>
      </c>
      <c r="E356" s="18" t="s">
        <v>58</v>
      </c>
      <c r="F356" s="18" t="s">
        <v>36</v>
      </c>
      <c r="H356" s="9"/>
      <c r="I356" s="9"/>
      <c r="J356" s="9"/>
      <c r="K356" s="9"/>
      <c r="L356" s="9"/>
      <c r="M356" s="9"/>
      <c r="N356" s="9"/>
      <c r="O356" s="9"/>
      <c r="P356" s="9"/>
      <c r="Q356" s="9"/>
      <c r="R356" s="9"/>
      <c r="S356" s="9"/>
      <c r="T356" s="9"/>
      <c r="U356" s="9"/>
      <c r="V356" s="9"/>
      <c r="W356" s="9"/>
      <c r="X356" s="9"/>
      <c r="Y356" s="9"/>
      <c r="Z356" s="9"/>
      <c r="AA356" s="9"/>
      <c r="AB356" s="9"/>
      <c r="AC356" s="9"/>
    </row>
    <row r="357" spans="1:29" ht="14.4">
      <c r="A357" s="9"/>
      <c r="B357" s="9"/>
      <c r="C357" s="14" t="str">
        <f t="shared" si="3"/>
        <v>ZethisUnhinged肉</v>
      </c>
      <c r="D357" s="13" t="s">
        <v>275</v>
      </c>
      <c r="E357" s="18" t="s">
        <v>62</v>
      </c>
      <c r="F357" s="18" t="s">
        <v>36</v>
      </c>
      <c r="H357" s="9"/>
      <c r="I357" s="9"/>
      <c r="J357" s="9"/>
      <c r="K357" s="9"/>
      <c r="L357" s="9"/>
      <c r="M357" s="9"/>
      <c r="N357" s="9"/>
      <c r="O357" s="9"/>
      <c r="P357" s="9"/>
      <c r="Q357" s="9"/>
      <c r="R357" s="9"/>
      <c r="S357" s="9"/>
      <c r="T357" s="9"/>
      <c r="U357" s="9"/>
      <c r="V357" s="9"/>
      <c r="W357" s="9"/>
      <c r="X357" s="9"/>
      <c r="Y357" s="9"/>
      <c r="Z357" s="9"/>
      <c r="AA357" s="9"/>
      <c r="AB357" s="9"/>
      <c r="AC357" s="9"/>
    </row>
    <row r="358" spans="1:29" ht="14.4">
      <c r="A358" s="9"/>
      <c r="B358" s="9"/>
      <c r="C358" s="14" t="str">
        <f t="shared" si="3"/>
        <v>TonyUnhinged肉</v>
      </c>
      <c r="D358" s="13" t="s">
        <v>276</v>
      </c>
      <c r="E358" s="18" t="s">
        <v>9</v>
      </c>
      <c r="F358" s="18" t="s">
        <v>36</v>
      </c>
      <c r="H358" s="9"/>
      <c r="I358" s="9"/>
      <c r="J358" s="9"/>
      <c r="K358" s="9"/>
      <c r="L358" s="9"/>
      <c r="M358" s="9"/>
      <c r="N358" s="9"/>
      <c r="O358" s="9"/>
      <c r="P358" s="9"/>
      <c r="Q358" s="9"/>
      <c r="R358" s="9"/>
      <c r="S358" s="9"/>
      <c r="T358" s="9"/>
      <c r="U358" s="9"/>
      <c r="V358" s="9"/>
      <c r="W358" s="9"/>
      <c r="X358" s="9"/>
      <c r="Y358" s="9"/>
      <c r="Z358" s="9"/>
      <c r="AA358" s="9"/>
      <c r="AB358" s="9"/>
      <c r="AC358" s="9"/>
    </row>
    <row r="359" spans="1:29" ht="14.4">
      <c r="A359" s="9"/>
      <c r="B359" s="9"/>
      <c r="C359" s="14" t="str">
        <f t="shared" si="3"/>
        <v>RevicUnhinged肉</v>
      </c>
      <c r="D359" s="13" t="s">
        <v>277</v>
      </c>
      <c r="E359" s="18" t="s">
        <v>14</v>
      </c>
      <c r="F359" s="18" t="s">
        <v>36</v>
      </c>
      <c r="H359" s="9"/>
      <c r="I359" s="9"/>
      <c r="J359" s="9"/>
      <c r="K359" s="9"/>
      <c r="L359" s="9"/>
      <c r="M359" s="9"/>
      <c r="N359" s="9"/>
      <c r="O359" s="9"/>
      <c r="P359" s="9"/>
      <c r="Q359" s="9"/>
      <c r="R359" s="9"/>
      <c r="S359" s="9"/>
      <c r="T359" s="9"/>
      <c r="U359" s="9"/>
      <c r="V359" s="9"/>
      <c r="W359" s="9"/>
      <c r="X359" s="9"/>
      <c r="Y359" s="9"/>
      <c r="Z359" s="9"/>
      <c r="AA359" s="9"/>
      <c r="AB359" s="9"/>
      <c r="AC359" s="9"/>
    </row>
    <row r="360" spans="1:29" ht="14.4">
      <c r="A360" s="9"/>
      <c r="B360" s="9"/>
      <c r="C360" s="14" t="str">
        <f t="shared" si="3"/>
        <v>DawkMAGAUnhinged肉</v>
      </c>
      <c r="D360" s="13" t="s">
        <v>278</v>
      </c>
      <c r="E360" s="18" t="s">
        <v>14</v>
      </c>
      <c r="F360" s="18" t="s">
        <v>36</v>
      </c>
      <c r="H360" s="9"/>
      <c r="I360" s="9"/>
      <c r="J360" s="9"/>
      <c r="K360" s="9"/>
      <c r="L360" s="9"/>
      <c r="M360" s="9"/>
      <c r="N360" s="9"/>
      <c r="O360" s="9"/>
      <c r="P360" s="9"/>
      <c r="Q360" s="9"/>
      <c r="R360" s="9"/>
      <c r="S360" s="9"/>
      <c r="T360" s="9"/>
      <c r="U360" s="9"/>
      <c r="V360" s="9"/>
      <c r="W360" s="9"/>
      <c r="X360" s="9"/>
      <c r="Y360" s="9"/>
      <c r="Z360" s="9"/>
      <c r="AA360" s="9"/>
      <c r="AB360" s="9"/>
      <c r="AC360" s="9"/>
    </row>
    <row r="361" spans="1:29" ht="14.4">
      <c r="A361" s="9"/>
      <c r="B361" s="9"/>
      <c r="C361" s="14" t="str">
        <f t="shared" si="3"/>
        <v>xPHOENIXxUnhinged肉</v>
      </c>
      <c r="D361" s="13" t="s">
        <v>279</v>
      </c>
      <c r="E361" s="18" t="s">
        <v>10</v>
      </c>
      <c r="F361" s="18" t="s">
        <v>36</v>
      </c>
      <c r="H361" s="9"/>
      <c r="I361" s="9"/>
      <c r="J361" s="9"/>
      <c r="K361" s="9"/>
      <c r="L361" s="9"/>
      <c r="M361" s="9"/>
      <c r="N361" s="9"/>
      <c r="O361" s="9"/>
      <c r="P361" s="9"/>
      <c r="Q361" s="9"/>
      <c r="R361" s="9"/>
      <c r="S361" s="9"/>
      <c r="T361" s="9"/>
      <c r="U361" s="9"/>
      <c r="V361" s="9"/>
      <c r="W361" s="9"/>
      <c r="X361" s="9"/>
      <c r="Y361" s="9"/>
      <c r="Z361" s="9"/>
      <c r="AA361" s="9"/>
      <c r="AB361" s="9"/>
      <c r="AC361" s="9"/>
    </row>
    <row r="362" spans="1:29" ht="14.4">
      <c r="A362" s="9"/>
      <c r="B362" s="9"/>
      <c r="C362" s="14" t="str">
        <f t="shared" si="3"/>
        <v>AhavacatUnhinged肉</v>
      </c>
      <c r="D362" s="13" t="s">
        <v>280</v>
      </c>
      <c r="E362" s="18" t="s">
        <v>9</v>
      </c>
      <c r="F362" s="18" t="s">
        <v>36</v>
      </c>
      <c r="H362" s="9"/>
      <c r="I362" s="9"/>
      <c r="J362" s="9"/>
      <c r="K362" s="9"/>
      <c r="L362" s="9"/>
      <c r="M362" s="9"/>
      <c r="N362" s="9"/>
      <c r="O362" s="9"/>
      <c r="P362" s="9"/>
      <c r="Q362" s="9"/>
      <c r="R362" s="9"/>
      <c r="S362" s="9"/>
      <c r="T362" s="9"/>
      <c r="U362" s="9"/>
      <c r="V362" s="9"/>
      <c r="W362" s="9"/>
      <c r="X362" s="9"/>
      <c r="Y362" s="9"/>
      <c r="Z362" s="9"/>
      <c r="AA362" s="9"/>
      <c r="AB362" s="9"/>
      <c r="AC362" s="9"/>
    </row>
    <row r="363" spans="1:29" ht="14.4">
      <c r="A363" s="9"/>
      <c r="B363" s="9"/>
      <c r="C363" s="14" t="str">
        <f t="shared" si="3"/>
        <v>tToastUnhinged肉</v>
      </c>
      <c r="D363" s="13" t="s">
        <v>281</v>
      </c>
      <c r="E363" s="18" t="s">
        <v>14</v>
      </c>
      <c r="F363" s="18" t="s">
        <v>36</v>
      </c>
      <c r="H363" s="9"/>
      <c r="I363" s="9"/>
      <c r="J363" s="9"/>
      <c r="K363" s="9"/>
      <c r="L363" s="9"/>
      <c r="M363" s="9"/>
      <c r="N363" s="9"/>
      <c r="O363" s="9"/>
      <c r="P363" s="9"/>
      <c r="Q363" s="9"/>
      <c r="R363" s="9"/>
      <c r="S363" s="9"/>
      <c r="T363" s="9"/>
      <c r="U363" s="9"/>
      <c r="V363" s="9"/>
      <c r="W363" s="9"/>
      <c r="X363" s="9"/>
      <c r="Y363" s="9"/>
      <c r="Z363" s="9"/>
      <c r="AA363" s="9"/>
      <c r="AB363" s="9"/>
      <c r="AC363" s="9"/>
    </row>
    <row r="364" spans="1:29" ht="14.4">
      <c r="A364" s="9"/>
      <c r="B364" s="9"/>
      <c r="C364" s="14" t="str">
        <f t="shared" si="3"/>
        <v>NataliaUnhinged肉</v>
      </c>
      <c r="D364" s="13" t="s">
        <v>282</v>
      </c>
      <c r="E364" s="18" t="s">
        <v>14</v>
      </c>
      <c r="F364" s="18" t="s">
        <v>36</v>
      </c>
      <c r="H364" s="9"/>
      <c r="I364" s="9"/>
      <c r="J364" s="9"/>
      <c r="K364" s="9"/>
      <c r="L364" s="9"/>
      <c r="M364" s="9"/>
      <c r="N364" s="9"/>
      <c r="O364" s="9"/>
      <c r="P364" s="9"/>
      <c r="Q364" s="9"/>
      <c r="R364" s="9"/>
      <c r="S364" s="9"/>
      <c r="T364" s="9"/>
      <c r="U364" s="9"/>
      <c r="V364" s="9"/>
      <c r="W364" s="9"/>
      <c r="X364" s="9"/>
      <c r="Y364" s="9"/>
      <c r="Z364" s="9"/>
      <c r="AA364" s="9"/>
      <c r="AB364" s="9"/>
      <c r="AC364" s="9"/>
    </row>
    <row r="365" spans="1:29" ht="14.4">
      <c r="A365" s="9"/>
      <c r="B365" s="9"/>
      <c r="C365" s="14" t="str">
        <f t="shared" si="3"/>
        <v>△lexaUnhinged肉</v>
      </c>
      <c r="D365" s="13" t="s">
        <v>283</v>
      </c>
      <c r="E365" s="18" t="s">
        <v>10</v>
      </c>
      <c r="F365" s="18" t="s">
        <v>36</v>
      </c>
      <c r="H365" s="9"/>
      <c r="I365" s="9"/>
      <c r="J365" s="9"/>
      <c r="K365" s="9"/>
      <c r="L365" s="9"/>
      <c r="M365" s="9"/>
      <c r="N365" s="9"/>
      <c r="O365" s="9"/>
      <c r="P365" s="9"/>
      <c r="Q365" s="9"/>
      <c r="R365" s="9"/>
      <c r="S365" s="9"/>
      <c r="T365" s="9"/>
      <c r="U365" s="9"/>
      <c r="V365" s="9"/>
      <c r="W365" s="9"/>
      <c r="X365" s="9"/>
      <c r="Y365" s="9"/>
      <c r="Z365" s="9"/>
      <c r="AA365" s="9"/>
      <c r="AB365" s="9"/>
      <c r="AC365" s="9"/>
    </row>
    <row r="366" spans="1:29" ht="14.4">
      <c r="A366" s="9"/>
      <c r="B366" s="9"/>
      <c r="C366" s="14" t="str">
        <f t="shared" si="3"/>
        <v>MadzUnhinged肉</v>
      </c>
      <c r="D366" s="13" t="s">
        <v>284</v>
      </c>
      <c r="E366" s="18" t="s">
        <v>73</v>
      </c>
      <c r="F366" s="18" t="s">
        <v>36</v>
      </c>
      <c r="H366" s="9"/>
      <c r="I366" s="9"/>
      <c r="J366" s="9"/>
      <c r="K366" s="9"/>
      <c r="L366" s="9"/>
      <c r="M366" s="9"/>
      <c r="N366" s="9"/>
      <c r="O366" s="9"/>
      <c r="P366" s="9"/>
      <c r="Q366" s="9"/>
      <c r="R366" s="9"/>
      <c r="S366" s="9"/>
      <c r="T366" s="9"/>
      <c r="U366" s="9"/>
      <c r="V366" s="9"/>
      <c r="W366" s="9"/>
      <c r="X366" s="9"/>
      <c r="Y366" s="9"/>
      <c r="Z366" s="9"/>
      <c r="AA366" s="9"/>
      <c r="AB366" s="9"/>
      <c r="AC366" s="9"/>
    </row>
    <row r="367" spans="1:29" ht="14.4">
      <c r="A367" s="9"/>
      <c r="B367" s="9"/>
      <c r="C367" s="14" t="str">
        <f t="shared" si="3"/>
        <v>VitoUnhinged肉</v>
      </c>
      <c r="D367" s="13" t="s">
        <v>285</v>
      </c>
      <c r="E367" s="18" t="s">
        <v>9</v>
      </c>
      <c r="F367" s="18" t="s">
        <v>36</v>
      </c>
      <c r="H367" s="9"/>
      <c r="I367" s="9"/>
      <c r="J367" s="9"/>
      <c r="K367" s="9"/>
      <c r="L367" s="9"/>
      <c r="M367" s="9"/>
      <c r="N367" s="9"/>
      <c r="O367" s="9"/>
      <c r="P367" s="9"/>
      <c r="Q367" s="9"/>
      <c r="R367" s="9"/>
      <c r="S367" s="9"/>
      <c r="T367" s="9"/>
      <c r="U367" s="9"/>
      <c r="V367" s="9"/>
      <c r="W367" s="9"/>
      <c r="X367" s="9"/>
      <c r="Y367" s="9"/>
      <c r="Z367" s="9"/>
      <c r="AA367" s="9"/>
      <c r="AB367" s="9"/>
      <c r="AC367" s="9"/>
    </row>
    <row r="368" spans="1:29" ht="14.4">
      <c r="A368" s="9"/>
      <c r="B368" s="9"/>
      <c r="C368" s="14" t="str">
        <f t="shared" si="3"/>
        <v>MarruhUnhinged肉</v>
      </c>
      <c r="D368" s="13" t="s">
        <v>286</v>
      </c>
      <c r="E368" s="18" t="s">
        <v>10</v>
      </c>
      <c r="F368" s="18" t="s">
        <v>36</v>
      </c>
      <c r="H368" s="9"/>
      <c r="I368" s="9"/>
      <c r="J368" s="9"/>
      <c r="K368" s="9"/>
      <c r="L368" s="9"/>
      <c r="M368" s="9"/>
      <c r="N368" s="9"/>
      <c r="O368" s="9"/>
      <c r="P368" s="9"/>
      <c r="Q368" s="9"/>
      <c r="R368" s="9"/>
      <c r="S368" s="9"/>
      <c r="T368" s="9"/>
      <c r="U368" s="9"/>
      <c r="V368" s="9"/>
      <c r="W368" s="9"/>
      <c r="X368" s="9"/>
      <c r="Y368" s="9"/>
      <c r="Z368" s="9"/>
      <c r="AA368" s="9"/>
      <c r="AB368" s="9"/>
      <c r="AC368" s="9"/>
    </row>
    <row r="369" spans="1:29" ht="14.4">
      <c r="A369" s="9"/>
      <c r="B369" s="9"/>
      <c r="C369" s="14" t="str">
        <f t="shared" si="3"/>
        <v>DravxUnhinged肉</v>
      </c>
      <c r="D369" s="13" t="s">
        <v>287</v>
      </c>
      <c r="E369" s="18" t="s">
        <v>69</v>
      </c>
      <c r="F369" s="18" t="s">
        <v>36</v>
      </c>
      <c r="H369" s="9"/>
      <c r="I369" s="9"/>
      <c r="J369" s="9"/>
      <c r="K369" s="9"/>
      <c r="L369" s="9"/>
      <c r="M369" s="9"/>
      <c r="N369" s="9"/>
      <c r="O369" s="9"/>
      <c r="P369" s="9"/>
      <c r="Q369" s="9"/>
      <c r="R369" s="9"/>
      <c r="S369" s="9"/>
      <c r="T369" s="9"/>
      <c r="U369" s="9"/>
      <c r="V369" s="9"/>
      <c r="W369" s="9"/>
      <c r="X369" s="9"/>
      <c r="Y369" s="9"/>
      <c r="Z369" s="9"/>
      <c r="AA369" s="9"/>
      <c r="AB369" s="9"/>
      <c r="AC369" s="9"/>
    </row>
    <row r="370" spans="1:29" ht="14.4">
      <c r="A370" s="9"/>
      <c r="B370" s="9"/>
      <c r="C370" s="14" t="str">
        <f t="shared" si="3"/>
        <v>EnderUnhinged肉</v>
      </c>
      <c r="D370" s="13" t="s">
        <v>288</v>
      </c>
      <c r="E370" s="18" t="s">
        <v>14</v>
      </c>
      <c r="F370" s="18" t="s">
        <v>36</v>
      </c>
      <c r="H370" s="9"/>
      <c r="I370" s="9"/>
      <c r="J370" s="9"/>
      <c r="K370" s="9"/>
      <c r="L370" s="9"/>
      <c r="M370" s="9"/>
      <c r="N370" s="9"/>
      <c r="O370" s="9"/>
      <c r="P370" s="9"/>
      <c r="Q370" s="9"/>
      <c r="R370" s="9"/>
      <c r="S370" s="9"/>
      <c r="T370" s="9"/>
      <c r="U370" s="9"/>
      <c r="V370" s="9"/>
      <c r="W370" s="9"/>
      <c r="X370" s="9"/>
      <c r="Y370" s="9"/>
      <c r="Z370" s="9"/>
      <c r="AA370" s="9"/>
      <c r="AB370" s="9"/>
      <c r="AC370" s="9"/>
    </row>
    <row r="371" spans="1:29" ht="14.4">
      <c r="A371" s="9"/>
      <c r="B371" s="9"/>
      <c r="C371" s="14" t="str">
        <f t="shared" si="3"/>
        <v>HamiebarmundUnhinged肉</v>
      </c>
      <c r="D371" s="13" t="s">
        <v>289</v>
      </c>
      <c r="E371" s="18" t="s">
        <v>62</v>
      </c>
      <c r="F371" s="18" t="s">
        <v>36</v>
      </c>
      <c r="H371" s="9"/>
      <c r="I371" s="9"/>
      <c r="J371" s="9"/>
      <c r="K371" s="9"/>
      <c r="L371" s="9"/>
      <c r="M371" s="9"/>
      <c r="N371" s="9"/>
      <c r="O371" s="9"/>
      <c r="P371" s="9"/>
      <c r="Q371" s="9"/>
      <c r="R371" s="9"/>
      <c r="S371" s="9"/>
      <c r="T371" s="9"/>
      <c r="U371" s="9"/>
      <c r="V371" s="9"/>
      <c r="W371" s="9"/>
      <c r="X371" s="9"/>
      <c r="Y371" s="9"/>
      <c r="Z371" s="9"/>
      <c r="AA371" s="9"/>
      <c r="AB371" s="9"/>
      <c r="AC371" s="9"/>
    </row>
    <row r="372" spans="1:29" ht="14.4">
      <c r="A372" s="9"/>
      <c r="B372" s="9"/>
      <c r="C372" s="14" t="str">
        <f t="shared" si="3"/>
        <v>marsUnhinged肉</v>
      </c>
      <c r="D372" s="13" t="s">
        <v>290</v>
      </c>
      <c r="E372" s="18" t="s">
        <v>69</v>
      </c>
      <c r="F372" s="18" t="s">
        <v>36</v>
      </c>
      <c r="H372" s="9"/>
      <c r="I372" s="9"/>
      <c r="J372" s="9"/>
      <c r="K372" s="9"/>
      <c r="L372" s="9"/>
      <c r="M372" s="9"/>
      <c r="N372" s="9"/>
      <c r="O372" s="9"/>
      <c r="P372" s="9"/>
      <c r="Q372" s="9"/>
      <c r="R372" s="9"/>
      <c r="S372" s="9"/>
      <c r="T372" s="9"/>
      <c r="U372" s="9"/>
      <c r="V372" s="9"/>
      <c r="W372" s="9"/>
      <c r="X372" s="9"/>
      <c r="Y372" s="9"/>
      <c r="Z372" s="9"/>
      <c r="AA372" s="9"/>
      <c r="AB372" s="9"/>
      <c r="AC372" s="9"/>
    </row>
    <row r="373" spans="1:29" ht="14.4">
      <c r="A373" s="9"/>
      <c r="B373" s="9"/>
      <c r="C373" s="14" t="str">
        <f t="shared" si="3"/>
        <v>RegardlessUnhinged肉</v>
      </c>
      <c r="D373" s="13" t="s">
        <v>291</v>
      </c>
      <c r="E373" s="18" t="s">
        <v>54</v>
      </c>
      <c r="F373" s="18" t="s">
        <v>36</v>
      </c>
      <c r="H373" s="9"/>
      <c r="I373" s="9"/>
      <c r="J373" s="9"/>
      <c r="K373" s="9"/>
      <c r="L373" s="9"/>
      <c r="M373" s="9"/>
      <c r="N373" s="9"/>
      <c r="O373" s="9"/>
      <c r="P373" s="9"/>
      <c r="Q373" s="9"/>
      <c r="R373" s="9"/>
      <c r="S373" s="9"/>
      <c r="T373" s="9"/>
      <c r="U373" s="9"/>
      <c r="V373" s="9"/>
      <c r="W373" s="9"/>
      <c r="X373" s="9"/>
      <c r="Y373" s="9"/>
      <c r="Z373" s="9"/>
      <c r="AA373" s="9"/>
      <c r="AB373" s="9"/>
      <c r="AC373" s="9"/>
    </row>
    <row r="374" spans="1:29" ht="14.4">
      <c r="A374" s="9"/>
      <c r="B374" s="9"/>
      <c r="C374" s="14" t="str">
        <f t="shared" si="3"/>
        <v>YesUnhinged肉</v>
      </c>
      <c r="D374" s="13" t="s">
        <v>292</v>
      </c>
      <c r="E374" s="18" t="s">
        <v>24</v>
      </c>
      <c r="F374" s="18" t="s">
        <v>36</v>
      </c>
      <c r="H374" s="9"/>
      <c r="I374" s="9"/>
      <c r="J374" s="9"/>
      <c r="K374" s="9"/>
      <c r="L374" s="9"/>
      <c r="M374" s="9"/>
      <c r="N374" s="9"/>
      <c r="O374" s="9"/>
      <c r="P374" s="9"/>
      <c r="Q374" s="9"/>
      <c r="R374" s="9"/>
      <c r="S374" s="9"/>
      <c r="T374" s="9"/>
      <c r="U374" s="9"/>
      <c r="V374" s="9"/>
      <c r="W374" s="9"/>
      <c r="X374" s="9"/>
      <c r="Y374" s="9"/>
      <c r="Z374" s="9"/>
      <c r="AA374" s="9"/>
      <c r="AB374" s="9"/>
      <c r="AC374" s="9"/>
    </row>
    <row r="375" spans="1:29" ht="14.4">
      <c r="A375" s="9"/>
      <c r="B375" s="9"/>
      <c r="C375" s="14" t="str">
        <f t="shared" si="3"/>
        <v>YunoKaiUnhinged肉</v>
      </c>
      <c r="D375" s="13" t="s">
        <v>293</v>
      </c>
      <c r="E375" s="18" t="s">
        <v>14</v>
      </c>
      <c r="F375" s="18" t="s">
        <v>36</v>
      </c>
      <c r="H375" s="9"/>
      <c r="I375" s="9"/>
      <c r="J375" s="9"/>
      <c r="K375" s="9"/>
      <c r="L375" s="9"/>
      <c r="M375" s="9"/>
      <c r="N375" s="9"/>
      <c r="O375" s="9"/>
      <c r="P375" s="9"/>
      <c r="Q375" s="9"/>
      <c r="R375" s="9"/>
      <c r="S375" s="9"/>
      <c r="T375" s="9"/>
      <c r="U375" s="9"/>
      <c r="V375" s="9"/>
      <c r="W375" s="9"/>
      <c r="X375" s="9"/>
      <c r="Y375" s="9"/>
      <c r="Z375" s="9"/>
      <c r="AA375" s="9"/>
      <c r="AB375" s="9"/>
      <c r="AC375" s="9"/>
    </row>
    <row r="376" spans="1:29" ht="14.4">
      <c r="A376" s="9"/>
      <c r="B376" s="9"/>
      <c r="C376" s="14" t="str">
        <f t="shared" si="3"/>
        <v>JohnJacobUnhinged肉</v>
      </c>
      <c r="D376" s="13" t="s">
        <v>294</v>
      </c>
      <c r="E376" s="18" t="s">
        <v>32</v>
      </c>
      <c r="F376" s="18" t="s">
        <v>36</v>
      </c>
      <c r="H376" s="9"/>
      <c r="I376" s="9"/>
      <c r="J376" s="9"/>
      <c r="K376" s="9"/>
      <c r="L376" s="9"/>
      <c r="M376" s="9"/>
      <c r="N376" s="9"/>
      <c r="O376" s="9"/>
      <c r="P376" s="9"/>
      <c r="Q376" s="9"/>
      <c r="R376" s="9"/>
      <c r="S376" s="9"/>
      <c r="T376" s="9"/>
      <c r="U376" s="9"/>
      <c r="V376" s="9"/>
      <c r="W376" s="9"/>
      <c r="X376" s="9"/>
      <c r="Y376" s="9"/>
      <c r="Z376" s="9"/>
      <c r="AA376" s="9"/>
      <c r="AB376" s="9"/>
      <c r="AC376" s="9"/>
    </row>
    <row r="377" spans="1:29" ht="14.4">
      <c r="A377" s="9"/>
      <c r="B377" s="9"/>
      <c r="C377" s="14" t="str">
        <f t="shared" si="3"/>
        <v>ShawnUnhinged肉</v>
      </c>
      <c r="D377" s="13" t="s">
        <v>295</v>
      </c>
      <c r="E377" s="18" t="s">
        <v>14</v>
      </c>
      <c r="F377" s="18" t="s">
        <v>36</v>
      </c>
      <c r="H377" s="9"/>
      <c r="I377" s="9"/>
      <c r="J377" s="9"/>
      <c r="K377" s="9"/>
      <c r="L377" s="9"/>
      <c r="M377" s="9"/>
      <c r="N377" s="9"/>
      <c r="O377" s="9"/>
      <c r="P377" s="9"/>
      <c r="Q377" s="9"/>
      <c r="R377" s="9"/>
      <c r="S377" s="9"/>
      <c r="T377" s="9"/>
      <c r="U377" s="9"/>
      <c r="V377" s="9"/>
      <c r="W377" s="9"/>
      <c r="X377" s="9"/>
      <c r="Y377" s="9"/>
      <c r="Z377" s="9"/>
      <c r="AA377" s="9"/>
      <c r="AB377" s="9"/>
      <c r="AC377" s="9"/>
    </row>
    <row r="378" spans="1:29" ht="14.4">
      <c r="A378" s="9"/>
      <c r="B378" s="9"/>
      <c r="C378" s="14" t="str">
        <f t="shared" si="3"/>
        <v>KarpendraUnhinged肉</v>
      </c>
      <c r="D378" s="13" t="s">
        <v>296</v>
      </c>
      <c r="E378" s="18" t="s">
        <v>14</v>
      </c>
      <c r="F378" s="18" t="s">
        <v>36</v>
      </c>
      <c r="H378" s="9"/>
      <c r="I378" s="9"/>
      <c r="J378" s="9"/>
      <c r="K378" s="9"/>
      <c r="L378" s="9"/>
      <c r="M378" s="9"/>
      <c r="N378" s="9"/>
      <c r="O378" s="9"/>
      <c r="P378" s="9"/>
      <c r="Q378" s="9"/>
      <c r="R378" s="9"/>
      <c r="S378" s="9"/>
      <c r="T378" s="9"/>
      <c r="U378" s="9"/>
      <c r="V378" s="9"/>
      <c r="W378" s="9"/>
      <c r="X378" s="9"/>
      <c r="Y378" s="9"/>
      <c r="Z378" s="9"/>
      <c r="AA378" s="9"/>
      <c r="AB378" s="9"/>
      <c r="AC378" s="9"/>
    </row>
    <row r="379" spans="1:29" ht="14.4">
      <c r="A379" s="9"/>
      <c r="B379" s="9"/>
      <c r="C379" s="14" t="str">
        <f t="shared" si="3"/>
        <v>G00GLYUnhinged肉</v>
      </c>
      <c r="D379" s="13" t="s">
        <v>297</v>
      </c>
      <c r="E379" s="18" t="s">
        <v>70</v>
      </c>
      <c r="F379" s="18" t="s">
        <v>36</v>
      </c>
      <c r="H379" s="9"/>
      <c r="I379" s="9"/>
      <c r="J379" s="9"/>
      <c r="K379" s="9"/>
      <c r="L379" s="9"/>
      <c r="M379" s="9"/>
      <c r="N379" s="9"/>
      <c r="O379" s="9"/>
      <c r="P379" s="9"/>
      <c r="Q379" s="9"/>
      <c r="R379" s="9"/>
      <c r="S379" s="9"/>
      <c r="T379" s="9"/>
      <c r="U379" s="9"/>
      <c r="V379" s="9"/>
      <c r="W379" s="9"/>
      <c r="X379" s="9"/>
      <c r="Y379" s="9"/>
      <c r="Z379" s="9"/>
      <c r="AA379" s="9"/>
      <c r="AB379" s="9"/>
      <c r="AC379" s="9"/>
    </row>
    <row r="380" spans="1:29" ht="14.4">
      <c r="A380" s="9"/>
      <c r="B380" s="9"/>
      <c r="C380" s="14" t="str">
        <f t="shared" si="3"/>
        <v>RuthlessssssssUnhinged肉</v>
      </c>
      <c r="D380" s="13" t="s">
        <v>298</v>
      </c>
      <c r="E380" s="18" t="s">
        <v>14</v>
      </c>
      <c r="F380" s="18" t="s">
        <v>36</v>
      </c>
      <c r="H380" s="9"/>
      <c r="I380" s="9"/>
      <c r="J380" s="9"/>
      <c r="K380" s="9"/>
      <c r="L380" s="9"/>
      <c r="M380" s="9"/>
      <c r="N380" s="9"/>
      <c r="O380" s="9"/>
      <c r="P380" s="9"/>
      <c r="Q380" s="9"/>
      <c r="R380" s="9"/>
      <c r="S380" s="9"/>
      <c r="T380" s="9"/>
      <c r="U380" s="9"/>
      <c r="V380" s="9"/>
      <c r="W380" s="9"/>
      <c r="X380" s="9"/>
      <c r="Y380" s="9"/>
      <c r="Z380" s="9"/>
      <c r="AA380" s="9"/>
      <c r="AB380" s="9"/>
      <c r="AC380" s="9"/>
    </row>
    <row r="381" spans="1:29" ht="14.4">
      <c r="A381" s="9"/>
      <c r="B381" s="9"/>
      <c r="C381" s="14" t="str">
        <f t="shared" si="3"/>
        <v>RubyUnhinged肉</v>
      </c>
      <c r="D381" s="13" t="s">
        <v>299</v>
      </c>
      <c r="E381" s="18" t="s">
        <v>10</v>
      </c>
      <c r="F381" s="18" t="s">
        <v>36</v>
      </c>
      <c r="H381" s="9"/>
      <c r="I381" s="9"/>
      <c r="J381" s="9"/>
      <c r="K381" s="9"/>
      <c r="L381" s="9"/>
      <c r="M381" s="9"/>
      <c r="N381" s="9"/>
      <c r="O381" s="9"/>
      <c r="P381" s="9"/>
      <c r="Q381" s="9"/>
      <c r="R381" s="9"/>
      <c r="S381" s="9"/>
      <c r="T381" s="9"/>
      <c r="U381" s="9"/>
      <c r="V381" s="9"/>
      <c r="W381" s="9"/>
      <c r="X381" s="9"/>
      <c r="Y381" s="9"/>
      <c r="Z381" s="9"/>
      <c r="AA381" s="9"/>
      <c r="AB381" s="9"/>
      <c r="AC381" s="9"/>
    </row>
    <row r="382" spans="1:29" ht="14.4">
      <c r="A382" s="9"/>
      <c r="B382" s="9"/>
      <c r="C382" s="14" t="str">
        <f t="shared" si="3"/>
        <v>KirtruxUnhinged肉</v>
      </c>
      <c r="D382" s="13" t="s">
        <v>300</v>
      </c>
      <c r="E382" s="18" t="s">
        <v>9</v>
      </c>
      <c r="F382" s="18" t="s">
        <v>36</v>
      </c>
      <c r="H382" s="9"/>
      <c r="I382" s="9"/>
      <c r="J382" s="9"/>
      <c r="K382" s="9"/>
      <c r="L382" s="9"/>
      <c r="M382" s="9"/>
      <c r="N382" s="9"/>
      <c r="O382" s="9"/>
      <c r="P382" s="9"/>
      <c r="Q382" s="9"/>
      <c r="R382" s="9"/>
      <c r="S382" s="9"/>
      <c r="T382" s="9"/>
      <c r="U382" s="9"/>
      <c r="V382" s="9"/>
      <c r="W382" s="9"/>
      <c r="X382" s="9"/>
      <c r="Y382" s="9"/>
      <c r="Z382" s="9"/>
      <c r="AA382" s="9"/>
      <c r="AB382" s="9"/>
      <c r="AC382" s="9"/>
    </row>
    <row r="383" spans="1:29" ht="14.4">
      <c r="A383" s="9"/>
      <c r="B383" s="9"/>
      <c r="C383" s="14" t="str">
        <f t="shared" si="3"/>
        <v>QueenSkinUnhinged肉</v>
      </c>
      <c r="D383" s="13" t="s">
        <v>301</v>
      </c>
      <c r="E383" s="18" t="s">
        <v>9</v>
      </c>
      <c r="F383" s="18" t="s">
        <v>36</v>
      </c>
      <c r="H383" s="9"/>
      <c r="I383" s="9"/>
      <c r="J383" s="9"/>
      <c r="K383" s="9"/>
      <c r="L383" s="9"/>
      <c r="M383" s="9"/>
      <c r="N383" s="9"/>
      <c r="O383" s="9"/>
      <c r="P383" s="9"/>
      <c r="Q383" s="9"/>
      <c r="R383" s="9"/>
      <c r="S383" s="9"/>
      <c r="T383" s="9"/>
      <c r="U383" s="9"/>
      <c r="V383" s="9"/>
      <c r="W383" s="9"/>
      <c r="X383" s="9"/>
      <c r="Y383" s="9"/>
      <c r="Z383" s="9"/>
      <c r="AA383" s="9"/>
      <c r="AB383" s="9"/>
      <c r="AC383" s="9"/>
    </row>
    <row r="384" spans="1:29" ht="14.4">
      <c r="A384" s="9"/>
      <c r="B384" s="9"/>
      <c r="C384" s="14" t="str">
        <f t="shared" si="3"/>
        <v>PicklesnausUnhinged肉</v>
      </c>
      <c r="D384" s="13" t="s">
        <v>302</v>
      </c>
      <c r="E384" s="18" t="s">
        <v>14</v>
      </c>
      <c r="F384" s="18" t="s">
        <v>36</v>
      </c>
      <c r="H384" s="9"/>
      <c r="I384" s="9"/>
      <c r="J384" s="9"/>
      <c r="K384" s="9"/>
      <c r="L384" s="9"/>
      <c r="M384" s="9"/>
      <c r="N384" s="9"/>
      <c r="O384" s="9"/>
      <c r="P384" s="9"/>
      <c r="Q384" s="9"/>
      <c r="R384" s="9"/>
      <c r="S384" s="9"/>
      <c r="T384" s="9"/>
      <c r="U384" s="9"/>
      <c r="V384" s="9"/>
      <c r="W384" s="9"/>
      <c r="X384" s="9"/>
      <c r="Y384" s="9"/>
      <c r="Z384" s="9"/>
      <c r="AA384" s="9"/>
      <c r="AB384" s="9"/>
      <c r="AC384" s="9"/>
    </row>
    <row r="385" spans="1:29" ht="14.4">
      <c r="A385" s="9"/>
      <c r="B385" s="9"/>
      <c r="C385" s="14" t="str">
        <f t="shared" si="3"/>
        <v>Kami11Unhinged肉</v>
      </c>
      <c r="D385" s="13" t="s">
        <v>303</v>
      </c>
      <c r="E385" s="18" t="s">
        <v>10</v>
      </c>
      <c r="F385" s="18" t="s">
        <v>36</v>
      </c>
      <c r="H385" s="9"/>
      <c r="I385" s="9"/>
      <c r="J385" s="9"/>
      <c r="K385" s="9"/>
      <c r="L385" s="9"/>
      <c r="M385" s="9"/>
      <c r="N385" s="9"/>
      <c r="O385" s="9"/>
      <c r="P385" s="9"/>
      <c r="Q385" s="9"/>
      <c r="R385" s="9"/>
      <c r="S385" s="9"/>
      <c r="T385" s="9"/>
      <c r="U385" s="9"/>
      <c r="V385" s="9"/>
      <c r="W385" s="9"/>
      <c r="X385" s="9"/>
      <c r="Y385" s="9"/>
      <c r="Z385" s="9"/>
      <c r="AA385" s="9"/>
      <c r="AB385" s="9"/>
      <c r="AC385" s="9"/>
    </row>
    <row r="386" spans="1:29" ht="14.4">
      <c r="A386" s="9"/>
      <c r="B386" s="9"/>
      <c r="C386" s="14" t="str">
        <f t="shared" si="3"/>
        <v>PlumbercrakUnhinged肉</v>
      </c>
      <c r="D386" s="13" t="s">
        <v>304</v>
      </c>
      <c r="E386" s="18" t="s">
        <v>9</v>
      </c>
      <c r="F386" s="18" t="s">
        <v>36</v>
      </c>
      <c r="H386" s="9"/>
      <c r="I386" s="9"/>
      <c r="J386" s="9"/>
      <c r="K386" s="9"/>
      <c r="L386" s="9"/>
      <c r="M386" s="9"/>
      <c r="N386" s="9"/>
      <c r="O386" s="9"/>
      <c r="P386" s="9"/>
      <c r="Q386" s="9"/>
      <c r="R386" s="9"/>
      <c r="S386" s="9"/>
      <c r="T386" s="9"/>
      <c r="U386" s="9"/>
      <c r="V386" s="9"/>
      <c r="W386" s="9"/>
      <c r="X386" s="9"/>
      <c r="Y386" s="9"/>
      <c r="Z386" s="9"/>
      <c r="AA386" s="9"/>
      <c r="AB386" s="9"/>
      <c r="AC386" s="9"/>
    </row>
    <row r="387" spans="1:29" ht="14.4">
      <c r="A387" s="9"/>
      <c r="B387" s="9"/>
      <c r="C387" s="14" t="str">
        <f t="shared" si="3"/>
        <v>LuckyBlackatYTUnhinged肉</v>
      </c>
      <c r="D387" s="13" t="s">
        <v>305</v>
      </c>
      <c r="E387" s="18" t="s">
        <v>9</v>
      </c>
      <c r="F387" s="18" t="s">
        <v>36</v>
      </c>
      <c r="H387" s="9"/>
      <c r="I387" s="9"/>
      <c r="J387" s="9"/>
      <c r="K387" s="9"/>
      <c r="L387" s="9"/>
      <c r="M387" s="9"/>
      <c r="N387" s="9"/>
      <c r="O387" s="9"/>
      <c r="P387" s="9"/>
      <c r="Q387" s="9"/>
      <c r="R387" s="9"/>
      <c r="S387" s="9"/>
      <c r="T387" s="9"/>
      <c r="U387" s="9"/>
      <c r="V387" s="9"/>
      <c r="W387" s="9"/>
      <c r="X387" s="9"/>
      <c r="Y387" s="9"/>
      <c r="Z387" s="9"/>
      <c r="AA387" s="9"/>
      <c r="AB387" s="9"/>
      <c r="AC387" s="9"/>
    </row>
    <row r="388" spans="1:29" ht="14.4">
      <c r="A388" s="9"/>
      <c r="B388" s="9"/>
      <c r="C388" s="14" t="str">
        <f t="shared" si="3"/>
        <v>JosssephUnhinged肉</v>
      </c>
      <c r="D388" s="13" t="s">
        <v>306</v>
      </c>
      <c r="E388" s="18" t="s">
        <v>14</v>
      </c>
      <c r="F388" s="18" t="s">
        <v>36</v>
      </c>
      <c r="H388" s="9"/>
      <c r="I388" s="9"/>
      <c r="J388" s="9"/>
      <c r="K388" s="9"/>
      <c r="L388" s="9"/>
      <c r="M388" s="9"/>
      <c r="N388" s="9"/>
      <c r="O388" s="9"/>
      <c r="P388" s="9"/>
      <c r="Q388" s="9"/>
      <c r="R388" s="9"/>
      <c r="S388" s="9"/>
      <c r="T388" s="9"/>
      <c r="U388" s="9"/>
      <c r="V388" s="9"/>
      <c r="W388" s="9"/>
      <c r="X388" s="9"/>
      <c r="Y388" s="9"/>
      <c r="Z388" s="9"/>
      <c r="AA388" s="9"/>
      <c r="AB388" s="9"/>
      <c r="AC388" s="9"/>
    </row>
    <row r="389" spans="1:29" ht="14.4">
      <c r="A389" s="9"/>
      <c r="B389" s="9"/>
      <c r="C389" s="14" t="str">
        <f t="shared" si="3"/>
        <v>LunaDarlingUnhinged肉</v>
      </c>
      <c r="D389" s="13" t="s">
        <v>307</v>
      </c>
      <c r="E389" s="18" t="s">
        <v>10</v>
      </c>
      <c r="F389" s="18" t="s">
        <v>36</v>
      </c>
      <c r="H389" s="9"/>
      <c r="I389" s="9"/>
      <c r="J389" s="9"/>
      <c r="K389" s="9"/>
      <c r="L389" s="9"/>
      <c r="M389" s="9"/>
      <c r="N389" s="9"/>
      <c r="O389" s="9"/>
      <c r="P389" s="9"/>
      <c r="Q389" s="9"/>
      <c r="R389" s="9"/>
      <c r="S389" s="9"/>
      <c r="T389" s="9"/>
      <c r="U389" s="9"/>
      <c r="V389" s="9"/>
      <c r="W389" s="9"/>
      <c r="X389" s="9"/>
      <c r="Y389" s="9"/>
      <c r="Z389" s="9"/>
      <c r="AA389" s="9"/>
      <c r="AB389" s="9"/>
      <c r="AC389" s="9"/>
    </row>
    <row r="390" spans="1:29" ht="14.4">
      <c r="A390" s="9"/>
      <c r="B390" s="9"/>
      <c r="C390" s="14" t="str">
        <f t="shared" si="3"/>
        <v>VulturnusUnhinged肉</v>
      </c>
      <c r="D390" s="13" t="s">
        <v>308</v>
      </c>
      <c r="E390" s="18" t="s">
        <v>9</v>
      </c>
      <c r="F390" s="18" t="s">
        <v>36</v>
      </c>
      <c r="H390" s="9"/>
      <c r="I390" s="9"/>
      <c r="J390" s="9"/>
      <c r="K390" s="9"/>
      <c r="L390" s="9"/>
      <c r="M390" s="9"/>
      <c r="N390" s="9"/>
      <c r="O390" s="9"/>
      <c r="P390" s="9"/>
      <c r="Q390" s="9"/>
      <c r="R390" s="9"/>
      <c r="S390" s="9"/>
      <c r="T390" s="9"/>
      <c r="U390" s="9"/>
      <c r="V390" s="9"/>
      <c r="W390" s="9"/>
      <c r="X390" s="9"/>
      <c r="Y390" s="9"/>
      <c r="Z390" s="9"/>
      <c r="AA390" s="9"/>
      <c r="AB390" s="9"/>
      <c r="AC390" s="9"/>
    </row>
    <row r="391" spans="1:29" ht="14.4">
      <c r="A391" s="9"/>
      <c r="B391" s="9"/>
      <c r="C391" s="14" t="str">
        <f t="shared" si="3"/>
        <v>LiquidZodUnhinged肉</v>
      </c>
      <c r="D391" s="13" t="s">
        <v>309</v>
      </c>
      <c r="E391" s="18" t="s">
        <v>10</v>
      </c>
      <c r="F391" s="18" t="s">
        <v>36</v>
      </c>
      <c r="H391" s="9"/>
      <c r="I391" s="9"/>
      <c r="J391" s="9"/>
      <c r="K391" s="9"/>
      <c r="L391" s="9"/>
      <c r="M391" s="9"/>
      <c r="N391" s="9"/>
      <c r="O391" s="9"/>
      <c r="P391" s="9"/>
      <c r="Q391" s="9"/>
      <c r="R391" s="9"/>
      <c r="S391" s="9"/>
      <c r="T391" s="9"/>
      <c r="U391" s="9"/>
      <c r="V391" s="9"/>
      <c r="W391" s="9"/>
      <c r="X391" s="9"/>
      <c r="Y391" s="9"/>
      <c r="Z391" s="9"/>
      <c r="AA391" s="9"/>
      <c r="AB391" s="9"/>
      <c r="AC391" s="9"/>
    </row>
    <row r="392" spans="1:29" ht="14.4">
      <c r="A392" s="9"/>
      <c r="B392" s="9"/>
      <c r="C392" s="14" t="str">
        <f t="shared" si="3"/>
        <v>JiazuiUnhinged肉</v>
      </c>
      <c r="D392" s="13" t="s">
        <v>310</v>
      </c>
      <c r="E392" s="18" t="s">
        <v>23</v>
      </c>
      <c r="F392" s="18" t="s">
        <v>36</v>
      </c>
      <c r="H392" s="9"/>
      <c r="I392" s="9"/>
      <c r="J392" s="9"/>
      <c r="K392" s="9"/>
      <c r="L392" s="9"/>
      <c r="M392" s="9"/>
      <c r="N392" s="9"/>
      <c r="O392" s="9"/>
      <c r="P392" s="9"/>
      <c r="Q392" s="9"/>
      <c r="R392" s="9"/>
      <c r="S392" s="9"/>
      <c r="T392" s="9"/>
      <c r="U392" s="9"/>
      <c r="V392" s="9"/>
      <c r="W392" s="9"/>
      <c r="X392" s="9"/>
      <c r="Y392" s="9"/>
      <c r="Z392" s="9"/>
      <c r="AA392" s="9"/>
      <c r="AB392" s="9"/>
      <c r="AC392" s="9"/>
    </row>
    <row r="393" spans="1:29" ht="14.4">
      <c r="A393" s="9"/>
      <c r="B393" s="9"/>
      <c r="C393" s="14" t="str">
        <f t="shared" si="3"/>
        <v>OathelliusUnhinged肉</v>
      </c>
      <c r="D393" s="13" t="s">
        <v>311</v>
      </c>
      <c r="E393" s="18" t="s">
        <v>23</v>
      </c>
      <c r="F393" s="18" t="s">
        <v>36</v>
      </c>
      <c r="H393" s="9"/>
      <c r="I393" s="9"/>
      <c r="J393" s="9"/>
      <c r="K393" s="9"/>
      <c r="L393" s="9"/>
      <c r="M393" s="9"/>
      <c r="N393" s="9"/>
      <c r="O393" s="9"/>
      <c r="P393" s="9"/>
      <c r="Q393" s="9"/>
      <c r="R393" s="9"/>
      <c r="S393" s="9"/>
      <c r="T393" s="9"/>
      <c r="U393" s="9"/>
      <c r="V393" s="9"/>
      <c r="W393" s="9"/>
      <c r="X393" s="9"/>
      <c r="Y393" s="9"/>
      <c r="Z393" s="9"/>
      <c r="AA393" s="9"/>
      <c r="AB393" s="9"/>
      <c r="AC393" s="9"/>
    </row>
    <row r="394" spans="1:29" ht="14.4">
      <c r="A394" s="9"/>
      <c r="B394" s="9"/>
      <c r="C394" s="14" t="str">
        <f t="shared" si="3"/>
        <v>RegardlessUnhinged肉</v>
      </c>
      <c r="D394" s="13" t="s">
        <v>291</v>
      </c>
      <c r="E394" s="18" t="s">
        <v>54</v>
      </c>
      <c r="F394" s="18" t="s">
        <v>36</v>
      </c>
      <c r="H394" s="9"/>
      <c r="I394" s="9"/>
      <c r="J394" s="9"/>
      <c r="K394" s="9"/>
      <c r="L394" s="9"/>
      <c r="M394" s="9"/>
      <c r="N394" s="9"/>
      <c r="O394" s="9"/>
      <c r="P394" s="9"/>
      <c r="Q394" s="9"/>
      <c r="R394" s="9"/>
      <c r="S394" s="9"/>
      <c r="T394" s="9"/>
      <c r="U394" s="9"/>
      <c r="V394" s="9"/>
      <c r="W394" s="9"/>
      <c r="X394" s="9"/>
      <c r="Y394" s="9"/>
      <c r="Z394" s="9"/>
      <c r="AA394" s="9"/>
      <c r="AB394" s="9"/>
      <c r="AC394" s="9"/>
    </row>
    <row r="395" spans="1:29" ht="14.4">
      <c r="A395" s="9"/>
      <c r="B395" s="9"/>
      <c r="C395" s="14" t="str">
        <f t="shared" si="3"/>
        <v>HollowKnightUnhinged肉</v>
      </c>
      <c r="D395" s="13" t="s">
        <v>312</v>
      </c>
      <c r="E395" s="18" t="s">
        <v>23</v>
      </c>
      <c r="F395" s="18" t="s">
        <v>36</v>
      </c>
      <c r="H395" s="9"/>
      <c r="I395" s="9"/>
      <c r="J395" s="9"/>
      <c r="K395" s="9"/>
      <c r="L395" s="9"/>
      <c r="M395" s="9"/>
      <c r="N395" s="9"/>
      <c r="O395" s="9"/>
      <c r="P395" s="9"/>
      <c r="Q395" s="9"/>
      <c r="R395" s="9"/>
      <c r="S395" s="9"/>
      <c r="T395" s="9"/>
      <c r="U395" s="9"/>
      <c r="V395" s="9"/>
      <c r="W395" s="9"/>
      <c r="X395" s="9"/>
      <c r="Y395" s="9"/>
      <c r="Z395" s="9"/>
      <c r="AA395" s="9"/>
      <c r="AB395" s="9"/>
      <c r="AC395" s="9"/>
    </row>
    <row r="396" spans="1:29" ht="14.4">
      <c r="A396" s="9"/>
      <c r="B396" s="9"/>
      <c r="C396" s="14" t="str">
        <f t="shared" si="3"/>
        <v>ZykiraUnhinged肉</v>
      </c>
      <c r="D396" s="13" t="s">
        <v>313</v>
      </c>
      <c r="E396" s="18" t="s">
        <v>14</v>
      </c>
      <c r="F396" s="18" t="s">
        <v>36</v>
      </c>
      <c r="H396" s="9"/>
      <c r="I396" s="9"/>
      <c r="J396" s="9"/>
      <c r="K396" s="9"/>
      <c r="L396" s="9"/>
      <c r="M396" s="9"/>
      <c r="N396" s="9"/>
      <c r="O396" s="9"/>
      <c r="P396" s="9"/>
      <c r="Q396" s="9"/>
      <c r="R396" s="9"/>
      <c r="S396" s="9"/>
      <c r="T396" s="9"/>
      <c r="U396" s="9"/>
      <c r="V396" s="9"/>
      <c r="W396" s="9"/>
      <c r="X396" s="9"/>
      <c r="Y396" s="9"/>
      <c r="Z396" s="9"/>
      <c r="AA396" s="9"/>
      <c r="AB396" s="9"/>
      <c r="AC396" s="9"/>
    </row>
    <row r="397" spans="1:29" ht="14.4">
      <c r="A397" s="9"/>
      <c r="B397" s="9"/>
      <c r="C397" s="14" t="str">
        <f t="shared" si="3"/>
        <v>ZeelosUnhinged肉</v>
      </c>
      <c r="D397" s="13" t="s">
        <v>314</v>
      </c>
      <c r="E397" s="18" t="s">
        <v>9</v>
      </c>
      <c r="F397" s="18" t="s">
        <v>36</v>
      </c>
      <c r="H397" s="9"/>
      <c r="I397" s="9"/>
      <c r="J397" s="9"/>
      <c r="K397" s="9"/>
      <c r="L397" s="9"/>
      <c r="M397" s="9"/>
      <c r="N397" s="9"/>
      <c r="O397" s="9"/>
      <c r="P397" s="9"/>
      <c r="Q397" s="9"/>
      <c r="R397" s="9"/>
      <c r="S397" s="9"/>
      <c r="T397" s="9"/>
      <c r="U397" s="9"/>
      <c r="V397" s="9"/>
      <c r="W397" s="9"/>
      <c r="X397" s="9"/>
      <c r="Y397" s="9"/>
      <c r="Z397" s="9"/>
      <c r="AA397" s="9"/>
      <c r="AB397" s="9"/>
      <c r="AC397" s="9"/>
    </row>
    <row r="398" spans="1:29" ht="14.4">
      <c r="A398" s="9"/>
      <c r="B398" s="9"/>
      <c r="C398" s="14" t="str">
        <f t="shared" si="3"/>
        <v>AntiShiroUnhinged肉</v>
      </c>
      <c r="D398" s="13" t="s">
        <v>315</v>
      </c>
      <c r="E398" s="18" t="s">
        <v>9</v>
      </c>
      <c r="F398" s="18" t="s">
        <v>36</v>
      </c>
      <c r="H398" s="9"/>
      <c r="I398" s="9"/>
      <c r="J398" s="9"/>
      <c r="K398" s="9"/>
      <c r="L398" s="9"/>
      <c r="M398" s="9"/>
      <c r="N398" s="9"/>
      <c r="O398" s="9"/>
      <c r="P398" s="9"/>
      <c r="Q398" s="9"/>
      <c r="R398" s="9"/>
      <c r="S398" s="9"/>
      <c r="T398" s="9"/>
      <c r="U398" s="9"/>
      <c r="V398" s="9"/>
      <c r="W398" s="9"/>
      <c r="X398" s="9"/>
      <c r="Y398" s="9"/>
      <c r="Z398" s="9"/>
      <c r="AA398" s="9"/>
      <c r="AB398" s="9"/>
      <c r="AC398" s="9"/>
    </row>
    <row r="399" spans="1:29" ht="14.4">
      <c r="A399" s="9"/>
      <c r="B399" s="9"/>
      <c r="C399" s="14" t="str">
        <f t="shared" si="3"/>
        <v>BelleUnhinged肉</v>
      </c>
      <c r="D399" s="13" t="s">
        <v>316</v>
      </c>
      <c r="E399" s="18" t="s">
        <v>14</v>
      </c>
      <c r="F399" s="18" t="s">
        <v>36</v>
      </c>
      <c r="H399" s="9"/>
      <c r="I399" s="9"/>
      <c r="J399" s="9"/>
      <c r="K399" s="9"/>
      <c r="L399" s="9"/>
      <c r="M399" s="9"/>
      <c r="N399" s="9"/>
      <c r="O399" s="9"/>
      <c r="P399" s="9"/>
      <c r="Q399" s="9"/>
      <c r="R399" s="9"/>
      <c r="S399" s="9"/>
      <c r="T399" s="9"/>
      <c r="U399" s="9"/>
      <c r="V399" s="9"/>
      <c r="W399" s="9"/>
      <c r="X399" s="9"/>
      <c r="Y399" s="9"/>
      <c r="Z399" s="9"/>
      <c r="AA399" s="9"/>
      <c r="AB399" s="9"/>
      <c r="AC399" s="9"/>
    </row>
    <row r="400" spans="1:29" ht="14.4">
      <c r="A400" s="9"/>
      <c r="B400" s="9"/>
      <c r="C400" s="14" t="str">
        <f t="shared" si="3"/>
        <v>barbieUnhinged肉</v>
      </c>
      <c r="D400" s="13" t="s">
        <v>317</v>
      </c>
      <c r="E400" s="18" t="s">
        <v>9</v>
      </c>
      <c r="F400" s="18" t="s">
        <v>36</v>
      </c>
      <c r="H400" s="9"/>
      <c r="I400" s="9"/>
      <c r="J400" s="9"/>
      <c r="K400" s="9"/>
      <c r="L400" s="9"/>
      <c r="M400" s="9"/>
      <c r="N400" s="9"/>
      <c r="O400" s="9"/>
      <c r="P400" s="9"/>
      <c r="Q400" s="9"/>
      <c r="R400" s="9"/>
      <c r="S400" s="9"/>
      <c r="T400" s="9"/>
      <c r="U400" s="9"/>
      <c r="V400" s="9"/>
      <c r="W400" s="9"/>
      <c r="X400" s="9"/>
      <c r="Y400" s="9"/>
      <c r="Z400" s="9"/>
      <c r="AA400" s="9"/>
      <c r="AB400" s="9"/>
      <c r="AC400" s="9"/>
    </row>
    <row r="401" spans="1:29" ht="14.4">
      <c r="A401" s="9"/>
      <c r="B401" s="9"/>
      <c r="C401" s="14" t="str">
        <f t="shared" si="3"/>
        <v>KoldwenUnhinged肉</v>
      </c>
      <c r="D401" s="13" t="s">
        <v>318</v>
      </c>
      <c r="E401" s="18" t="s">
        <v>10</v>
      </c>
      <c r="F401" s="18" t="s">
        <v>36</v>
      </c>
      <c r="H401" s="9"/>
      <c r="I401" s="9"/>
      <c r="J401" s="9"/>
      <c r="K401" s="9"/>
      <c r="L401" s="9"/>
      <c r="M401" s="9"/>
      <c r="N401" s="9"/>
      <c r="O401" s="9"/>
      <c r="P401" s="9"/>
      <c r="Q401" s="9"/>
      <c r="R401" s="9"/>
      <c r="S401" s="9"/>
      <c r="T401" s="9"/>
      <c r="U401" s="9"/>
      <c r="V401" s="9"/>
      <c r="W401" s="9"/>
      <c r="X401" s="9"/>
      <c r="Y401" s="9"/>
      <c r="Z401" s="9"/>
      <c r="AA401" s="9"/>
      <c r="AB401" s="9"/>
      <c r="AC401" s="9"/>
    </row>
    <row r="402" spans="1:29" ht="14.4">
      <c r="A402" s="9"/>
      <c r="B402" s="9"/>
      <c r="C402" s="14" t="str">
        <f t="shared" si="3"/>
        <v>LuckyBlackcatYTUnhinged肉</v>
      </c>
      <c r="D402" s="13" t="s">
        <v>319</v>
      </c>
      <c r="E402" s="18" t="s">
        <v>9</v>
      </c>
      <c r="F402" s="18" t="s">
        <v>36</v>
      </c>
      <c r="H402" s="9"/>
      <c r="I402" s="9"/>
      <c r="J402" s="9"/>
      <c r="K402" s="9"/>
      <c r="L402" s="9"/>
      <c r="M402" s="9"/>
      <c r="N402" s="9"/>
      <c r="O402" s="9"/>
      <c r="P402" s="9"/>
      <c r="Q402" s="9"/>
      <c r="R402" s="9"/>
      <c r="S402" s="9"/>
      <c r="T402" s="9"/>
      <c r="U402" s="9"/>
      <c r="V402" s="9"/>
      <c r="W402" s="9"/>
      <c r="X402" s="9"/>
      <c r="Y402" s="9"/>
      <c r="Z402" s="9"/>
      <c r="AA402" s="9"/>
      <c r="AB402" s="9"/>
      <c r="AC402" s="9"/>
    </row>
    <row r="403" spans="1:29" ht="14.4">
      <c r="A403" s="9"/>
      <c r="B403" s="9"/>
      <c r="C403" s="14" t="str">
        <f t="shared" si="3"/>
        <v>DubUnhinged肉</v>
      </c>
      <c r="D403" s="13" t="s">
        <v>320</v>
      </c>
      <c r="E403" s="18" t="s">
        <v>14</v>
      </c>
      <c r="F403" s="18" t="s">
        <v>36</v>
      </c>
      <c r="H403" s="9"/>
      <c r="I403" s="9"/>
      <c r="J403" s="9"/>
      <c r="K403" s="9"/>
      <c r="L403" s="9"/>
      <c r="M403" s="9"/>
      <c r="N403" s="9"/>
      <c r="O403" s="9"/>
      <c r="P403" s="9"/>
      <c r="Q403" s="9"/>
      <c r="R403" s="9"/>
      <c r="S403" s="9"/>
      <c r="T403" s="9"/>
      <c r="U403" s="9"/>
      <c r="V403" s="9"/>
      <c r="W403" s="9"/>
      <c r="X403" s="9"/>
      <c r="Y403" s="9"/>
      <c r="Z403" s="9"/>
      <c r="AA403" s="9"/>
      <c r="AB403" s="9"/>
      <c r="AC403" s="9"/>
    </row>
    <row r="404" spans="1:29" ht="14.4">
      <c r="A404" s="9"/>
      <c r="B404" s="9"/>
      <c r="C404" s="14" t="str">
        <f t="shared" si="3"/>
        <v>xAprilUnhinged肉</v>
      </c>
      <c r="D404" s="13" t="s">
        <v>321</v>
      </c>
      <c r="E404" s="18" t="s">
        <v>70</v>
      </c>
      <c r="F404" s="18" t="s">
        <v>36</v>
      </c>
      <c r="H404" s="9"/>
      <c r="I404" s="9"/>
      <c r="J404" s="9"/>
      <c r="K404" s="9"/>
      <c r="L404" s="9"/>
      <c r="M404" s="9"/>
      <c r="N404" s="9"/>
      <c r="O404" s="9"/>
      <c r="P404" s="9"/>
      <c r="Q404" s="9"/>
      <c r="R404" s="9"/>
      <c r="S404" s="9"/>
      <c r="T404" s="9"/>
      <c r="U404" s="9"/>
      <c r="V404" s="9"/>
      <c r="W404" s="9"/>
      <c r="X404" s="9"/>
      <c r="Y404" s="9"/>
      <c r="Z404" s="9"/>
      <c r="AA404" s="9"/>
      <c r="AB404" s="9"/>
      <c r="AC404" s="9"/>
    </row>
    <row r="405" spans="1:29" ht="14.4">
      <c r="A405" s="9"/>
      <c r="B405" s="9"/>
      <c r="C405" s="14" t="str">
        <f t="shared" si="3"/>
        <v>AdalaneShadowUnhinged肉</v>
      </c>
      <c r="D405" s="13" t="s">
        <v>322</v>
      </c>
      <c r="E405" s="18" t="s">
        <v>10</v>
      </c>
      <c r="F405" s="18" t="s">
        <v>36</v>
      </c>
      <c r="H405" s="9"/>
      <c r="I405" s="9"/>
      <c r="J405" s="9"/>
      <c r="K405" s="9"/>
      <c r="L405" s="9"/>
      <c r="M405" s="9"/>
      <c r="N405" s="9"/>
      <c r="O405" s="9"/>
      <c r="P405" s="9"/>
      <c r="Q405" s="9"/>
      <c r="R405" s="9"/>
      <c r="S405" s="9"/>
      <c r="T405" s="9"/>
      <c r="U405" s="9"/>
      <c r="V405" s="9"/>
      <c r="W405" s="9"/>
      <c r="X405" s="9"/>
      <c r="Y405" s="9"/>
      <c r="Z405" s="9"/>
      <c r="AA405" s="9"/>
      <c r="AB405" s="9"/>
      <c r="AC405" s="9"/>
    </row>
    <row r="406" spans="1:29" ht="14.4">
      <c r="A406" s="9"/>
      <c r="B406" s="9"/>
      <c r="C406" s="14" t="str">
        <f t="shared" si="3"/>
        <v>GOOGLYUnhinged肉</v>
      </c>
      <c r="D406" s="13" t="s">
        <v>323</v>
      </c>
      <c r="E406" s="18" t="s">
        <v>70</v>
      </c>
      <c r="F406" s="18" t="s">
        <v>36</v>
      </c>
      <c r="H406" s="9"/>
      <c r="I406" s="9"/>
      <c r="J406" s="9"/>
      <c r="K406" s="9"/>
      <c r="L406" s="9"/>
      <c r="M406" s="9"/>
      <c r="N406" s="9"/>
      <c r="O406" s="9"/>
      <c r="P406" s="9"/>
      <c r="Q406" s="9"/>
      <c r="R406" s="9"/>
      <c r="S406" s="9"/>
      <c r="T406" s="9"/>
      <c r="U406" s="9"/>
      <c r="V406" s="9"/>
      <c r="W406" s="9"/>
      <c r="X406" s="9"/>
      <c r="Y406" s="9"/>
      <c r="Z406" s="9"/>
      <c r="AA406" s="9"/>
      <c r="AB406" s="9"/>
      <c r="AC406" s="9"/>
    </row>
    <row r="407" spans="1:29" ht="14.4">
      <c r="A407" s="9"/>
      <c r="B407" s="9"/>
      <c r="C407" s="14" t="str">
        <f t="shared" si="3"/>
        <v>SelumiiUnhinged肉</v>
      </c>
      <c r="D407" s="13" t="s">
        <v>324</v>
      </c>
      <c r="E407" s="18" t="s">
        <v>10</v>
      </c>
      <c r="F407" s="18" t="s">
        <v>36</v>
      </c>
      <c r="H407" s="9"/>
      <c r="I407" s="9"/>
      <c r="J407" s="9"/>
      <c r="K407" s="9"/>
      <c r="L407" s="9"/>
      <c r="M407" s="9"/>
      <c r="N407" s="9"/>
      <c r="O407" s="9"/>
      <c r="P407" s="9"/>
      <c r="Q407" s="9"/>
      <c r="R407" s="9"/>
      <c r="S407" s="9"/>
      <c r="T407" s="9"/>
      <c r="U407" s="9"/>
      <c r="V407" s="9"/>
      <c r="W407" s="9"/>
      <c r="X407" s="9"/>
      <c r="Y407" s="9"/>
      <c r="Z407" s="9"/>
      <c r="AA407" s="9"/>
      <c r="AB407" s="9"/>
      <c r="AC407" s="9"/>
    </row>
    <row r="408" spans="1:29" ht="14.4">
      <c r="A408" s="9"/>
      <c r="B408" s="9"/>
      <c r="C408" s="14" t="str">
        <f t="shared" si="3"/>
        <v>mskUnhinged肉</v>
      </c>
      <c r="D408" s="13" t="s">
        <v>325</v>
      </c>
      <c r="E408" s="18" t="s">
        <v>10</v>
      </c>
      <c r="F408" s="18" t="s">
        <v>36</v>
      </c>
      <c r="H408" s="9"/>
      <c r="I408" s="9"/>
      <c r="J408" s="9"/>
      <c r="K408" s="9"/>
      <c r="L408" s="9"/>
      <c r="M408" s="9"/>
      <c r="N408" s="9"/>
      <c r="O408" s="9"/>
      <c r="P408" s="9"/>
      <c r="Q408" s="9"/>
      <c r="R408" s="9"/>
      <c r="S408" s="9"/>
      <c r="T408" s="9"/>
      <c r="U408" s="9"/>
      <c r="V408" s="9"/>
      <c r="W408" s="9"/>
      <c r="X408" s="9"/>
      <c r="Y408" s="9"/>
      <c r="Z408" s="9"/>
      <c r="AA408" s="9"/>
      <c r="AB408" s="9"/>
      <c r="AC408" s="9"/>
    </row>
    <row r="409" spans="1:29" ht="14.4">
      <c r="A409" s="9"/>
      <c r="B409" s="9"/>
      <c r="C409" s="14" t="str">
        <f t="shared" si="3"/>
        <v>PlumbercrackUnhinged肉</v>
      </c>
      <c r="D409" s="13" t="s">
        <v>326</v>
      </c>
      <c r="E409" s="18" t="s">
        <v>9</v>
      </c>
      <c r="F409" s="18" t="s">
        <v>36</v>
      </c>
      <c r="H409" s="9"/>
      <c r="I409" s="9"/>
      <c r="J409" s="9"/>
      <c r="K409" s="9"/>
      <c r="L409" s="9"/>
      <c r="M409" s="9"/>
      <c r="N409" s="9"/>
      <c r="O409" s="9"/>
      <c r="P409" s="9"/>
      <c r="Q409" s="9"/>
      <c r="R409" s="9"/>
      <c r="S409" s="9"/>
      <c r="T409" s="9"/>
      <c r="U409" s="9"/>
      <c r="V409" s="9"/>
      <c r="W409" s="9"/>
      <c r="X409" s="9"/>
      <c r="Y409" s="9"/>
      <c r="Z409" s="9"/>
      <c r="AA409" s="9"/>
      <c r="AB409" s="9"/>
      <c r="AC409" s="9"/>
    </row>
    <row r="410" spans="1:29" ht="14.4">
      <c r="A410" s="9"/>
      <c r="B410" s="9"/>
      <c r="C410" s="14" t="str">
        <f t="shared" si="3"/>
        <v>RealixUnhinged肉</v>
      </c>
      <c r="D410" s="13" t="s">
        <v>327</v>
      </c>
      <c r="E410" s="18" t="s">
        <v>62</v>
      </c>
      <c r="F410" s="18" t="s">
        <v>36</v>
      </c>
      <c r="H410" s="9"/>
      <c r="I410" s="9"/>
      <c r="J410" s="9"/>
      <c r="K410" s="9"/>
      <c r="L410" s="9"/>
      <c r="M410" s="9"/>
      <c r="N410" s="9"/>
      <c r="O410" s="9"/>
      <c r="P410" s="9"/>
      <c r="Q410" s="9"/>
      <c r="R410" s="9"/>
      <c r="S410" s="9"/>
      <c r="T410" s="9"/>
      <c r="U410" s="9"/>
      <c r="V410" s="9"/>
      <c r="W410" s="9"/>
      <c r="X410" s="9"/>
      <c r="Y410" s="9"/>
      <c r="Z410" s="9"/>
      <c r="AA410" s="9"/>
      <c r="AB410" s="9"/>
      <c r="AC410" s="9"/>
    </row>
    <row r="411" spans="1:29" ht="14.4">
      <c r="A411" s="9"/>
      <c r="B411" s="9"/>
      <c r="C411" s="14" t="str">
        <f t="shared" si="3"/>
        <v>JossepphUnhinged肉</v>
      </c>
      <c r="D411" s="13" t="s">
        <v>328</v>
      </c>
      <c r="E411" s="18" t="s">
        <v>14</v>
      </c>
      <c r="F411" s="18" t="s">
        <v>36</v>
      </c>
      <c r="H411" s="9"/>
      <c r="I411" s="9"/>
      <c r="J411" s="9"/>
      <c r="K411" s="9"/>
      <c r="L411" s="9"/>
      <c r="M411" s="9"/>
      <c r="N411" s="9"/>
      <c r="O411" s="9"/>
      <c r="P411" s="9"/>
      <c r="Q411" s="9"/>
      <c r="R411" s="9"/>
      <c r="S411" s="9"/>
      <c r="T411" s="9"/>
      <c r="U411" s="9"/>
      <c r="V411" s="9"/>
      <c r="W411" s="9"/>
      <c r="X411" s="9"/>
      <c r="Y411" s="9"/>
      <c r="Z411" s="9"/>
      <c r="AA411" s="9"/>
      <c r="AB411" s="9"/>
      <c r="AC411" s="9"/>
    </row>
    <row r="412" spans="1:29" ht="14.4">
      <c r="A412" s="9"/>
      <c r="B412" s="9"/>
      <c r="C412" s="14" t="str">
        <f t="shared" si="3"/>
        <v>AntiShiroUnhinged肉</v>
      </c>
      <c r="D412" s="13" t="s">
        <v>315</v>
      </c>
      <c r="E412" s="18" t="s">
        <v>9</v>
      </c>
      <c r="F412" s="18" t="s">
        <v>36</v>
      </c>
      <c r="H412" s="9"/>
      <c r="I412" s="9"/>
      <c r="J412" s="9"/>
      <c r="K412" s="9"/>
      <c r="L412" s="9"/>
      <c r="M412" s="9"/>
      <c r="N412" s="9"/>
      <c r="O412" s="9"/>
      <c r="P412" s="9"/>
      <c r="Q412" s="9"/>
      <c r="R412" s="9"/>
      <c r="S412" s="9"/>
      <c r="T412" s="9"/>
      <c r="U412" s="9"/>
      <c r="V412" s="9"/>
      <c r="W412" s="9"/>
      <c r="X412" s="9"/>
      <c r="Y412" s="9"/>
      <c r="Z412" s="9"/>
      <c r="AA412" s="9"/>
      <c r="AB412" s="9"/>
      <c r="AC412" s="9"/>
    </row>
    <row r="413" spans="1:29" ht="14.4">
      <c r="A413" s="9"/>
      <c r="B413" s="9"/>
      <c r="C413" s="14" t="str">
        <f t="shared" si="3"/>
        <v>JiazuUnhinged肉</v>
      </c>
      <c r="D413" s="13" t="s">
        <v>329</v>
      </c>
      <c r="E413" s="18" t="s">
        <v>23</v>
      </c>
      <c r="F413" s="18" t="s">
        <v>36</v>
      </c>
      <c r="H413" s="9"/>
      <c r="I413" s="9"/>
      <c r="J413" s="9"/>
      <c r="K413" s="9"/>
      <c r="L413" s="9"/>
      <c r="M413" s="9"/>
      <c r="N413" s="9"/>
      <c r="O413" s="9"/>
      <c r="P413" s="9"/>
      <c r="Q413" s="9"/>
      <c r="R413" s="9"/>
      <c r="S413" s="9"/>
      <c r="T413" s="9"/>
      <c r="U413" s="9"/>
      <c r="V413" s="9"/>
      <c r="W413" s="9"/>
      <c r="X413" s="9"/>
      <c r="Y413" s="9"/>
      <c r="Z413" s="9"/>
      <c r="AA413" s="9"/>
      <c r="AB413" s="9"/>
      <c r="AC413" s="9"/>
    </row>
    <row r="414" spans="1:29" ht="14.4">
      <c r="A414" s="9"/>
      <c r="B414" s="9"/>
      <c r="C414" s="14" t="str">
        <f t="shared" si="3"/>
        <v>KoldwenUnhinged肉</v>
      </c>
      <c r="D414" s="13" t="s">
        <v>318</v>
      </c>
      <c r="E414" s="18" t="s">
        <v>10</v>
      </c>
      <c r="F414" s="18" t="s">
        <v>36</v>
      </c>
      <c r="H414" s="9"/>
      <c r="I414" s="9"/>
      <c r="J414" s="9"/>
      <c r="K414" s="9"/>
      <c r="L414" s="9"/>
      <c r="M414" s="9"/>
      <c r="N414" s="9"/>
      <c r="O414" s="9"/>
      <c r="P414" s="9"/>
      <c r="Q414" s="9"/>
      <c r="R414" s="9"/>
      <c r="S414" s="9"/>
      <c r="T414" s="9"/>
      <c r="U414" s="9"/>
      <c r="V414" s="9"/>
      <c r="W414" s="9"/>
      <c r="X414" s="9"/>
      <c r="Y414" s="9"/>
      <c r="Z414" s="9"/>
      <c r="AA414" s="9"/>
      <c r="AB414" s="9"/>
      <c r="AC414" s="9"/>
    </row>
    <row r="415" spans="1:29" ht="14.4">
      <c r="A415" s="9"/>
      <c r="B415" s="9"/>
      <c r="C415" s="14" t="str">
        <f t="shared" si="3"/>
        <v>PlumbercrakUnhinged肉</v>
      </c>
      <c r="D415" s="13" t="s">
        <v>304</v>
      </c>
      <c r="E415" s="18" t="s">
        <v>9</v>
      </c>
      <c r="F415" s="18" t="s">
        <v>36</v>
      </c>
      <c r="H415" s="9"/>
      <c r="I415" s="9"/>
      <c r="J415" s="9"/>
      <c r="K415" s="9"/>
      <c r="L415" s="9"/>
      <c r="M415" s="9"/>
      <c r="N415" s="9"/>
      <c r="O415" s="9"/>
      <c r="P415" s="9"/>
      <c r="Q415" s="9"/>
      <c r="R415" s="9"/>
      <c r="S415" s="9"/>
      <c r="T415" s="9"/>
      <c r="U415" s="9"/>
      <c r="V415" s="9"/>
      <c r="W415" s="9"/>
      <c r="X415" s="9"/>
      <c r="Y415" s="9"/>
      <c r="Z415" s="9"/>
      <c r="AA415" s="9"/>
      <c r="AB415" s="9"/>
      <c r="AC415" s="9"/>
    </row>
    <row r="416" spans="1:29" ht="14.4">
      <c r="A416" s="9"/>
      <c r="B416" s="9"/>
      <c r="C416" s="14" t="str">
        <f t="shared" si="3"/>
        <v>RubyUnhinged肉</v>
      </c>
      <c r="D416" s="13" t="s">
        <v>299</v>
      </c>
      <c r="E416" s="18" t="s">
        <v>10</v>
      </c>
      <c r="F416" s="18" t="s">
        <v>36</v>
      </c>
      <c r="H416" s="9"/>
      <c r="I416" s="9"/>
      <c r="J416" s="9"/>
      <c r="K416" s="9"/>
      <c r="L416" s="9"/>
      <c r="M416" s="9"/>
      <c r="N416" s="9"/>
      <c r="O416" s="9"/>
      <c r="P416" s="9"/>
      <c r="Q416" s="9"/>
      <c r="R416" s="9"/>
      <c r="S416" s="9"/>
      <c r="T416" s="9"/>
      <c r="U416" s="9"/>
      <c r="V416" s="9"/>
      <c r="W416" s="9"/>
      <c r="X416" s="9"/>
      <c r="Y416" s="9"/>
      <c r="Z416" s="9"/>
      <c r="AA416" s="9"/>
      <c r="AB416" s="9"/>
      <c r="AC416" s="9"/>
    </row>
    <row r="417" spans="1:29" ht="14.4">
      <c r="A417" s="9"/>
      <c r="B417" s="9"/>
      <c r="C417" s="14" t="str">
        <f t="shared" si="3"/>
        <v>SkilletosUnhinged肉</v>
      </c>
      <c r="D417" s="13" t="s">
        <v>271</v>
      </c>
      <c r="E417" s="18" t="s">
        <v>10</v>
      </c>
      <c r="F417" s="18" t="s">
        <v>36</v>
      </c>
      <c r="H417" s="9"/>
      <c r="I417" s="9"/>
      <c r="J417" s="9"/>
      <c r="K417" s="9"/>
      <c r="L417" s="9"/>
      <c r="M417" s="9"/>
      <c r="N417" s="9"/>
      <c r="O417" s="9"/>
      <c r="P417" s="9"/>
      <c r="Q417" s="9"/>
      <c r="R417" s="9"/>
      <c r="S417" s="9"/>
      <c r="T417" s="9"/>
      <c r="U417" s="9"/>
      <c r="V417" s="9"/>
      <c r="W417" s="9"/>
      <c r="X417" s="9"/>
      <c r="Y417" s="9"/>
      <c r="Z417" s="9"/>
      <c r="AA417" s="9"/>
      <c r="AB417" s="9"/>
      <c r="AC417" s="9"/>
    </row>
    <row r="418" spans="1:29" ht="14.4">
      <c r="A418" s="9"/>
      <c r="B418" s="9"/>
      <c r="C418" s="14" t="str">
        <f t="shared" si="3"/>
        <v>TonyUnhinged肉</v>
      </c>
      <c r="D418" s="13" t="s">
        <v>276</v>
      </c>
      <c r="E418" s="18" t="s">
        <v>9</v>
      </c>
      <c r="F418" s="18" t="s">
        <v>36</v>
      </c>
      <c r="H418" s="9"/>
      <c r="I418" s="9"/>
      <c r="J418" s="9"/>
      <c r="K418" s="9"/>
      <c r="L418" s="9"/>
      <c r="M418" s="9"/>
      <c r="N418" s="9"/>
      <c r="O418" s="9"/>
      <c r="P418" s="9"/>
      <c r="Q418" s="9"/>
      <c r="R418" s="9"/>
      <c r="S418" s="9"/>
      <c r="T418" s="9"/>
      <c r="U418" s="9"/>
      <c r="V418" s="9"/>
      <c r="W418" s="9"/>
      <c r="X418" s="9"/>
      <c r="Y418" s="9"/>
      <c r="Z418" s="9"/>
      <c r="AA418" s="9"/>
      <c r="AB418" s="9"/>
      <c r="AC418" s="9"/>
    </row>
    <row r="419" spans="1:29" ht="14.4">
      <c r="A419" s="9"/>
      <c r="B419" s="9"/>
      <c r="C419" s="14" t="str">
        <f t="shared" si="3"/>
        <v>ZeelosUnhinged肉</v>
      </c>
      <c r="D419" s="13" t="s">
        <v>314</v>
      </c>
      <c r="E419" s="18" t="s">
        <v>9</v>
      </c>
      <c r="F419" s="18" t="s">
        <v>36</v>
      </c>
      <c r="H419" s="9"/>
      <c r="I419" s="9"/>
      <c r="J419" s="9"/>
      <c r="K419" s="9"/>
      <c r="L419" s="9"/>
      <c r="M419" s="9"/>
      <c r="N419" s="9"/>
      <c r="O419" s="9"/>
      <c r="P419" s="9"/>
      <c r="Q419" s="9"/>
      <c r="R419" s="9"/>
      <c r="S419" s="9"/>
      <c r="T419" s="9"/>
      <c r="U419" s="9"/>
      <c r="V419" s="9"/>
      <c r="W419" s="9"/>
      <c r="X419" s="9"/>
      <c r="Y419" s="9"/>
      <c r="Z419" s="9"/>
      <c r="AA419" s="9"/>
      <c r="AB419" s="9"/>
      <c r="AC419" s="9"/>
    </row>
    <row r="420" spans="1:29" ht="13.2">
      <c r="A420" s="9"/>
      <c r="B420" s="9"/>
      <c r="C420" s="14"/>
      <c r="D420" s="9"/>
      <c r="E420" s="9"/>
      <c r="F420" s="9"/>
      <c r="H420" s="9"/>
      <c r="I420" s="9"/>
      <c r="J420" s="9"/>
      <c r="K420" s="9"/>
      <c r="L420" s="9"/>
      <c r="M420" s="9"/>
      <c r="N420" s="9"/>
      <c r="O420" s="9"/>
      <c r="P420" s="9"/>
      <c r="Q420" s="9"/>
      <c r="R420" s="9"/>
      <c r="S420" s="9"/>
      <c r="T420" s="9"/>
      <c r="U420" s="9"/>
      <c r="V420" s="9"/>
      <c r="W420" s="9"/>
      <c r="X420" s="9"/>
      <c r="Y420" s="9"/>
      <c r="Z420" s="9"/>
      <c r="AA420" s="9"/>
      <c r="AB420" s="9"/>
      <c r="AC420" s="9"/>
    </row>
    <row r="421" spans="1:29" ht="13.2">
      <c r="A421" s="9"/>
      <c r="B421" s="9"/>
      <c r="C421" s="14"/>
      <c r="D421" s="9"/>
      <c r="E421" s="9"/>
      <c r="F421" s="9"/>
      <c r="H421" s="9"/>
      <c r="I421" s="9"/>
      <c r="J421" s="9"/>
      <c r="K421" s="9"/>
      <c r="L421" s="9"/>
      <c r="M421" s="9"/>
      <c r="N421" s="9"/>
      <c r="O421" s="9"/>
      <c r="P421" s="9"/>
      <c r="Q421" s="9"/>
      <c r="R421" s="9"/>
      <c r="S421" s="9"/>
      <c r="T421" s="9"/>
      <c r="U421" s="9"/>
      <c r="V421" s="9"/>
      <c r="W421" s="9"/>
      <c r="X421" s="9"/>
      <c r="Y421" s="9"/>
      <c r="Z421" s="9"/>
      <c r="AA421" s="9"/>
      <c r="AB421" s="9"/>
      <c r="AC421" s="9"/>
    </row>
    <row r="422" spans="1:29" ht="13.2">
      <c r="A422" s="9"/>
      <c r="B422" s="9"/>
      <c r="C422" s="14"/>
      <c r="D422" s="9"/>
      <c r="E422" s="9"/>
      <c r="F422" s="9"/>
      <c r="H422" s="9"/>
      <c r="I422" s="9"/>
      <c r="J422" s="9"/>
      <c r="K422" s="9"/>
      <c r="L422" s="9"/>
      <c r="M422" s="9"/>
      <c r="N422" s="9"/>
      <c r="O422" s="9"/>
      <c r="P422" s="9"/>
      <c r="Q422" s="9"/>
      <c r="R422" s="9"/>
      <c r="S422" s="9"/>
      <c r="T422" s="9"/>
      <c r="U422" s="9"/>
      <c r="V422" s="9"/>
      <c r="W422" s="9"/>
      <c r="X422" s="9"/>
      <c r="Y422" s="9"/>
      <c r="Z422" s="9"/>
      <c r="AA422" s="9"/>
      <c r="AB422" s="9"/>
      <c r="AC422" s="9"/>
    </row>
    <row r="423" spans="1:29" ht="13.2">
      <c r="A423" s="9"/>
      <c r="B423" s="9"/>
      <c r="C423" s="14"/>
      <c r="D423" s="9"/>
      <c r="E423" s="9"/>
      <c r="F423" s="9"/>
      <c r="H423" s="9"/>
      <c r="I423" s="9"/>
      <c r="J423" s="9"/>
      <c r="K423" s="9"/>
      <c r="L423" s="9"/>
      <c r="M423" s="9"/>
      <c r="N423" s="9"/>
      <c r="O423" s="9"/>
      <c r="P423" s="9"/>
      <c r="Q423" s="9"/>
      <c r="R423" s="9"/>
      <c r="S423" s="9"/>
      <c r="T423" s="9"/>
      <c r="U423" s="9"/>
      <c r="V423" s="9"/>
      <c r="W423" s="9"/>
      <c r="X423" s="9"/>
      <c r="Y423" s="9"/>
      <c r="Z423" s="9"/>
      <c r="AA423" s="9"/>
      <c r="AB423" s="9"/>
      <c r="AC423" s="9"/>
    </row>
    <row r="424" spans="1:29" ht="13.8">
      <c r="A424" s="9"/>
      <c r="B424" s="9"/>
      <c r="C424" s="14" t="str">
        <f t="shared" ref="C424:C487" si="4">D424&amp;F424</f>
        <v>ButterUndercooked</v>
      </c>
      <c r="D424" s="16" t="s">
        <v>330</v>
      </c>
      <c r="E424" s="21" t="s">
        <v>54</v>
      </c>
      <c r="F424" s="21" t="s">
        <v>28</v>
      </c>
      <c r="H424" s="9"/>
      <c r="I424" s="9"/>
      <c r="J424" s="9"/>
      <c r="K424" s="9"/>
      <c r="L424" s="9"/>
      <c r="M424" s="9"/>
      <c r="N424" s="9"/>
      <c r="O424" s="9"/>
      <c r="P424" s="9"/>
      <c r="Q424" s="9"/>
      <c r="R424" s="9"/>
      <c r="S424" s="9"/>
      <c r="T424" s="9"/>
      <c r="U424" s="9"/>
      <c r="V424" s="9"/>
      <c r="W424" s="9"/>
      <c r="X424" s="9"/>
      <c r="Y424" s="9"/>
      <c r="Z424" s="9"/>
      <c r="AA424" s="9"/>
      <c r="AB424" s="9"/>
      <c r="AC424" s="9"/>
    </row>
    <row r="425" spans="1:29" ht="13.8">
      <c r="A425" s="9"/>
      <c r="B425" s="9"/>
      <c r="C425" s="14" t="str">
        <f t="shared" si="4"/>
        <v>PaellaUndercooked</v>
      </c>
      <c r="D425" s="16" t="s">
        <v>331</v>
      </c>
      <c r="E425" s="21" t="s">
        <v>23</v>
      </c>
      <c r="F425" s="21" t="s">
        <v>28</v>
      </c>
      <c r="H425" s="9"/>
      <c r="I425" s="9"/>
      <c r="J425" s="9"/>
      <c r="K425" s="9"/>
      <c r="L425" s="9"/>
      <c r="M425" s="9"/>
      <c r="N425" s="9"/>
      <c r="O425" s="9"/>
      <c r="P425" s="9"/>
      <c r="Q425" s="9"/>
      <c r="R425" s="9"/>
      <c r="S425" s="9"/>
      <c r="T425" s="9"/>
      <c r="U425" s="9"/>
      <c r="V425" s="9"/>
      <c r="W425" s="9"/>
      <c r="X425" s="9"/>
      <c r="Y425" s="9"/>
      <c r="Z425" s="9"/>
      <c r="AA425" s="9"/>
      <c r="AB425" s="9"/>
      <c r="AC425" s="9"/>
    </row>
    <row r="426" spans="1:29" ht="13.8">
      <c r="A426" s="9"/>
      <c r="B426" s="9"/>
      <c r="C426" s="14" t="str">
        <f t="shared" si="4"/>
        <v>CrumpetUndercooked</v>
      </c>
      <c r="D426" s="16" t="s">
        <v>332</v>
      </c>
      <c r="E426" s="21" t="s">
        <v>58</v>
      </c>
      <c r="F426" s="21" t="s">
        <v>28</v>
      </c>
      <c r="H426" s="9"/>
      <c r="I426" s="9"/>
      <c r="J426" s="9"/>
      <c r="K426" s="9"/>
      <c r="L426" s="9"/>
      <c r="M426" s="9"/>
      <c r="N426" s="9"/>
      <c r="O426" s="9"/>
      <c r="P426" s="9"/>
      <c r="Q426" s="9"/>
      <c r="R426" s="9"/>
      <c r="S426" s="9"/>
      <c r="T426" s="9"/>
      <c r="U426" s="9"/>
      <c r="V426" s="9"/>
      <c r="W426" s="9"/>
      <c r="X426" s="9"/>
      <c r="Y426" s="9"/>
      <c r="Z426" s="9"/>
      <c r="AA426" s="9"/>
      <c r="AB426" s="9"/>
      <c r="AC426" s="9"/>
    </row>
    <row r="427" spans="1:29" ht="13.8">
      <c r="A427" s="9"/>
      <c r="B427" s="9"/>
      <c r="C427" s="14" t="str">
        <f t="shared" si="4"/>
        <v>ProsciuttoUndercooked</v>
      </c>
      <c r="D427" s="16" t="s">
        <v>333</v>
      </c>
      <c r="E427" s="21" t="s">
        <v>23</v>
      </c>
      <c r="F427" s="21" t="s">
        <v>28</v>
      </c>
      <c r="H427" s="9"/>
      <c r="I427" s="9"/>
      <c r="J427" s="9"/>
      <c r="K427" s="9"/>
      <c r="L427" s="9"/>
      <c r="M427" s="9"/>
      <c r="N427" s="9"/>
      <c r="O427" s="9"/>
      <c r="P427" s="9"/>
      <c r="Q427" s="9"/>
      <c r="R427" s="9"/>
      <c r="S427" s="9"/>
      <c r="T427" s="9"/>
      <c r="U427" s="9"/>
      <c r="V427" s="9"/>
      <c r="W427" s="9"/>
      <c r="X427" s="9"/>
      <c r="Y427" s="9"/>
      <c r="Z427" s="9"/>
      <c r="AA427" s="9"/>
      <c r="AB427" s="9"/>
      <c r="AC427" s="9"/>
    </row>
    <row r="428" spans="1:29" ht="13.8">
      <c r="A428" s="9"/>
      <c r="B428" s="9"/>
      <c r="C428" s="14" t="str">
        <f t="shared" si="4"/>
        <v>ALilSnakesUndercooked</v>
      </c>
      <c r="D428" s="16" t="s">
        <v>334</v>
      </c>
      <c r="E428" s="21" t="s">
        <v>69</v>
      </c>
      <c r="F428" s="21" t="s">
        <v>28</v>
      </c>
      <c r="H428" s="9"/>
      <c r="I428" s="9"/>
      <c r="J428" s="9"/>
      <c r="K428" s="9"/>
      <c r="L428" s="9"/>
      <c r="M428" s="9"/>
      <c r="N428" s="9"/>
      <c r="O428" s="9"/>
      <c r="P428" s="9"/>
      <c r="Q428" s="9"/>
      <c r="R428" s="9"/>
      <c r="S428" s="9"/>
      <c r="T428" s="9"/>
      <c r="U428" s="9"/>
      <c r="V428" s="9"/>
      <c r="W428" s="9"/>
      <c r="X428" s="9"/>
      <c r="Y428" s="9"/>
      <c r="Z428" s="9"/>
      <c r="AA428" s="9"/>
      <c r="AB428" s="9"/>
      <c r="AC428" s="9"/>
    </row>
    <row r="429" spans="1:29" ht="13.8">
      <c r="A429" s="9"/>
      <c r="B429" s="9"/>
      <c r="C429" s="14" t="str">
        <f t="shared" si="4"/>
        <v>DogUndercooked</v>
      </c>
      <c r="D429" s="16" t="s">
        <v>335</v>
      </c>
      <c r="E429" s="21" t="s">
        <v>54</v>
      </c>
      <c r="F429" s="21" t="s">
        <v>28</v>
      </c>
      <c r="H429" s="9"/>
      <c r="I429" s="9"/>
      <c r="J429" s="9"/>
      <c r="K429" s="9"/>
      <c r="L429" s="9"/>
      <c r="M429" s="9"/>
      <c r="N429" s="9"/>
      <c r="O429" s="9"/>
      <c r="P429" s="9"/>
      <c r="Q429" s="9"/>
      <c r="R429" s="9"/>
      <c r="S429" s="9"/>
      <c r="T429" s="9"/>
      <c r="U429" s="9"/>
      <c r="V429" s="9"/>
      <c r="W429" s="9"/>
      <c r="X429" s="9"/>
      <c r="Y429" s="9"/>
      <c r="Z429" s="9"/>
      <c r="AA429" s="9"/>
      <c r="AB429" s="9"/>
      <c r="AC429" s="9"/>
    </row>
    <row r="430" spans="1:29" ht="13.8">
      <c r="A430" s="9"/>
      <c r="B430" s="9"/>
      <c r="C430" s="14" t="str">
        <f t="shared" si="4"/>
        <v>CamembertsUndercooked</v>
      </c>
      <c r="D430" s="16" t="s">
        <v>336</v>
      </c>
      <c r="E430" s="21" t="s">
        <v>32</v>
      </c>
      <c r="F430" s="21" t="s">
        <v>28</v>
      </c>
      <c r="H430" s="9"/>
      <c r="I430" s="9"/>
      <c r="J430" s="9"/>
      <c r="K430" s="9"/>
      <c r="L430" s="9"/>
      <c r="M430" s="9"/>
      <c r="N430" s="9"/>
      <c r="O430" s="9"/>
      <c r="P430" s="9"/>
      <c r="Q430" s="9"/>
      <c r="R430" s="9"/>
      <c r="S430" s="9"/>
      <c r="T430" s="9"/>
      <c r="U430" s="9"/>
      <c r="V430" s="9"/>
      <c r="W430" s="9"/>
      <c r="X430" s="9"/>
      <c r="Y430" s="9"/>
      <c r="Z430" s="9"/>
      <c r="AA430" s="9"/>
      <c r="AB430" s="9"/>
      <c r="AC430" s="9"/>
    </row>
    <row r="431" spans="1:29" ht="13.8">
      <c r="A431" s="9"/>
      <c r="B431" s="9"/>
      <c r="C431" s="14" t="str">
        <f t="shared" si="4"/>
        <v>birriaUndercooked</v>
      </c>
      <c r="D431" s="16" t="s">
        <v>337</v>
      </c>
      <c r="E431" s="21" t="s">
        <v>48</v>
      </c>
      <c r="F431" s="21" t="s">
        <v>28</v>
      </c>
      <c r="H431" s="9"/>
      <c r="I431" s="9"/>
      <c r="J431" s="9"/>
      <c r="K431" s="9"/>
      <c r="L431" s="9"/>
      <c r="M431" s="9"/>
      <c r="N431" s="9"/>
      <c r="O431" s="9"/>
      <c r="P431" s="9"/>
      <c r="Q431" s="9"/>
      <c r="R431" s="9"/>
      <c r="S431" s="9"/>
      <c r="T431" s="9"/>
      <c r="U431" s="9"/>
      <c r="V431" s="9"/>
      <c r="W431" s="9"/>
      <c r="X431" s="9"/>
      <c r="Y431" s="9"/>
      <c r="Z431" s="9"/>
      <c r="AA431" s="9"/>
      <c r="AB431" s="9"/>
      <c r="AC431" s="9"/>
    </row>
    <row r="432" spans="1:29" ht="13.8">
      <c r="A432" s="9"/>
      <c r="B432" s="9"/>
      <c r="C432" s="14" t="str">
        <f t="shared" si="4"/>
        <v>BiscuitUndercooked</v>
      </c>
      <c r="D432" s="16" t="s">
        <v>338</v>
      </c>
      <c r="E432" s="21" t="s">
        <v>10</v>
      </c>
      <c r="F432" s="21" t="s">
        <v>28</v>
      </c>
      <c r="H432" s="9"/>
      <c r="I432" s="9"/>
      <c r="J432" s="9"/>
      <c r="K432" s="9"/>
      <c r="L432" s="9"/>
      <c r="M432" s="9"/>
      <c r="N432" s="9"/>
      <c r="O432" s="9"/>
      <c r="P432" s="9"/>
      <c r="Q432" s="9"/>
      <c r="R432" s="9"/>
      <c r="S432" s="9"/>
      <c r="T432" s="9"/>
      <c r="U432" s="9"/>
      <c r="V432" s="9"/>
      <c r="W432" s="9"/>
      <c r="X432" s="9"/>
      <c r="Y432" s="9"/>
      <c r="Z432" s="9"/>
      <c r="AA432" s="9"/>
      <c r="AB432" s="9"/>
      <c r="AC432" s="9"/>
    </row>
    <row r="433" spans="1:29" ht="13.8">
      <c r="A433" s="9"/>
      <c r="B433" s="9"/>
      <c r="C433" s="14" t="str">
        <f t="shared" si="4"/>
        <v>ShiFoodUndercooked</v>
      </c>
      <c r="D433" s="16" t="s">
        <v>339</v>
      </c>
      <c r="E433" s="21" t="s">
        <v>10</v>
      </c>
      <c r="F433" s="21" t="s">
        <v>28</v>
      </c>
      <c r="H433" s="9"/>
      <c r="I433" s="9"/>
      <c r="J433" s="9"/>
      <c r="K433" s="9"/>
      <c r="L433" s="9"/>
      <c r="M433" s="9"/>
      <c r="N433" s="9"/>
      <c r="O433" s="9"/>
      <c r="P433" s="9"/>
      <c r="Q433" s="9"/>
      <c r="R433" s="9"/>
      <c r="S433" s="9"/>
      <c r="T433" s="9"/>
      <c r="U433" s="9"/>
      <c r="V433" s="9"/>
      <c r="W433" s="9"/>
      <c r="X433" s="9"/>
      <c r="Y433" s="9"/>
      <c r="Z433" s="9"/>
      <c r="AA433" s="9"/>
      <c r="AB433" s="9"/>
      <c r="AC433" s="9"/>
    </row>
    <row r="434" spans="1:29" ht="13.8">
      <c r="A434" s="9"/>
      <c r="B434" s="9"/>
      <c r="C434" s="14" t="str">
        <f t="shared" si="4"/>
        <v>SoppressataUndercooked</v>
      </c>
      <c r="D434" s="16" t="s">
        <v>340</v>
      </c>
      <c r="E434" s="21" t="s">
        <v>9</v>
      </c>
      <c r="F434" s="21" t="s">
        <v>28</v>
      </c>
      <c r="H434" s="9"/>
      <c r="I434" s="9"/>
      <c r="J434" s="9"/>
      <c r="K434" s="9"/>
      <c r="L434" s="9"/>
      <c r="M434" s="9"/>
      <c r="N434" s="9"/>
      <c r="O434" s="9"/>
      <c r="P434" s="9"/>
      <c r="Q434" s="9"/>
      <c r="R434" s="9"/>
      <c r="S434" s="9"/>
      <c r="T434" s="9"/>
      <c r="U434" s="9"/>
      <c r="V434" s="9"/>
      <c r="W434" s="9"/>
      <c r="X434" s="9"/>
      <c r="Y434" s="9"/>
      <c r="Z434" s="9"/>
      <c r="AA434" s="9"/>
      <c r="AB434" s="9"/>
      <c r="AC434" s="9"/>
    </row>
    <row r="435" spans="1:29" ht="13.8">
      <c r="A435" s="9"/>
      <c r="B435" s="9"/>
      <c r="C435" s="14" t="str">
        <f t="shared" si="4"/>
        <v>SouffleUndercooked</v>
      </c>
      <c r="D435" s="16" t="s">
        <v>341</v>
      </c>
      <c r="E435" s="21" t="s">
        <v>9</v>
      </c>
      <c r="F435" s="21" t="s">
        <v>28</v>
      </c>
      <c r="H435" s="9"/>
      <c r="I435" s="9"/>
      <c r="J435" s="9"/>
      <c r="K435" s="9"/>
      <c r="L435" s="9"/>
      <c r="M435" s="9"/>
      <c r="N435" s="9"/>
      <c r="O435" s="9"/>
      <c r="P435" s="9"/>
      <c r="Q435" s="9"/>
      <c r="R435" s="9"/>
      <c r="S435" s="9"/>
      <c r="T435" s="9"/>
      <c r="U435" s="9"/>
      <c r="V435" s="9"/>
      <c r="W435" s="9"/>
      <c r="X435" s="9"/>
      <c r="Y435" s="9"/>
      <c r="Z435" s="9"/>
      <c r="AA435" s="9"/>
      <c r="AB435" s="9"/>
      <c r="AC435" s="9"/>
    </row>
    <row r="436" spans="1:29" ht="13.8">
      <c r="A436" s="9"/>
      <c r="B436" s="9"/>
      <c r="C436" s="14" t="str">
        <f t="shared" si="4"/>
        <v>UdonUndercooked</v>
      </c>
      <c r="D436" s="16" t="s">
        <v>342</v>
      </c>
      <c r="E436" s="21" t="s">
        <v>10</v>
      </c>
      <c r="F436" s="21" t="s">
        <v>28</v>
      </c>
      <c r="H436" s="9"/>
      <c r="I436" s="9"/>
      <c r="J436" s="9"/>
      <c r="K436" s="9"/>
      <c r="L436" s="9"/>
      <c r="M436" s="9"/>
      <c r="N436" s="9"/>
      <c r="O436" s="9"/>
      <c r="P436" s="9"/>
      <c r="Q436" s="9"/>
      <c r="R436" s="9"/>
      <c r="S436" s="9"/>
      <c r="T436" s="9"/>
      <c r="U436" s="9"/>
      <c r="V436" s="9"/>
      <c r="W436" s="9"/>
      <c r="X436" s="9"/>
      <c r="Y436" s="9"/>
      <c r="Z436" s="9"/>
      <c r="AA436" s="9"/>
      <c r="AB436" s="9"/>
      <c r="AC436" s="9"/>
    </row>
    <row r="437" spans="1:29" ht="13.8">
      <c r="A437" s="9"/>
      <c r="B437" s="9"/>
      <c r="C437" s="14" t="str">
        <f t="shared" si="4"/>
        <v>BEARCLAWUndercooked</v>
      </c>
      <c r="D437" s="16" t="s">
        <v>343</v>
      </c>
      <c r="E437" s="21" t="s">
        <v>9</v>
      </c>
      <c r="F437" s="21" t="s">
        <v>28</v>
      </c>
      <c r="H437" s="9"/>
      <c r="I437" s="9"/>
      <c r="J437" s="9"/>
      <c r="K437" s="9"/>
      <c r="L437" s="9"/>
      <c r="M437" s="9"/>
      <c r="N437" s="9"/>
      <c r="O437" s="9"/>
      <c r="P437" s="9"/>
      <c r="Q437" s="9"/>
      <c r="R437" s="9"/>
      <c r="S437" s="9"/>
      <c r="T437" s="9"/>
      <c r="U437" s="9"/>
      <c r="V437" s="9"/>
      <c r="W437" s="9"/>
      <c r="X437" s="9"/>
      <c r="Y437" s="9"/>
      <c r="Z437" s="9"/>
      <c r="AA437" s="9"/>
      <c r="AB437" s="9"/>
      <c r="AC437" s="9"/>
    </row>
    <row r="438" spans="1:29" ht="13.8">
      <c r="A438" s="9"/>
      <c r="B438" s="9"/>
      <c r="C438" s="14" t="str">
        <f t="shared" si="4"/>
        <v>CatUndercooked</v>
      </c>
      <c r="D438" s="16" t="s">
        <v>344</v>
      </c>
      <c r="E438" s="21" t="s">
        <v>14</v>
      </c>
      <c r="F438" s="21" t="s">
        <v>28</v>
      </c>
      <c r="H438" s="9"/>
      <c r="I438" s="9"/>
      <c r="J438" s="9"/>
      <c r="K438" s="9"/>
      <c r="L438" s="9"/>
      <c r="M438" s="9"/>
      <c r="N438" s="9"/>
      <c r="O438" s="9"/>
      <c r="P438" s="9"/>
      <c r="Q438" s="9"/>
      <c r="R438" s="9"/>
      <c r="S438" s="9"/>
      <c r="T438" s="9"/>
      <c r="U438" s="9"/>
      <c r="V438" s="9"/>
      <c r="W438" s="9"/>
      <c r="X438" s="9"/>
      <c r="Y438" s="9"/>
      <c r="Z438" s="9"/>
      <c r="AA438" s="9"/>
      <c r="AB438" s="9"/>
      <c r="AC438" s="9"/>
    </row>
    <row r="439" spans="1:29" ht="13.8">
      <c r="A439" s="9"/>
      <c r="B439" s="9"/>
      <c r="C439" s="14" t="str">
        <f t="shared" si="4"/>
        <v>QuesoUndercooked</v>
      </c>
      <c r="D439" s="16" t="s">
        <v>345</v>
      </c>
      <c r="E439" s="21" t="s">
        <v>14</v>
      </c>
      <c r="F439" s="21" t="s">
        <v>28</v>
      </c>
      <c r="H439" s="9"/>
      <c r="I439" s="9"/>
      <c r="J439" s="9"/>
      <c r="K439" s="9"/>
      <c r="L439" s="9"/>
      <c r="M439" s="9"/>
      <c r="N439" s="9"/>
      <c r="O439" s="9"/>
      <c r="P439" s="9"/>
      <c r="Q439" s="9"/>
      <c r="R439" s="9"/>
      <c r="S439" s="9"/>
      <c r="T439" s="9"/>
      <c r="U439" s="9"/>
      <c r="V439" s="9"/>
      <c r="W439" s="9"/>
      <c r="X439" s="9"/>
      <c r="Y439" s="9"/>
      <c r="Z439" s="9"/>
      <c r="AA439" s="9"/>
      <c r="AB439" s="9"/>
      <c r="AC439" s="9"/>
    </row>
    <row r="440" spans="1:29" ht="13.8">
      <c r="A440" s="9"/>
      <c r="B440" s="9"/>
      <c r="C440" s="14" t="str">
        <f t="shared" si="4"/>
        <v>Navaj699Undercooked</v>
      </c>
      <c r="D440" s="16" t="s">
        <v>346</v>
      </c>
      <c r="E440" s="21" t="s">
        <v>14</v>
      </c>
      <c r="F440" s="21" t="s">
        <v>28</v>
      </c>
      <c r="H440" s="9"/>
      <c r="I440" s="9"/>
      <c r="J440" s="9"/>
      <c r="K440" s="9"/>
      <c r="L440" s="9"/>
      <c r="M440" s="9"/>
      <c r="N440" s="9"/>
      <c r="O440" s="9"/>
      <c r="P440" s="9"/>
      <c r="Q440" s="9"/>
      <c r="R440" s="9"/>
      <c r="S440" s="9"/>
      <c r="T440" s="9"/>
      <c r="U440" s="9"/>
      <c r="V440" s="9"/>
      <c r="W440" s="9"/>
      <c r="X440" s="9"/>
      <c r="Y440" s="9"/>
      <c r="Z440" s="9"/>
      <c r="AA440" s="9"/>
      <c r="AB440" s="9"/>
      <c r="AC440" s="9"/>
    </row>
    <row r="441" spans="1:29" ht="13.8">
      <c r="A441" s="9"/>
      <c r="B441" s="9"/>
      <c r="C441" s="14" t="str">
        <f t="shared" si="4"/>
        <v>MargheritaaUndercooked</v>
      </c>
      <c r="D441" s="17" t="s">
        <v>347</v>
      </c>
      <c r="E441" s="21" t="s">
        <v>23</v>
      </c>
      <c r="F441" s="21" t="s">
        <v>28</v>
      </c>
      <c r="H441" s="9"/>
      <c r="I441" s="9"/>
      <c r="J441" s="9"/>
      <c r="K441" s="9"/>
      <c r="L441" s="9"/>
      <c r="M441" s="9"/>
      <c r="N441" s="9"/>
      <c r="O441" s="9"/>
      <c r="P441" s="9"/>
      <c r="Q441" s="9"/>
      <c r="R441" s="9"/>
      <c r="S441" s="9"/>
      <c r="T441" s="9"/>
      <c r="U441" s="9"/>
      <c r="V441" s="9"/>
      <c r="W441" s="9"/>
      <c r="X441" s="9"/>
      <c r="Y441" s="9"/>
      <c r="Z441" s="9"/>
      <c r="AA441" s="9"/>
      <c r="AB441" s="9"/>
      <c r="AC441" s="9"/>
    </row>
    <row r="442" spans="1:29" ht="13.8">
      <c r="A442" s="9"/>
      <c r="B442" s="9"/>
      <c r="C442" s="14" t="str">
        <f t="shared" si="4"/>
        <v>CroissantUndercooked</v>
      </c>
      <c r="D442" s="16" t="s">
        <v>348</v>
      </c>
      <c r="E442" s="21" t="s">
        <v>54</v>
      </c>
      <c r="F442" s="21" t="s">
        <v>28</v>
      </c>
      <c r="H442" s="9"/>
      <c r="I442" s="9"/>
      <c r="J442" s="9"/>
      <c r="K442" s="9"/>
      <c r="L442" s="9"/>
      <c r="M442" s="9"/>
      <c r="N442" s="9"/>
      <c r="O442" s="9"/>
      <c r="P442" s="9"/>
      <c r="Q442" s="9"/>
      <c r="R442" s="9"/>
      <c r="S442" s="9"/>
      <c r="T442" s="9"/>
      <c r="U442" s="9"/>
      <c r="V442" s="9"/>
      <c r="W442" s="9"/>
      <c r="X442" s="9"/>
      <c r="Y442" s="9"/>
      <c r="Z442" s="9"/>
      <c r="AA442" s="9"/>
      <c r="AB442" s="9"/>
      <c r="AC442" s="9"/>
    </row>
    <row r="443" spans="1:29" ht="13.8">
      <c r="A443" s="9"/>
      <c r="B443" s="9"/>
      <c r="C443" s="14" t="str">
        <f t="shared" si="4"/>
        <v>FPUndercooked</v>
      </c>
      <c r="D443" s="17" t="s">
        <v>349</v>
      </c>
      <c r="E443" s="21" t="s">
        <v>24</v>
      </c>
      <c r="F443" s="21" t="s">
        <v>28</v>
      </c>
      <c r="H443" s="9"/>
      <c r="I443" s="9"/>
      <c r="J443" s="9"/>
      <c r="K443" s="9"/>
      <c r="L443" s="9"/>
      <c r="M443" s="9"/>
      <c r="N443" s="9"/>
      <c r="O443" s="9"/>
      <c r="P443" s="9"/>
      <c r="Q443" s="9"/>
      <c r="R443" s="9"/>
      <c r="S443" s="9"/>
      <c r="T443" s="9"/>
      <c r="U443" s="9"/>
      <c r="V443" s="9"/>
      <c r="W443" s="9"/>
      <c r="X443" s="9"/>
      <c r="Y443" s="9"/>
      <c r="Z443" s="9"/>
      <c r="AA443" s="9"/>
      <c r="AB443" s="9"/>
      <c r="AC443" s="9"/>
    </row>
    <row r="444" spans="1:29" ht="13.8">
      <c r="A444" s="9"/>
      <c r="B444" s="9"/>
      <c r="C444" s="14" t="str">
        <f t="shared" si="4"/>
        <v>RatatouilleUndercooked</v>
      </c>
      <c r="D444" s="16" t="s">
        <v>350</v>
      </c>
      <c r="E444" s="21" t="s">
        <v>24</v>
      </c>
      <c r="F444" s="21" t="s">
        <v>28</v>
      </c>
      <c r="H444" s="9"/>
      <c r="I444" s="9"/>
      <c r="J444" s="9"/>
      <c r="K444" s="9"/>
      <c r="L444" s="9"/>
      <c r="M444" s="9"/>
      <c r="N444" s="9"/>
      <c r="O444" s="9"/>
      <c r="P444" s="9"/>
      <c r="Q444" s="9"/>
      <c r="R444" s="9"/>
      <c r="S444" s="9"/>
      <c r="T444" s="9"/>
      <c r="U444" s="9"/>
      <c r="V444" s="9"/>
      <c r="W444" s="9"/>
      <c r="X444" s="9"/>
      <c r="Y444" s="9"/>
      <c r="Z444" s="9"/>
      <c r="AA444" s="9"/>
      <c r="AB444" s="9"/>
      <c r="AC444" s="9"/>
    </row>
    <row r="445" spans="1:29" ht="13.8">
      <c r="A445" s="9"/>
      <c r="B445" s="9"/>
      <c r="C445" s="14" t="str">
        <f t="shared" si="4"/>
        <v>GelatoUndercooked</v>
      </c>
      <c r="D445" s="17" t="s">
        <v>351</v>
      </c>
      <c r="E445" s="21" t="s">
        <v>32</v>
      </c>
      <c r="F445" s="21" t="s">
        <v>28</v>
      </c>
      <c r="H445" s="9"/>
      <c r="I445" s="9"/>
      <c r="J445" s="9"/>
      <c r="K445" s="9"/>
      <c r="L445" s="9"/>
      <c r="M445" s="9"/>
      <c r="N445" s="9"/>
      <c r="O445" s="9"/>
      <c r="P445" s="9"/>
      <c r="Q445" s="9"/>
      <c r="R445" s="9"/>
      <c r="S445" s="9"/>
      <c r="T445" s="9"/>
      <c r="U445" s="9"/>
      <c r="V445" s="9"/>
      <c r="W445" s="9"/>
      <c r="X445" s="9"/>
      <c r="Y445" s="9"/>
      <c r="Z445" s="9"/>
      <c r="AA445" s="9"/>
      <c r="AB445" s="9"/>
      <c r="AC445" s="9"/>
    </row>
    <row r="446" spans="1:29" ht="13.8">
      <c r="A446" s="9"/>
      <c r="B446" s="9"/>
      <c r="C446" s="14" t="str">
        <f t="shared" si="4"/>
        <v>FrappuccinoUndercooked</v>
      </c>
      <c r="D446" s="16" t="s">
        <v>352</v>
      </c>
      <c r="E446" s="21" t="s">
        <v>58</v>
      </c>
      <c r="F446" s="21" t="s">
        <v>28</v>
      </c>
      <c r="H446" s="9"/>
      <c r="I446" s="9"/>
      <c r="J446" s="9"/>
      <c r="K446" s="9"/>
      <c r="L446" s="9"/>
      <c r="M446" s="9"/>
      <c r="N446" s="9"/>
      <c r="O446" s="9"/>
      <c r="P446" s="9"/>
      <c r="Q446" s="9"/>
      <c r="R446" s="9"/>
      <c r="S446" s="9"/>
      <c r="T446" s="9"/>
      <c r="U446" s="9"/>
      <c r="V446" s="9"/>
      <c r="W446" s="9"/>
      <c r="X446" s="9"/>
      <c r="Y446" s="9"/>
      <c r="Z446" s="9"/>
      <c r="AA446" s="9"/>
      <c r="AB446" s="9"/>
      <c r="AC446" s="9"/>
    </row>
    <row r="447" spans="1:29" ht="13.8">
      <c r="A447" s="9"/>
      <c r="B447" s="9"/>
      <c r="C447" s="14" t="str">
        <f t="shared" si="4"/>
        <v>PoutineUndercooked</v>
      </c>
      <c r="D447" s="16" t="s">
        <v>353</v>
      </c>
      <c r="E447" s="21" t="s">
        <v>69</v>
      </c>
      <c r="F447" s="21" t="s">
        <v>28</v>
      </c>
      <c r="H447" s="9"/>
      <c r="I447" s="9"/>
      <c r="J447" s="9"/>
      <c r="K447" s="9"/>
      <c r="L447" s="9"/>
      <c r="M447" s="9"/>
      <c r="N447" s="9"/>
      <c r="O447" s="9"/>
      <c r="P447" s="9"/>
      <c r="Q447" s="9"/>
      <c r="R447" s="9"/>
      <c r="S447" s="9"/>
      <c r="T447" s="9"/>
      <c r="U447" s="9"/>
      <c r="V447" s="9"/>
      <c r="W447" s="9"/>
      <c r="X447" s="9"/>
      <c r="Y447" s="9"/>
      <c r="Z447" s="9"/>
      <c r="AA447" s="9"/>
      <c r="AB447" s="9"/>
      <c r="AC447" s="9"/>
    </row>
    <row r="448" spans="1:29" ht="13.8">
      <c r="A448" s="9"/>
      <c r="B448" s="9"/>
      <c r="C448" s="14" t="str">
        <f t="shared" si="4"/>
        <v>BaoUndercooked</v>
      </c>
      <c r="D448" s="16" t="s">
        <v>354</v>
      </c>
      <c r="E448" s="21" t="s">
        <v>23</v>
      </c>
      <c r="F448" s="21" t="s">
        <v>28</v>
      </c>
      <c r="H448" s="9"/>
      <c r="I448" s="9"/>
      <c r="J448" s="9"/>
      <c r="K448" s="9"/>
      <c r="L448" s="9"/>
      <c r="M448" s="9"/>
      <c r="N448" s="9"/>
      <c r="O448" s="9"/>
      <c r="P448" s="9"/>
      <c r="Q448" s="9"/>
      <c r="R448" s="9"/>
      <c r="S448" s="9"/>
      <c r="T448" s="9"/>
      <c r="U448" s="9"/>
      <c r="V448" s="9"/>
      <c r="W448" s="9"/>
      <c r="X448" s="9"/>
      <c r="Y448" s="9"/>
      <c r="Z448" s="9"/>
      <c r="AA448" s="9"/>
      <c r="AB448" s="9"/>
      <c r="AC448" s="9"/>
    </row>
    <row r="449" spans="1:29" ht="13.8">
      <c r="A449" s="9"/>
      <c r="B449" s="9"/>
      <c r="C449" s="14" t="str">
        <f t="shared" si="4"/>
        <v>RockyOystersUndercooked</v>
      </c>
      <c r="D449" s="16" t="s">
        <v>355</v>
      </c>
      <c r="E449" s="21" t="s">
        <v>14</v>
      </c>
      <c r="F449" s="21" t="s">
        <v>28</v>
      </c>
      <c r="H449" s="9"/>
      <c r="I449" s="9"/>
      <c r="J449" s="9"/>
      <c r="K449" s="9"/>
      <c r="L449" s="9"/>
      <c r="M449" s="9"/>
      <c r="N449" s="9"/>
      <c r="O449" s="9"/>
      <c r="P449" s="9"/>
      <c r="Q449" s="9"/>
      <c r="R449" s="9"/>
      <c r="S449" s="9"/>
      <c r="T449" s="9"/>
      <c r="U449" s="9"/>
      <c r="V449" s="9"/>
      <c r="W449" s="9"/>
      <c r="X449" s="9"/>
      <c r="Y449" s="9"/>
      <c r="Z449" s="9"/>
      <c r="AA449" s="9"/>
      <c r="AB449" s="9"/>
      <c r="AC449" s="9"/>
    </row>
    <row r="450" spans="1:29" ht="13.8">
      <c r="A450" s="9"/>
      <c r="B450" s="9"/>
      <c r="C450" s="14" t="str">
        <f t="shared" si="4"/>
        <v>DamnuUndercooked</v>
      </c>
      <c r="D450" s="16" t="s">
        <v>356</v>
      </c>
      <c r="E450" s="21" t="s">
        <v>9</v>
      </c>
      <c r="F450" s="21" t="s">
        <v>28</v>
      </c>
      <c r="H450" s="9"/>
      <c r="I450" s="9"/>
      <c r="J450" s="9"/>
      <c r="K450" s="9"/>
      <c r="L450" s="9"/>
      <c r="M450" s="9"/>
      <c r="N450" s="9"/>
      <c r="O450" s="9"/>
      <c r="P450" s="9"/>
      <c r="Q450" s="9"/>
      <c r="R450" s="9"/>
      <c r="S450" s="9"/>
      <c r="T450" s="9"/>
      <c r="U450" s="9"/>
      <c r="V450" s="9"/>
      <c r="W450" s="9"/>
      <c r="X450" s="9"/>
      <c r="Y450" s="9"/>
      <c r="Z450" s="9"/>
      <c r="AA450" s="9"/>
      <c r="AB450" s="9"/>
      <c r="AC450" s="9"/>
    </row>
    <row r="451" spans="1:29" ht="13.8">
      <c r="A451" s="9"/>
      <c r="B451" s="9"/>
      <c r="C451" s="14" t="str">
        <f t="shared" si="4"/>
        <v>MilkshakeUndercooked</v>
      </c>
      <c r="D451" s="16" t="s">
        <v>357</v>
      </c>
      <c r="E451" s="21" t="s">
        <v>9</v>
      </c>
      <c r="F451" s="21" t="s">
        <v>28</v>
      </c>
      <c r="H451" s="9"/>
      <c r="I451" s="9"/>
      <c r="J451" s="9"/>
      <c r="K451" s="9"/>
      <c r="L451" s="9"/>
      <c r="M451" s="9"/>
      <c r="N451" s="9"/>
      <c r="O451" s="9"/>
      <c r="P451" s="9"/>
      <c r="Q451" s="9"/>
      <c r="R451" s="9"/>
      <c r="S451" s="9"/>
      <c r="T451" s="9"/>
      <c r="U451" s="9"/>
      <c r="V451" s="9"/>
      <c r="W451" s="9"/>
      <c r="X451" s="9"/>
      <c r="Y451" s="9"/>
      <c r="Z451" s="9"/>
      <c r="AA451" s="9"/>
      <c r="AB451" s="9"/>
      <c r="AC451" s="9"/>
    </row>
    <row r="452" spans="1:29" ht="13.8">
      <c r="A452" s="9"/>
      <c r="B452" s="9"/>
      <c r="C452" s="14" t="str">
        <f t="shared" si="4"/>
        <v>psiΨUndercooked</v>
      </c>
      <c r="D452" s="16" t="s">
        <v>358</v>
      </c>
      <c r="E452" s="21" t="s">
        <v>10</v>
      </c>
      <c r="F452" s="21" t="s">
        <v>28</v>
      </c>
      <c r="H452" s="9"/>
      <c r="I452" s="9"/>
      <c r="J452" s="9"/>
      <c r="K452" s="9"/>
      <c r="L452" s="9"/>
      <c r="M452" s="9"/>
      <c r="N452" s="9"/>
      <c r="O452" s="9"/>
      <c r="P452" s="9"/>
      <c r="Q452" s="9"/>
      <c r="R452" s="9"/>
      <c r="S452" s="9"/>
      <c r="T452" s="9"/>
      <c r="U452" s="9"/>
      <c r="V452" s="9"/>
      <c r="W452" s="9"/>
      <c r="X452" s="9"/>
      <c r="Y452" s="9"/>
      <c r="Z452" s="9"/>
      <c r="AA452" s="9"/>
      <c r="AB452" s="9"/>
      <c r="AC452" s="9"/>
    </row>
    <row r="453" spans="1:29" ht="13.8">
      <c r="A453" s="9"/>
      <c r="B453" s="9"/>
      <c r="C453" s="14" t="str">
        <f t="shared" si="4"/>
        <v>MulcaanUndercooked</v>
      </c>
      <c r="D453" s="16" t="s">
        <v>359</v>
      </c>
      <c r="E453" s="21" t="s">
        <v>14</v>
      </c>
      <c r="F453" s="21" t="s">
        <v>28</v>
      </c>
      <c r="H453" s="9"/>
      <c r="I453" s="9"/>
      <c r="J453" s="9"/>
      <c r="K453" s="9"/>
      <c r="L453" s="9"/>
      <c r="M453" s="9"/>
      <c r="N453" s="9"/>
      <c r="O453" s="9"/>
      <c r="P453" s="9"/>
      <c r="Q453" s="9"/>
      <c r="R453" s="9"/>
      <c r="S453" s="9"/>
      <c r="T453" s="9"/>
      <c r="U453" s="9"/>
      <c r="V453" s="9"/>
      <c r="W453" s="9"/>
      <c r="X453" s="9"/>
      <c r="Y453" s="9"/>
      <c r="Z453" s="9"/>
      <c r="AA453" s="9"/>
      <c r="AB453" s="9"/>
      <c r="AC453" s="9"/>
    </row>
    <row r="454" spans="1:29" ht="13.8">
      <c r="A454" s="9"/>
      <c r="B454" s="9"/>
      <c r="C454" s="14" t="str">
        <f t="shared" si="4"/>
        <v>ChipsUndercooked</v>
      </c>
      <c r="D454" s="16" t="s">
        <v>360</v>
      </c>
      <c r="E454" s="21" t="s">
        <v>14</v>
      </c>
      <c r="F454" s="21" t="s">
        <v>28</v>
      </c>
      <c r="H454" s="9"/>
      <c r="I454" s="9"/>
      <c r="J454" s="9"/>
      <c r="K454" s="9"/>
      <c r="L454" s="9"/>
      <c r="M454" s="9"/>
      <c r="N454" s="9"/>
      <c r="O454" s="9"/>
      <c r="P454" s="9"/>
      <c r="Q454" s="9"/>
      <c r="R454" s="9"/>
      <c r="S454" s="9"/>
      <c r="T454" s="9"/>
      <c r="U454" s="9"/>
      <c r="V454" s="9"/>
      <c r="W454" s="9"/>
      <c r="X454" s="9"/>
      <c r="Y454" s="9"/>
      <c r="Z454" s="9"/>
      <c r="AA454" s="9"/>
      <c r="AB454" s="9"/>
      <c r="AC454" s="9"/>
    </row>
    <row r="455" spans="1:29" ht="13.8">
      <c r="A455" s="9"/>
      <c r="B455" s="9"/>
      <c r="C455" s="14" t="str">
        <f t="shared" si="4"/>
        <v>ladyfingerUndercooked</v>
      </c>
      <c r="D455" s="16" t="s">
        <v>361</v>
      </c>
      <c r="E455" s="21" t="s">
        <v>62</v>
      </c>
      <c r="F455" s="21" t="s">
        <v>28</v>
      </c>
      <c r="H455" s="9"/>
      <c r="I455" s="9"/>
      <c r="J455" s="9"/>
      <c r="K455" s="9"/>
      <c r="L455" s="9"/>
      <c r="M455" s="9"/>
      <c r="N455" s="9"/>
      <c r="O455" s="9"/>
      <c r="P455" s="9"/>
      <c r="Q455" s="9"/>
      <c r="R455" s="9"/>
      <c r="S455" s="9"/>
      <c r="T455" s="9"/>
      <c r="U455" s="9"/>
      <c r="V455" s="9"/>
      <c r="W455" s="9"/>
      <c r="X455" s="9"/>
      <c r="Y455" s="9"/>
      <c r="Z455" s="9"/>
      <c r="AA455" s="9"/>
      <c r="AB455" s="9"/>
      <c r="AC455" s="9"/>
    </row>
    <row r="456" spans="1:29" ht="13.8">
      <c r="A456" s="9"/>
      <c r="B456" s="9"/>
      <c r="C456" s="14" t="str">
        <f t="shared" si="4"/>
        <v>4'groUndercooked</v>
      </c>
      <c r="D456" s="16" t="s">
        <v>362</v>
      </c>
      <c r="E456" s="21" t="s">
        <v>14</v>
      </c>
      <c r="F456" s="21" t="s">
        <v>28</v>
      </c>
      <c r="H456" s="9"/>
      <c r="I456" s="9"/>
      <c r="J456" s="9"/>
      <c r="K456" s="9"/>
      <c r="L456" s="9"/>
      <c r="M456" s="9"/>
      <c r="N456" s="9"/>
      <c r="O456" s="9"/>
      <c r="P456" s="9"/>
      <c r="Q456" s="9"/>
      <c r="R456" s="9"/>
      <c r="S456" s="9"/>
      <c r="T456" s="9"/>
      <c r="U456" s="9"/>
      <c r="V456" s="9"/>
      <c r="W456" s="9"/>
      <c r="X456" s="9"/>
      <c r="Y456" s="9"/>
      <c r="Z456" s="9"/>
      <c r="AA456" s="9"/>
      <c r="AB456" s="9"/>
      <c r="AC456" s="9"/>
    </row>
    <row r="457" spans="1:29" ht="13.8">
      <c r="A457" s="9"/>
      <c r="B457" s="9"/>
      <c r="C457" s="14" t="str">
        <f t="shared" si="4"/>
        <v>SayakaUndercooked</v>
      </c>
      <c r="D457" s="16" t="s">
        <v>363</v>
      </c>
      <c r="E457" s="21" t="s">
        <v>73</v>
      </c>
      <c r="F457" s="21" t="s">
        <v>28</v>
      </c>
      <c r="H457" s="9"/>
      <c r="I457" s="9"/>
      <c r="J457" s="9"/>
      <c r="K457" s="9"/>
      <c r="L457" s="9"/>
      <c r="M457" s="9"/>
      <c r="N457" s="9"/>
      <c r="O457" s="9"/>
      <c r="P457" s="9"/>
      <c r="Q457" s="9"/>
      <c r="R457" s="9"/>
      <c r="S457" s="9"/>
      <c r="T457" s="9"/>
      <c r="U457" s="9"/>
      <c r="V457" s="9"/>
      <c r="W457" s="9"/>
      <c r="X457" s="9"/>
      <c r="Y457" s="9"/>
      <c r="Z457" s="9"/>
      <c r="AA457" s="9"/>
      <c r="AB457" s="9"/>
      <c r="AC457" s="9"/>
    </row>
    <row r="458" spans="1:29" ht="13.8">
      <c r="A458" s="9"/>
      <c r="B458" s="9"/>
      <c r="C458" s="14" t="str">
        <f t="shared" si="4"/>
        <v>EspressoCUndercooked</v>
      </c>
      <c r="D458" s="16" t="s">
        <v>364</v>
      </c>
      <c r="E458" s="21" t="s">
        <v>10</v>
      </c>
      <c r="F458" s="21" t="s">
        <v>28</v>
      </c>
      <c r="H458" s="9"/>
      <c r="I458" s="9"/>
      <c r="J458" s="9"/>
      <c r="K458" s="9"/>
      <c r="L458" s="9"/>
      <c r="M458" s="9"/>
      <c r="N458" s="9"/>
      <c r="O458" s="9"/>
      <c r="P458" s="9"/>
      <c r="Q458" s="9"/>
      <c r="R458" s="9"/>
      <c r="S458" s="9"/>
      <c r="T458" s="9"/>
      <c r="U458" s="9"/>
      <c r="V458" s="9"/>
      <c r="W458" s="9"/>
      <c r="X458" s="9"/>
      <c r="Y458" s="9"/>
      <c r="Z458" s="9"/>
      <c r="AA458" s="9"/>
      <c r="AB458" s="9"/>
      <c r="AC458" s="9"/>
    </row>
    <row r="459" spans="1:29" ht="13.8">
      <c r="A459" s="9"/>
      <c r="B459" s="9"/>
      <c r="C459" s="14" t="str">
        <f t="shared" si="4"/>
        <v>mochiUndercooked</v>
      </c>
      <c r="D459" s="16" t="s">
        <v>365</v>
      </c>
      <c r="E459" s="21" t="s">
        <v>9</v>
      </c>
      <c r="F459" s="21" t="s">
        <v>28</v>
      </c>
      <c r="H459" s="9"/>
      <c r="I459" s="9"/>
      <c r="J459" s="9"/>
      <c r="K459" s="9"/>
      <c r="L459" s="9"/>
      <c r="M459" s="9"/>
      <c r="N459" s="9"/>
      <c r="O459" s="9"/>
      <c r="P459" s="9"/>
      <c r="Q459" s="9"/>
      <c r="R459" s="9"/>
      <c r="S459" s="9"/>
      <c r="T459" s="9"/>
      <c r="U459" s="9"/>
      <c r="V459" s="9"/>
      <c r="W459" s="9"/>
      <c r="X459" s="9"/>
      <c r="Y459" s="9"/>
      <c r="Z459" s="9"/>
      <c r="AA459" s="9"/>
      <c r="AB459" s="9"/>
      <c r="AC459" s="9"/>
    </row>
    <row r="460" spans="1:29" ht="13.8">
      <c r="A460" s="9"/>
      <c r="B460" s="9"/>
      <c r="C460" s="14" t="str">
        <f t="shared" si="4"/>
        <v>xSoulessUndercooked</v>
      </c>
      <c r="D460" s="17" t="s">
        <v>366</v>
      </c>
      <c r="E460" s="21" t="s">
        <v>10</v>
      </c>
      <c r="F460" s="21" t="s">
        <v>28</v>
      </c>
      <c r="H460" s="9"/>
      <c r="I460" s="9"/>
      <c r="J460" s="9"/>
      <c r="K460" s="9"/>
      <c r="L460" s="9"/>
      <c r="M460" s="9"/>
      <c r="N460" s="9"/>
      <c r="O460" s="9"/>
      <c r="P460" s="9"/>
      <c r="Q460" s="9"/>
      <c r="R460" s="9"/>
      <c r="S460" s="9"/>
      <c r="T460" s="9"/>
      <c r="U460" s="9"/>
      <c r="V460" s="9"/>
      <c r="W460" s="9"/>
      <c r="X460" s="9"/>
      <c r="Y460" s="9"/>
      <c r="Z460" s="9"/>
      <c r="AA460" s="9"/>
      <c r="AB460" s="9"/>
      <c r="AC460" s="9"/>
    </row>
    <row r="461" spans="1:29" ht="13.8">
      <c r="A461" s="9"/>
      <c r="B461" s="9"/>
      <c r="C461" s="14" t="str">
        <f t="shared" si="4"/>
        <v>huntressUndercooked</v>
      </c>
      <c r="D461" s="16" t="s">
        <v>367</v>
      </c>
      <c r="E461" s="7" t="s">
        <v>43</v>
      </c>
      <c r="F461" s="21" t="s">
        <v>28</v>
      </c>
      <c r="H461" s="9"/>
      <c r="I461" s="9"/>
      <c r="J461" s="9"/>
      <c r="K461" s="9"/>
      <c r="L461" s="9"/>
      <c r="M461" s="9"/>
      <c r="N461" s="9"/>
      <c r="O461" s="9"/>
      <c r="P461" s="9"/>
      <c r="Q461" s="9"/>
      <c r="R461" s="9"/>
      <c r="S461" s="9"/>
      <c r="T461" s="9"/>
      <c r="U461" s="9"/>
      <c r="V461" s="9"/>
      <c r="W461" s="9"/>
      <c r="X461" s="9"/>
      <c r="Y461" s="9"/>
      <c r="Z461" s="9"/>
      <c r="AA461" s="9"/>
      <c r="AB461" s="9"/>
      <c r="AC461" s="9"/>
    </row>
    <row r="462" spans="1:29" ht="14.4">
      <c r="A462" s="9"/>
      <c r="B462" s="9"/>
      <c r="C462" s="14" t="str">
        <f t="shared" si="4"/>
        <v>cappuccinoUndercooked</v>
      </c>
      <c r="D462" s="13" t="s">
        <v>368</v>
      </c>
      <c r="E462" s="7" t="s">
        <v>58</v>
      </c>
      <c r="F462" s="21" t="s">
        <v>28</v>
      </c>
      <c r="H462" s="9"/>
      <c r="I462" s="9"/>
      <c r="J462" s="9"/>
      <c r="K462" s="9"/>
      <c r="L462" s="9"/>
      <c r="M462" s="9"/>
      <c r="N462" s="9"/>
      <c r="O462" s="9"/>
      <c r="P462" s="9"/>
      <c r="Q462" s="9"/>
      <c r="R462" s="9"/>
      <c r="S462" s="9"/>
      <c r="T462" s="9"/>
      <c r="U462" s="9"/>
      <c r="V462" s="9"/>
      <c r="W462" s="9"/>
      <c r="X462" s="9"/>
      <c r="Y462" s="9"/>
      <c r="Z462" s="9"/>
      <c r="AA462" s="9"/>
      <c r="AB462" s="9"/>
      <c r="AC462" s="9"/>
    </row>
    <row r="463" spans="1:29" ht="14.4">
      <c r="A463" s="9"/>
      <c r="B463" s="9"/>
      <c r="C463" s="14" t="str">
        <f t="shared" si="4"/>
        <v>PhoUndercooked</v>
      </c>
      <c r="D463" s="13" t="s">
        <v>369</v>
      </c>
      <c r="E463" s="7" t="s">
        <v>45</v>
      </c>
      <c r="F463" s="21" t="s">
        <v>28</v>
      </c>
      <c r="H463" s="9"/>
      <c r="I463" s="9"/>
      <c r="J463" s="9"/>
      <c r="K463" s="9"/>
      <c r="L463" s="9"/>
      <c r="M463" s="9"/>
      <c r="N463" s="9"/>
      <c r="O463" s="9"/>
      <c r="P463" s="9"/>
      <c r="Q463" s="9"/>
      <c r="R463" s="9"/>
      <c r="S463" s="9"/>
      <c r="T463" s="9"/>
      <c r="U463" s="9"/>
      <c r="V463" s="9"/>
      <c r="W463" s="9"/>
      <c r="X463" s="9"/>
      <c r="Y463" s="9"/>
      <c r="Z463" s="9"/>
      <c r="AA463" s="9"/>
      <c r="AB463" s="9"/>
      <c r="AC463" s="9"/>
    </row>
    <row r="464" spans="1:29" ht="14.4">
      <c r="A464" s="9"/>
      <c r="B464" s="9"/>
      <c r="C464" s="14" t="str">
        <f t="shared" si="4"/>
        <v>baconUndercooked</v>
      </c>
      <c r="D464" s="13" t="s">
        <v>370</v>
      </c>
      <c r="E464" s="7" t="s">
        <v>54</v>
      </c>
      <c r="F464" s="21" t="s">
        <v>28</v>
      </c>
      <c r="H464" s="9"/>
      <c r="I464" s="9"/>
      <c r="J464" s="9"/>
      <c r="K464" s="9"/>
      <c r="L464" s="9"/>
      <c r="M464" s="9"/>
      <c r="N464" s="9"/>
      <c r="O464" s="9"/>
      <c r="P464" s="9"/>
      <c r="Q464" s="9"/>
      <c r="R464" s="9"/>
      <c r="S464" s="9"/>
      <c r="T464" s="9"/>
      <c r="U464" s="9"/>
      <c r="V464" s="9"/>
      <c r="W464" s="9"/>
      <c r="X464" s="9"/>
      <c r="Y464" s="9"/>
      <c r="Z464" s="9"/>
      <c r="AA464" s="9"/>
      <c r="AB464" s="9"/>
      <c r="AC464" s="9"/>
    </row>
    <row r="465" spans="1:29" ht="14.4">
      <c r="A465" s="9"/>
      <c r="B465" s="9"/>
      <c r="C465" s="14" t="str">
        <f t="shared" si="4"/>
        <v>SnoopUndercooked</v>
      </c>
      <c r="D465" s="13" t="s">
        <v>371</v>
      </c>
      <c r="E465" s="7" t="s">
        <v>32</v>
      </c>
      <c r="F465" s="21" t="s">
        <v>28</v>
      </c>
      <c r="H465" s="9"/>
      <c r="I465" s="9"/>
      <c r="J465" s="9"/>
      <c r="K465" s="9"/>
      <c r="L465" s="9"/>
      <c r="M465" s="9"/>
      <c r="N465" s="9"/>
      <c r="O465" s="9"/>
      <c r="P465" s="9"/>
      <c r="Q465" s="9"/>
      <c r="R465" s="9"/>
      <c r="S465" s="9"/>
      <c r="T465" s="9"/>
      <c r="U465" s="9"/>
      <c r="V465" s="9"/>
      <c r="W465" s="9"/>
      <c r="X465" s="9"/>
      <c r="Y465" s="9"/>
      <c r="Z465" s="9"/>
      <c r="AA465" s="9"/>
      <c r="AB465" s="9"/>
      <c r="AC465" s="9"/>
    </row>
    <row r="466" spans="1:29" ht="14.4">
      <c r="A466" s="9"/>
      <c r="B466" s="9"/>
      <c r="C466" s="14" t="str">
        <f t="shared" si="4"/>
        <v>sausageUndercooked</v>
      </c>
      <c r="D466" s="13" t="s">
        <v>372</v>
      </c>
      <c r="E466" s="7" t="s">
        <v>69</v>
      </c>
      <c r="F466" s="21" t="s">
        <v>28</v>
      </c>
      <c r="H466" s="9"/>
      <c r="I466" s="9"/>
      <c r="J466" s="9"/>
      <c r="K466" s="9"/>
      <c r="L466" s="9"/>
      <c r="M466" s="9"/>
      <c r="N466" s="9"/>
      <c r="O466" s="9"/>
      <c r="P466" s="9"/>
      <c r="Q466" s="9"/>
      <c r="R466" s="9"/>
      <c r="S466" s="9"/>
      <c r="T466" s="9"/>
      <c r="U466" s="9"/>
      <c r="V466" s="9"/>
      <c r="W466" s="9"/>
      <c r="X466" s="9"/>
      <c r="Y466" s="9"/>
      <c r="Z466" s="9"/>
      <c r="AA466" s="9"/>
      <c r="AB466" s="9"/>
      <c r="AC466" s="9"/>
    </row>
    <row r="467" spans="1:29" ht="14.4">
      <c r="A467" s="9"/>
      <c r="B467" s="9"/>
      <c r="C467" s="14" t="str">
        <f t="shared" si="4"/>
        <v>wafflesUndercooked</v>
      </c>
      <c r="D467" s="13" t="s">
        <v>373</v>
      </c>
      <c r="E467" s="7" t="s">
        <v>69</v>
      </c>
      <c r="F467" s="21" t="s">
        <v>28</v>
      </c>
      <c r="H467" s="9"/>
      <c r="I467" s="9"/>
      <c r="J467" s="9"/>
      <c r="K467" s="9"/>
      <c r="L467" s="9"/>
      <c r="M467" s="9"/>
      <c r="N467" s="9"/>
      <c r="O467" s="9"/>
      <c r="P467" s="9"/>
      <c r="Q467" s="9"/>
      <c r="R467" s="9"/>
      <c r="S467" s="9"/>
      <c r="T467" s="9"/>
      <c r="U467" s="9"/>
      <c r="V467" s="9"/>
      <c r="W467" s="9"/>
      <c r="X467" s="9"/>
      <c r="Y467" s="9"/>
      <c r="Z467" s="9"/>
      <c r="AA467" s="9"/>
      <c r="AB467" s="9"/>
      <c r="AC467" s="9"/>
    </row>
    <row r="468" spans="1:29" ht="14.4">
      <c r="A468" s="9"/>
      <c r="B468" s="9"/>
      <c r="C468" s="14" t="str">
        <f t="shared" si="4"/>
        <v>SlushyUndercooked</v>
      </c>
      <c r="D468" s="13" t="s">
        <v>374</v>
      </c>
      <c r="E468" s="7" t="s">
        <v>45</v>
      </c>
      <c r="F468" s="21" t="s">
        <v>28</v>
      </c>
      <c r="H468" s="9"/>
      <c r="I468" s="9"/>
      <c r="J468" s="9"/>
      <c r="K468" s="9"/>
      <c r="L468" s="9"/>
      <c r="M468" s="9"/>
      <c r="N468" s="9"/>
      <c r="O468" s="9"/>
      <c r="P468" s="9"/>
      <c r="Q468" s="9"/>
      <c r="R468" s="9"/>
      <c r="S468" s="9"/>
      <c r="T468" s="9"/>
      <c r="U468" s="9"/>
      <c r="V468" s="9"/>
      <c r="W468" s="9"/>
      <c r="X468" s="9"/>
      <c r="Y468" s="9"/>
      <c r="Z468" s="9"/>
      <c r="AA468" s="9"/>
      <c r="AB468" s="9"/>
      <c r="AC468" s="9"/>
    </row>
    <row r="469" spans="1:29" ht="14.4">
      <c r="A469" s="9"/>
      <c r="B469" s="9"/>
      <c r="C469" s="14" t="str">
        <f t="shared" si="4"/>
        <v>ShawarmaUndercooked</v>
      </c>
      <c r="D469" s="13" t="s">
        <v>375</v>
      </c>
      <c r="E469" s="7" t="s">
        <v>62</v>
      </c>
      <c r="F469" s="21" t="s">
        <v>28</v>
      </c>
      <c r="H469" s="9"/>
      <c r="I469" s="9"/>
      <c r="J469" s="9"/>
      <c r="K469" s="9"/>
      <c r="L469" s="9"/>
      <c r="M469" s="9"/>
      <c r="N469" s="9"/>
      <c r="O469" s="9"/>
      <c r="P469" s="9"/>
      <c r="Q469" s="9"/>
      <c r="R469" s="9"/>
      <c r="S469" s="9"/>
      <c r="T469" s="9"/>
      <c r="U469" s="9"/>
      <c r="V469" s="9"/>
      <c r="W469" s="9"/>
      <c r="X469" s="9"/>
      <c r="Y469" s="9"/>
      <c r="Z469" s="9"/>
      <c r="AA469" s="9"/>
      <c r="AB469" s="9"/>
      <c r="AC469" s="9"/>
    </row>
    <row r="470" spans="1:29" ht="14.4">
      <c r="A470" s="9"/>
      <c r="B470" s="9"/>
      <c r="C470" s="14" t="str">
        <f t="shared" si="4"/>
        <v>TurinUndercooked</v>
      </c>
      <c r="D470" s="13" t="s">
        <v>376</v>
      </c>
      <c r="E470" s="7" t="s">
        <v>14</v>
      </c>
      <c r="F470" s="21" t="s">
        <v>28</v>
      </c>
      <c r="H470" s="9"/>
      <c r="I470" s="9"/>
      <c r="J470" s="9"/>
      <c r="K470" s="9"/>
      <c r="L470" s="9"/>
      <c r="M470" s="9"/>
      <c r="N470" s="9"/>
      <c r="O470" s="9"/>
      <c r="P470" s="9"/>
      <c r="Q470" s="9"/>
      <c r="R470" s="9"/>
      <c r="S470" s="9"/>
      <c r="T470" s="9"/>
      <c r="U470" s="9"/>
      <c r="V470" s="9"/>
      <c r="W470" s="9"/>
      <c r="X470" s="9"/>
      <c r="Y470" s="9"/>
      <c r="Z470" s="9"/>
      <c r="AA470" s="9"/>
      <c r="AB470" s="9"/>
      <c r="AC470" s="9"/>
    </row>
    <row r="471" spans="1:29" ht="14.4">
      <c r="A471" s="9"/>
      <c r="B471" s="9"/>
      <c r="C471" s="14" t="str">
        <f t="shared" si="4"/>
        <v>eggUndercooked</v>
      </c>
      <c r="D471" s="13" t="s">
        <v>377</v>
      </c>
      <c r="E471" s="7" t="s">
        <v>9</v>
      </c>
      <c r="F471" s="21" t="s">
        <v>28</v>
      </c>
      <c r="H471" s="9"/>
      <c r="I471" s="9"/>
      <c r="J471" s="9"/>
      <c r="K471" s="9"/>
      <c r="L471" s="9"/>
      <c r="M471" s="9"/>
      <c r="N471" s="9"/>
      <c r="O471" s="9"/>
      <c r="P471" s="9"/>
      <c r="Q471" s="9"/>
      <c r="R471" s="9"/>
      <c r="S471" s="9"/>
      <c r="T471" s="9"/>
      <c r="U471" s="9"/>
      <c r="V471" s="9"/>
      <c r="W471" s="9"/>
      <c r="X471" s="9"/>
      <c r="Y471" s="9"/>
      <c r="Z471" s="9"/>
      <c r="AA471" s="9"/>
      <c r="AB471" s="9"/>
      <c r="AC471" s="9"/>
    </row>
    <row r="472" spans="1:29" ht="14.4">
      <c r="A472" s="9"/>
      <c r="B472" s="9"/>
      <c r="C472" s="14" t="str">
        <f t="shared" si="4"/>
        <v>bunnieUndercooked</v>
      </c>
      <c r="D472" s="13" t="s">
        <v>378</v>
      </c>
      <c r="E472" s="7" t="s">
        <v>10</v>
      </c>
      <c r="F472" s="21" t="s">
        <v>28</v>
      </c>
      <c r="H472" s="9"/>
      <c r="I472" s="9"/>
      <c r="J472" s="9"/>
      <c r="K472" s="9"/>
      <c r="L472" s="9"/>
      <c r="M472" s="9"/>
      <c r="N472" s="9"/>
      <c r="O472" s="9"/>
      <c r="P472" s="9"/>
      <c r="Q472" s="9"/>
      <c r="R472" s="9"/>
      <c r="S472" s="9"/>
      <c r="T472" s="9"/>
      <c r="U472" s="9"/>
      <c r="V472" s="9"/>
      <c r="W472" s="9"/>
      <c r="X472" s="9"/>
      <c r="Y472" s="9"/>
      <c r="Z472" s="9"/>
      <c r="AA472" s="9"/>
      <c r="AB472" s="9"/>
      <c r="AC472" s="9"/>
    </row>
    <row r="473" spans="1:29" ht="14.4">
      <c r="A473" s="9"/>
      <c r="B473" s="9"/>
      <c r="C473" s="14" t="str">
        <f t="shared" si="4"/>
        <v>syrupUndercooked</v>
      </c>
      <c r="D473" s="13" t="s">
        <v>379</v>
      </c>
      <c r="E473" s="7" t="s">
        <v>10</v>
      </c>
      <c r="F473" s="21" t="s">
        <v>28</v>
      </c>
      <c r="H473" s="9"/>
      <c r="I473" s="9"/>
      <c r="J473" s="9"/>
      <c r="K473" s="9"/>
      <c r="L473" s="9"/>
      <c r="M473" s="9"/>
      <c r="N473" s="9"/>
      <c r="O473" s="9"/>
      <c r="P473" s="9"/>
      <c r="Q473" s="9"/>
      <c r="R473" s="9"/>
      <c r="S473" s="9"/>
      <c r="T473" s="9"/>
      <c r="U473" s="9"/>
      <c r="V473" s="9"/>
      <c r="W473" s="9"/>
      <c r="X473" s="9"/>
      <c r="Y473" s="9"/>
      <c r="Z473" s="9"/>
      <c r="AA473" s="9"/>
      <c r="AB473" s="9"/>
      <c r="AC473" s="9"/>
    </row>
    <row r="474" spans="1:29" ht="14.4">
      <c r="A474" s="9"/>
      <c r="B474" s="9"/>
      <c r="C474" s="14" t="str">
        <f t="shared" si="4"/>
        <v>ShabushabuUndercooked</v>
      </c>
      <c r="D474" s="13" t="s">
        <v>380</v>
      </c>
      <c r="E474" s="7" t="s">
        <v>73</v>
      </c>
      <c r="F474" s="21" t="s">
        <v>28</v>
      </c>
      <c r="H474" s="9"/>
      <c r="I474" s="9"/>
      <c r="J474" s="9"/>
      <c r="K474" s="9"/>
      <c r="L474" s="9"/>
      <c r="M474" s="9"/>
      <c r="N474" s="9"/>
      <c r="O474" s="9"/>
      <c r="P474" s="9"/>
      <c r="Q474" s="9"/>
      <c r="R474" s="9"/>
      <c r="S474" s="9"/>
      <c r="T474" s="9"/>
      <c r="U474" s="9"/>
      <c r="V474" s="9"/>
      <c r="W474" s="9"/>
      <c r="X474" s="9"/>
      <c r="Y474" s="9"/>
      <c r="Z474" s="9"/>
      <c r="AA474" s="9"/>
      <c r="AB474" s="9"/>
      <c r="AC474" s="9"/>
    </row>
    <row r="475" spans="1:29" ht="14.4">
      <c r="A475" s="9"/>
      <c r="B475" s="9"/>
      <c r="C475" s="14" t="str">
        <f t="shared" si="4"/>
        <v>psiUndercooked</v>
      </c>
      <c r="D475" s="13" t="s">
        <v>381</v>
      </c>
      <c r="E475" s="7" t="s">
        <v>10</v>
      </c>
      <c r="F475" s="21" t="s">
        <v>28</v>
      </c>
      <c r="H475" s="9"/>
      <c r="I475" s="9"/>
      <c r="J475" s="9"/>
      <c r="K475" s="9"/>
      <c r="L475" s="9"/>
      <c r="M475" s="9"/>
      <c r="N475" s="9"/>
      <c r="O475" s="9"/>
      <c r="P475" s="9"/>
      <c r="Q475" s="9"/>
      <c r="R475" s="9"/>
      <c r="S475" s="9"/>
      <c r="T475" s="9"/>
      <c r="U475" s="9"/>
      <c r="V475" s="9"/>
      <c r="W475" s="9"/>
      <c r="X475" s="9"/>
      <c r="Y475" s="9"/>
      <c r="Z475" s="9"/>
      <c r="AA475" s="9"/>
      <c r="AB475" s="9"/>
      <c r="AC475" s="9"/>
    </row>
    <row r="476" spans="1:29" ht="14.4">
      <c r="A476" s="9"/>
      <c r="B476" s="9"/>
      <c r="C476" s="14" t="str">
        <f t="shared" si="4"/>
        <v>MustardUndercooked</v>
      </c>
      <c r="D476" s="13" t="s">
        <v>382</v>
      </c>
      <c r="E476" s="7" t="s">
        <v>9</v>
      </c>
      <c r="F476" s="21" t="s">
        <v>28</v>
      </c>
      <c r="H476" s="9"/>
      <c r="I476" s="9"/>
      <c r="J476" s="9"/>
      <c r="K476" s="9"/>
      <c r="L476" s="9"/>
      <c r="M476" s="9"/>
      <c r="N476" s="9"/>
      <c r="O476" s="9"/>
      <c r="P476" s="9"/>
      <c r="Q476" s="9"/>
      <c r="R476" s="9"/>
      <c r="S476" s="9"/>
      <c r="T476" s="9"/>
      <c r="U476" s="9"/>
      <c r="V476" s="9"/>
      <c r="W476" s="9"/>
      <c r="X476" s="9"/>
      <c r="Y476" s="9"/>
      <c r="Z476" s="9"/>
      <c r="AA476" s="9"/>
      <c r="AB476" s="9"/>
      <c r="AC476" s="9"/>
    </row>
    <row r="477" spans="1:29" ht="14.4">
      <c r="A477" s="9"/>
      <c r="B477" s="9"/>
      <c r="C477" s="14" t="str">
        <f t="shared" si="4"/>
        <v>SazonxSofritoUndercooked</v>
      </c>
      <c r="D477" s="13" t="s">
        <v>383</v>
      </c>
      <c r="E477" s="7" t="s">
        <v>10</v>
      </c>
      <c r="F477" s="21" t="s">
        <v>28</v>
      </c>
      <c r="H477" s="9"/>
      <c r="I477" s="9"/>
      <c r="J477" s="9"/>
      <c r="K477" s="9"/>
      <c r="L477" s="9"/>
      <c r="M477" s="9"/>
      <c r="N477" s="9"/>
      <c r="O477" s="9"/>
      <c r="P477" s="9"/>
      <c r="Q477" s="9"/>
      <c r="R477" s="9"/>
      <c r="S477" s="9"/>
      <c r="T477" s="9"/>
      <c r="U477" s="9"/>
      <c r="V477" s="9"/>
      <c r="W477" s="9"/>
      <c r="X477" s="9"/>
      <c r="Y477" s="9"/>
      <c r="Z477" s="9"/>
      <c r="AA477" s="9"/>
      <c r="AB477" s="9"/>
      <c r="AC477" s="9"/>
    </row>
    <row r="478" spans="1:29" ht="14.4">
      <c r="A478" s="9"/>
      <c r="B478" s="9"/>
      <c r="C478" s="14" t="str">
        <f t="shared" si="4"/>
        <v>Rainbow sherbetUndercooked</v>
      </c>
      <c r="D478" s="13" t="s">
        <v>384</v>
      </c>
      <c r="E478" s="7" t="s">
        <v>10</v>
      </c>
      <c r="F478" s="21" t="s">
        <v>28</v>
      </c>
      <c r="H478" s="9"/>
      <c r="I478" s="9"/>
      <c r="J478" s="9"/>
      <c r="K478" s="9"/>
      <c r="L478" s="9"/>
      <c r="M478" s="9"/>
      <c r="N478" s="9"/>
      <c r="O478" s="9"/>
      <c r="P478" s="9"/>
      <c r="Q478" s="9"/>
      <c r="R478" s="9"/>
      <c r="S478" s="9"/>
      <c r="T478" s="9"/>
      <c r="U478" s="9"/>
      <c r="V478" s="9"/>
      <c r="W478" s="9"/>
      <c r="X478" s="9"/>
      <c r="Y478" s="9"/>
      <c r="Z478" s="9"/>
      <c r="AA478" s="9"/>
      <c r="AB478" s="9"/>
      <c r="AC478" s="9"/>
    </row>
    <row r="479" spans="1:29" ht="14.4">
      <c r="A479" s="9"/>
      <c r="B479" s="9"/>
      <c r="C479" s="14" t="str">
        <f t="shared" si="4"/>
        <v>CreamOfWheat69Undercooked</v>
      </c>
      <c r="D479" s="13" t="s">
        <v>385</v>
      </c>
      <c r="E479" s="7" t="s">
        <v>14</v>
      </c>
      <c r="F479" s="21" t="s">
        <v>28</v>
      </c>
      <c r="H479" s="9"/>
      <c r="I479" s="9"/>
      <c r="J479" s="9"/>
      <c r="K479" s="9"/>
      <c r="L479" s="9"/>
      <c r="M479" s="9"/>
      <c r="N479" s="9"/>
      <c r="O479" s="9"/>
      <c r="P479" s="9"/>
      <c r="Q479" s="9"/>
      <c r="R479" s="9"/>
      <c r="S479" s="9"/>
      <c r="T479" s="9"/>
      <c r="U479" s="9"/>
      <c r="V479" s="9"/>
      <c r="W479" s="9"/>
      <c r="X479" s="9"/>
      <c r="Y479" s="9"/>
      <c r="Z479" s="9"/>
      <c r="AA479" s="9"/>
      <c r="AB479" s="9"/>
      <c r="AC479" s="9"/>
    </row>
    <row r="480" spans="1:29" ht="14.4">
      <c r="A480" s="9"/>
      <c r="B480" s="9"/>
      <c r="C480" s="14" t="str">
        <f t="shared" si="4"/>
        <v>TiramisuUndercooked</v>
      </c>
      <c r="D480" s="13" t="s">
        <v>386</v>
      </c>
      <c r="E480" s="7" t="s">
        <v>9</v>
      </c>
      <c r="F480" s="21" t="s">
        <v>28</v>
      </c>
      <c r="H480" s="9"/>
      <c r="I480" s="9"/>
      <c r="J480" s="9"/>
      <c r="K480" s="9"/>
      <c r="L480" s="9"/>
      <c r="M480" s="9"/>
      <c r="N480" s="9"/>
      <c r="O480" s="9"/>
      <c r="P480" s="9"/>
      <c r="Q480" s="9"/>
      <c r="R480" s="9"/>
      <c r="S480" s="9"/>
      <c r="T480" s="9"/>
      <c r="U480" s="9"/>
      <c r="V480" s="9"/>
      <c r="W480" s="9"/>
      <c r="X480" s="9"/>
      <c r="Y480" s="9"/>
      <c r="Z480" s="9"/>
      <c r="AA480" s="9"/>
      <c r="AB480" s="9"/>
      <c r="AC480" s="9"/>
    </row>
    <row r="481" spans="1:29" ht="14.4">
      <c r="A481" s="9"/>
      <c r="B481" s="9"/>
      <c r="C481" s="14" t="str">
        <f t="shared" si="4"/>
        <v>FlanUndercooked</v>
      </c>
      <c r="D481" s="13" t="s">
        <v>387</v>
      </c>
      <c r="E481" s="7" t="s">
        <v>9</v>
      </c>
      <c r="F481" s="21" t="s">
        <v>28</v>
      </c>
      <c r="H481" s="9"/>
      <c r="I481" s="9"/>
      <c r="J481" s="9"/>
      <c r="K481" s="9"/>
      <c r="L481" s="9"/>
      <c r="M481" s="9"/>
      <c r="N481" s="9"/>
      <c r="O481" s="9"/>
      <c r="P481" s="9"/>
      <c r="Q481" s="9"/>
      <c r="R481" s="9"/>
      <c r="S481" s="9"/>
      <c r="T481" s="9"/>
      <c r="U481" s="9"/>
      <c r="V481" s="9"/>
      <c r="W481" s="9"/>
      <c r="X481" s="9"/>
      <c r="Y481" s="9"/>
      <c r="Z481" s="9"/>
      <c r="AA481" s="9"/>
      <c r="AB481" s="9"/>
      <c r="AC481" s="9"/>
    </row>
    <row r="482" spans="1:29" ht="14.4">
      <c r="A482" s="9"/>
      <c r="B482" s="9"/>
      <c r="C482" s="14" t="str">
        <f t="shared" si="4"/>
        <v>ToroUndercooked</v>
      </c>
      <c r="D482" s="13" t="s">
        <v>388</v>
      </c>
      <c r="E482" s="7" t="s">
        <v>14</v>
      </c>
      <c r="F482" s="21" t="s">
        <v>28</v>
      </c>
      <c r="H482" s="9"/>
      <c r="I482" s="9"/>
      <c r="J482" s="9"/>
      <c r="K482" s="9"/>
      <c r="L482" s="9"/>
      <c r="M482" s="9"/>
      <c r="N482" s="9"/>
      <c r="O482" s="9"/>
      <c r="P482" s="9"/>
      <c r="Q482" s="9"/>
      <c r="R482" s="9"/>
      <c r="S482" s="9"/>
      <c r="T482" s="9"/>
      <c r="U482" s="9"/>
      <c r="V482" s="9"/>
      <c r="W482" s="9"/>
      <c r="X482" s="9"/>
      <c r="Y482" s="9"/>
      <c r="Z482" s="9"/>
      <c r="AA482" s="9"/>
      <c r="AB482" s="9"/>
      <c r="AC482" s="9"/>
    </row>
    <row r="483" spans="1:29" ht="14.4">
      <c r="A483" s="9"/>
      <c r="B483" s="9"/>
      <c r="C483" s="14" t="str">
        <f t="shared" si="4"/>
        <v>PicklesnausUndercooked</v>
      </c>
      <c r="D483" s="13" t="s">
        <v>302</v>
      </c>
      <c r="E483" s="7" t="s">
        <v>14</v>
      </c>
      <c r="F483" s="21" t="s">
        <v>28</v>
      </c>
      <c r="H483" s="9"/>
      <c r="I483" s="9"/>
      <c r="J483" s="9"/>
      <c r="K483" s="9"/>
      <c r="L483" s="9"/>
      <c r="M483" s="9"/>
      <c r="N483" s="9"/>
      <c r="O483" s="9"/>
      <c r="P483" s="9"/>
      <c r="Q483" s="9"/>
      <c r="R483" s="9"/>
      <c r="S483" s="9"/>
      <c r="T483" s="9"/>
      <c r="U483" s="9"/>
      <c r="V483" s="9"/>
      <c r="W483" s="9"/>
      <c r="X483" s="9"/>
      <c r="Y483" s="9"/>
      <c r="Z483" s="9"/>
      <c r="AA483" s="9"/>
      <c r="AB483" s="9"/>
      <c r="AC483" s="9"/>
    </row>
    <row r="484" spans="1:29" ht="14.4">
      <c r="A484" s="9"/>
      <c r="B484" s="9"/>
      <c r="C484" s="14" t="str">
        <f t="shared" si="4"/>
        <v>DanimalsUndercooked</v>
      </c>
      <c r="D484" s="13" t="s">
        <v>389</v>
      </c>
      <c r="E484" s="7" t="s">
        <v>9</v>
      </c>
      <c r="F484" s="21" t="s">
        <v>28</v>
      </c>
      <c r="H484" s="9"/>
      <c r="I484" s="9"/>
      <c r="J484" s="9"/>
      <c r="K484" s="9"/>
      <c r="L484" s="9"/>
      <c r="M484" s="9"/>
      <c r="N484" s="9"/>
      <c r="O484" s="9"/>
      <c r="P484" s="9"/>
      <c r="Q484" s="9"/>
      <c r="R484" s="9"/>
      <c r="S484" s="9"/>
      <c r="T484" s="9"/>
      <c r="U484" s="9"/>
      <c r="V484" s="9"/>
      <c r="W484" s="9"/>
      <c r="X484" s="9"/>
      <c r="Y484" s="9"/>
      <c r="Z484" s="9"/>
      <c r="AA484" s="9"/>
      <c r="AB484" s="9"/>
      <c r="AC484" s="9"/>
    </row>
    <row r="485" spans="1:29" ht="14.4">
      <c r="A485" s="9"/>
      <c r="B485" s="9"/>
      <c r="C485" s="14" t="str">
        <f t="shared" si="4"/>
        <v>EggplantUndercooked</v>
      </c>
      <c r="D485" s="13" t="s">
        <v>390</v>
      </c>
      <c r="E485" s="7" t="s">
        <v>73</v>
      </c>
      <c r="F485" s="21" t="s">
        <v>28</v>
      </c>
      <c r="H485" s="9"/>
      <c r="I485" s="9"/>
      <c r="J485" s="9"/>
      <c r="K485" s="9"/>
      <c r="L485" s="9"/>
      <c r="M485" s="9"/>
      <c r="N485" s="9"/>
      <c r="O485" s="9"/>
      <c r="P485" s="9"/>
      <c r="Q485" s="9"/>
      <c r="R485" s="9"/>
      <c r="S485" s="9"/>
      <c r="T485" s="9"/>
      <c r="U485" s="9"/>
      <c r="V485" s="9"/>
      <c r="W485" s="9"/>
      <c r="X485" s="9"/>
      <c r="Y485" s="9"/>
      <c r="Z485" s="9"/>
      <c r="AA485" s="9"/>
      <c r="AB485" s="9"/>
      <c r="AC485" s="9"/>
    </row>
    <row r="486" spans="1:29" ht="14.4">
      <c r="A486" s="9"/>
      <c r="B486" s="9"/>
      <c r="C486" s="14" t="str">
        <f t="shared" si="4"/>
        <v>OkonomiyakiUndercooked</v>
      </c>
      <c r="D486" s="18" t="s">
        <v>391</v>
      </c>
      <c r="E486" s="7" t="s">
        <v>58</v>
      </c>
      <c r="F486" s="21" t="s">
        <v>28</v>
      </c>
      <c r="H486" s="9"/>
      <c r="I486" s="9"/>
      <c r="J486" s="9"/>
      <c r="K486" s="9"/>
      <c r="L486" s="9"/>
      <c r="M486" s="9"/>
      <c r="N486" s="9"/>
      <c r="O486" s="9"/>
      <c r="P486" s="9"/>
      <c r="Q486" s="9"/>
      <c r="R486" s="9"/>
      <c r="S486" s="9"/>
      <c r="T486" s="9"/>
      <c r="U486" s="9"/>
      <c r="V486" s="9"/>
      <c r="W486" s="9"/>
      <c r="X486" s="9"/>
      <c r="Y486" s="9"/>
      <c r="Z486" s="9"/>
      <c r="AA486" s="9"/>
      <c r="AB486" s="9"/>
      <c r="AC486" s="9"/>
    </row>
    <row r="487" spans="1:29" ht="14.4">
      <c r="A487" s="9"/>
      <c r="B487" s="9"/>
      <c r="C487" s="14" t="str">
        <f t="shared" si="4"/>
        <v>HazelnutUndercooked</v>
      </c>
      <c r="D487" s="18" t="s">
        <v>392</v>
      </c>
      <c r="E487" s="21" t="s">
        <v>9</v>
      </c>
      <c r="F487" s="21" t="s">
        <v>28</v>
      </c>
      <c r="H487" s="9"/>
      <c r="I487" s="9"/>
      <c r="J487" s="9"/>
      <c r="K487" s="9"/>
      <c r="L487" s="9"/>
      <c r="M487" s="9"/>
      <c r="N487" s="9"/>
      <c r="O487" s="9"/>
      <c r="P487" s="9"/>
      <c r="Q487" s="9"/>
      <c r="R487" s="9"/>
      <c r="S487" s="9"/>
      <c r="T487" s="9"/>
      <c r="U487" s="9"/>
      <c r="V487" s="9"/>
      <c r="W487" s="9"/>
      <c r="X487" s="9"/>
      <c r="Y487" s="9"/>
      <c r="Z487" s="9"/>
      <c r="AA487" s="9"/>
      <c r="AB487" s="9"/>
      <c r="AC487" s="9"/>
    </row>
    <row r="488" spans="1:29" ht="13.2">
      <c r="A488" s="9"/>
      <c r="B488" s="9"/>
      <c r="C488" s="14"/>
      <c r="D488" s="9"/>
      <c r="E488" s="9"/>
      <c r="F488" s="9"/>
      <c r="H488" s="9"/>
      <c r="I488" s="9"/>
      <c r="J488" s="9"/>
      <c r="K488" s="9"/>
      <c r="L488" s="9"/>
      <c r="M488" s="9"/>
      <c r="N488" s="9"/>
      <c r="O488" s="9"/>
      <c r="P488" s="9"/>
      <c r="Q488" s="9"/>
      <c r="R488" s="9"/>
      <c r="S488" s="9"/>
      <c r="T488" s="9"/>
      <c r="U488" s="9"/>
      <c r="V488" s="9"/>
      <c r="W488" s="9"/>
      <c r="X488" s="9"/>
      <c r="Y488" s="9"/>
      <c r="Z488" s="9"/>
      <c r="AA488" s="9"/>
      <c r="AB488" s="9"/>
      <c r="AC488" s="9"/>
    </row>
    <row r="489" spans="1:29" ht="13.2">
      <c r="A489" s="9"/>
      <c r="B489" s="9"/>
      <c r="C489" s="14"/>
      <c r="D489" s="9"/>
      <c r="E489" s="9"/>
      <c r="F489" s="9"/>
      <c r="H489" s="9"/>
      <c r="I489" s="9"/>
      <c r="J489" s="9"/>
      <c r="K489" s="9"/>
      <c r="L489" s="9"/>
      <c r="M489" s="9"/>
      <c r="N489" s="9"/>
      <c r="O489" s="9"/>
      <c r="P489" s="9"/>
      <c r="Q489" s="9"/>
      <c r="R489" s="9"/>
      <c r="S489" s="9"/>
      <c r="T489" s="9"/>
      <c r="U489" s="9"/>
      <c r="V489" s="9"/>
      <c r="W489" s="9"/>
      <c r="X489" s="9"/>
      <c r="Y489" s="9"/>
      <c r="Z489" s="9"/>
      <c r="AA489" s="9"/>
      <c r="AB489" s="9"/>
      <c r="AC489" s="9"/>
    </row>
    <row r="490" spans="1:29" ht="13.2">
      <c r="A490" s="9"/>
      <c r="B490" s="9"/>
      <c r="D490" s="9"/>
      <c r="E490" s="9"/>
      <c r="F490" s="9"/>
      <c r="H490" s="9"/>
      <c r="I490" s="9"/>
      <c r="J490" s="9"/>
      <c r="K490" s="9"/>
      <c r="L490" s="9"/>
      <c r="M490" s="9"/>
      <c r="N490" s="9"/>
      <c r="O490" s="9"/>
      <c r="P490" s="9"/>
      <c r="Q490" s="9"/>
      <c r="R490" s="9"/>
      <c r="S490" s="9"/>
      <c r="T490" s="9"/>
      <c r="U490" s="9"/>
      <c r="V490" s="9"/>
      <c r="W490" s="9"/>
      <c r="X490" s="9"/>
      <c r="Y490" s="9"/>
      <c r="Z490" s="9"/>
      <c r="AA490" s="9"/>
      <c r="AB490" s="9"/>
      <c r="AC490" s="9"/>
    </row>
    <row r="491" spans="1:29" ht="14.4">
      <c r="A491" s="9"/>
      <c r="B491" s="9"/>
      <c r="C491" s="14" t="str">
        <f t="shared" ref="C491:C581" si="5">D491&amp;F491</f>
        <v>SynHighly Regarded</v>
      </c>
      <c r="D491" s="13" t="s">
        <v>393</v>
      </c>
      <c r="E491" s="9" t="s">
        <v>69</v>
      </c>
      <c r="F491" s="9" t="s">
        <v>30</v>
      </c>
      <c r="G491" s="9"/>
      <c r="H491" s="9"/>
      <c r="I491" s="9"/>
      <c r="J491" s="9"/>
      <c r="K491" s="9"/>
      <c r="L491" s="9"/>
      <c r="M491" s="9"/>
      <c r="N491" s="9"/>
      <c r="O491" s="9"/>
      <c r="P491" s="9"/>
      <c r="Q491" s="9"/>
      <c r="R491" s="9"/>
      <c r="S491" s="9"/>
      <c r="T491" s="9"/>
      <c r="U491" s="9"/>
      <c r="V491" s="9"/>
      <c r="W491" s="9"/>
      <c r="X491" s="9"/>
      <c r="Y491" s="9"/>
      <c r="Z491" s="9"/>
      <c r="AA491" s="9"/>
      <c r="AB491" s="9"/>
      <c r="AC491" s="9"/>
    </row>
    <row r="492" spans="1:29" ht="14.4">
      <c r="A492" s="9"/>
      <c r="B492" s="9"/>
      <c r="C492" s="14" t="str">
        <f t="shared" si="5"/>
        <v>GUNWALLETHighly Regarded</v>
      </c>
      <c r="D492" s="13" t="s">
        <v>224</v>
      </c>
      <c r="E492" s="9" t="s">
        <v>32</v>
      </c>
      <c r="F492" s="9" t="s">
        <v>30</v>
      </c>
      <c r="H492" s="9"/>
      <c r="I492" s="9"/>
      <c r="J492" s="9"/>
      <c r="K492" s="9"/>
      <c r="L492" s="9"/>
      <c r="M492" s="9"/>
      <c r="N492" s="9"/>
      <c r="O492" s="9"/>
      <c r="P492" s="9"/>
      <c r="Q492" s="9"/>
      <c r="R492" s="9"/>
      <c r="S492" s="9"/>
      <c r="T492" s="9"/>
      <c r="U492" s="9"/>
      <c r="V492" s="9"/>
      <c r="W492" s="9"/>
      <c r="X492" s="9"/>
      <c r="Y492" s="9"/>
      <c r="Z492" s="9"/>
      <c r="AA492" s="9"/>
      <c r="AB492" s="9"/>
      <c r="AC492" s="9"/>
    </row>
    <row r="493" spans="1:29" ht="14.4">
      <c r="A493" s="9"/>
      <c r="B493" s="9"/>
      <c r="C493" s="14" t="str">
        <f t="shared" si="5"/>
        <v>HoodRobinHighly Regarded</v>
      </c>
      <c r="D493" s="13" t="s">
        <v>229</v>
      </c>
      <c r="E493" s="9" t="s">
        <v>54</v>
      </c>
      <c r="F493" s="9" t="s">
        <v>30</v>
      </c>
      <c r="G493" s="9"/>
      <c r="H493" s="9"/>
      <c r="I493" s="9"/>
      <c r="J493" s="9"/>
      <c r="K493" s="9"/>
      <c r="L493" s="9"/>
      <c r="M493" s="9"/>
      <c r="N493" s="9"/>
      <c r="O493" s="9"/>
      <c r="P493" s="9"/>
      <c r="Q493" s="9"/>
      <c r="R493" s="9"/>
      <c r="S493" s="9"/>
      <c r="T493" s="9"/>
      <c r="U493" s="9"/>
      <c r="V493" s="9"/>
      <c r="W493" s="9"/>
      <c r="X493" s="9"/>
      <c r="Y493" s="9"/>
      <c r="Z493" s="9"/>
      <c r="AA493" s="9"/>
      <c r="AB493" s="9"/>
      <c r="AC493" s="9"/>
    </row>
    <row r="494" spans="1:29" ht="14.4">
      <c r="A494" s="9"/>
      <c r="B494" s="9"/>
      <c r="C494" s="14" t="str">
        <f t="shared" si="5"/>
        <v>EmperorHighly Regarded</v>
      </c>
      <c r="D494" s="13" t="s">
        <v>394</v>
      </c>
      <c r="E494" s="9" t="s">
        <v>69</v>
      </c>
      <c r="F494" s="9" t="s">
        <v>30</v>
      </c>
      <c r="G494" s="9"/>
      <c r="H494" s="9"/>
      <c r="I494" s="9"/>
      <c r="J494" s="9"/>
      <c r="K494" s="9"/>
      <c r="L494" s="9"/>
      <c r="M494" s="9"/>
      <c r="N494" s="9"/>
      <c r="O494" s="9"/>
      <c r="P494" s="9"/>
      <c r="Q494" s="9"/>
      <c r="R494" s="9"/>
      <c r="S494" s="9"/>
      <c r="T494" s="9"/>
      <c r="U494" s="9"/>
      <c r="V494" s="9"/>
      <c r="W494" s="9"/>
      <c r="X494" s="9"/>
      <c r="Y494" s="9"/>
      <c r="Z494" s="9"/>
      <c r="AA494" s="9"/>
      <c r="AB494" s="9"/>
      <c r="AC494" s="9"/>
    </row>
    <row r="495" spans="1:29" ht="14.4">
      <c r="A495" s="9"/>
      <c r="B495" s="9"/>
      <c r="C495" s="14" t="str">
        <f t="shared" si="5"/>
        <v>SodapopHighly Regarded</v>
      </c>
      <c r="D495" s="13" t="s">
        <v>231</v>
      </c>
      <c r="E495" s="9" t="s">
        <v>58</v>
      </c>
      <c r="F495" s="9" t="s">
        <v>30</v>
      </c>
      <c r="G495" s="9"/>
      <c r="H495" s="9"/>
      <c r="I495" s="9"/>
      <c r="J495" s="9"/>
      <c r="K495" s="9"/>
      <c r="L495" s="9"/>
      <c r="M495" s="9"/>
      <c r="N495" s="9"/>
      <c r="O495" s="9"/>
      <c r="P495" s="9"/>
      <c r="Q495" s="9"/>
      <c r="R495" s="9"/>
      <c r="S495" s="9"/>
      <c r="T495" s="9"/>
      <c r="U495" s="9"/>
      <c r="V495" s="9"/>
      <c r="W495" s="9"/>
      <c r="X495" s="9"/>
      <c r="Y495" s="9"/>
      <c r="Z495" s="9"/>
      <c r="AA495" s="9"/>
      <c r="AB495" s="9"/>
      <c r="AC495" s="9"/>
    </row>
    <row r="496" spans="1:29" ht="14.4">
      <c r="A496" s="9"/>
      <c r="B496" s="9"/>
      <c r="C496" s="14" t="str">
        <f t="shared" si="5"/>
        <v>SmallButWholeHighly Regarded</v>
      </c>
      <c r="D496" s="13" t="s">
        <v>395</v>
      </c>
      <c r="E496" s="9" t="s">
        <v>69</v>
      </c>
      <c r="F496" s="9" t="s">
        <v>30</v>
      </c>
      <c r="G496" s="9"/>
      <c r="H496" s="9"/>
      <c r="I496" s="9"/>
      <c r="J496" s="9"/>
      <c r="K496" s="9"/>
      <c r="L496" s="9"/>
      <c r="M496" s="9"/>
      <c r="N496" s="9"/>
      <c r="O496" s="9"/>
      <c r="P496" s="9"/>
      <c r="Q496" s="9"/>
      <c r="R496" s="9"/>
      <c r="S496" s="9"/>
      <c r="T496" s="9"/>
      <c r="U496" s="9"/>
      <c r="V496" s="9"/>
      <c r="W496" s="9"/>
      <c r="X496" s="9"/>
      <c r="Y496" s="9"/>
      <c r="Z496" s="9"/>
      <c r="AA496" s="9"/>
      <c r="AB496" s="9"/>
      <c r="AC496" s="9"/>
    </row>
    <row r="497" spans="1:29" ht="14.4">
      <c r="A497" s="9"/>
      <c r="B497" s="9"/>
      <c r="C497" s="14" t="str">
        <f t="shared" si="5"/>
        <v>xxouxxHighly Regarded</v>
      </c>
      <c r="D497" s="13" t="s">
        <v>396</v>
      </c>
      <c r="E497" s="9" t="s">
        <v>69</v>
      </c>
      <c r="F497" s="9" t="s">
        <v>30</v>
      </c>
      <c r="G497" s="9"/>
      <c r="H497" s="9"/>
      <c r="I497" s="9"/>
      <c r="J497" s="9"/>
      <c r="K497" s="9"/>
      <c r="L497" s="9"/>
      <c r="M497" s="9"/>
      <c r="N497" s="9"/>
      <c r="O497" s="9"/>
      <c r="P497" s="9"/>
      <c r="Q497" s="9"/>
      <c r="R497" s="9"/>
      <c r="S497" s="9"/>
      <c r="T497" s="9"/>
      <c r="U497" s="9"/>
      <c r="V497" s="9"/>
      <c r="W497" s="9"/>
      <c r="X497" s="9"/>
      <c r="Y497" s="9"/>
      <c r="Z497" s="9"/>
      <c r="AA497" s="9"/>
      <c r="AB497" s="9"/>
      <c r="AC497" s="9"/>
    </row>
    <row r="498" spans="1:29" ht="14.4">
      <c r="A498" s="9"/>
      <c r="B498" s="9"/>
      <c r="C498" s="14" t="str">
        <f t="shared" si="5"/>
        <v>SuperSaiyanAndyHighly Regarded</v>
      </c>
      <c r="D498" s="13" t="s">
        <v>397</v>
      </c>
      <c r="E498" s="9" t="s">
        <v>58</v>
      </c>
      <c r="F498" s="9" t="s">
        <v>30</v>
      </c>
      <c r="G498" s="9"/>
      <c r="H498" s="9"/>
      <c r="I498" s="9"/>
      <c r="J498" s="9"/>
      <c r="K498" s="9"/>
      <c r="L498" s="9"/>
      <c r="M498" s="9"/>
      <c r="N498" s="9"/>
      <c r="O498" s="9"/>
      <c r="P498" s="9"/>
      <c r="Q498" s="9"/>
      <c r="R498" s="9"/>
      <c r="S498" s="9"/>
      <c r="T498" s="9"/>
      <c r="U498" s="9"/>
      <c r="V498" s="9"/>
      <c r="W498" s="9"/>
      <c r="X498" s="9"/>
      <c r="Y498" s="9"/>
      <c r="Z498" s="9"/>
      <c r="AA498" s="9"/>
      <c r="AB498" s="9"/>
      <c r="AC498" s="9"/>
    </row>
    <row r="499" spans="1:29" ht="14.4">
      <c r="A499" s="9"/>
      <c r="B499" s="9"/>
      <c r="C499" s="14" t="str">
        <f t="shared" si="5"/>
        <v>nightghost1Highly Regarded</v>
      </c>
      <c r="D499" s="13" t="s">
        <v>398</v>
      </c>
      <c r="E499" s="9" t="s">
        <v>23</v>
      </c>
      <c r="F499" s="9" t="s">
        <v>30</v>
      </c>
      <c r="G499" s="9"/>
      <c r="H499" s="9"/>
      <c r="I499" s="9"/>
      <c r="J499" s="9"/>
      <c r="K499" s="9"/>
      <c r="L499" s="9"/>
      <c r="M499" s="9"/>
      <c r="N499" s="9"/>
      <c r="O499" s="9"/>
      <c r="P499" s="9"/>
      <c r="Q499" s="9"/>
      <c r="R499" s="9"/>
      <c r="S499" s="9"/>
      <c r="T499" s="9"/>
      <c r="U499" s="9"/>
      <c r="V499" s="9"/>
      <c r="W499" s="9"/>
      <c r="X499" s="9"/>
      <c r="Y499" s="9"/>
      <c r="Z499" s="9"/>
      <c r="AA499" s="9"/>
      <c r="AB499" s="9"/>
      <c r="AC499" s="9"/>
    </row>
    <row r="500" spans="1:29" ht="14.4">
      <c r="A500" s="9"/>
      <c r="B500" s="9"/>
      <c r="C500" s="14" t="str">
        <f t="shared" si="5"/>
        <v>HEALERTANKDPSHighly Regarded</v>
      </c>
      <c r="D500" s="13" t="s">
        <v>399</v>
      </c>
      <c r="E500" s="9" t="s">
        <v>45</v>
      </c>
      <c r="F500" s="9" t="s">
        <v>30</v>
      </c>
      <c r="G500" s="9"/>
      <c r="H500" s="9"/>
      <c r="I500" s="9"/>
      <c r="J500" s="9"/>
      <c r="K500" s="9"/>
      <c r="L500" s="9"/>
      <c r="M500" s="9"/>
      <c r="N500" s="9"/>
      <c r="O500" s="9"/>
      <c r="P500" s="9"/>
      <c r="Q500" s="9"/>
      <c r="R500" s="9"/>
      <c r="S500" s="9"/>
      <c r="T500" s="9"/>
      <c r="U500" s="9"/>
      <c r="V500" s="9"/>
      <c r="W500" s="9"/>
      <c r="X500" s="9"/>
      <c r="Y500" s="9"/>
      <c r="Z500" s="9"/>
      <c r="AA500" s="9"/>
      <c r="AB500" s="9"/>
      <c r="AC500" s="9"/>
    </row>
    <row r="501" spans="1:29" ht="14.4">
      <c r="A501" s="9"/>
      <c r="B501" s="9"/>
      <c r="C501" s="14" t="str">
        <f t="shared" si="5"/>
        <v>PhoPapiHighly Regarded</v>
      </c>
      <c r="D501" s="13" t="s">
        <v>400</v>
      </c>
      <c r="E501" s="9" t="s">
        <v>24</v>
      </c>
      <c r="F501" s="9" t="s">
        <v>30</v>
      </c>
      <c r="G501" s="9"/>
      <c r="H501" s="9"/>
      <c r="I501" s="9"/>
      <c r="J501" s="9"/>
      <c r="K501" s="9"/>
      <c r="L501" s="9"/>
      <c r="M501" s="9"/>
      <c r="N501" s="9"/>
      <c r="O501" s="9"/>
      <c r="P501" s="9"/>
      <c r="Q501" s="9"/>
      <c r="R501" s="9"/>
      <c r="S501" s="9"/>
      <c r="T501" s="9"/>
      <c r="U501" s="9"/>
      <c r="V501" s="9"/>
      <c r="W501" s="9"/>
      <c r="X501" s="9"/>
      <c r="Y501" s="9"/>
      <c r="Z501" s="9"/>
      <c r="AA501" s="9"/>
      <c r="AB501" s="9"/>
      <c r="AC501" s="9"/>
    </row>
    <row r="502" spans="1:29" ht="14.4">
      <c r="A502" s="9"/>
      <c r="B502" s="9"/>
      <c r="C502" s="14" t="str">
        <f t="shared" si="5"/>
        <v>BigMeatyFlapsHighly Regarded</v>
      </c>
      <c r="D502" s="13" t="s">
        <v>401</v>
      </c>
      <c r="E502" s="9" t="s">
        <v>54</v>
      </c>
      <c r="F502" s="9" t="s">
        <v>30</v>
      </c>
      <c r="G502" s="9"/>
      <c r="H502" s="9"/>
      <c r="I502" s="9"/>
      <c r="J502" s="9"/>
      <c r="K502" s="9"/>
      <c r="L502" s="9"/>
      <c r="M502" s="9"/>
      <c r="N502" s="9"/>
      <c r="O502" s="9"/>
      <c r="P502" s="9"/>
      <c r="Q502" s="9"/>
      <c r="R502" s="9"/>
      <c r="S502" s="9"/>
      <c r="T502" s="9"/>
      <c r="U502" s="9"/>
      <c r="V502" s="9"/>
      <c r="W502" s="9"/>
      <c r="X502" s="9"/>
      <c r="Y502" s="9"/>
      <c r="Z502" s="9"/>
      <c r="AA502" s="9"/>
      <c r="AB502" s="9"/>
      <c r="AC502" s="9"/>
    </row>
    <row r="503" spans="1:29" ht="14.4">
      <c r="A503" s="9"/>
      <c r="B503" s="9"/>
      <c r="C503" s="14" t="str">
        <f t="shared" si="5"/>
        <v>DrackovitchHighly Regarded</v>
      </c>
      <c r="D503" s="13" t="s">
        <v>402</v>
      </c>
      <c r="E503" s="9" t="s">
        <v>54</v>
      </c>
      <c r="F503" s="9" t="s">
        <v>30</v>
      </c>
      <c r="G503" s="9"/>
      <c r="H503" s="9"/>
      <c r="I503" s="9"/>
      <c r="J503" s="9"/>
      <c r="K503" s="9"/>
      <c r="L503" s="9"/>
      <c r="M503" s="9"/>
      <c r="N503" s="9"/>
      <c r="O503" s="9"/>
      <c r="P503" s="9"/>
      <c r="Q503" s="9"/>
      <c r="R503" s="9"/>
      <c r="S503" s="9"/>
      <c r="T503" s="9"/>
      <c r="U503" s="9"/>
      <c r="V503" s="9"/>
      <c r="W503" s="9"/>
      <c r="X503" s="9"/>
      <c r="Y503" s="9"/>
      <c r="Z503" s="9"/>
      <c r="AA503" s="9"/>
      <c r="AB503" s="9"/>
      <c r="AC503" s="9"/>
    </row>
    <row r="504" spans="1:29" ht="14.4">
      <c r="A504" s="9"/>
      <c r="B504" s="9"/>
      <c r="C504" s="14" t="str">
        <f t="shared" si="5"/>
        <v>FlaccoHighly Regarded</v>
      </c>
      <c r="D504" s="13" t="s">
        <v>228</v>
      </c>
      <c r="E504" s="9" t="s">
        <v>24</v>
      </c>
      <c r="F504" s="9" t="s">
        <v>30</v>
      </c>
      <c r="G504" s="9"/>
      <c r="H504" s="9"/>
      <c r="I504" s="9"/>
      <c r="J504" s="9"/>
      <c r="K504" s="9"/>
      <c r="L504" s="9"/>
      <c r="M504" s="9"/>
      <c r="N504" s="9"/>
      <c r="O504" s="9"/>
      <c r="P504" s="9"/>
      <c r="Q504" s="9"/>
      <c r="R504" s="9"/>
      <c r="S504" s="9"/>
      <c r="T504" s="9"/>
      <c r="U504" s="9"/>
      <c r="V504" s="9"/>
      <c r="W504" s="9"/>
      <c r="X504" s="9"/>
      <c r="Y504" s="9"/>
      <c r="Z504" s="9"/>
      <c r="AA504" s="9"/>
      <c r="AB504" s="9"/>
      <c r="AC504" s="9"/>
    </row>
    <row r="505" spans="1:29" ht="14.4">
      <c r="A505" s="9"/>
      <c r="B505" s="9"/>
      <c r="C505" s="14" t="str">
        <f t="shared" si="5"/>
        <v>HxAbyssHighly Regarded</v>
      </c>
      <c r="D505" s="13" t="s">
        <v>403</v>
      </c>
      <c r="E505" s="9" t="s">
        <v>45</v>
      </c>
      <c r="F505" s="9" t="s">
        <v>30</v>
      </c>
      <c r="G505" s="9"/>
      <c r="H505" s="9"/>
      <c r="I505" s="9"/>
      <c r="J505" s="9"/>
      <c r="K505" s="9"/>
      <c r="L505" s="9"/>
      <c r="M505" s="9"/>
      <c r="N505" s="9"/>
      <c r="O505" s="9"/>
      <c r="P505" s="9"/>
      <c r="Q505" s="9"/>
      <c r="R505" s="9"/>
      <c r="S505" s="9"/>
      <c r="T505" s="9"/>
      <c r="U505" s="9"/>
      <c r="V505" s="9"/>
      <c r="W505" s="9"/>
      <c r="X505" s="9"/>
      <c r="Y505" s="9"/>
      <c r="Z505" s="9"/>
      <c r="AA505" s="9"/>
      <c r="AB505" s="9"/>
      <c r="AC505" s="9"/>
    </row>
    <row r="506" spans="1:29" ht="14.4">
      <c r="A506" s="9"/>
      <c r="B506" s="9"/>
      <c r="C506" s="14" t="str">
        <f t="shared" si="5"/>
        <v>iizzaHighly Regarded</v>
      </c>
      <c r="D506" s="13" t="s">
        <v>404</v>
      </c>
      <c r="E506" s="9" t="s">
        <v>54</v>
      </c>
      <c r="F506" s="9" t="s">
        <v>30</v>
      </c>
      <c r="G506" s="9"/>
      <c r="H506" s="9"/>
      <c r="I506" s="9"/>
      <c r="J506" s="9"/>
      <c r="K506" s="9"/>
      <c r="L506" s="9"/>
      <c r="M506" s="9"/>
      <c r="N506" s="9"/>
      <c r="O506" s="9"/>
      <c r="P506" s="9"/>
      <c r="Q506" s="9"/>
      <c r="R506" s="9"/>
      <c r="S506" s="9"/>
      <c r="T506" s="9"/>
      <c r="U506" s="9"/>
      <c r="V506" s="9"/>
      <c r="W506" s="9"/>
      <c r="X506" s="9"/>
      <c r="Y506" s="9"/>
      <c r="Z506" s="9"/>
      <c r="AA506" s="9"/>
      <c r="AB506" s="9"/>
      <c r="AC506" s="9"/>
    </row>
    <row r="507" spans="1:29" ht="14.4">
      <c r="A507" s="9"/>
      <c r="B507" s="9"/>
      <c r="C507" s="14" t="str">
        <f t="shared" si="5"/>
        <v>NyvriHighly Regarded</v>
      </c>
      <c r="D507" s="13" t="s">
        <v>405</v>
      </c>
      <c r="E507" s="9" t="s">
        <v>45</v>
      </c>
      <c r="F507" s="9" t="s">
        <v>30</v>
      </c>
      <c r="G507" s="9"/>
      <c r="H507" s="9"/>
      <c r="I507" s="9"/>
      <c r="J507" s="9"/>
      <c r="K507" s="9"/>
      <c r="L507" s="9"/>
      <c r="M507" s="9"/>
      <c r="N507" s="9"/>
      <c r="O507" s="9"/>
      <c r="P507" s="9"/>
      <c r="Q507" s="9"/>
      <c r="R507" s="9"/>
      <c r="S507" s="9"/>
      <c r="T507" s="9"/>
      <c r="U507" s="9"/>
      <c r="V507" s="9"/>
      <c r="W507" s="9"/>
      <c r="X507" s="9"/>
      <c r="Y507" s="9"/>
      <c r="Z507" s="9"/>
      <c r="AA507" s="9"/>
      <c r="AB507" s="9"/>
      <c r="AC507" s="9"/>
    </row>
    <row r="508" spans="1:29" ht="14.4">
      <c r="A508" s="9"/>
      <c r="B508" s="9"/>
      <c r="C508" s="14" t="str">
        <f t="shared" si="5"/>
        <v>AnrennHighly Regarded</v>
      </c>
      <c r="D508" s="13" t="s">
        <v>217</v>
      </c>
      <c r="E508" s="9" t="s">
        <v>24</v>
      </c>
      <c r="F508" s="9" t="s">
        <v>30</v>
      </c>
      <c r="G508" s="9"/>
      <c r="H508" s="9"/>
      <c r="I508" s="9"/>
      <c r="J508" s="9"/>
      <c r="K508" s="9"/>
      <c r="L508" s="9"/>
      <c r="M508" s="9"/>
      <c r="N508" s="9"/>
      <c r="O508" s="9"/>
      <c r="P508" s="9"/>
      <c r="Q508" s="9"/>
      <c r="R508" s="9"/>
      <c r="S508" s="9"/>
      <c r="T508" s="9"/>
      <c r="U508" s="9"/>
      <c r="V508" s="9"/>
      <c r="W508" s="9"/>
      <c r="X508" s="9"/>
      <c r="Y508" s="9"/>
      <c r="Z508" s="9"/>
      <c r="AA508" s="9"/>
      <c r="AB508" s="9"/>
      <c r="AC508" s="9"/>
    </row>
    <row r="509" spans="1:29" ht="14.4">
      <c r="A509" s="9"/>
      <c r="B509" s="9"/>
      <c r="C509" s="14" t="str">
        <f t="shared" si="5"/>
        <v>EsDeeKidHighly Regarded</v>
      </c>
      <c r="D509" s="13" t="s">
        <v>406</v>
      </c>
      <c r="E509" s="9" t="s">
        <v>24</v>
      </c>
      <c r="F509" s="9" t="s">
        <v>30</v>
      </c>
      <c r="G509" s="9"/>
      <c r="H509" s="9"/>
      <c r="I509" s="9"/>
      <c r="J509" s="9"/>
      <c r="K509" s="9"/>
      <c r="L509" s="9"/>
      <c r="M509" s="9"/>
      <c r="N509" s="9"/>
      <c r="O509" s="9"/>
      <c r="P509" s="9"/>
      <c r="Q509" s="9"/>
      <c r="R509" s="9"/>
      <c r="S509" s="9"/>
      <c r="T509" s="9"/>
      <c r="U509" s="9"/>
      <c r="V509" s="9"/>
      <c r="W509" s="9"/>
      <c r="X509" s="9"/>
      <c r="Y509" s="9"/>
      <c r="Z509" s="9"/>
      <c r="AA509" s="9"/>
      <c r="AB509" s="9"/>
      <c r="AC509" s="9"/>
    </row>
    <row r="510" spans="1:29" ht="14.4">
      <c r="A510" s="9"/>
      <c r="B510" s="9"/>
      <c r="C510" s="14" t="str">
        <f t="shared" si="5"/>
        <v>FooniaHighly Regarded</v>
      </c>
      <c r="D510" s="13" t="s">
        <v>214</v>
      </c>
      <c r="E510" s="9" t="s">
        <v>14</v>
      </c>
      <c r="F510" s="9" t="s">
        <v>30</v>
      </c>
      <c r="H510" s="9"/>
      <c r="I510" s="9"/>
      <c r="J510" s="9"/>
      <c r="K510" s="9"/>
      <c r="L510" s="9"/>
      <c r="M510" s="9"/>
      <c r="N510" s="9"/>
      <c r="O510" s="9"/>
      <c r="P510" s="9"/>
      <c r="Q510" s="9"/>
      <c r="R510" s="9"/>
      <c r="S510" s="9"/>
      <c r="T510" s="9"/>
      <c r="U510" s="9"/>
      <c r="V510" s="9"/>
      <c r="W510" s="9"/>
      <c r="X510" s="9"/>
      <c r="Y510" s="9"/>
      <c r="Z510" s="9"/>
      <c r="AA510" s="9"/>
      <c r="AB510" s="9"/>
      <c r="AC510" s="9"/>
    </row>
    <row r="511" spans="1:29" ht="14.4">
      <c r="A511" s="9"/>
      <c r="B511" s="9"/>
      <c r="C511" s="14" t="str">
        <f t="shared" si="5"/>
        <v>ArchpainHighly Regarded</v>
      </c>
      <c r="D511" s="13" t="s">
        <v>407</v>
      </c>
      <c r="E511" s="7" t="s">
        <v>14</v>
      </c>
      <c r="F511" s="9" t="s">
        <v>30</v>
      </c>
      <c r="H511" s="9"/>
      <c r="I511" s="9"/>
      <c r="J511" s="9"/>
      <c r="K511" s="9"/>
      <c r="L511" s="9"/>
      <c r="M511" s="9"/>
      <c r="N511" s="9"/>
      <c r="O511" s="9"/>
      <c r="P511" s="9"/>
      <c r="Q511" s="9"/>
      <c r="R511" s="9"/>
      <c r="S511" s="9"/>
      <c r="T511" s="9"/>
      <c r="U511" s="9"/>
      <c r="V511" s="9"/>
      <c r="W511" s="9"/>
      <c r="X511" s="9"/>
      <c r="Y511" s="9"/>
      <c r="Z511" s="9"/>
      <c r="AA511" s="9"/>
      <c r="AB511" s="9"/>
      <c r="AC511" s="9"/>
    </row>
    <row r="512" spans="1:29" ht="14.4">
      <c r="A512" s="9"/>
      <c r="B512" s="9"/>
      <c r="C512" s="14" t="str">
        <f t="shared" si="5"/>
        <v>TechHighly Regarded</v>
      </c>
      <c r="D512" s="13" t="s">
        <v>215</v>
      </c>
      <c r="E512" s="7" t="s">
        <v>14</v>
      </c>
      <c r="F512" s="9" t="s">
        <v>30</v>
      </c>
      <c r="H512" s="9"/>
      <c r="I512" s="9"/>
      <c r="J512" s="9"/>
      <c r="K512" s="9"/>
      <c r="L512" s="9"/>
      <c r="M512" s="9"/>
      <c r="N512" s="9"/>
      <c r="O512" s="9"/>
      <c r="P512" s="9"/>
      <c r="Q512" s="9"/>
      <c r="R512" s="9"/>
      <c r="S512" s="9"/>
      <c r="T512" s="9"/>
      <c r="U512" s="9"/>
      <c r="V512" s="9"/>
      <c r="W512" s="9"/>
      <c r="X512" s="9"/>
      <c r="Y512" s="9"/>
      <c r="Z512" s="9"/>
      <c r="AA512" s="9"/>
      <c r="AB512" s="9"/>
      <c r="AC512" s="9"/>
    </row>
    <row r="513" spans="1:29" ht="14.4">
      <c r="A513" s="9"/>
      <c r="B513" s="9"/>
      <c r="C513" s="14" t="str">
        <f t="shared" si="5"/>
        <v>DiegoLASCRHighly Regarded</v>
      </c>
      <c r="D513" s="13" t="s">
        <v>209</v>
      </c>
      <c r="E513" s="7" t="s">
        <v>14</v>
      </c>
      <c r="F513" s="9" t="s">
        <v>30</v>
      </c>
      <c r="H513" s="9"/>
      <c r="I513" s="9"/>
      <c r="J513" s="9"/>
      <c r="K513" s="9"/>
      <c r="L513" s="9"/>
      <c r="M513" s="9"/>
      <c r="N513" s="9"/>
      <c r="O513" s="9"/>
      <c r="P513" s="9"/>
      <c r="Q513" s="9"/>
      <c r="R513" s="9"/>
      <c r="S513" s="9"/>
      <c r="T513" s="9"/>
      <c r="U513" s="9"/>
      <c r="V513" s="9"/>
      <c r="W513" s="9"/>
      <c r="X513" s="9"/>
      <c r="Y513" s="9"/>
      <c r="Z513" s="9"/>
      <c r="AA513" s="9"/>
      <c r="AB513" s="9"/>
      <c r="AC513" s="9"/>
    </row>
    <row r="514" spans="1:29" ht="14.4">
      <c r="A514" s="9"/>
      <c r="B514" s="9"/>
      <c r="C514" s="14" t="str">
        <f t="shared" si="5"/>
        <v>KoivHighly Regarded</v>
      </c>
      <c r="D514" s="13" t="s">
        <v>408</v>
      </c>
      <c r="E514" s="7" t="s">
        <v>14</v>
      </c>
      <c r="F514" s="9" t="s">
        <v>30</v>
      </c>
      <c r="H514" s="9"/>
      <c r="I514" s="9"/>
      <c r="J514" s="9"/>
      <c r="K514" s="9"/>
      <c r="L514" s="9"/>
      <c r="M514" s="9"/>
      <c r="N514" s="9"/>
      <c r="O514" s="9"/>
      <c r="P514" s="9"/>
      <c r="Q514" s="9"/>
      <c r="R514" s="9"/>
      <c r="S514" s="9"/>
      <c r="T514" s="9"/>
      <c r="U514" s="9"/>
      <c r="V514" s="9"/>
      <c r="W514" s="9"/>
      <c r="X514" s="9"/>
      <c r="Y514" s="9"/>
      <c r="Z514" s="9"/>
      <c r="AA514" s="9"/>
      <c r="AB514" s="9"/>
      <c r="AC514" s="9"/>
    </row>
    <row r="515" spans="1:29" ht="14.4">
      <c r="A515" s="9"/>
      <c r="B515" s="9"/>
      <c r="C515" s="14" t="str">
        <f t="shared" si="5"/>
        <v>BasileusHighly Regarded</v>
      </c>
      <c r="D515" s="13" t="s">
        <v>409</v>
      </c>
      <c r="E515" s="7" t="s">
        <v>73</v>
      </c>
      <c r="F515" s="9" t="s">
        <v>30</v>
      </c>
      <c r="H515" s="9"/>
      <c r="I515" s="9"/>
      <c r="J515" s="9"/>
      <c r="K515" s="9"/>
      <c r="L515" s="9"/>
      <c r="M515" s="9"/>
      <c r="N515" s="9"/>
      <c r="O515" s="9"/>
      <c r="P515" s="9"/>
      <c r="Q515" s="9"/>
      <c r="R515" s="9"/>
      <c r="S515" s="9"/>
      <c r="T515" s="9"/>
      <c r="U515" s="9"/>
      <c r="V515" s="9"/>
      <c r="W515" s="9"/>
      <c r="X515" s="9"/>
      <c r="Y515" s="9"/>
      <c r="Z515" s="9"/>
      <c r="AA515" s="9"/>
      <c r="AB515" s="9"/>
      <c r="AC515" s="9"/>
    </row>
    <row r="516" spans="1:29" ht="14.4">
      <c r="A516" s="9"/>
      <c r="B516" s="9"/>
      <c r="C516" s="14" t="str">
        <f t="shared" si="5"/>
        <v>HounterHighly Regarded</v>
      </c>
      <c r="D516" s="13" t="s">
        <v>200</v>
      </c>
      <c r="E516" s="7" t="s">
        <v>9</v>
      </c>
      <c r="F516" s="9" t="s">
        <v>30</v>
      </c>
      <c r="H516" s="9"/>
      <c r="I516" s="9"/>
      <c r="J516" s="9"/>
      <c r="K516" s="9"/>
      <c r="L516" s="9"/>
      <c r="M516" s="9"/>
      <c r="N516" s="9"/>
      <c r="O516" s="9"/>
      <c r="P516" s="9"/>
      <c r="Q516" s="9"/>
      <c r="R516" s="9"/>
      <c r="S516" s="9"/>
      <c r="T516" s="9"/>
      <c r="U516" s="9"/>
      <c r="V516" s="9"/>
      <c r="W516" s="9"/>
      <c r="X516" s="9"/>
      <c r="Y516" s="9"/>
      <c r="Z516" s="9"/>
      <c r="AA516" s="9"/>
      <c r="AB516" s="9"/>
      <c r="AC516" s="9"/>
    </row>
    <row r="517" spans="1:29" ht="14.4">
      <c r="A517" s="9"/>
      <c r="B517" s="9"/>
      <c r="C517" s="14" t="str">
        <f t="shared" si="5"/>
        <v>Carolinne·Highly Regarded</v>
      </c>
      <c r="D517" s="13" t="s">
        <v>410</v>
      </c>
      <c r="E517" s="7" t="s">
        <v>73</v>
      </c>
      <c r="F517" s="9" t="s">
        <v>30</v>
      </c>
      <c r="H517" s="9"/>
      <c r="I517" s="9"/>
      <c r="J517" s="9"/>
      <c r="K517" s="9"/>
      <c r="L517" s="9"/>
      <c r="M517" s="9"/>
      <c r="N517" s="9"/>
      <c r="O517" s="9"/>
      <c r="P517" s="9"/>
      <c r="Q517" s="9"/>
      <c r="R517" s="9"/>
      <c r="S517" s="9"/>
      <c r="T517" s="9"/>
      <c r="U517" s="9"/>
      <c r="V517" s="9"/>
      <c r="W517" s="9"/>
      <c r="X517" s="9"/>
      <c r="Y517" s="9"/>
      <c r="Z517" s="9"/>
      <c r="AA517" s="9"/>
      <c r="AB517" s="9"/>
      <c r="AC517" s="9"/>
    </row>
    <row r="518" spans="1:29" ht="14.4">
      <c r="A518" s="9"/>
      <c r="B518" s="9"/>
      <c r="C518" s="14" t="str">
        <f t="shared" si="5"/>
        <v>⚔SirdonwHighly Regarded</v>
      </c>
      <c r="D518" s="13" t="s">
        <v>411</v>
      </c>
      <c r="E518" s="7" t="s">
        <v>9</v>
      </c>
      <c r="F518" s="9" t="s">
        <v>30</v>
      </c>
      <c r="H518" s="9"/>
      <c r="I518" s="9"/>
      <c r="J518" s="9"/>
      <c r="K518" s="9"/>
      <c r="L518" s="9"/>
      <c r="M518" s="9"/>
      <c r="N518" s="9"/>
      <c r="O518" s="9"/>
      <c r="P518" s="9"/>
      <c r="Q518" s="9"/>
      <c r="R518" s="9"/>
      <c r="S518" s="9"/>
      <c r="T518" s="9"/>
      <c r="U518" s="9"/>
      <c r="V518" s="9"/>
      <c r="W518" s="9"/>
      <c r="X518" s="9"/>
      <c r="Y518" s="9"/>
      <c r="Z518" s="9"/>
      <c r="AA518" s="9"/>
      <c r="AB518" s="9"/>
      <c r="AC518" s="9"/>
    </row>
    <row r="519" spans="1:29" ht="14.4">
      <c r="A519" s="9"/>
      <c r="B519" s="9"/>
      <c r="C519" s="14" t="str">
        <f t="shared" si="5"/>
        <v>MrPecanHighly Regarded</v>
      </c>
      <c r="D519" s="13" t="s">
        <v>191</v>
      </c>
      <c r="E519" s="7" t="s">
        <v>10</v>
      </c>
      <c r="F519" s="9" t="s">
        <v>30</v>
      </c>
      <c r="H519" s="9"/>
      <c r="I519" s="9"/>
      <c r="J519" s="9"/>
      <c r="K519" s="9"/>
      <c r="L519" s="9"/>
      <c r="M519" s="9"/>
      <c r="N519" s="9"/>
      <c r="O519" s="9"/>
      <c r="P519" s="9"/>
      <c r="Q519" s="9"/>
      <c r="R519" s="9"/>
      <c r="S519" s="9"/>
      <c r="T519" s="9"/>
      <c r="U519" s="9"/>
      <c r="V519" s="9"/>
      <c r="W519" s="9"/>
      <c r="X519" s="9"/>
      <c r="Y519" s="9"/>
      <c r="Z519" s="9"/>
      <c r="AA519" s="9"/>
      <c r="AB519" s="9"/>
      <c r="AC519" s="9"/>
    </row>
    <row r="520" spans="1:29" ht="14.4">
      <c r="A520" s="9"/>
      <c r="B520" s="9"/>
      <c r="C520" s="14" t="str">
        <f t="shared" si="5"/>
        <v>ArtayyHighly Regarded</v>
      </c>
      <c r="D520" s="13" t="s">
        <v>412</v>
      </c>
      <c r="E520" s="9" t="s">
        <v>50</v>
      </c>
      <c r="F520" s="9" t="s">
        <v>30</v>
      </c>
      <c r="H520" s="9"/>
      <c r="I520" s="9"/>
      <c r="J520" s="9"/>
      <c r="K520" s="9"/>
      <c r="L520" s="9"/>
      <c r="M520" s="9"/>
      <c r="N520" s="9"/>
      <c r="O520" s="9"/>
      <c r="P520" s="9"/>
      <c r="Q520" s="9"/>
      <c r="R520" s="9"/>
      <c r="S520" s="9"/>
      <c r="T520" s="9"/>
      <c r="U520" s="9"/>
      <c r="V520" s="9"/>
      <c r="W520" s="9"/>
      <c r="X520" s="9"/>
      <c r="Y520" s="9"/>
      <c r="Z520" s="9"/>
      <c r="AA520" s="9"/>
      <c r="AB520" s="9"/>
      <c r="AC520" s="9"/>
    </row>
    <row r="521" spans="1:29" ht="14.4">
      <c r="A521" s="9"/>
      <c r="B521" s="9"/>
      <c r="C521" s="14" t="str">
        <f t="shared" si="5"/>
        <v>━Van━Highly Regarded</v>
      </c>
      <c r="D521" s="13" t="s">
        <v>413</v>
      </c>
      <c r="E521" s="9" t="s">
        <v>9</v>
      </c>
      <c r="F521" s="9" t="s">
        <v>30</v>
      </c>
      <c r="H521" s="9"/>
      <c r="I521" s="9"/>
      <c r="J521" s="9"/>
      <c r="K521" s="9"/>
      <c r="L521" s="9"/>
      <c r="M521" s="9"/>
      <c r="N521" s="9"/>
      <c r="O521" s="9"/>
      <c r="P521" s="9"/>
      <c r="Q521" s="9"/>
      <c r="R521" s="9"/>
      <c r="S521" s="9"/>
      <c r="T521" s="9"/>
      <c r="U521" s="9"/>
      <c r="V521" s="9"/>
      <c r="W521" s="9"/>
      <c r="X521" s="9"/>
      <c r="Y521" s="9"/>
      <c r="Z521" s="9"/>
      <c r="AA521" s="9"/>
      <c r="AB521" s="9"/>
      <c r="AC521" s="9"/>
    </row>
    <row r="522" spans="1:29" ht="14.4">
      <c r="A522" s="9"/>
      <c r="B522" s="9"/>
      <c r="C522" s="14" t="str">
        <f t="shared" si="5"/>
        <v>RayeHighly Regarded</v>
      </c>
      <c r="D522" s="13" t="s">
        <v>414</v>
      </c>
      <c r="E522" s="9" t="s">
        <v>10</v>
      </c>
      <c r="F522" s="9" t="s">
        <v>30</v>
      </c>
      <c r="H522" s="9"/>
      <c r="I522" s="9"/>
      <c r="J522" s="9"/>
      <c r="K522" s="9"/>
      <c r="L522" s="9"/>
      <c r="M522" s="9"/>
      <c r="N522" s="9"/>
      <c r="O522" s="9"/>
      <c r="P522" s="9"/>
      <c r="Q522" s="9"/>
      <c r="R522" s="9"/>
      <c r="S522" s="9"/>
      <c r="T522" s="9"/>
      <c r="U522" s="9"/>
      <c r="V522" s="9"/>
      <c r="W522" s="9"/>
      <c r="X522" s="9"/>
      <c r="Y522" s="9"/>
      <c r="Z522" s="9"/>
      <c r="AA522" s="9"/>
      <c r="AB522" s="9"/>
      <c r="AC522" s="9"/>
    </row>
    <row r="523" spans="1:29" ht="14.4">
      <c r="A523" s="9"/>
      <c r="B523" s="9"/>
      <c r="C523" s="14" t="str">
        <f t="shared" si="5"/>
        <v>WizardOfMaahsHighly Regarded</v>
      </c>
      <c r="D523" s="13" t="s">
        <v>415</v>
      </c>
      <c r="E523" s="9" t="s">
        <v>18</v>
      </c>
      <c r="F523" s="9" t="s">
        <v>30</v>
      </c>
      <c r="H523" s="9"/>
      <c r="I523" s="9"/>
      <c r="J523" s="9"/>
      <c r="K523" s="9"/>
      <c r="L523" s="9"/>
      <c r="M523" s="9"/>
      <c r="N523" s="9"/>
      <c r="O523" s="9"/>
      <c r="P523" s="9"/>
      <c r="Q523" s="9"/>
      <c r="R523" s="9"/>
      <c r="S523" s="9"/>
      <c r="T523" s="9"/>
      <c r="U523" s="9"/>
      <c r="V523" s="9"/>
      <c r="W523" s="9"/>
      <c r="X523" s="9"/>
      <c r="Y523" s="9"/>
      <c r="Z523" s="9"/>
      <c r="AA523" s="9"/>
      <c r="AB523" s="9"/>
      <c r="AC523" s="9"/>
    </row>
    <row r="524" spans="1:29" ht="14.4">
      <c r="A524" s="9"/>
      <c r="B524" s="9"/>
      <c r="C524" s="14" t="str">
        <f t="shared" si="5"/>
        <v>AzrielHighly Regarded</v>
      </c>
      <c r="D524" s="13" t="s">
        <v>199</v>
      </c>
      <c r="E524" s="9" t="s">
        <v>9</v>
      </c>
      <c r="F524" s="9" t="s">
        <v>30</v>
      </c>
      <c r="H524" s="9"/>
      <c r="I524" s="9"/>
      <c r="J524" s="9"/>
      <c r="K524" s="9"/>
      <c r="L524" s="9"/>
      <c r="M524" s="9"/>
      <c r="N524" s="9"/>
      <c r="O524" s="9"/>
      <c r="P524" s="9"/>
      <c r="Q524" s="9"/>
      <c r="R524" s="9"/>
      <c r="S524" s="9"/>
      <c r="T524" s="9"/>
      <c r="U524" s="9"/>
      <c r="V524" s="9"/>
      <c r="W524" s="9"/>
      <c r="X524" s="9"/>
      <c r="Y524" s="9"/>
      <c r="Z524" s="9"/>
      <c r="AA524" s="9"/>
      <c r="AB524" s="9"/>
      <c r="AC524" s="9"/>
    </row>
    <row r="525" spans="1:29" ht="14.4">
      <c r="A525" s="9"/>
      <c r="B525" s="9"/>
      <c r="C525" s="14" t="str">
        <f t="shared" si="5"/>
        <v>PikupstyksHighly Regarded</v>
      </c>
      <c r="D525" s="13" t="s">
        <v>416</v>
      </c>
      <c r="E525" s="9" t="s">
        <v>10</v>
      </c>
      <c r="F525" s="9" t="s">
        <v>30</v>
      </c>
      <c r="H525" s="9"/>
      <c r="I525" s="9"/>
      <c r="J525" s="9"/>
      <c r="K525" s="9"/>
      <c r="L525" s="9"/>
      <c r="M525" s="9"/>
      <c r="N525" s="9"/>
      <c r="O525" s="9"/>
      <c r="P525" s="9"/>
      <c r="Q525" s="9"/>
      <c r="R525" s="9"/>
      <c r="S525" s="9"/>
      <c r="T525" s="9"/>
      <c r="U525" s="9"/>
      <c r="V525" s="9"/>
      <c r="W525" s="9"/>
      <c r="X525" s="9"/>
      <c r="Y525" s="9"/>
      <c r="Z525" s="9"/>
      <c r="AA525" s="9"/>
      <c r="AB525" s="9"/>
      <c r="AC525" s="9"/>
    </row>
    <row r="526" spans="1:29" ht="14.4">
      <c r="A526" s="9"/>
      <c r="B526" s="9"/>
      <c r="C526" s="14" t="str">
        <f t="shared" si="5"/>
        <v>WizzardishHighly Regarded</v>
      </c>
      <c r="D526" s="13" t="s">
        <v>417</v>
      </c>
      <c r="E526" s="9" t="s">
        <v>9</v>
      </c>
      <c r="F526" s="9" t="s">
        <v>30</v>
      </c>
      <c r="H526" s="9"/>
      <c r="I526" s="9"/>
      <c r="J526" s="9"/>
      <c r="K526" s="9"/>
      <c r="L526" s="9"/>
      <c r="M526" s="9"/>
      <c r="N526" s="9"/>
      <c r="O526" s="9"/>
      <c r="P526" s="9"/>
      <c r="Q526" s="9"/>
      <c r="R526" s="9"/>
      <c r="S526" s="9"/>
      <c r="T526" s="9"/>
      <c r="U526" s="9"/>
      <c r="V526" s="9"/>
      <c r="W526" s="9"/>
      <c r="X526" s="9"/>
      <c r="Y526" s="9"/>
      <c r="Z526" s="9"/>
      <c r="AA526" s="9"/>
      <c r="AB526" s="9"/>
      <c r="AC526" s="9"/>
    </row>
    <row r="527" spans="1:29" ht="14.4">
      <c r="A527" s="9"/>
      <c r="B527" s="9"/>
      <c r="C527" s="14" t="str">
        <f t="shared" si="5"/>
        <v>TTVMericamodzHighly Regarded</v>
      </c>
      <c r="D527" s="13" t="s">
        <v>418</v>
      </c>
      <c r="E527" s="7" t="s">
        <v>9</v>
      </c>
      <c r="F527" s="9" t="s">
        <v>30</v>
      </c>
      <c r="H527" s="9"/>
      <c r="I527" s="9"/>
      <c r="J527" s="9"/>
      <c r="K527" s="9"/>
      <c r="L527" s="9"/>
      <c r="M527" s="9"/>
      <c r="N527" s="9"/>
      <c r="O527" s="9"/>
      <c r="P527" s="9"/>
      <c r="Q527" s="9"/>
      <c r="R527" s="9"/>
      <c r="S527" s="9"/>
      <c r="T527" s="9"/>
      <c r="U527" s="9"/>
      <c r="V527" s="9"/>
      <c r="W527" s="9"/>
      <c r="X527" s="9"/>
      <c r="Y527" s="9"/>
      <c r="Z527" s="9"/>
      <c r="AA527" s="9"/>
      <c r="AB527" s="9"/>
      <c r="AC527" s="9"/>
    </row>
    <row r="528" spans="1:29" ht="14.4">
      <c r="A528" s="9"/>
      <c r="B528" s="9"/>
      <c r="C528" s="14" t="str">
        <f t="shared" si="5"/>
        <v>AzulツHighly Regarded</v>
      </c>
      <c r="D528" s="13" t="s">
        <v>204</v>
      </c>
      <c r="E528" s="7" t="s">
        <v>9</v>
      </c>
      <c r="F528" s="9" t="s">
        <v>30</v>
      </c>
      <c r="H528" s="9"/>
      <c r="I528" s="9"/>
      <c r="J528" s="9"/>
      <c r="K528" s="9"/>
      <c r="L528" s="9"/>
      <c r="M528" s="9"/>
      <c r="N528" s="9"/>
      <c r="O528" s="9"/>
      <c r="P528" s="9"/>
      <c r="Q528" s="9"/>
      <c r="R528" s="9"/>
      <c r="S528" s="9"/>
      <c r="T528" s="9"/>
      <c r="U528" s="9"/>
      <c r="V528" s="9"/>
      <c r="W528" s="9"/>
      <c r="X528" s="9"/>
      <c r="Y528" s="9"/>
      <c r="Z528" s="9"/>
      <c r="AA528" s="9"/>
      <c r="AB528" s="9"/>
      <c r="AC528" s="9"/>
    </row>
    <row r="529" spans="1:29" ht="14.4">
      <c r="A529" s="9"/>
      <c r="B529" s="9"/>
      <c r="C529" s="14" t="str">
        <f t="shared" si="5"/>
        <v>MoistPickleHighly Regarded</v>
      </c>
      <c r="D529" s="13" t="s">
        <v>419</v>
      </c>
      <c r="E529" s="9" t="s">
        <v>9</v>
      </c>
      <c r="F529" s="9" t="s">
        <v>30</v>
      </c>
      <c r="H529" s="9"/>
      <c r="I529" s="9"/>
      <c r="J529" s="9"/>
      <c r="K529" s="9"/>
      <c r="L529" s="9"/>
      <c r="M529" s="9"/>
      <c r="N529" s="9"/>
      <c r="O529" s="9"/>
      <c r="P529" s="9"/>
      <c r="Q529" s="9"/>
      <c r="R529" s="9"/>
      <c r="S529" s="9"/>
      <c r="T529" s="9"/>
      <c r="U529" s="9"/>
      <c r="V529" s="9"/>
      <c r="W529" s="9"/>
      <c r="X529" s="9"/>
      <c r="Y529" s="9"/>
      <c r="Z529" s="9"/>
      <c r="AA529" s="9"/>
      <c r="AB529" s="9"/>
      <c r="AC529" s="9"/>
    </row>
    <row r="530" spans="1:29" ht="14.4">
      <c r="A530" s="9"/>
      <c r="B530" s="9"/>
      <c r="C530" s="14" t="str">
        <f t="shared" si="5"/>
        <v>ToxicFellHighly Regarded</v>
      </c>
      <c r="D530" s="13" t="s">
        <v>187</v>
      </c>
      <c r="E530" s="9" t="s">
        <v>10</v>
      </c>
      <c r="F530" s="9" t="s">
        <v>30</v>
      </c>
      <c r="H530" s="9"/>
      <c r="I530" s="9"/>
      <c r="J530" s="9"/>
      <c r="K530" s="9"/>
      <c r="L530" s="9"/>
      <c r="M530" s="9"/>
      <c r="N530" s="9"/>
      <c r="O530" s="9"/>
      <c r="P530" s="9"/>
      <c r="Q530" s="9"/>
      <c r="R530" s="9"/>
      <c r="S530" s="9"/>
      <c r="T530" s="9"/>
      <c r="U530" s="9"/>
      <c r="V530" s="9"/>
      <c r="W530" s="9"/>
      <c r="X530" s="9"/>
      <c r="Y530" s="9"/>
      <c r="Z530" s="9"/>
      <c r="AA530" s="9"/>
      <c r="AB530" s="9"/>
      <c r="AC530" s="9"/>
    </row>
    <row r="531" spans="1:29" ht="14.4">
      <c r="A531" s="9"/>
      <c r="B531" s="9"/>
      <c r="C531" s="14" t="str">
        <f t="shared" si="5"/>
        <v>MostleyHighly Regarded</v>
      </c>
      <c r="D531" s="13" t="s">
        <v>420</v>
      </c>
      <c r="E531" s="9" t="s">
        <v>10</v>
      </c>
      <c r="F531" s="9" t="s">
        <v>30</v>
      </c>
      <c r="H531" s="9"/>
      <c r="I531" s="9"/>
      <c r="J531" s="9"/>
      <c r="K531" s="9"/>
      <c r="L531" s="9"/>
      <c r="M531" s="9"/>
      <c r="N531" s="9"/>
      <c r="O531" s="9"/>
      <c r="P531" s="9"/>
      <c r="Q531" s="9"/>
      <c r="R531" s="9"/>
      <c r="S531" s="9"/>
      <c r="T531" s="9"/>
      <c r="U531" s="9"/>
      <c r="V531" s="9"/>
      <c r="W531" s="9"/>
      <c r="X531" s="9"/>
      <c r="Y531" s="9"/>
      <c r="Z531" s="9"/>
      <c r="AA531" s="9"/>
      <c r="AB531" s="9"/>
      <c r="AC531" s="9"/>
    </row>
    <row r="532" spans="1:29" ht="14.4">
      <c r="A532" s="9"/>
      <c r="B532" s="9"/>
      <c r="C532" s="14" t="str">
        <f t="shared" si="5"/>
        <v>WolferwolfHighly Regarded</v>
      </c>
      <c r="D532" s="13" t="s">
        <v>421</v>
      </c>
      <c r="E532" s="9" t="s">
        <v>62</v>
      </c>
      <c r="F532" s="9" t="s">
        <v>30</v>
      </c>
      <c r="H532" s="9"/>
      <c r="I532" s="9"/>
      <c r="J532" s="9"/>
      <c r="K532" s="9"/>
      <c r="L532" s="9"/>
      <c r="M532" s="9"/>
      <c r="N532" s="9"/>
      <c r="O532" s="9"/>
      <c r="P532" s="9"/>
      <c r="Q532" s="9"/>
      <c r="R532" s="9"/>
      <c r="S532" s="9"/>
      <c r="T532" s="9"/>
      <c r="U532" s="9"/>
      <c r="V532" s="9"/>
      <c r="W532" s="9"/>
      <c r="X532" s="9"/>
      <c r="Y532" s="9"/>
      <c r="Z532" s="9"/>
      <c r="AA532" s="9"/>
      <c r="AB532" s="9"/>
      <c r="AC532" s="9"/>
    </row>
    <row r="533" spans="1:29" ht="14.4">
      <c r="A533" s="9"/>
      <c r="B533" s="9"/>
      <c r="C533" s="14" t="str">
        <f t="shared" si="5"/>
        <v>SworbHighly Regarded</v>
      </c>
      <c r="D533" s="13" t="s">
        <v>422</v>
      </c>
      <c r="E533" s="9" t="s">
        <v>14</v>
      </c>
      <c r="F533" s="9" t="s">
        <v>30</v>
      </c>
      <c r="H533" s="9"/>
      <c r="I533" s="9"/>
      <c r="J533" s="9"/>
      <c r="K533" s="9"/>
      <c r="L533" s="9"/>
      <c r="M533" s="9"/>
      <c r="N533" s="9"/>
      <c r="O533" s="9"/>
      <c r="P533" s="9"/>
      <c r="Q533" s="9"/>
      <c r="R533" s="9"/>
      <c r="S533" s="9"/>
      <c r="T533" s="9"/>
      <c r="U533" s="9"/>
      <c r="V533" s="9"/>
      <c r="W533" s="9"/>
      <c r="X533" s="9"/>
      <c r="Y533" s="9"/>
      <c r="Z533" s="9"/>
      <c r="AA533" s="9"/>
      <c r="AB533" s="9"/>
      <c r="AC533" s="9"/>
    </row>
    <row r="534" spans="1:29" ht="14.4">
      <c r="A534" s="9"/>
      <c r="B534" s="9"/>
      <c r="C534" s="14" t="str">
        <f t="shared" si="5"/>
        <v>SquidyΔHighly Regarded</v>
      </c>
      <c r="D534" s="13" t="s">
        <v>423</v>
      </c>
      <c r="E534" s="9" t="s">
        <v>14</v>
      </c>
      <c r="F534" s="9" t="s">
        <v>30</v>
      </c>
      <c r="H534" s="9"/>
      <c r="I534" s="9"/>
      <c r="J534" s="9"/>
      <c r="K534" s="9"/>
      <c r="L534" s="9"/>
      <c r="M534" s="9"/>
      <c r="N534" s="9"/>
      <c r="O534" s="9"/>
      <c r="P534" s="9"/>
      <c r="Q534" s="9"/>
      <c r="R534" s="9"/>
      <c r="S534" s="9"/>
      <c r="T534" s="9"/>
      <c r="U534" s="9"/>
      <c r="V534" s="9"/>
      <c r="W534" s="9"/>
      <c r="X534" s="9"/>
      <c r="Y534" s="9"/>
      <c r="Z534" s="9"/>
      <c r="AA534" s="9"/>
      <c r="AB534" s="9"/>
      <c r="AC534" s="9"/>
    </row>
    <row r="535" spans="1:29" ht="14.4">
      <c r="A535" s="9"/>
      <c r="B535" s="9"/>
      <c r="C535" s="14" t="str">
        <f t="shared" si="5"/>
        <v>Wink28Highly Regarded</v>
      </c>
      <c r="D535" s="13" t="s">
        <v>424</v>
      </c>
      <c r="E535" s="9" t="s">
        <v>52</v>
      </c>
      <c r="F535" s="9" t="s">
        <v>30</v>
      </c>
      <c r="H535" s="9"/>
      <c r="I535" s="9"/>
      <c r="J535" s="9"/>
      <c r="K535" s="9"/>
      <c r="L535" s="9"/>
      <c r="M535" s="9"/>
      <c r="N535" s="9"/>
      <c r="O535" s="9"/>
      <c r="P535" s="9"/>
      <c r="Q535" s="9"/>
      <c r="R535" s="9"/>
      <c r="S535" s="9"/>
      <c r="T535" s="9"/>
      <c r="U535" s="9"/>
      <c r="V535" s="9"/>
      <c r="W535" s="9"/>
      <c r="X535" s="9"/>
      <c r="Y535" s="9"/>
      <c r="Z535" s="9"/>
      <c r="AA535" s="9"/>
      <c r="AB535" s="9"/>
      <c r="AC535" s="9"/>
    </row>
    <row r="536" spans="1:29" ht="14.4">
      <c r="A536" s="9"/>
      <c r="B536" s="9"/>
      <c r="C536" s="14" t="str">
        <f t="shared" si="5"/>
        <v>ArryeneHighly Regarded</v>
      </c>
      <c r="D536" s="13" t="s">
        <v>425</v>
      </c>
      <c r="E536" s="9" t="s">
        <v>9</v>
      </c>
      <c r="F536" s="9" t="s">
        <v>30</v>
      </c>
      <c r="H536" s="9"/>
      <c r="I536" s="9"/>
      <c r="J536" s="9"/>
      <c r="K536" s="9"/>
      <c r="L536" s="9"/>
      <c r="M536" s="9"/>
      <c r="N536" s="9"/>
      <c r="O536" s="9"/>
      <c r="P536" s="9"/>
      <c r="Q536" s="9"/>
      <c r="R536" s="9"/>
      <c r="S536" s="9"/>
      <c r="T536" s="9"/>
      <c r="U536" s="9"/>
      <c r="V536" s="9"/>
      <c r="W536" s="9"/>
      <c r="X536" s="9"/>
      <c r="Y536" s="9"/>
      <c r="Z536" s="9"/>
      <c r="AA536" s="9"/>
      <c r="AB536" s="9"/>
      <c r="AC536" s="9"/>
    </row>
    <row r="537" spans="1:29" ht="14.4">
      <c r="A537" s="9"/>
      <c r="B537" s="9"/>
      <c r="C537" s="14" t="str">
        <f t="shared" si="5"/>
        <v>NiyaaHighly Regarded</v>
      </c>
      <c r="D537" s="13" t="s">
        <v>426</v>
      </c>
      <c r="E537" s="9" t="s">
        <v>10</v>
      </c>
      <c r="F537" s="9" t="s">
        <v>30</v>
      </c>
      <c r="H537" s="9"/>
      <c r="I537" s="9"/>
      <c r="J537" s="9"/>
      <c r="K537" s="9"/>
      <c r="L537" s="9"/>
      <c r="M537" s="9"/>
      <c r="N537" s="9"/>
      <c r="O537" s="9"/>
      <c r="P537" s="9"/>
      <c r="Q537" s="9"/>
      <c r="R537" s="9"/>
      <c r="S537" s="9"/>
      <c r="T537" s="9"/>
      <c r="U537" s="9"/>
      <c r="V537" s="9"/>
      <c r="W537" s="9"/>
      <c r="X537" s="9"/>
      <c r="Y537" s="9"/>
      <c r="Z537" s="9"/>
      <c r="AA537" s="9"/>
      <c r="AB537" s="9"/>
      <c r="AC537" s="9"/>
    </row>
    <row r="538" spans="1:29" ht="14.4">
      <c r="A538" s="9"/>
      <c r="B538" s="9"/>
      <c r="C538" s="14" t="str">
        <f t="shared" si="5"/>
        <v>EmperorYaBoomHighly Regarded</v>
      </c>
      <c r="D538" s="13" t="s">
        <v>427</v>
      </c>
      <c r="E538" s="18" t="s">
        <v>62</v>
      </c>
      <c r="F538" s="9" t="s">
        <v>30</v>
      </c>
      <c r="H538" s="9"/>
      <c r="I538" s="9"/>
      <c r="J538" s="9"/>
      <c r="K538" s="9"/>
      <c r="L538" s="9"/>
      <c r="M538" s="9"/>
      <c r="N538" s="9"/>
      <c r="O538" s="9"/>
      <c r="P538" s="9"/>
      <c r="Q538" s="9"/>
      <c r="R538" s="9"/>
      <c r="S538" s="9"/>
      <c r="T538" s="9"/>
      <c r="U538" s="9"/>
      <c r="V538" s="9"/>
      <c r="W538" s="9"/>
      <c r="X538" s="9"/>
      <c r="Y538" s="9"/>
      <c r="Z538" s="9"/>
      <c r="AA538" s="9"/>
      <c r="AB538" s="9"/>
      <c r="AC538" s="9"/>
    </row>
    <row r="539" spans="1:29" ht="14.4">
      <c r="A539" s="9"/>
      <c r="B539" s="9"/>
      <c r="C539" s="14" t="str">
        <f t="shared" si="5"/>
        <v>EnnergeHighly Regarded</v>
      </c>
      <c r="D539" s="13" t="s">
        <v>175</v>
      </c>
      <c r="E539" s="18" t="s">
        <v>428</v>
      </c>
      <c r="F539" s="9" t="s">
        <v>30</v>
      </c>
      <c r="H539" s="9"/>
      <c r="I539" s="9"/>
      <c r="J539" s="9"/>
      <c r="K539" s="9"/>
      <c r="L539" s="9"/>
      <c r="M539" s="9"/>
      <c r="N539" s="9"/>
      <c r="O539" s="9"/>
      <c r="P539" s="9"/>
      <c r="Q539" s="9"/>
      <c r="R539" s="9"/>
      <c r="S539" s="9"/>
      <c r="T539" s="9"/>
      <c r="U539" s="9"/>
      <c r="V539" s="9"/>
      <c r="W539" s="9"/>
      <c r="X539" s="9"/>
      <c r="Y539" s="9"/>
      <c r="Z539" s="9"/>
      <c r="AA539" s="9"/>
      <c r="AB539" s="9"/>
      <c r="AC539" s="9"/>
    </row>
    <row r="540" spans="1:29" ht="14.4">
      <c r="A540" s="9"/>
      <c r="B540" s="9"/>
      <c r="C540" s="14" t="str">
        <f t="shared" si="5"/>
        <v>OddlyHighly Regarded</v>
      </c>
      <c r="D540" s="13" t="s">
        <v>429</v>
      </c>
      <c r="E540" s="18" t="s">
        <v>9</v>
      </c>
      <c r="F540" s="9" t="s">
        <v>30</v>
      </c>
      <c r="H540" s="9"/>
      <c r="I540" s="9"/>
      <c r="J540" s="9"/>
      <c r="K540" s="9"/>
      <c r="L540" s="9"/>
      <c r="M540" s="9"/>
      <c r="N540" s="9"/>
      <c r="O540" s="9"/>
      <c r="P540" s="9"/>
      <c r="Q540" s="9"/>
      <c r="R540" s="9"/>
      <c r="S540" s="9"/>
      <c r="T540" s="9"/>
      <c r="U540" s="9"/>
      <c r="V540" s="9"/>
      <c r="W540" s="9"/>
      <c r="X540" s="9"/>
      <c r="Y540" s="9"/>
      <c r="Z540" s="9"/>
      <c r="AA540" s="9"/>
      <c r="AB540" s="9"/>
      <c r="AC540" s="9"/>
    </row>
    <row r="541" spans="1:29" ht="14.4">
      <c r="A541" s="9"/>
      <c r="B541" s="9"/>
      <c r="C541" s="14" t="str">
        <f t="shared" si="5"/>
        <v>SquiddyHighly Regarded</v>
      </c>
      <c r="D541" s="13" t="s">
        <v>430</v>
      </c>
      <c r="E541" s="18" t="s">
        <v>14</v>
      </c>
      <c r="F541" s="9" t="s">
        <v>30</v>
      </c>
      <c r="H541" s="9"/>
      <c r="I541" s="9"/>
      <c r="J541" s="9"/>
      <c r="K541" s="9"/>
      <c r="L541" s="9"/>
      <c r="M541" s="9"/>
      <c r="N541" s="9"/>
      <c r="O541" s="9"/>
      <c r="P541" s="9"/>
      <c r="Q541" s="9"/>
      <c r="R541" s="9"/>
      <c r="S541" s="9"/>
      <c r="T541" s="9"/>
      <c r="U541" s="9"/>
      <c r="V541" s="9"/>
      <c r="W541" s="9"/>
      <c r="X541" s="9"/>
      <c r="Y541" s="9"/>
      <c r="Z541" s="9"/>
      <c r="AA541" s="9"/>
      <c r="AB541" s="9"/>
      <c r="AC541" s="9"/>
    </row>
    <row r="542" spans="1:29" ht="14.4">
      <c r="A542" s="9"/>
      <c r="B542" s="9"/>
      <c r="C542" s="14" t="str">
        <f t="shared" si="5"/>
        <v>GHighly Regarded</v>
      </c>
      <c r="D542" s="13" t="s">
        <v>431</v>
      </c>
      <c r="E542" s="18" t="s">
        <v>14</v>
      </c>
      <c r="F542" s="9" t="s">
        <v>30</v>
      </c>
      <c r="H542" s="9"/>
      <c r="I542" s="9"/>
      <c r="J542" s="9"/>
      <c r="K542" s="9"/>
      <c r="L542" s="9"/>
      <c r="M542" s="9"/>
      <c r="N542" s="9"/>
      <c r="O542" s="9"/>
      <c r="P542" s="9"/>
      <c r="Q542" s="9"/>
      <c r="R542" s="9"/>
      <c r="S542" s="9"/>
      <c r="T542" s="9"/>
      <c r="U542" s="9"/>
      <c r="V542" s="9"/>
      <c r="W542" s="9"/>
      <c r="X542" s="9"/>
      <c r="Y542" s="9"/>
      <c r="Z542" s="9"/>
      <c r="AA542" s="9"/>
      <c r="AB542" s="9"/>
      <c r="AC542" s="9"/>
    </row>
    <row r="543" spans="1:29" ht="14.4">
      <c r="A543" s="9"/>
      <c r="B543" s="9"/>
      <c r="C543" s="14" t="str">
        <f t="shared" si="5"/>
        <v>BasilieusHighly Regarded</v>
      </c>
      <c r="D543" s="13" t="s">
        <v>432</v>
      </c>
      <c r="E543" s="18" t="s">
        <v>428</v>
      </c>
      <c r="F543" s="9" t="s">
        <v>30</v>
      </c>
      <c r="H543" s="9"/>
      <c r="I543" s="9"/>
      <c r="J543" s="9"/>
      <c r="K543" s="9"/>
      <c r="L543" s="9"/>
      <c r="M543" s="9"/>
      <c r="N543" s="9"/>
      <c r="O543" s="9"/>
      <c r="P543" s="9"/>
      <c r="Q543" s="9"/>
      <c r="R543" s="9"/>
      <c r="S543" s="9"/>
      <c r="T543" s="9"/>
      <c r="U543" s="9"/>
      <c r="V543" s="9"/>
      <c r="W543" s="9"/>
      <c r="X543" s="9"/>
      <c r="Y543" s="9"/>
      <c r="Z543" s="9"/>
      <c r="AA543" s="9"/>
      <c r="AB543" s="9"/>
      <c r="AC543" s="9"/>
    </row>
    <row r="544" spans="1:29" ht="14.4">
      <c r="A544" s="9"/>
      <c r="B544" s="9"/>
      <c r="C544" s="14" t="str">
        <f t="shared" si="5"/>
        <v>CalistoVHighly Regarded</v>
      </c>
      <c r="D544" s="13" t="s">
        <v>433</v>
      </c>
      <c r="E544" s="18" t="s">
        <v>24</v>
      </c>
      <c r="F544" s="9" t="s">
        <v>30</v>
      </c>
      <c r="H544" s="9"/>
      <c r="I544" s="9"/>
      <c r="J544" s="9"/>
      <c r="K544" s="9"/>
      <c r="L544" s="9"/>
      <c r="M544" s="9"/>
      <c r="N544" s="9"/>
      <c r="O544" s="9"/>
      <c r="P544" s="9"/>
      <c r="Q544" s="9"/>
      <c r="R544" s="9"/>
      <c r="S544" s="9"/>
      <c r="T544" s="9"/>
      <c r="U544" s="9"/>
      <c r="V544" s="9"/>
      <c r="W544" s="9"/>
      <c r="X544" s="9"/>
      <c r="Y544" s="9"/>
      <c r="Z544" s="9"/>
      <c r="AA544" s="9"/>
      <c r="AB544" s="9"/>
      <c r="AC544" s="9"/>
    </row>
    <row r="545" spans="1:29" ht="14.4">
      <c r="A545" s="9"/>
      <c r="B545" s="9"/>
      <c r="C545" s="14" t="str">
        <f t="shared" si="5"/>
        <v>iizaHighly Regarded</v>
      </c>
      <c r="D545" s="13" t="s">
        <v>434</v>
      </c>
      <c r="E545" s="18" t="s">
        <v>54</v>
      </c>
      <c r="F545" s="9" t="s">
        <v>30</v>
      </c>
      <c r="H545" s="9"/>
      <c r="I545" s="9"/>
      <c r="J545" s="9"/>
      <c r="K545" s="9"/>
      <c r="L545" s="9"/>
      <c r="M545" s="9"/>
      <c r="N545" s="9"/>
      <c r="O545" s="9"/>
      <c r="P545" s="9"/>
      <c r="Q545" s="9"/>
      <c r="R545" s="9"/>
      <c r="S545" s="9"/>
      <c r="T545" s="9"/>
      <c r="U545" s="9"/>
      <c r="V545" s="9"/>
      <c r="W545" s="9"/>
      <c r="X545" s="9"/>
      <c r="Y545" s="9"/>
      <c r="Z545" s="9"/>
      <c r="AA545" s="9"/>
      <c r="AB545" s="9"/>
      <c r="AC545" s="9"/>
    </row>
    <row r="546" spans="1:29" ht="14.4">
      <c r="A546" s="9"/>
      <c r="B546" s="9"/>
      <c r="C546" s="14" t="str">
        <f t="shared" si="5"/>
        <v>EndLessHighly Regarded</v>
      </c>
      <c r="D546" s="16" t="s">
        <v>435</v>
      </c>
      <c r="E546" s="18" t="s">
        <v>58</v>
      </c>
      <c r="F546" s="9" t="s">
        <v>30</v>
      </c>
      <c r="H546" s="9"/>
      <c r="I546" s="9"/>
      <c r="J546" s="9"/>
      <c r="K546" s="9"/>
      <c r="L546" s="9"/>
      <c r="M546" s="9"/>
      <c r="N546" s="9"/>
      <c r="O546" s="9"/>
      <c r="P546" s="9"/>
      <c r="Q546" s="9"/>
      <c r="R546" s="9"/>
      <c r="S546" s="9"/>
      <c r="T546" s="9"/>
      <c r="U546" s="9"/>
      <c r="V546" s="9"/>
      <c r="W546" s="9"/>
      <c r="X546" s="9"/>
      <c r="Y546" s="9"/>
      <c r="Z546" s="9"/>
      <c r="AA546" s="9"/>
      <c r="AB546" s="9"/>
      <c r="AC546" s="9"/>
    </row>
    <row r="547" spans="1:29" ht="13.8">
      <c r="A547" s="9"/>
      <c r="B547" s="9"/>
      <c r="C547" s="14" t="str">
        <f t="shared" si="5"/>
        <v>BloodGodHighly Regarded</v>
      </c>
      <c r="D547" s="17" t="s">
        <v>436</v>
      </c>
      <c r="E547" s="21" t="s">
        <v>23</v>
      </c>
      <c r="F547" s="9" t="s">
        <v>30</v>
      </c>
      <c r="H547" s="9"/>
      <c r="I547" s="9"/>
      <c r="J547" s="9"/>
      <c r="K547" s="9"/>
      <c r="L547" s="9"/>
      <c r="M547" s="9"/>
      <c r="N547" s="9"/>
      <c r="O547" s="9"/>
      <c r="P547" s="9"/>
      <c r="Q547" s="9"/>
      <c r="R547" s="9"/>
      <c r="S547" s="9"/>
      <c r="T547" s="9"/>
      <c r="U547" s="9"/>
      <c r="V547" s="9"/>
      <c r="W547" s="9"/>
      <c r="X547" s="9"/>
      <c r="Y547" s="9"/>
      <c r="Z547" s="9"/>
      <c r="AA547" s="9"/>
      <c r="AB547" s="9"/>
      <c r="AC547" s="9"/>
    </row>
    <row r="548" spans="1:29" ht="14.4">
      <c r="A548" s="9"/>
      <c r="B548" s="9"/>
      <c r="C548" s="14" t="str">
        <f t="shared" si="5"/>
        <v>ChumaHighly Regarded</v>
      </c>
      <c r="D548" s="16" t="s">
        <v>437</v>
      </c>
      <c r="E548" s="18" t="s">
        <v>14</v>
      </c>
      <c r="F548" s="9" t="s">
        <v>30</v>
      </c>
      <c r="H548" s="9"/>
      <c r="I548" s="9"/>
      <c r="J548" s="9"/>
      <c r="K548" s="9"/>
      <c r="L548" s="9"/>
      <c r="M548" s="9"/>
      <c r="N548" s="9"/>
      <c r="O548" s="9"/>
      <c r="P548" s="9"/>
      <c r="Q548" s="9"/>
      <c r="R548" s="9"/>
      <c r="S548" s="9"/>
      <c r="T548" s="9"/>
      <c r="U548" s="9"/>
      <c r="V548" s="9"/>
      <c r="W548" s="9"/>
      <c r="X548" s="9"/>
      <c r="Y548" s="9"/>
      <c r="Z548" s="9"/>
      <c r="AA548" s="9"/>
      <c r="AB548" s="9"/>
      <c r="AC548" s="9"/>
    </row>
    <row r="549" spans="1:29" ht="14.4">
      <c r="A549" s="9"/>
      <c r="B549" s="9"/>
      <c r="C549" s="14" t="str">
        <f t="shared" si="5"/>
        <v>KhoperHighly Regarded</v>
      </c>
      <c r="D549" s="16" t="s">
        <v>438</v>
      </c>
      <c r="E549" s="18" t="s">
        <v>14</v>
      </c>
      <c r="F549" s="9" t="s">
        <v>30</v>
      </c>
      <c r="H549" s="9"/>
      <c r="I549" s="9"/>
      <c r="J549" s="9"/>
      <c r="K549" s="9"/>
      <c r="L549" s="9"/>
      <c r="M549" s="9"/>
      <c r="N549" s="9"/>
      <c r="O549" s="9"/>
      <c r="P549" s="9"/>
      <c r="Q549" s="9"/>
      <c r="R549" s="9"/>
      <c r="S549" s="9"/>
      <c r="T549" s="9"/>
      <c r="U549" s="9"/>
      <c r="V549" s="9"/>
      <c r="W549" s="9"/>
      <c r="X549" s="9"/>
      <c r="Y549" s="9"/>
      <c r="Z549" s="9"/>
      <c r="AA549" s="9"/>
      <c r="AB549" s="9"/>
      <c r="AC549" s="9"/>
    </row>
    <row r="550" spans="1:29" ht="14.4">
      <c r="A550" s="9"/>
      <c r="B550" s="9"/>
      <c r="C550" s="14" t="str">
        <f t="shared" si="5"/>
        <v>CarolinneHighly Regarded</v>
      </c>
      <c r="D550" s="22" t="s">
        <v>439</v>
      </c>
      <c r="E550" s="18" t="s">
        <v>9</v>
      </c>
      <c r="F550" s="9" t="s">
        <v>30</v>
      </c>
      <c r="H550" s="9"/>
      <c r="I550" s="9"/>
      <c r="J550" s="9"/>
      <c r="K550" s="9"/>
      <c r="L550" s="9"/>
      <c r="M550" s="9"/>
      <c r="N550" s="9"/>
      <c r="O550" s="9"/>
      <c r="P550" s="9"/>
      <c r="Q550" s="9"/>
      <c r="R550" s="9"/>
      <c r="S550" s="9"/>
      <c r="T550" s="9"/>
      <c r="U550" s="9"/>
      <c r="V550" s="9"/>
      <c r="W550" s="9"/>
      <c r="X550" s="9"/>
      <c r="Y550" s="9"/>
      <c r="Z550" s="9"/>
      <c r="AA550" s="9"/>
      <c r="AB550" s="9"/>
      <c r="AC550" s="9"/>
    </row>
    <row r="551" spans="1:29" ht="14.4">
      <c r="A551" s="9"/>
      <c r="B551" s="9"/>
      <c r="C551" s="14" t="str">
        <f t="shared" si="5"/>
        <v>KripplerHighly Regarded</v>
      </c>
      <c r="D551" s="23" t="s">
        <v>195</v>
      </c>
      <c r="E551" s="18" t="s">
        <v>9</v>
      </c>
      <c r="F551" s="9" t="s">
        <v>30</v>
      </c>
      <c r="H551" s="9"/>
      <c r="I551" s="9"/>
      <c r="J551" s="9"/>
      <c r="K551" s="9"/>
      <c r="L551" s="9"/>
      <c r="M551" s="9"/>
      <c r="N551" s="9"/>
      <c r="O551" s="9"/>
      <c r="P551" s="9"/>
      <c r="Q551" s="9"/>
      <c r="R551" s="9"/>
      <c r="S551" s="9"/>
      <c r="T551" s="9"/>
      <c r="U551" s="9"/>
      <c r="V551" s="9"/>
      <c r="W551" s="9"/>
      <c r="X551" s="9"/>
      <c r="Y551" s="9"/>
      <c r="Z551" s="9"/>
      <c r="AA551" s="9"/>
      <c r="AB551" s="9"/>
      <c r="AC551" s="9"/>
    </row>
    <row r="552" spans="1:29" ht="14.4">
      <c r="A552" s="9"/>
      <c r="B552" s="9"/>
      <c r="C552" s="14" t="str">
        <f t="shared" si="5"/>
        <v>SirdonwHighly Regarded</v>
      </c>
      <c r="D552" s="16" t="s">
        <v>440</v>
      </c>
      <c r="E552" s="18" t="s">
        <v>9</v>
      </c>
      <c r="F552" s="9" t="s">
        <v>30</v>
      </c>
      <c r="H552" s="9"/>
      <c r="I552" s="9"/>
      <c r="J552" s="9"/>
      <c r="K552" s="9"/>
      <c r="L552" s="9"/>
      <c r="M552" s="9"/>
      <c r="N552" s="9"/>
      <c r="O552" s="9"/>
      <c r="P552" s="9"/>
      <c r="Q552" s="9"/>
      <c r="R552" s="9"/>
      <c r="S552" s="9"/>
      <c r="T552" s="9"/>
      <c r="U552" s="9"/>
      <c r="V552" s="9"/>
      <c r="W552" s="9"/>
      <c r="X552" s="9"/>
      <c r="Y552" s="9"/>
      <c r="Z552" s="9"/>
      <c r="AA552" s="9"/>
      <c r="AB552" s="9"/>
      <c r="AC552" s="9"/>
    </row>
    <row r="553" spans="1:29" ht="14.4">
      <c r="A553" s="9"/>
      <c r="B553" s="9"/>
      <c r="C553" s="14" t="str">
        <f t="shared" si="5"/>
        <v>DermbreernsHighly Regarded</v>
      </c>
      <c r="D553" s="24" t="s">
        <v>441</v>
      </c>
      <c r="E553" s="18" t="s">
        <v>9</v>
      </c>
      <c r="F553" s="9" t="s">
        <v>30</v>
      </c>
      <c r="H553" s="9"/>
      <c r="I553" s="9"/>
      <c r="J553" s="9"/>
      <c r="K553" s="9"/>
      <c r="L553" s="9"/>
      <c r="M553" s="9"/>
      <c r="N553" s="9"/>
      <c r="O553" s="9"/>
      <c r="P553" s="9"/>
      <c r="Q553" s="9"/>
      <c r="R553" s="9"/>
      <c r="S553" s="9"/>
      <c r="T553" s="9"/>
      <c r="U553" s="9"/>
      <c r="V553" s="9"/>
      <c r="W553" s="9"/>
      <c r="X553" s="9"/>
      <c r="Y553" s="9"/>
      <c r="Z553" s="9"/>
      <c r="AA553" s="9"/>
      <c r="AB553" s="9"/>
      <c r="AC553" s="9"/>
    </row>
    <row r="554" spans="1:29" ht="13.8">
      <c r="A554" s="9"/>
      <c r="B554" s="9"/>
      <c r="C554" s="14" t="str">
        <f t="shared" si="5"/>
        <v>TTVMericamodzHighly Regarded</v>
      </c>
      <c r="D554" s="25" t="s">
        <v>418</v>
      </c>
      <c r="E554" s="7" t="s">
        <v>9</v>
      </c>
      <c r="F554" s="9" t="s">
        <v>30</v>
      </c>
      <c r="H554" s="9"/>
      <c r="I554" s="9"/>
      <c r="J554" s="9"/>
      <c r="K554" s="9"/>
      <c r="L554" s="9"/>
      <c r="M554" s="9"/>
      <c r="N554" s="9"/>
      <c r="O554" s="9"/>
      <c r="P554" s="9"/>
      <c r="Q554" s="9"/>
      <c r="R554" s="9"/>
      <c r="S554" s="9"/>
      <c r="T554" s="9"/>
      <c r="U554" s="9"/>
      <c r="V554" s="9"/>
      <c r="W554" s="9"/>
      <c r="X554" s="9"/>
      <c r="Y554" s="9"/>
      <c r="Z554" s="9"/>
      <c r="AA554" s="9"/>
      <c r="AB554" s="9"/>
      <c r="AC554" s="9"/>
    </row>
    <row r="555" spans="1:29" ht="13.8">
      <c r="A555" s="9"/>
      <c r="B555" s="9"/>
      <c r="C555" s="14" t="str">
        <f t="shared" si="5"/>
        <v>VanHighly Regarded</v>
      </c>
      <c r="D555" s="16" t="s">
        <v>442</v>
      </c>
      <c r="E555" s="9" t="s">
        <v>9</v>
      </c>
      <c r="F555" s="9" t="s">
        <v>30</v>
      </c>
      <c r="H555" s="9"/>
      <c r="I555" s="9"/>
      <c r="J555" s="9"/>
      <c r="K555" s="9"/>
      <c r="L555" s="9"/>
      <c r="M555" s="9"/>
      <c r="N555" s="9"/>
      <c r="O555" s="9"/>
      <c r="P555" s="9"/>
      <c r="Q555" s="9"/>
      <c r="R555" s="9"/>
      <c r="S555" s="9"/>
      <c r="T555" s="9"/>
      <c r="U555" s="9"/>
      <c r="V555" s="9"/>
      <c r="W555" s="9"/>
      <c r="X555" s="9"/>
      <c r="Y555" s="9"/>
      <c r="Z555" s="9"/>
      <c r="AA555" s="9"/>
      <c r="AB555" s="9"/>
      <c r="AC555" s="9"/>
    </row>
    <row r="556" spans="1:29" ht="14.4">
      <c r="A556" s="9"/>
      <c r="B556" s="9"/>
      <c r="C556" s="14" t="str">
        <f t="shared" si="5"/>
        <v>FalsemannHighly Regarded</v>
      </c>
      <c r="D556" s="24" t="s">
        <v>443</v>
      </c>
      <c r="E556" s="18" t="s">
        <v>62</v>
      </c>
      <c r="F556" s="9" t="s">
        <v>30</v>
      </c>
      <c r="H556" s="9"/>
      <c r="I556" s="9"/>
      <c r="J556" s="9"/>
      <c r="K556" s="9"/>
      <c r="L556" s="9"/>
      <c r="M556" s="9"/>
      <c r="N556" s="9"/>
      <c r="O556" s="9"/>
      <c r="P556" s="9"/>
      <c r="Q556" s="9"/>
      <c r="R556" s="9"/>
      <c r="S556" s="9"/>
      <c r="T556" s="9"/>
      <c r="U556" s="9"/>
      <c r="V556" s="9"/>
      <c r="W556" s="9"/>
      <c r="X556" s="9"/>
      <c r="Y556" s="9"/>
      <c r="Z556" s="9"/>
      <c r="AA556" s="9"/>
      <c r="AB556" s="9"/>
      <c r="AC556" s="9"/>
    </row>
    <row r="557" spans="1:29" ht="14.4">
      <c r="A557" s="9"/>
      <c r="B557" s="9"/>
      <c r="C557" s="14" t="str">
        <f t="shared" si="5"/>
        <v>SmashHighly Regarded</v>
      </c>
      <c r="D557" s="25" t="s">
        <v>174</v>
      </c>
      <c r="E557" s="18" t="s">
        <v>14</v>
      </c>
      <c r="F557" s="9" t="s">
        <v>30</v>
      </c>
      <c r="H557" s="9"/>
      <c r="I557" s="9"/>
      <c r="J557" s="9"/>
      <c r="K557" s="9"/>
      <c r="L557" s="9"/>
      <c r="M557" s="9"/>
      <c r="N557" s="9"/>
      <c r="O557" s="9"/>
      <c r="P557" s="9"/>
      <c r="Q557" s="9"/>
      <c r="R557" s="9"/>
      <c r="S557" s="9"/>
      <c r="T557" s="9"/>
      <c r="U557" s="9"/>
      <c r="V557" s="9"/>
      <c r="W557" s="9"/>
      <c r="X557" s="9"/>
      <c r="Y557" s="9"/>
      <c r="Z557" s="9"/>
      <c r="AA557" s="9"/>
      <c r="AB557" s="9"/>
      <c r="AC557" s="9"/>
    </row>
    <row r="558" spans="1:29" ht="14.4">
      <c r="A558" s="9"/>
      <c r="B558" s="9"/>
      <c r="C558" s="14" t="str">
        <f t="shared" si="5"/>
        <v>10000101Highly Regarded</v>
      </c>
      <c r="D558" s="17" t="s">
        <v>444</v>
      </c>
      <c r="E558" s="18" t="s">
        <v>10</v>
      </c>
      <c r="F558" s="9" t="s">
        <v>30</v>
      </c>
      <c r="H558" s="9"/>
      <c r="I558" s="9"/>
      <c r="J558" s="9"/>
      <c r="K558" s="9"/>
      <c r="L558" s="9"/>
      <c r="M558" s="9"/>
      <c r="N558" s="9"/>
      <c r="O558" s="9"/>
      <c r="P558" s="9"/>
      <c r="Q558" s="9"/>
      <c r="R558" s="9"/>
      <c r="S558" s="9"/>
      <c r="T558" s="9"/>
      <c r="U558" s="9"/>
      <c r="V558" s="9"/>
      <c r="W558" s="9"/>
      <c r="X558" s="9"/>
      <c r="Y558" s="9"/>
      <c r="Z558" s="9"/>
      <c r="AA558" s="9"/>
      <c r="AB558" s="9"/>
      <c r="AC558" s="9"/>
    </row>
    <row r="559" spans="1:29" ht="14.4">
      <c r="A559" s="9"/>
      <c r="B559" s="9"/>
      <c r="C559" s="14" t="str">
        <f t="shared" si="5"/>
        <v>Wink28Highly Regarded</v>
      </c>
      <c r="D559" s="25" t="s">
        <v>424</v>
      </c>
      <c r="E559" s="18" t="s">
        <v>52</v>
      </c>
      <c r="F559" s="9" t="s">
        <v>30</v>
      </c>
      <c r="H559" s="9"/>
      <c r="I559" s="9"/>
      <c r="J559" s="9"/>
      <c r="K559" s="9"/>
      <c r="L559" s="9"/>
      <c r="M559" s="9"/>
      <c r="N559" s="9"/>
      <c r="O559" s="9"/>
      <c r="P559" s="9"/>
      <c r="Q559" s="9"/>
      <c r="R559" s="9"/>
      <c r="S559" s="9"/>
      <c r="T559" s="9"/>
      <c r="U559" s="9"/>
      <c r="V559" s="9"/>
      <c r="W559" s="9"/>
      <c r="X559" s="9"/>
      <c r="Y559" s="9"/>
      <c r="Z559" s="9"/>
      <c r="AA559" s="9"/>
      <c r="AB559" s="9"/>
      <c r="AC559" s="9"/>
    </row>
    <row r="560" spans="1:29" ht="14.4">
      <c r="A560" s="9"/>
      <c r="B560" s="9"/>
      <c r="C560" s="14" t="str">
        <f t="shared" si="5"/>
        <v>AzrielHighly Regarded</v>
      </c>
      <c r="D560" s="24" t="s">
        <v>199</v>
      </c>
      <c r="E560" s="18" t="s">
        <v>9</v>
      </c>
      <c r="F560" s="9" t="s">
        <v>30</v>
      </c>
      <c r="H560" s="9"/>
      <c r="I560" s="9"/>
      <c r="J560" s="9"/>
      <c r="K560" s="9"/>
      <c r="L560" s="9"/>
      <c r="M560" s="9"/>
      <c r="N560" s="9"/>
      <c r="O560" s="9"/>
      <c r="P560" s="9"/>
      <c r="Q560" s="9"/>
      <c r="R560" s="9"/>
      <c r="S560" s="9"/>
      <c r="T560" s="9"/>
      <c r="U560" s="9"/>
      <c r="V560" s="9"/>
      <c r="W560" s="9"/>
      <c r="X560" s="9"/>
      <c r="Y560" s="9"/>
      <c r="Z560" s="9"/>
      <c r="AA560" s="9"/>
      <c r="AB560" s="9"/>
      <c r="AC560" s="9"/>
    </row>
    <row r="561" spans="1:29" ht="14.4">
      <c r="A561" s="9"/>
      <c r="B561" s="9"/>
      <c r="C561" s="14" t="str">
        <f t="shared" si="5"/>
        <v>SmashHighly Regarded</v>
      </c>
      <c r="D561" s="16" t="s">
        <v>174</v>
      </c>
      <c r="E561" s="18" t="s">
        <v>14</v>
      </c>
      <c r="F561" s="9" t="s">
        <v>30</v>
      </c>
      <c r="H561" s="9"/>
      <c r="I561" s="9"/>
      <c r="J561" s="9"/>
      <c r="K561" s="9"/>
      <c r="L561" s="9"/>
      <c r="M561" s="9"/>
      <c r="N561" s="9"/>
      <c r="O561" s="9"/>
      <c r="P561" s="9"/>
      <c r="Q561" s="9"/>
      <c r="R561" s="9"/>
      <c r="S561" s="9"/>
      <c r="T561" s="9"/>
      <c r="U561" s="9"/>
      <c r="V561" s="9"/>
      <c r="W561" s="9"/>
      <c r="X561" s="9"/>
      <c r="Y561" s="9"/>
      <c r="Z561" s="9"/>
      <c r="AA561" s="9"/>
      <c r="AB561" s="9"/>
      <c r="AC561" s="9"/>
    </row>
    <row r="562" spans="1:29" ht="14.4">
      <c r="A562" s="9"/>
      <c r="B562" s="9"/>
      <c r="C562" s="14" t="str">
        <f t="shared" si="5"/>
        <v>공공Highly Regarded</v>
      </c>
      <c r="D562" s="6" t="s">
        <v>445</v>
      </c>
      <c r="E562" s="18" t="s">
        <v>9</v>
      </c>
      <c r="F562" s="9" t="s">
        <v>30</v>
      </c>
      <c r="H562" s="9"/>
      <c r="I562" s="9"/>
      <c r="J562" s="9"/>
      <c r="K562" s="9"/>
      <c r="L562" s="9"/>
      <c r="M562" s="9"/>
      <c r="N562" s="9"/>
      <c r="O562" s="9"/>
      <c r="P562" s="9"/>
      <c r="Q562" s="9"/>
      <c r="R562" s="9"/>
      <c r="S562" s="9"/>
      <c r="T562" s="9"/>
      <c r="U562" s="9"/>
      <c r="V562" s="9"/>
      <c r="W562" s="9"/>
      <c r="X562" s="9"/>
      <c r="Y562" s="9"/>
      <c r="Z562" s="9"/>
      <c r="AA562" s="9"/>
      <c r="AB562" s="9"/>
      <c r="AC562" s="9"/>
    </row>
    <row r="563" spans="1:29" ht="14.4">
      <c r="A563" s="9"/>
      <c r="B563" s="9"/>
      <c r="C563" s="14" t="str">
        <f t="shared" si="5"/>
        <v>ガブリエルーHighly Regarded</v>
      </c>
      <c r="D563" s="6" t="s">
        <v>176</v>
      </c>
      <c r="E563" s="18" t="s">
        <v>14</v>
      </c>
      <c r="F563" s="9" t="s">
        <v>30</v>
      </c>
      <c r="H563" s="9"/>
      <c r="I563" s="9"/>
      <c r="J563" s="9"/>
      <c r="K563" s="9"/>
      <c r="L563" s="9"/>
      <c r="M563" s="9"/>
      <c r="N563" s="9"/>
      <c r="O563" s="9"/>
      <c r="P563" s="9"/>
      <c r="Q563" s="9"/>
      <c r="R563" s="9"/>
      <c r="S563" s="9"/>
      <c r="T563" s="9"/>
      <c r="U563" s="9"/>
      <c r="V563" s="9"/>
      <c r="W563" s="9"/>
      <c r="X563" s="9"/>
      <c r="Y563" s="9"/>
      <c r="Z563" s="9"/>
      <c r="AA563" s="9"/>
      <c r="AB563" s="9"/>
      <c r="AC563" s="9"/>
    </row>
    <row r="564" spans="1:29" ht="14.4">
      <c r="A564" s="9"/>
      <c r="B564" s="9"/>
      <c r="C564" s="14" t="str">
        <f t="shared" si="5"/>
        <v>HaenaehHighly Regarded</v>
      </c>
      <c r="D564" s="13" t="s">
        <v>446</v>
      </c>
      <c r="E564" s="18" t="s">
        <v>58</v>
      </c>
      <c r="F564" s="9" t="s">
        <v>30</v>
      </c>
      <c r="H564" s="9"/>
      <c r="I564" s="9"/>
      <c r="J564" s="9"/>
      <c r="K564" s="9"/>
      <c r="L564" s="9"/>
      <c r="M564" s="9"/>
      <c r="N564" s="9"/>
      <c r="O564" s="9"/>
      <c r="P564" s="9"/>
      <c r="Q564" s="9"/>
      <c r="R564" s="9"/>
      <c r="S564" s="9"/>
      <c r="T564" s="9"/>
      <c r="U564" s="9"/>
      <c r="V564" s="9"/>
      <c r="W564" s="9"/>
      <c r="X564" s="9"/>
      <c r="Y564" s="9"/>
      <c r="Z564" s="9"/>
      <c r="AA564" s="9"/>
      <c r="AB564" s="9"/>
      <c r="AC564" s="9"/>
    </row>
    <row r="565" spans="1:29" ht="14.4">
      <c r="A565" s="9"/>
      <c r="B565" s="9"/>
      <c r="C565" s="14" t="str">
        <f t="shared" si="5"/>
        <v>RournnHighly Regarded</v>
      </c>
      <c r="D565" s="13" t="s">
        <v>447</v>
      </c>
      <c r="E565" s="18" t="s">
        <v>14</v>
      </c>
      <c r="F565" s="9" t="s">
        <v>30</v>
      </c>
      <c r="H565" s="9"/>
      <c r="I565" s="9"/>
      <c r="J565" s="9"/>
      <c r="K565" s="9"/>
      <c r="L565" s="9"/>
      <c r="M565" s="9"/>
      <c r="N565" s="9"/>
      <c r="O565" s="9"/>
      <c r="P565" s="9"/>
      <c r="Q565" s="9"/>
      <c r="R565" s="9"/>
      <c r="S565" s="9"/>
      <c r="T565" s="9"/>
      <c r="U565" s="9"/>
      <c r="V565" s="9"/>
      <c r="W565" s="9"/>
      <c r="X565" s="9"/>
      <c r="Y565" s="9"/>
      <c r="Z565" s="9"/>
      <c r="AA565" s="9"/>
      <c r="AB565" s="9"/>
      <c r="AC565" s="9"/>
    </row>
    <row r="566" spans="1:29" ht="14.4">
      <c r="A566" s="9"/>
      <c r="B566" s="9"/>
      <c r="C566" s="14" t="str">
        <f t="shared" si="5"/>
        <v>ParamsHighly Regarded</v>
      </c>
      <c r="D566" s="18" t="s">
        <v>222</v>
      </c>
      <c r="E566" s="21" t="s">
        <v>23</v>
      </c>
      <c r="F566" s="9" t="s">
        <v>30</v>
      </c>
      <c r="H566" s="9"/>
      <c r="I566" s="9"/>
      <c r="J566" s="9"/>
      <c r="K566" s="9"/>
      <c r="L566" s="9"/>
      <c r="M566" s="9"/>
      <c r="N566" s="9"/>
      <c r="O566" s="9"/>
      <c r="P566" s="9"/>
      <c r="Q566" s="9"/>
      <c r="R566" s="9"/>
      <c r="S566" s="9"/>
      <c r="T566" s="9"/>
      <c r="U566" s="9"/>
      <c r="V566" s="9"/>
      <c r="W566" s="9"/>
      <c r="X566" s="9"/>
      <c r="Y566" s="9"/>
      <c r="Z566" s="9"/>
      <c r="AA566" s="9"/>
      <c r="AB566" s="9"/>
      <c r="AC566" s="9"/>
    </row>
    <row r="567" spans="1:29" ht="13.8">
      <c r="A567" s="9"/>
      <c r="B567" s="9"/>
      <c r="C567" s="14" t="str">
        <f t="shared" si="5"/>
        <v>MetalmarkdHighly Regarded</v>
      </c>
      <c r="D567" s="16" t="s">
        <v>206</v>
      </c>
      <c r="E567" s="9" t="s">
        <v>9</v>
      </c>
      <c r="F567" s="9" t="s">
        <v>30</v>
      </c>
      <c r="H567" s="9"/>
      <c r="I567" s="9"/>
      <c r="J567" s="9"/>
      <c r="K567" s="9"/>
      <c r="L567" s="9"/>
      <c r="M567" s="9"/>
      <c r="N567" s="9"/>
      <c r="O567" s="9"/>
      <c r="P567" s="9"/>
      <c r="Q567" s="9"/>
      <c r="R567" s="9"/>
      <c r="S567" s="9"/>
      <c r="T567" s="9"/>
      <c r="U567" s="9"/>
      <c r="V567" s="9"/>
      <c r="W567" s="9"/>
      <c r="X567" s="9"/>
      <c r="Y567" s="9"/>
      <c r="Z567" s="9"/>
      <c r="AA567" s="9"/>
      <c r="AB567" s="9"/>
      <c r="AC567" s="9"/>
    </row>
    <row r="568" spans="1:29" ht="14.4">
      <c r="A568" s="9"/>
      <c r="B568" s="9"/>
      <c r="C568" s="14" t="str">
        <f t="shared" si="5"/>
        <v>YohkoHighly Regarded</v>
      </c>
      <c r="D568" s="13" t="s">
        <v>223</v>
      </c>
      <c r="E568" s="9" t="s">
        <v>23</v>
      </c>
      <c r="F568" s="9" t="s">
        <v>30</v>
      </c>
      <c r="H568" s="9"/>
      <c r="I568" s="9"/>
      <c r="J568" s="9"/>
      <c r="K568" s="9"/>
      <c r="L568" s="9"/>
      <c r="M568" s="9"/>
      <c r="N568" s="9"/>
      <c r="O568" s="9"/>
      <c r="P568" s="9"/>
      <c r="Q568" s="9"/>
      <c r="R568" s="9"/>
      <c r="S568" s="9"/>
      <c r="T568" s="9"/>
      <c r="U568" s="9"/>
      <c r="V568" s="9"/>
      <c r="W568" s="9"/>
      <c r="X568" s="9"/>
      <c r="Y568" s="9"/>
      <c r="Z568" s="9"/>
      <c r="AA568" s="9"/>
      <c r="AB568" s="9"/>
      <c r="AC568" s="9"/>
    </row>
    <row r="569" spans="1:29" ht="14.4">
      <c r="A569" s="9"/>
      <c r="B569" s="9"/>
      <c r="C569" s="14" t="str">
        <f t="shared" si="5"/>
        <v>AnimaPainEyeHighly Regarded</v>
      </c>
      <c r="D569" s="13" t="s">
        <v>202</v>
      </c>
      <c r="E569" s="9" t="s">
        <v>9</v>
      </c>
      <c r="F569" s="9" t="s">
        <v>30</v>
      </c>
      <c r="H569" s="9"/>
      <c r="I569" s="9"/>
      <c r="J569" s="9"/>
      <c r="K569" s="9"/>
      <c r="L569" s="9"/>
      <c r="M569" s="9"/>
      <c r="N569" s="9"/>
      <c r="O569" s="9"/>
      <c r="P569" s="9"/>
      <c r="Q569" s="9"/>
      <c r="R569" s="9"/>
      <c r="S569" s="9"/>
      <c r="T569" s="9"/>
      <c r="U569" s="9"/>
      <c r="V569" s="9"/>
      <c r="W569" s="9"/>
      <c r="X569" s="9"/>
      <c r="Y569" s="9"/>
      <c r="Z569" s="9"/>
      <c r="AA569" s="9"/>
      <c r="AB569" s="9"/>
      <c r="AC569" s="9"/>
    </row>
    <row r="570" spans="1:29" ht="14.4">
      <c r="A570" s="9"/>
      <c r="B570" s="9"/>
      <c r="C570" s="14" t="str">
        <f t="shared" si="5"/>
        <v>xKanekiiTVHighly Regarded</v>
      </c>
      <c r="D570" s="13" t="s">
        <v>216</v>
      </c>
      <c r="E570" s="9" t="s">
        <v>14</v>
      </c>
      <c r="F570" s="9" t="s">
        <v>30</v>
      </c>
      <c r="H570" s="9"/>
      <c r="I570" s="9"/>
      <c r="J570" s="9"/>
      <c r="K570" s="9"/>
      <c r="L570" s="9"/>
      <c r="M570" s="9"/>
      <c r="N570" s="9"/>
      <c r="O570" s="9"/>
      <c r="P570" s="9"/>
      <c r="Q570" s="9"/>
      <c r="R570" s="9"/>
      <c r="S570" s="9"/>
      <c r="T570" s="9"/>
      <c r="U570" s="9"/>
      <c r="V570" s="9"/>
      <c r="W570" s="9"/>
      <c r="X570" s="9"/>
      <c r="Y570" s="9"/>
      <c r="Z570" s="9"/>
      <c r="AA570" s="9"/>
      <c r="AB570" s="9"/>
      <c r="AC570" s="9"/>
    </row>
    <row r="571" spans="1:29" ht="14.4">
      <c r="A571" s="9"/>
      <c r="B571" s="9"/>
      <c r="C571" s="14" t="str">
        <f t="shared" si="5"/>
        <v>Theblackhokag3Highly Regarded</v>
      </c>
      <c r="D571" s="13" t="s">
        <v>448</v>
      </c>
      <c r="E571" s="9" t="s">
        <v>14</v>
      </c>
      <c r="F571" s="9" t="s">
        <v>30</v>
      </c>
      <c r="H571" s="9"/>
      <c r="I571" s="9"/>
      <c r="J571" s="9"/>
      <c r="K571" s="9"/>
      <c r="L571" s="9"/>
      <c r="M571" s="9"/>
      <c r="N571" s="9"/>
      <c r="O571" s="9"/>
      <c r="P571" s="9"/>
      <c r="Q571" s="9"/>
      <c r="R571" s="9"/>
      <c r="S571" s="9"/>
      <c r="T571" s="9"/>
      <c r="U571" s="9"/>
      <c r="V571" s="9"/>
      <c r="W571" s="9"/>
      <c r="X571" s="9"/>
      <c r="Y571" s="9"/>
      <c r="Z571" s="9"/>
      <c r="AA571" s="9"/>
      <c r="AB571" s="9"/>
      <c r="AC571" s="9"/>
    </row>
    <row r="572" spans="1:29" ht="14.4">
      <c r="A572" s="9"/>
      <c r="B572" s="9"/>
      <c r="C572" s="14" t="str">
        <f t="shared" si="5"/>
        <v>SatomiHighly Regarded</v>
      </c>
      <c r="D572" s="13" t="s">
        <v>449</v>
      </c>
      <c r="E572" s="9" t="s">
        <v>9</v>
      </c>
      <c r="F572" s="9" t="s">
        <v>30</v>
      </c>
      <c r="H572" s="9"/>
      <c r="I572" s="9"/>
      <c r="J572" s="9"/>
      <c r="K572" s="9"/>
      <c r="L572" s="9"/>
      <c r="M572" s="9"/>
      <c r="N572" s="9"/>
      <c r="O572" s="9"/>
      <c r="P572" s="9"/>
      <c r="Q572" s="9"/>
      <c r="R572" s="9"/>
      <c r="S572" s="9"/>
      <c r="T572" s="9"/>
      <c r="U572" s="9"/>
      <c r="V572" s="9"/>
      <c r="W572" s="9"/>
      <c r="X572" s="9"/>
      <c r="Y572" s="9"/>
      <c r="Z572" s="9"/>
      <c r="AA572" s="9"/>
      <c r="AB572" s="9"/>
      <c r="AC572" s="9"/>
    </row>
    <row r="573" spans="1:29" ht="14.4">
      <c r="A573" s="9"/>
      <c r="B573" s="9"/>
      <c r="C573" s="14" t="str">
        <f t="shared" si="5"/>
        <v>SamueljJacksonnHighly Regarded</v>
      </c>
      <c r="D573" s="13" t="s">
        <v>450</v>
      </c>
      <c r="E573" s="9" t="s">
        <v>14</v>
      </c>
      <c r="F573" s="9" t="s">
        <v>30</v>
      </c>
      <c r="H573" s="9"/>
      <c r="I573" s="9"/>
      <c r="J573" s="9"/>
      <c r="K573" s="9"/>
      <c r="L573" s="9"/>
      <c r="M573" s="9"/>
      <c r="N573" s="9"/>
      <c r="O573" s="9"/>
      <c r="P573" s="9"/>
      <c r="Q573" s="9"/>
      <c r="R573" s="9"/>
      <c r="S573" s="9"/>
      <c r="T573" s="9"/>
      <c r="U573" s="9"/>
      <c r="V573" s="9"/>
      <c r="W573" s="9"/>
      <c r="X573" s="9"/>
      <c r="Y573" s="9"/>
      <c r="Z573" s="9"/>
      <c r="AA573" s="9"/>
      <c r="AB573" s="9"/>
      <c r="AC573" s="9"/>
    </row>
    <row r="574" spans="1:29" ht="14.4">
      <c r="A574" s="9"/>
      <c r="B574" s="9"/>
      <c r="C574" s="14" t="str">
        <f t="shared" si="5"/>
        <v>RespectfullyHighly Regarded</v>
      </c>
      <c r="D574" s="13" t="s">
        <v>451</v>
      </c>
      <c r="E574" s="9" t="s">
        <v>9</v>
      </c>
      <c r="F574" s="9" t="s">
        <v>30</v>
      </c>
      <c r="H574" s="9"/>
      <c r="I574" s="9"/>
      <c r="J574" s="9"/>
      <c r="K574" s="9"/>
      <c r="L574" s="9"/>
      <c r="M574" s="9"/>
      <c r="N574" s="9"/>
      <c r="O574" s="9"/>
      <c r="P574" s="9"/>
      <c r="Q574" s="9"/>
      <c r="R574" s="9"/>
      <c r="S574" s="9"/>
      <c r="T574" s="9"/>
      <c r="U574" s="9"/>
      <c r="V574" s="9"/>
      <c r="W574" s="9"/>
      <c r="X574" s="9"/>
      <c r="Y574" s="9"/>
      <c r="Z574" s="9"/>
      <c r="AA574" s="9"/>
      <c r="AB574" s="9"/>
      <c r="AC574" s="9"/>
    </row>
    <row r="575" spans="1:29" ht="14.4">
      <c r="A575" s="9"/>
      <c r="B575" s="9"/>
      <c r="C575" s="14" t="str">
        <f t="shared" si="5"/>
        <v>LeemHighly Regarded</v>
      </c>
      <c r="D575" s="13" t="s">
        <v>452</v>
      </c>
      <c r="E575" s="9" t="s">
        <v>54</v>
      </c>
      <c r="F575" s="9" t="s">
        <v>30</v>
      </c>
      <c r="H575" s="9"/>
      <c r="I575" s="9"/>
      <c r="J575" s="9"/>
      <c r="K575" s="9"/>
      <c r="L575" s="9"/>
      <c r="M575" s="9"/>
      <c r="N575" s="9"/>
      <c r="O575" s="9"/>
      <c r="P575" s="9"/>
      <c r="Q575" s="9"/>
      <c r="R575" s="9"/>
      <c r="S575" s="9"/>
      <c r="T575" s="9"/>
      <c r="U575" s="9"/>
      <c r="V575" s="9"/>
      <c r="W575" s="9"/>
      <c r="X575" s="9"/>
      <c r="Y575" s="9"/>
      <c r="Z575" s="9"/>
      <c r="AA575" s="9"/>
      <c r="AB575" s="9"/>
      <c r="AC575" s="9"/>
    </row>
    <row r="576" spans="1:29" ht="14.4">
      <c r="A576" s="9"/>
      <c r="B576" s="9"/>
      <c r="C576" s="14" t="str">
        <f t="shared" si="5"/>
        <v>jonballsHighly Regarded</v>
      </c>
      <c r="D576" s="13" t="s">
        <v>453</v>
      </c>
      <c r="E576" s="9" t="s">
        <v>9</v>
      </c>
      <c r="F576" s="9" t="s">
        <v>30</v>
      </c>
      <c r="H576" s="9"/>
      <c r="I576" s="9"/>
      <c r="J576" s="9"/>
      <c r="K576" s="9"/>
      <c r="L576" s="9"/>
      <c r="M576" s="9"/>
      <c r="N576" s="9"/>
      <c r="O576" s="9"/>
      <c r="P576" s="9"/>
      <c r="Q576" s="9"/>
      <c r="R576" s="9"/>
      <c r="S576" s="9"/>
      <c r="T576" s="9"/>
      <c r="U576" s="9"/>
      <c r="V576" s="9"/>
      <c r="W576" s="9"/>
      <c r="X576" s="9"/>
      <c r="Y576" s="9"/>
      <c r="Z576" s="9"/>
      <c r="AA576" s="9"/>
      <c r="AB576" s="9"/>
      <c r="AC576" s="9"/>
    </row>
    <row r="577" spans="1:29" ht="14.4">
      <c r="A577" s="9"/>
      <c r="B577" s="9"/>
      <c r="C577" s="14" t="str">
        <f t="shared" si="5"/>
        <v>InvalidUserHighly Regarded</v>
      </c>
      <c r="D577" s="13" t="s">
        <v>454</v>
      </c>
      <c r="E577" s="9" t="s">
        <v>14</v>
      </c>
      <c r="F577" s="9" t="s">
        <v>30</v>
      </c>
      <c r="H577" s="9"/>
      <c r="I577" s="9"/>
      <c r="J577" s="9"/>
      <c r="K577" s="9"/>
      <c r="L577" s="9"/>
      <c r="M577" s="9"/>
      <c r="N577" s="9"/>
      <c r="O577" s="9"/>
      <c r="P577" s="9"/>
      <c r="Q577" s="9"/>
      <c r="R577" s="9"/>
      <c r="S577" s="9"/>
      <c r="T577" s="9"/>
      <c r="U577" s="9"/>
      <c r="V577" s="9"/>
      <c r="W577" s="9"/>
      <c r="X577" s="9"/>
      <c r="Y577" s="9"/>
      <c r="Z577" s="9"/>
      <c r="AA577" s="9"/>
      <c r="AB577" s="9"/>
      <c r="AC577" s="9"/>
    </row>
    <row r="578" spans="1:29" ht="14.4">
      <c r="A578" s="9"/>
      <c r="B578" s="9"/>
      <c r="C578" s="14" t="str">
        <f t="shared" si="5"/>
        <v>hzrdHighly Regarded</v>
      </c>
      <c r="D578" s="13" t="s">
        <v>455</v>
      </c>
      <c r="E578" s="9" t="s">
        <v>45</v>
      </c>
      <c r="F578" s="9" t="s">
        <v>30</v>
      </c>
      <c r="H578" s="9"/>
      <c r="I578" s="9"/>
      <c r="J578" s="9"/>
      <c r="K578" s="9"/>
      <c r="L578" s="9"/>
      <c r="M578" s="9"/>
      <c r="N578" s="9"/>
      <c r="O578" s="9"/>
      <c r="P578" s="9"/>
      <c r="Q578" s="9"/>
      <c r="R578" s="9"/>
      <c r="S578" s="9"/>
      <c r="T578" s="9"/>
      <c r="U578" s="9"/>
      <c r="V578" s="9"/>
      <c r="W578" s="9"/>
      <c r="X578" s="9"/>
      <c r="Y578" s="9"/>
      <c r="Z578" s="9"/>
      <c r="AA578" s="9"/>
      <c r="AB578" s="9"/>
      <c r="AC578" s="9"/>
    </row>
    <row r="579" spans="1:29" ht="14.4">
      <c r="A579" s="9"/>
      <c r="B579" s="9"/>
      <c r="C579" s="14" t="str">
        <f t="shared" si="5"/>
        <v>GtzRudeBwoyHighly Regarded</v>
      </c>
      <c r="D579" s="13" t="s">
        <v>456</v>
      </c>
      <c r="E579" s="9" t="s">
        <v>48</v>
      </c>
      <c r="F579" s="9" t="s">
        <v>30</v>
      </c>
      <c r="H579" s="9"/>
      <c r="I579" s="9"/>
      <c r="J579" s="9"/>
      <c r="K579" s="9"/>
      <c r="L579" s="9"/>
      <c r="M579" s="9"/>
      <c r="N579" s="9"/>
      <c r="O579" s="9"/>
      <c r="P579" s="9"/>
      <c r="Q579" s="9"/>
      <c r="R579" s="9"/>
      <c r="S579" s="9"/>
      <c r="T579" s="9"/>
      <c r="U579" s="9"/>
      <c r="V579" s="9"/>
      <c r="W579" s="9"/>
      <c r="X579" s="9"/>
      <c r="Y579" s="9"/>
      <c r="Z579" s="9"/>
      <c r="AA579" s="9"/>
      <c r="AB579" s="9"/>
      <c r="AC579" s="9"/>
    </row>
    <row r="580" spans="1:29" ht="14.4">
      <c r="A580" s="9"/>
      <c r="B580" s="9"/>
      <c r="C580" s="14" t="str">
        <f t="shared" si="5"/>
        <v>AttrailHighly Regarded</v>
      </c>
      <c r="D580" s="13" t="s">
        <v>457</v>
      </c>
      <c r="E580" s="9" t="s">
        <v>24</v>
      </c>
      <c r="F580" s="9" t="s">
        <v>30</v>
      </c>
      <c r="H580" s="9"/>
      <c r="I580" s="9"/>
      <c r="J580" s="9"/>
      <c r="K580" s="9"/>
      <c r="L580" s="9"/>
      <c r="M580" s="9"/>
      <c r="N580" s="9"/>
      <c r="O580" s="9"/>
      <c r="P580" s="9"/>
      <c r="Q580" s="9"/>
      <c r="R580" s="9"/>
      <c r="S580" s="9"/>
      <c r="T580" s="9"/>
      <c r="U580" s="9"/>
      <c r="V580" s="9"/>
      <c r="W580" s="9"/>
      <c r="X580" s="9"/>
      <c r="Y580" s="9"/>
      <c r="Z580" s="9"/>
      <c r="AA580" s="9"/>
      <c r="AB580" s="9"/>
      <c r="AC580" s="9"/>
    </row>
    <row r="581" spans="1:29" ht="14.4">
      <c r="A581" s="9"/>
      <c r="B581" s="9"/>
      <c r="C581" s="14" t="str">
        <f t="shared" si="5"/>
        <v>PrimeSteinHighly Regarded</v>
      </c>
      <c r="D581" s="13" t="s">
        <v>458</v>
      </c>
      <c r="E581" s="9" t="s">
        <v>54</v>
      </c>
      <c r="F581" s="9" t="s">
        <v>30</v>
      </c>
      <c r="H581" s="9"/>
      <c r="I581" s="9"/>
      <c r="J581" s="9"/>
      <c r="K581" s="9"/>
      <c r="L581" s="9"/>
      <c r="M581" s="9"/>
      <c r="N581" s="9"/>
      <c r="O581" s="9"/>
      <c r="P581" s="9"/>
      <c r="Q581" s="9"/>
      <c r="R581" s="9"/>
      <c r="S581" s="9"/>
      <c r="T581" s="9"/>
      <c r="U581" s="9"/>
      <c r="V581" s="9"/>
      <c r="W581" s="9"/>
      <c r="X581" s="9"/>
      <c r="Y581" s="9"/>
      <c r="Z581" s="9"/>
      <c r="AA581" s="9"/>
      <c r="AB581" s="9"/>
      <c r="AC581" s="9"/>
    </row>
    <row r="582" spans="1:29" ht="14.4">
      <c r="A582" s="9"/>
      <c r="B582" s="9"/>
      <c r="C582" s="14" t="str">
        <f t="shared" ref="C582:C585" si="6">D582&amp;F581</f>
        <v>BLadeRagnarHighly Regarded</v>
      </c>
      <c r="D582" s="13" t="s">
        <v>459</v>
      </c>
      <c r="E582" s="18" t="s">
        <v>14</v>
      </c>
      <c r="F582" s="9" t="s">
        <v>30</v>
      </c>
      <c r="H582" s="9"/>
      <c r="I582" s="9"/>
      <c r="J582" s="9"/>
      <c r="K582" s="9"/>
      <c r="L582" s="9"/>
      <c r="M582" s="9"/>
      <c r="N582" s="9"/>
      <c r="O582" s="9"/>
      <c r="P582" s="9"/>
      <c r="Q582" s="9"/>
      <c r="R582" s="9"/>
      <c r="S582" s="9"/>
      <c r="T582" s="9"/>
      <c r="U582" s="9"/>
      <c r="V582" s="9"/>
      <c r="W582" s="9"/>
      <c r="X582" s="9"/>
      <c r="Y582" s="9"/>
      <c r="Z582" s="9"/>
      <c r="AA582" s="9"/>
      <c r="AB582" s="9"/>
      <c r="AC582" s="9"/>
    </row>
    <row r="583" spans="1:29" ht="14.4">
      <c r="A583" s="9"/>
      <c r="B583" s="9"/>
      <c r="C583" s="14" t="str">
        <f t="shared" si="6"/>
        <v>SamuelJacksonHighly Regarded</v>
      </c>
      <c r="D583" s="13" t="s">
        <v>460</v>
      </c>
      <c r="E583" s="9" t="s">
        <v>9</v>
      </c>
      <c r="F583" s="9" t="s">
        <v>30</v>
      </c>
      <c r="H583" s="9"/>
      <c r="I583" s="9"/>
      <c r="J583" s="9"/>
      <c r="K583" s="9"/>
      <c r="L583" s="9"/>
      <c r="M583" s="9"/>
      <c r="N583" s="9"/>
      <c r="O583" s="9"/>
      <c r="P583" s="9"/>
      <c r="Q583" s="9"/>
      <c r="R583" s="9"/>
      <c r="S583" s="9"/>
      <c r="T583" s="9"/>
      <c r="U583" s="9"/>
      <c r="V583" s="9"/>
      <c r="W583" s="9"/>
      <c r="X583" s="9"/>
      <c r="Y583" s="9"/>
      <c r="Z583" s="9"/>
      <c r="AA583" s="9"/>
      <c r="AB583" s="9"/>
      <c r="AC583" s="9"/>
    </row>
    <row r="584" spans="1:29" ht="14.4">
      <c r="A584" s="9"/>
      <c r="B584" s="9"/>
      <c r="C584" s="14" t="str">
        <f t="shared" si="6"/>
        <v>InvaIidUserHighly Regarded</v>
      </c>
      <c r="D584" s="13" t="s">
        <v>461</v>
      </c>
      <c r="E584" s="9" t="s">
        <v>14</v>
      </c>
      <c r="F584" s="9" t="s">
        <v>30</v>
      </c>
      <c r="H584" s="9"/>
      <c r="I584" s="9"/>
      <c r="J584" s="9"/>
      <c r="K584" s="9"/>
      <c r="L584" s="9"/>
      <c r="M584" s="9"/>
      <c r="N584" s="9"/>
      <c r="O584" s="9"/>
      <c r="P584" s="9"/>
      <c r="Q584" s="9"/>
      <c r="R584" s="9"/>
      <c r="S584" s="9"/>
      <c r="T584" s="9"/>
      <c r="U584" s="9"/>
      <c r="V584" s="9"/>
      <c r="W584" s="9"/>
      <c r="X584" s="9"/>
      <c r="Y584" s="9"/>
      <c r="Z584" s="9"/>
      <c r="AA584" s="9"/>
      <c r="AB584" s="9"/>
      <c r="AC584" s="9"/>
    </row>
    <row r="585" spans="1:29" ht="14.4">
      <c r="A585" s="9"/>
      <c r="B585" s="9"/>
      <c r="C585" s="14" t="str">
        <f t="shared" si="6"/>
        <v>MeatyHighly Regarded</v>
      </c>
      <c r="D585" s="13" t="s">
        <v>462</v>
      </c>
      <c r="E585" s="9" t="s">
        <v>81</v>
      </c>
      <c r="F585" s="9" t="s">
        <v>30</v>
      </c>
      <c r="H585" s="9"/>
      <c r="I585" s="9"/>
      <c r="J585" s="9"/>
      <c r="K585" s="9"/>
      <c r="L585" s="9"/>
      <c r="M585" s="9"/>
      <c r="N585" s="9"/>
      <c r="O585" s="9"/>
      <c r="P585" s="9"/>
      <c r="Q585" s="9"/>
      <c r="R585" s="9"/>
      <c r="S585" s="9"/>
      <c r="T585" s="9"/>
      <c r="U585" s="9"/>
      <c r="V585" s="9"/>
      <c r="W585" s="9"/>
      <c r="X585" s="9"/>
      <c r="Y585" s="9"/>
      <c r="Z585" s="9"/>
      <c r="AA585" s="9"/>
      <c r="AB585" s="9"/>
      <c r="AC585" s="9"/>
    </row>
    <row r="586" spans="1:29" ht="13.2">
      <c r="A586" s="9"/>
      <c r="B586" s="9"/>
      <c r="C586" s="14"/>
      <c r="H586" s="9"/>
      <c r="I586" s="9"/>
      <c r="J586" s="9"/>
      <c r="K586" s="9"/>
      <c r="L586" s="9"/>
      <c r="M586" s="9"/>
      <c r="N586" s="9"/>
      <c r="O586" s="9"/>
      <c r="P586" s="9"/>
      <c r="Q586" s="9"/>
      <c r="R586" s="9"/>
      <c r="S586" s="9"/>
      <c r="T586" s="9"/>
      <c r="U586" s="9"/>
      <c r="V586" s="9"/>
      <c r="W586" s="9"/>
      <c r="X586" s="9"/>
      <c r="Y586" s="9"/>
      <c r="Z586" s="9"/>
      <c r="AA586" s="9"/>
      <c r="AB586" s="9"/>
      <c r="AC586" s="9"/>
    </row>
    <row r="587" spans="1:29" ht="13.2">
      <c r="A587" s="9"/>
      <c r="B587" s="9"/>
      <c r="C587" s="14"/>
      <c r="D587" s="9"/>
      <c r="E587" s="9"/>
      <c r="F587" s="9"/>
      <c r="H587" s="9"/>
      <c r="I587" s="9"/>
      <c r="J587" s="9"/>
      <c r="K587" s="9"/>
      <c r="L587" s="9"/>
      <c r="M587" s="9"/>
      <c r="N587" s="9"/>
      <c r="O587" s="9"/>
      <c r="P587" s="9"/>
      <c r="Q587" s="9"/>
      <c r="R587" s="9"/>
      <c r="S587" s="9"/>
      <c r="T587" s="9"/>
      <c r="U587" s="9"/>
      <c r="V587" s="9"/>
      <c r="W587" s="9"/>
      <c r="X587" s="9"/>
      <c r="Y587" s="9"/>
      <c r="Z587" s="9"/>
      <c r="AA587" s="9"/>
      <c r="AB587" s="9"/>
      <c r="AC587" s="9"/>
    </row>
    <row r="588" spans="1:29" ht="13.2">
      <c r="A588" s="9"/>
      <c r="B588" s="9"/>
      <c r="C588" s="14"/>
      <c r="D588" s="9"/>
      <c r="E588" s="9"/>
      <c r="F588" s="9"/>
      <c r="H588" s="9"/>
      <c r="I588" s="9"/>
      <c r="J588" s="9"/>
      <c r="K588" s="9"/>
      <c r="L588" s="9"/>
      <c r="M588" s="9"/>
      <c r="N588" s="9"/>
      <c r="O588" s="9"/>
      <c r="P588" s="9"/>
      <c r="Q588" s="9"/>
      <c r="R588" s="9"/>
      <c r="S588" s="9"/>
      <c r="T588" s="9"/>
      <c r="U588" s="9"/>
      <c r="V588" s="9"/>
      <c r="W588" s="9"/>
      <c r="X588" s="9"/>
      <c r="Y588" s="9"/>
      <c r="Z588" s="9"/>
      <c r="AA588" s="9"/>
      <c r="AB588" s="9"/>
      <c r="AC588" s="9"/>
    </row>
    <row r="589" spans="1:29" ht="13.2">
      <c r="A589" s="9"/>
      <c r="B589" s="9"/>
      <c r="C589" s="14"/>
      <c r="D589" s="9"/>
      <c r="E589" s="9"/>
      <c r="F589" s="9"/>
      <c r="H589" s="9"/>
      <c r="I589" s="9"/>
      <c r="J589" s="9"/>
      <c r="K589" s="9"/>
      <c r="L589" s="9"/>
      <c r="M589" s="9"/>
      <c r="N589" s="9"/>
      <c r="O589" s="9"/>
      <c r="P589" s="9"/>
      <c r="Q589" s="9"/>
      <c r="R589" s="9"/>
      <c r="S589" s="9"/>
      <c r="T589" s="9"/>
      <c r="U589" s="9"/>
      <c r="V589" s="9"/>
      <c r="W589" s="9"/>
      <c r="X589" s="9"/>
      <c r="Y589" s="9"/>
      <c r="Z589" s="9"/>
      <c r="AA589" s="9"/>
      <c r="AB589" s="9"/>
      <c r="AC589" s="9"/>
    </row>
    <row r="590" spans="1:29" ht="13.2">
      <c r="A590" s="9"/>
      <c r="B590" s="9"/>
      <c r="C590" s="14"/>
      <c r="D590" s="9"/>
      <c r="E590" s="9"/>
      <c r="F590" s="9"/>
      <c r="H590" s="9"/>
      <c r="I590" s="9"/>
      <c r="J590" s="9"/>
      <c r="K590" s="9"/>
      <c r="L590" s="9"/>
      <c r="M590" s="9"/>
      <c r="N590" s="9"/>
      <c r="O590" s="9"/>
      <c r="P590" s="9"/>
      <c r="Q590" s="9"/>
      <c r="R590" s="9"/>
      <c r="S590" s="9"/>
      <c r="T590" s="9"/>
      <c r="U590" s="9"/>
      <c r="V590" s="9"/>
      <c r="W590" s="9"/>
      <c r="X590" s="9"/>
      <c r="Y590" s="9"/>
      <c r="Z590" s="9"/>
      <c r="AA590" s="9"/>
      <c r="AB590" s="9"/>
      <c r="AC590" s="9"/>
    </row>
    <row r="591" spans="1:29" ht="13.2">
      <c r="A591" s="9"/>
      <c r="B591" s="9"/>
      <c r="C591" s="14"/>
      <c r="D591" s="9"/>
      <c r="E591" s="9"/>
      <c r="F591" s="9"/>
      <c r="H591" s="9"/>
      <c r="I591" s="9"/>
      <c r="J591" s="9"/>
      <c r="K591" s="9"/>
      <c r="L591" s="9"/>
      <c r="M591" s="9"/>
      <c r="N591" s="9"/>
      <c r="O591" s="9"/>
      <c r="P591" s="9"/>
      <c r="Q591" s="9"/>
      <c r="R591" s="9"/>
      <c r="S591" s="9"/>
      <c r="T591" s="9"/>
      <c r="U591" s="9"/>
      <c r="V591" s="9"/>
      <c r="W591" s="9"/>
      <c r="X591" s="9"/>
      <c r="Y591" s="9"/>
      <c r="Z591" s="9"/>
      <c r="AA591" s="9"/>
      <c r="AB591" s="9"/>
      <c r="AC591" s="9"/>
    </row>
    <row r="592" spans="1:29" ht="13.2">
      <c r="A592" s="9"/>
      <c r="B592" s="9"/>
      <c r="C592" s="14"/>
      <c r="D592" s="9"/>
      <c r="E592" s="9"/>
      <c r="F592" s="9"/>
      <c r="H592" s="9"/>
      <c r="I592" s="9"/>
      <c r="J592" s="9"/>
      <c r="K592" s="9"/>
      <c r="L592" s="9"/>
      <c r="M592" s="9"/>
      <c r="N592" s="9"/>
      <c r="O592" s="9"/>
      <c r="P592" s="9"/>
      <c r="Q592" s="9"/>
      <c r="R592" s="9"/>
      <c r="S592" s="9"/>
      <c r="T592" s="9"/>
      <c r="U592" s="9"/>
      <c r="V592" s="9"/>
      <c r="W592" s="9"/>
      <c r="X592" s="9"/>
      <c r="Y592" s="9"/>
      <c r="Z592" s="9"/>
      <c r="AA592" s="9"/>
      <c r="AB592" s="9"/>
      <c r="AC592" s="9"/>
    </row>
    <row r="593" spans="1:29" ht="13.2">
      <c r="A593" s="9"/>
      <c r="B593" s="9"/>
      <c r="C593" s="14"/>
      <c r="D593" s="9"/>
      <c r="E593" s="9"/>
      <c r="F593" s="9"/>
      <c r="H593" s="9"/>
      <c r="I593" s="9"/>
      <c r="J593" s="9"/>
      <c r="K593" s="9"/>
      <c r="L593" s="9"/>
      <c r="M593" s="9"/>
      <c r="N593" s="9"/>
      <c r="O593" s="9"/>
      <c r="P593" s="9"/>
      <c r="Q593" s="9"/>
      <c r="R593" s="9"/>
      <c r="S593" s="9"/>
      <c r="T593" s="9"/>
      <c r="U593" s="9"/>
      <c r="V593" s="9"/>
      <c r="W593" s="9"/>
      <c r="X593" s="9"/>
      <c r="Y593" s="9"/>
      <c r="Z593" s="9"/>
      <c r="AA593" s="9"/>
      <c r="AB593" s="9"/>
      <c r="AC593" s="9"/>
    </row>
    <row r="594" spans="1:29" ht="13.2">
      <c r="A594" s="9"/>
      <c r="B594" s="9"/>
      <c r="C594" s="14"/>
      <c r="D594" s="9"/>
      <c r="E594" s="9"/>
      <c r="F594" s="9"/>
      <c r="H594" s="9"/>
      <c r="I594" s="9"/>
      <c r="J594" s="9"/>
      <c r="K594" s="9"/>
      <c r="L594" s="9"/>
      <c r="M594" s="9"/>
      <c r="N594" s="9"/>
      <c r="O594" s="9"/>
      <c r="P594" s="9"/>
      <c r="Q594" s="9"/>
      <c r="R594" s="9"/>
      <c r="S594" s="9"/>
      <c r="T594" s="9"/>
      <c r="U594" s="9"/>
      <c r="V594" s="9"/>
      <c r="W594" s="9"/>
      <c r="X594" s="9"/>
      <c r="Y594" s="9"/>
      <c r="Z594" s="9"/>
      <c r="AA594" s="9"/>
      <c r="AB594" s="9"/>
      <c r="AC594" s="9"/>
    </row>
    <row r="595" spans="1:29" ht="13.2">
      <c r="A595" s="9"/>
      <c r="B595" s="9"/>
      <c r="C595" s="14"/>
      <c r="D595" s="9"/>
      <c r="E595" s="9"/>
      <c r="F595" s="9"/>
      <c r="H595" s="9"/>
      <c r="I595" s="9"/>
      <c r="J595" s="9"/>
      <c r="K595" s="9"/>
      <c r="L595" s="9"/>
      <c r="M595" s="9"/>
      <c r="N595" s="9"/>
      <c r="O595" s="9"/>
      <c r="P595" s="9"/>
      <c r="Q595" s="9"/>
      <c r="R595" s="9"/>
      <c r="S595" s="9"/>
      <c r="T595" s="9"/>
      <c r="U595" s="9"/>
      <c r="V595" s="9"/>
      <c r="W595" s="9"/>
      <c r="X595" s="9"/>
      <c r="Y595" s="9"/>
      <c r="Z595" s="9"/>
      <c r="AA595" s="9"/>
      <c r="AB595" s="9"/>
      <c r="AC595" s="9"/>
    </row>
    <row r="596" spans="1:29" ht="13.2">
      <c r="A596" s="9"/>
      <c r="B596" s="9"/>
      <c r="C596" s="14"/>
      <c r="D596" s="9"/>
      <c r="E596" s="9"/>
      <c r="F596" s="9"/>
      <c r="H596" s="9"/>
      <c r="I596" s="9"/>
      <c r="J596" s="9"/>
      <c r="K596" s="9"/>
      <c r="L596" s="9"/>
      <c r="M596" s="9"/>
      <c r="N596" s="9"/>
      <c r="O596" s="9"/>
      <c r="P596" s="9"/>
      <c r="Q596" s="9"/>
      <c r="R596" s="9"/>
      <c r="S596" s="9"/>
      <c r="T596" s="9"/>
      <c r="U596" s="9"/>
      <c r="V596" s="9"/>
      <c r="W596" s="9"/>
      <c r="X596" s="9"/>
      <c r="Y596" s="9"/>
      <c r="Z596" s="9"/>
      <c r="AA596" s="9"/>
      <c r="AB596" s="9"/>
      <c r="AC596" s="9"/>
    </row>
    <row r="597" spans="1:29" ht="13.2">
      <c r="A597" s="9"/>
      <c r="B597" s="9"/>
      <c r="C597" s="14"/>
      <c r="D597" s="9"/>
      <c r="E597" s="9"/>
      <c r="F597" s="9"/>
      <c r="H597" s="9"/>
      <c r="I597" s="9"/>
      <c r="J597" s="9"/>
      <c r="K597" s="9"/>
      <c r="L597" s="9"/>
      <c r="M597" s="9"/>
      <c r="N597" s="9"/>
      <c r="O597" s="9"/>
      <c r="P597" s="9"/>
      <c r="Q597" s="9"/>
      <c r="R597" s="9"/>
      <c r="S597" s="9"/>
      <c r="T597" s="9"/>
      <c r="U597" s="9"/>
      <c r="V597" s="9"/>
      <c r="W597" s="9"/>
      <c r="X597" s="9"/>
      <c r="Y597" s="9"/>
      <c r="Z597" s="9"/>
      <c r="AA597" s="9"/>
      <c r="AB597" s="9"/>
      <c r="AC597" s="9"/>
    </row>
    <row r="598" spans="1:29" ht="13.2">
      <c r="A598" s="9"/>
      <c r="B598" s="9"/>
      <c r="C598" s="14"/>
      <c r="D598" s="9"/>
      <c r="E598" s="9"/>
      <c r="F598" s="9"/>
      <c r="H598" s="9"/>
      <c r="I598" s="9"/>
      <c r="J598" s="9"/>
      <c r="K598" s="9"/>
      <c r="L598" s="9"/>
      <c r="M598" s="9"/>
      <c r="N598" s="9"/>
      <c r="O598" s="9"/>
      <c r="P598" s="9"/>
      <c r="Q598" s="9"/>
      <c r="R598" s="9"/>
      <c r="S598" s="9"/>
      <c r="T598" s="9"/>
      <c r="U598" s="9"/>
      <c r="V598" s="9"/>
      <c r="W598" s="9"/>
      <c r="X598" s="9"/>
      <c r="Y598" s="9"/>
      <c r="Z598" s="9"/>
      <c r="AA598" s="9"/>
      <c r="AB598" s="9"/>
      <c r="AC598" s="9"/>
    </row>
    <row r="599" spans="1:29" ht="13.2">
      <c r="A599" s="9"/>
      <c r="B599" s="9"/>
      <c r="C599" s="14"/>
      <c r="D599" s="9"/>
      <c r="E599" s="9"/>
      <c r="F599" s="9"/>
      <c r="H599" s="9"/>
      <c r="I599" s="9"/>
      <c r="J599" s="9"/>
      <c r="K599" s="9"/>
      <c r="L599" s="9"/>
      <c r="M599" s="9"/>
      <c r="N599" s="9"/>
      <c r="O599" s="9"/>
      <c r="P599" s="9"/>
      <c r="Q599" s="9"/>
      <c r="R599" s="9"/>
      <c r="S599" s="9"/>
      <c r="T599" s="9"/>
      <c r="U599" s="9"/>
      <c r="V599" s="9"/>
      <c r="W599" s="9"/>
      <c r="X599" s="9"/>
      <c r="Y599" s="9"/>
      <c r="Z599" s="9"/>
      <c r="AA599" s="9"/>
      <c r="AB599" s="9"/>
      <c r="AC599" s="9"/>
    </row>
    <row r="600" spans="1:29" ht="13.2">
      <c r="A600" s="9"/>
      <c r="B600" s="9"/>
      <c r="C600" s="14"/>
      <c r="D600" s="9"/>
      <c r="E600" s="9"/>
      <c r="F600" s="9"/>
      <c r="H600" s="9"/>
      <c r="I600" s="9"/>
      <c r="J600" s="9"/>
      <c r="K600" s="9"/>
      <c r="L600" s="9"/>
      <c r="M600" s="9"/>
      <c r="N600" s="9"/>
      <c r="O600" s="9"/>
      <c r="P600" s="9"/>
      <c r="Q600" s="9"/>
      <c r="R600" s="9"/>
      <c r="S600" s="9"/>
      <c r="T600" s="9"/>
      <c r="U600" s="9"/>
      <c r="V600" s="9"/>
      <c r="W600" s="9"/>
      <c r="X600" s="9"/>
      <c r="Y600" s="9"/>
      <c r="Z600" s="9"/>
      <c r="AA600" s="9"/>
      <c r="AB600" s="9"/>
      <c r="AC600" s="9"/>
    </row>
    <row r="601" spans="1:29" ht="13.2">
      <c r="A601" s="9"/>
      <c r="B601" s="9"/>
      <c r="C601" s="14"/>
      <c r="D601" s="9"/>
      <c r="E601" s="9"/>
      <c r="F601" s="9"/>
      <c r="H601" s="9"/>
      <c r="I601" s="9"/>
      <c r="J601" s="9"/>
      <c r="K601" s="9"/>
      <c r="L601" s="9"/>
      <c r="M601" s="9"/>
      <c r="N601" s="9"/>
      <c r="O601" s="9"/>
      <c r="P601" s="9"/>
      <c r="Q601" s="9"/>
      <c r="R601" s="9"/>
      <c r="S601" s="9"/>
      <c r="T601" s="9"/>
      <c r="U601" s="9"/>
      <c r="V601" s="9"/>
      <c r="W601" s="9"/>
      <c r="X601" s="9"/>
      <c r="Y601" s="9"/>
      <c r="Z601" s="9"/>
      <c r="AA601" s="9"/>
      <c r="AB601" s="9"/>
      <c r="AC601" s="9"/>
    </row>
    <row r="602" spans="1:29" ht="13.2">
      <c r="A602" s="9"/>
      <c r="B602" s="9"/>
      <c r="C602" s="14"/>
      <c r="D602" s="9"/>
      <c r="E602" s="9"/>
      <c r="F602" s="9"/>
      <c r="H602" s="9"/>
      <c r="I602" s="9"/>
      <c r="J602" s="9"/>
      <c r="K602" s="9"/>
      <c r="L602" s="9"/>
      <c r="M602" s="9"/>
      <c r="N602" s="9"/>
      <c r="O602" s="9"/>
      <c r="P602" s="9"/>
      <c r="Q602" s="9"/>
      <c r="R602" s="9"/>
      <c r="S602" s="9"/>
      <c r="T602" s="9"/>
      <c r="U602" s="9"/>
      <c r="V602" s="9"/>
      <c r="W602" s="9"/>
      <c r="X602" s="9"/>
      <c r="Y602" s="9"/>
      <c r="Z602" s="9"/>
      <c r="AA602" s="9"/>
      <c r="AB602" s="9"/>
      <c r="AC602" s="9"/>
    </row>
    <row r="603" spans="1:29" ht="13.2">
      <c r="A603" s="9"/>
      <c r="B603" s="9"/>
      <c r="C603" s="14"/>
      <c r="D603" s="9"/>
      <c r="E603" s="9"/>
      <c r="F603" s="9"/>
      <c r="H603" s="9"/>
      <c r="I603" s="9"/>
      <c r="J603" s="9"/>
      <c r="K603" s="9"/>
      <c r="L603" s="9"/>
      <c r="M603" s="9"/>
      <c r="N603" s="9"/>
      <c r="O603" s="9"/>
      <c r="P603" s="9"/>
      <c r="Q603" s="9"/>
      <c r="R603" s="9"/>
      <c r="S603" s="9"/>
      <c r="T603" s="9"/>
      <c r="U603" s="9"/>
      <c r="V603" s="9"/>
      <c r="W603" s="9"/>
      <c r="X603" s="9"/>
      <c r="Y603" s="9"/>
      <c r="Z603" s="9"/>
      <c r="AA603" s="9"/>
      <c r="AB603" s="9"/>
      <c r="AC603" s="9"/>
    </row>
    <row r="604" spans="1:29" ht="13.2">
      <c r="A604" s="9"/>
      <c r="B604" s="9"/>
      <c r="C604" s="14"/>
      <c r="D604" s="9"/>
      <c r="E604" s="9"/>
      <c r="F604" s="9"/>
      <c r="H604" s="9"/>
      <c r="I604" s="9"/>
      <c r="J604" s="9"/>
      <c r="K604" s="9"/>
      <c r="L604" s="9"/>
      <c r="M604" s="9"/>
      <c r="N604" s="9"/>
      <c r="O604" s="9"/>
      <c r="P604" s="9"/>
      <c r="Q604" s="9"/>
      <c r="R604" s="9"/>
      <c r="S604" s="9"/>
      <c r="T604" s="9"/>
      <c r="U604" s="9"/>
      <c r="V604" s="9"/>
      <c r="W604" s="9"/>
      <c r="X604" s="9"/>
      <c r="Y604" s="9"/>
      <c r="Z604" s="9"/>
      <c r="AA604" s="9"/>
      <c r="AB604" s="9"/>
      <c r="AC604" s="9"/>
    </row>
    <row r="605" spans="1:29" ht="13.2">
      <c r="A605" s="9"/>
      <c r="B605" s="9"/>
      <c r="C605" s="14"/>
      <c r="D605" s="9"/>
      <c r="E605" s="9"/>
      <c r="F605" s="9"/>
      <c r="H605" s="9"/>
      <c r="I605" s="9"/>
      <c r="J605" s="9"/>
      <c r="K605" s="9"/>
      <c r="L605" s="9"/>
      <c r="M605" s="9"/>
      <c r="N605" s="9"/>
      <c r="O605" s="9"/>
      <c r="P605" s="9"/>
      <c r="Q605" s="9"/>
      <c r="R605" s="9"/>
      <c r="S605" s="9"/>
      <c r="T605" s="9"/>
      <c r="U605" s="9"/>
      <c r="V605" s="9"/>
      <c r="W605" s="9"/>
      <c r="X605" s="9"/>
      <c r="Y605" s="9"/>
      <c r="Z605" s="9"/>
      <c r="AA605" s="9"/>
      <c r="AB605" s="9"/>
      <c r="AC605" s="9"/>
    </row>
    <row r="606" spans="1:29" ht="13.2">
      <c r="A606" s="9"/>
      <c r="B606" s="9"/>
      <c r="C606" s="14"/>
      <c r="D606" s="9"/>
      <c r="E606" s="9"/>
      <c r="F606" s="9"/>
      <c r="H606" s="9"/>
      <c r="I606" s="9"/>
      <c r="J606" s="9"/>
      <c r="K606" s="9"/>
      <c r="L606" s="9"/>
      <c r="M606" s="9"/>
      <c r="N606" s="9"/>
      <c r="O606" s="9"/>
      <c r="P606" s="9"/>
      <c r="Q606" s="9"/>
      <c r="R606" s="9"/>
      <c r="S606" s="9"/>
      <c r="T606" s="9"/>
      <c r="U606" s="9"/>
      <c r="V606" s="9"/>
      <c r="W606" s="9"/>
      <c r="X606" s="9"/>
      <c r="Y606" s="9"/>
      <c r="Z606" s="9"/>
      <c r="AA606" s="9"/>
      <c r="AB606" s="9"/>
      <c r="AC606" s="9"/>
    </row>
    <row r="607" spans="1:29" ht="13.2">
      <c r="A607" s="9"/>
      <c r="B607" s="9"/>
      <c r="C607" s="14"/>
      <c r="D607" s="9"/>
      <c r="E607" s="9"/>
      <c r="F607" s="9"/>
      <c r="H607" s="9"/>
      <c r="I607" s="9"/>
      <c r="J607" s="9"/>
      <c r="K607" s="9"/>
      <c r="L607" s="9"/>
      <c r="M607" s="9"/>
      <c r="N607" s="9"/>
      <c r="O607" s="9"/>
      <c r="P607" s="9"/>
      <c r="Q607" s="9"/>
      <c r="R607" s="9"/>
      <c r="S607" s="9"/>
      <c r="T607" s="9"/>
      <c r="U607" s="9"/>
      <c r="V607" s="9"/>
      <c r="W607" s="9"/>
      <c r="X607" s="9"/>
      <c r="Y607" s="9"/>
      <c r="Z607" s="9"/>
      <c r="AA607" s="9"/>
      <c r="AB607" s="9"/>
      <c r="AC607" s="9"/>
    </row>
    <row r="608" spans="1:29" ht="13.2">
      <c r="A608" s="9"/>
      <c r="B608" s="9"/>
      <c r="C608" s="14"/>
      <c r="D608" s="9"/>
      <c r="E608" s="9"/>
      <c r="F608" s="9"/>
      <c r="H608" s="9"/>
      <c r="I608" s="9"/>
      <c r="J608" s="9"/>
      <c r="K608" s="9"/>
      <c r="L608" s="9"/>
      <c r="M608" s="9"/>
      <c r="N608" s="9"/>
      <c r="O608" s="9"/>
      <c r="P608" s="9"/>
      <c r="Q608" s="9"/>
      <c r="R608" s="9"/>
      <c r="S608" s="9"/>
      <c r="T608" s="9"/>
      <c r="U608" s="9"/>
      <c r="V608" s="9"/>
      <c r="W608" s="9"/>
      <c r="X608" s="9"/>
      <c r="Y608" s="9"/>
      <c r="Z608" s="9"/>
      <c r="AA608" s="9"/>
      <c r="AB608" s="9"/>
      <c r="AC608" s="9"/>
    </row>
    <row r="609" spans="1:29" ht="13.2">
      <c r="A609" s="9"/>
      <c r="B609" s="9"/>
      <c r="C609" s="14"/>
      <c r="D609" s="9"/>
      <c r="E609" s="9"/>
      <c r="F609" s="9"/>
      <c r="H609" s="9"/>
      <c r="I609" s="9"/>
      <c r="J609" s="9"/>
      <c r="K609" s="9"/>
      <c r="L609" s="9"/>
      <c r="M609" s="9"/>
      <c r="N609" s="9"/>
      <c r="O609" s="9"/>
      <c r="P609" s="9"/>
      <c r="Q609" s="9"/>
      <c r="R609" s="9"/>
      <c r="S609" s="9"/>
      <c r="T609" s="9"/>
      <c r="U609" s="9"/>
      <c r="V609" s="9"/>
      <c r="W609" s="9"/>
      <c r="X609" s="9"/>
      <c r="Y609" s="9"/>
      <c r="Z609" s="9"/>
      <c r="AA609" s="9"/>
      <c r="AB609" s="9"/>
      <c r="AC609" s="9"/>
    </row>
    <row r="610" spans="1:29" ht="13.2">
      <c r="A610" s="9"/>
      <c r="B610" s="9"/>
      <c r="C610" s="14"/>
      <c r="D610" s="9"/>
      <c r="E610" s="9"/>
      <c r="F610" s="9"/>
      <c r="H610" s="9"/>
      <c r="I610" s="9"/>
      <c r="J610" s="9"/>
      <c r="K610" s="9"/>
      <c r="L610" s="9"/>
      <c r="M610" s="9"/>
      <c r="N610" s="9"/>
      <c r="O610" s="9"/>
      <c r="P610" s="9"/>
      <c r="Q610" s="9"/>
      <c r="R610" s="9"/>
      <c r="S610" s="9"/>
      <c r="T610" s="9"/>
      <c r="U610" s="9"/>
      <c r="V610" s="9"/>
      <c r="W610" s="9"/>
      <c r="X610" s="9"/>
      <c r="Y610" s="9"/>
      <c r="Z610" s="9"/>
      <c r="AA610" s="9"/>
      <c r="AB610" s="9"/>
      <c r="AC610" s="9"/>
    </row>
    <row r="611" spans="1:29" ht="13.2">
      <c r="A611" s="9"/>
      <c r="B611" s="9"/>
      <c r="C611" s="14"/>
      <c r="D611" s="9"/>
      <c r="E611" s="9"/>
      <c r="F611" s="9"/>
      <c r="H611" s="9"/>
      <c r="I611" s="9"/>
      <c r="J611" s="9"/>
      <c r="K611" s="9"/>
      <c r="L611" s="9"/>
      <c r="M611" s="9"/>
      <c r="N611" s="9"/>
      <c r="O611" s="9"/>
      <c r="P611" s="9"/>
      <c r="Q611" s="9"/>
      <c r="R611" s="9"/>
      <c r="S611" s="9"/>
      <c r="T611" s="9"/>
      <c r="U611" s="9"/>
      <c r="V611" s="9"/>
      <c r="W611" s="9"/>
      <c r="X611" s="9"/>
      <c r="Y611" s="9"/>
      <c r="Z611" s="9"/>
      <c r="AA611" s="9"/>
      <c r="AB611" s="9"/>
      <c r="AC611" s="9"/>
    </row>
    <row r="612" spans="1:29" ht="13.2">
      <c r="A612" s="9"/>
      <c r="B612" s="9"/>
      <c r="C612" s="14"/>
      <c r="D612" s="9"/>
      <c r="E612" s="9"/>
      <c r="F612" s="9"/>
      <c r="H612" s="9"/>
      <c r="I612" s="9"/>
      <c r="J612" s="9"/>
      <c r="K612" s="9"/>
      <c r="L612" s="9"/>
      <c r="M612" s="9"/>
      <c r="N612" s="9"/>
      <c r="O612" s="9"/>
      <c r="P612" s="9"/>
      <c r="Q612" s="9"/>
      <c r="R612" s="9"/>
      <c r="S612" s="9"/>
      <c r="T612" s="9"/>
      <c r="U612" s="9"/>
      <c r="V612" s="9"/>
      <c r="W612" s="9"/>
      <c r="X612" s="9"/>
      <c r="Y612" s="9"/>
      <c r="Z612" s="9"/>
      <c r="AA612" s="9"/>
      <c r="AB612" s="9"/>
      <c r="AC612" s="9"/>
    </row>
    <row r="613" spans="1:29" ht="13.2">
      <c r="A613" s="9"/>
      <c r="B613" s="9"/>
      <c r="C613" s="14"/>
      <c r="D613" s="9"/>
      <c r="E613" s="9"/>
      <c r="F613" s="9"/>
      <c r="H613" s="9"/>
      <c r="I613" s="9"/>
      <c r="J613" s="9"/>
      <c r="K613" s="9"/>
      <c r="L613" s="9"/>
      <c r="M613" s="9"/>
      <c r="N613" s="9"/>
      <c r="O613" s="9"/>
      <c r="P613" s="9"/>
      <c r="Q613" s="9"/>
      <c r="R613" s="9"/>
      <c r="S613" s="9"/>
      <c r="T613" s="9"/>
      <c r="U613" s="9"/>
      <c r="V613" s="9"/>
      <c r="W613" s="9"/>
      <c r="X613" s="9"/>
      <c r="Y613" s="9"/>
      <c r="Z613" s="9"/>
      <c r="AA613" s="9"/>
      <c r="AB613" s="9"/>
      <c r="AC613" s="9"/>
    </row>
    <row r="614" spans="1:29" ht="13.2">
      <c r="A614" s="9"/>
      <c r="B614" s="9"/>
      <c r="C614" s="14"/>
      <c r="D614" s="9"/>
      <c r="E614" s="9"/>
      <c r="F614" s="9"/>
      <c r="H614" s="9"/>
      <c r="I614" s="9"/>
      <c r="J614" s="9"/>
      <c r="K614" s="9"/>
      <c r="L614" s="9"/>
      <c r="M614" s="9"/>
      <c r="N614" s="9"/>
      <c r="O614" s="9"/>
      <c r="P614" s="9"/>
      <c r="Q614" s="9"/>
      <c r="R614" s="9"/>
      <c r="S614" s="9"/>
      <c r="T614" s="9"/>
      <c r="U614" s="9"/>
      <c r="V614" s="9"/>
      <c r="W614" s="9"/>
      <c r="X614" s="9"/>
      <c r="Y614" s="9"/>
      <c r="Z614" s="9"/>
      <c r="AA614" s="9"/>
      <c r="AB614" s="9"/>
      <c r="AC614" s="9"/>
    </row>
    <row r="615" spans="1:29" ht="13.2">
      <c r="A615" s="9"/>
      <c r="B615" s="9"/>
      <c r="C615" s="14"/>
      <c r="D615" s="9"/>
      <c r="E615" s="9"/>
      <c r="F615" s="9"/>
      <c r="H615" s="9"/>
      <c r="I615" s="9"/>
      <c r="J615" s="9"/>
      <c r="K615" s="9"/>
      <c r="L615" s="9"/>
      <c r="M615" s="9"/>
      <c r="N615" s="9"/>
      <c r="O615" s="9"/>
      <c r="P615" s="9"/>
      <c r="Q615" s="9"/>
      <c r="R615" s="9"/>
      <c r="S615" s="9"/>
      <c r="T615" s="9"/>
      <c r="U615" s="9"/>
      <c r="V615" s="9"/>
      <c r="W615" s="9"/>
      <c r="X615" s="9"/>
      <c r="Y615" s="9"/>
      <c r="Z615" s="9"/>
      <c r="AA615" s="9"/>
      <c r="AB615" s="9"/>
      <c r="AC615" s="9"/>
    </row>
    <row r="616" spans="1:29" ht="13.2">
      <c r="A616" s="9"/>
      <c r="B616" s="9"/>
      <c r="C616" s="14"/>
      <c r="D616" s="9"/>
      <c r="E616" s="9"/>
      <c r="F616" s="9"/>
      <c r="H616" s="9"/>
      <c r="I616" s="9"/>
      <c r="J616" s="9"/>
      <c r="K616" s="9"/>
      <c r="L616" s="9"/>
      <c r="M616" s="9"/>
      <c r="N616" s="9"/>
      <c r="O616" s="9"/>
      <c r="P616" s="9"/>
      <c r="Q616" s="9"/>
      <c r="R616" s="9"/>
      <c r="S616" s="9"/>
      <c r="T616" s="9"/>
      <c r="U616" s="9"/>
      <c r="V616" s="9"/>
      <c r="W616" s="9"/>
      <c r="X616" s="9"/>
      <c r="Y616" s="9"/>
      <c r="Z616" s="9"/>
      <c r="AA616" s="9"/>
      <c r="AB616" s="9"/>
      <c r="AC616" s="9"/>
    </row>
    <row r="617" spans="1:29" ht="13.2">
      <c r="A617" s="9"/>
      <c r="B617" s="9"/>
      <c r="C617" s="14"/>
      <c r="D617" s="9"/>
      <c r="E617" s="9"/>
      <c r="F617" s="9"/>
      <c r="H617" s="9"/>
      <c r="I617" s="9"/>
      <c r="J617" s="9"/>
      <c r="K617" s="9"/>
      <c r="L617" s="9"/>
      <c r="M617" s="9"/>
      <c r="N617" s="9"/>
      <c r="O617" s="9"/>
      <c r="P617" s="9"/>
      <c r="Q617" s="9"/>
      <c r="R617" s="9"/>
      <c r="S617" s="9"/>
      <c r="T617" s="9"/>
      <c r="U617" s="9"/>
      <c r="V617" s="9"/>
      <c r="W617" s="9"/>
      <c r="X617" s="9"/>
      <c r="Y617" s="9"/>
      <c r="Z617" s="9"/>
      <c r="AA617" s="9"/>
      <c r="AB617" s="9"/>
      <c r="AC617" s="9"/>
    </row>
    <row r="618" spans="1:29" ht="13.2">
      <c r="A618" s="9"/>
      <c r="B618" s="9"/>
      <c r="C618" s="14"/>
      <c r="D618" s="9"/>
      <c r="E618" s="9"/>
      <c r="F618" s="9"/>
      <c r="H618" s="9"/>
      <c r="I618" s="9"/>
      <c r="J618" s="9"/>
      <c r="K618" s="9"/>
      <c r="L618" s="9"/>
      <c r="M618" s="9"/>
      <c r="N618" s="9"/>
      <c r="O618" s="9"/>
      <c r="P618" s="9"/>
      <c r="Q618" s="9"/>
      <c r="R618" s="9"/>
      <c r="S618" s="9"/>
      <c r="T618" s="9"/>
      <c r="U618" s="9"/>
      <c r="V618" s="9"/>
      <c r="W618" s="9"/>
      <c r="X618" s="9"/>
      <c r="Y618" s="9"/>
      <c r="Z618" s="9"/>
      <c r="AA618" s="9"/>
      <c r="AB618" s="9"/>
      <c r="AC618" s="9"/>
    </row>
    <row r="619" spans="1:29" ht="13.2">
      <c r="A619" s="9"/>
      <c r="B619" s="9"/>
      <c r="C619" s="14"/>
      <c r="D619" s="9"/>
      <c r="E619" s="9"/>
      <c r="F619" s="9"/>
      <c r="H619" s="9"/>
      <c r="I619" s="9"/>
      <c r="J619" s="9"/>
      <c r="K619" s="9"/>
      <c r="L619" s="9"/>
      <c r="M619" s="9"/>
      <c r="N619" s="9"/>
      <c r="O619" s="9"/>
      <c r="P619" s="9"/>
      <c r="Q619" s="9"/>
      <c r="R619" s="9"/>
      <c r="S619" s="9"/>
      <c r="T619" s="9"/>
      <c r="U619" s="9"/>
      <c r="V619" s="9"/>
      <c r="W619" s="9"/>
      <c r="X619" s="9"/>
      <c r="Y619" s="9"/>
      <c r="Z619" s="9"/>
      <c r="AA619" s="9"/>
      <c r="AB619" s="9"/>
      <c r="AC619" s="9"/>
    </row>
    <row r="620" spans="1:29" ht="13.2">
      <c r="A620" s="9"/>
      <c r="B620" s="9"/>
      <c r="C620" s="14"/>
      <c r="D620" s="9"/>
      <c r="E620" s="9"/>
      <c r="F620" s="9"/>
      <c r="H620" s="9"/>
      <c r="I620" s="9"/>
      <c r="J620" s="9"/>
      <c r="K620" s="9"/>
      <c r="L620" s="9"/>
      <c r="M620" s="9"/>
      <c r="N620" s="9"/>
      <c r="O620" s="9"/>
      <c r="P620" s="9"/>
      <c r="Q620" s="9"/>
      <c r="R620" s="9"/>
      <c r="S620" s="9"/>
      <c r="T620" s="9"/>
      <c r="U620" s="9"/>
      <c r="V620" s="9"/>
      <c r="W620" s="9"/>
      <c r="X620" s="9"/>
      <c r="Y620" s="9"/>
      <c r="Z620" s="9"/>
      <c r="AA620" s="9"/>
      <c r="AB620" s="9"/>
      <c r="AC620" s="9"/>
    </row>
    <row r="621" spans="1:29" ht="13.2">
      <c r="A621" s="9"/>
      <c r="B621" s="9"/>
      <c r="C621" s="14"/>
      <c r="D621" s="9"/>
      <c r="E621" s="9"/>
      <c r="F621" s="9"/>
      <c r="H621" s="9"/>
      <c r="I621" s="9"/>
      <c r="J621" s="9"/>
      <c r="K621" s="9"/>
      <c r="L621" s="9"/>
      <c r="M621" s="9"/>
      <c r="N621" s="9"/>
      <c r="O621" s="9"/>
      <c r="P621" s="9"/>
      <c r="Q621" s="9"/>
      <c r="R621" s="9"/>
      <c r="S621" s="9"/>
      <c r="T621" s="9"/>
      <c r="U621" s="9"/>
      <c r="V621" s="9"/>
      <c r="W621" s="9"/>
      <c r="X621" s="9"/>
      <c r="Y621" s="9"/>
      <c r="Z621" s="9"/>
      <c r="AA621" s="9"/>
      <c r="AB621" s="9"/>
      <c r="AC621" s="9"/>
    </row>
    <row r="622" spans="1:29" ht="13.2">
      <c r="A622" s="9"/>
      <c r="B622" s="9"/>
      <c r="C622" s="14"/>
      <c r="D622" s="9"/>
      <c r="E622" s="9"/>
      <c r="F622" s="9"/>
      <c r="H622" s="9"/>
      <c r="I622" s="9"/>
      <c r="J622" s="9"/>
      <c r="K622" s="9"/>
      <c r="L622" s="9"/>
      <c r="M622" s="9"/>
      <c r="N622" s="9"/>
      <c r="O622" s="9"/>
      <c r="P622" s="9"/>
      <c r="Q622" s="9"/>
      <c r="R622" s="9"/>
      <c r="S622" s="9"/>
      <c r="T622" s="9"/>
      <c r="U622" s="9"/>
      <c r="V622" s="9"/>
      <c r="W622" s="9"/>
      <c r="X622" s="9"/>
      <c r="Y622" s="9"/>
      <c r="Z622" s="9"/>
      <c r="AA622" s="9"/>
      <c r="AB622" s="9"/>
      <c r="AC622" s="9"/>
    </row>
    <row r="623" spans="1:29" ht="13.2">
      <c r="A623" s="9"/>
      <c r="B623" s="9"/>
      <c r="C623" s="14"/>
      <c r="D623" s="9"/>
      <c r="E623" s="9"/>
      <c r="F623" s="9"/>
      <c r="H623" s="9"/>
      <c r="I623" s="9"/>
      <c r="J623" s="9"/>
      <c r="K623" s="9"/>
      <c r="L623" s="9"/>
      <c r="M623" s="9"/>
      <c r="N623" s="9"/>
      <c r="O623" s="9"/>
      <c r="P623" s="9"/>
      <c r="Q623" s="9"/>
      <c r="R623" s="9"/>
      <c r="S623" s="9"/>
      <c r="T623" s="9"/>
      <c r="U623" s="9"/>
      <c r="V623" s="9"/>
      <c r="W623" s="9"/>
      <c r="X623" s="9"/>
      <c r="Y623" s="9"/>
      <c r="Z623" s="9"/>
      <c r="AA623" s="9"/>
      <c r="AB623" s="9"/>
      <c r="AC623" s="9"/>
    </row>
    <row r="624" spans="1:29" ht="13.2">
      <c r="A624" s="9"/>
      <c r="B624" s="9"/>
      <c r="C624" s="14"/>
      <c r="D624" s="9"/>
      <c r="E624" s="9"/>
      <c r="F624" s="9"/>
      <c r="H624" s="9"/>
      <c r="I624" s="9"/>
      <c r="J624" s="9"/>
      <c r="K624" s="9"/>
      <c r="L624" s="9"/>
      <c r="M624" s="9"/>
      <c r="N624" s="9"/>
      <c r="O624" s="9"/>
      <c r="P624" s="9"/>
      <c r="Q624" s="9"/>
      <c r="R624" s="9"/>
      <c r="S624" s="9"/>
      <c r="T624" s="9"/>
      <c r="U624" s="9"/>
      <c r="V624" s="9"/>
      <c r="W624" s="9"/>
      <c r="X624" s="9"/>
      <c r="Y624" s="9"/>
      <c r="Z624" s="9"/>
      <c r="AA624" s="9"/>
      <c r="AB624" s="9"/>
      <c r="AC624" s="9"/>
    </row>
    <row r="625" spans="1:29" ht="13.2">
      <c r="A625" s="9"/>
      <c r="B625" s="9"/>
      <c r="C625" s="14"/>
      <c r="D625" s="9"/>
      <c r="E625" s="9"/>
      <c r="F625" s="9"/>
      <c r="H625" s="9"/>
      <c r="I625" s="9"/>
      <c r="J625" s="9"/>
      <c r="K625" s="9"/>
      <c r="L625" s="9"/>
      <c r="M625" s="9"/>
      <c r="N625" s="9"/>
      <c r="O625" s="9"/>
      <c r="P625" s="9"/>
      <c r="Q625" s="9"/>
      <c r="R625" s="9"/>
      <c r="S625" s="9"/>
      <c r="T625" s="9"/>
      <c r="U625" s="9"/>
      <c r="V625" s="9"/>
      <c r="W625" s="9"/>
      <c r="X625" s="9"/>
      <c r="Y625" s="9"/>
      <c r="Z625" s="9"/>
      <c r="AA625" s="9"/>
      <c r="AB625" s="9"/>
      <c r="AC625" s="9"/>
    </row>
    <row r="626" spans="1:29" ht="13.2">
      <c r="A626" s="9"/>
      <c r="B626" s="9"/>
      <c r="C626" s="14"/>
      <c r="D626" s="9"/>
      <c r="E626" s="9"/>
      <c r="F626" s="9"/>
      <c r="H626" s="9"/>
      <c r="I626" s="9"/>
      <c r="J626" s="9"/>
      <c r="K626" s="9"/>
      <c r="L626" s="9"/>
      <c r="M626" s="9"/>
      <c r="N626" s="9"/>
      <c r="O626" s="9"/>
      <c r="P626" s="9"/>
      <c r="Q626" s="9"/>
      <c r="R626" s="9"/>
      <c r="S626" s="9"/>
      <c r="T626" s="9"/>
      <c r="U626" s="9"/>
      <c r="V626" s="9"/>
      <c r="W626" s="9"/>
      <c r="X626" s="9"/>
      <c r="Y626" s="9"/>
      <c r="Z626" s="9"/>
      <c r="AA626" s="9"/>
      <c r="AB626" s="9"/>
      <c r="AC626" s="9"/>
    </row>
    <row r="627" spans="1:29" ht="13.2">
      <c r="A627" s="9"/>
      <c r="B627" s="9"/>
      <c r="C627" s="14"/>
      <c r="D627" s="9"/>
      <c r="E627" s="9"/>
      <c r="F627" s="9"/>
      <c r="H627" s="9"/>
      <c r="I627" s="9"/>
      <c r="J627" s="9"/>
      <c r="K627" s="9"/>
      <c r="L627" s="9"/>
      <c r="M627" s="9"/>
      <c r="N627" s="9"/>
      <c r="O627" s="9"/>
      <c r="P627" s="9"/>
      <c r="Q627" s="9"/>
      <c r="R627" s="9"/>
      <c r="S627" s="9"/>
      <c r="T627" s="9"/>
      <c r="U627" s="9"/>
      <c r="V627" s="9"/>
      <c r="W627" s="9"/>
      <c r="X627" s="9"/>
      <c r="Y627" s="9"/>
      <c r="Z627" s="9"/>
      <c r="AA627" s="9"/>
      <c r="AB627" s="9"/>
      <c r="AC627" s="9"/>
    </row>
    <row r="628" spans="1:29" ht="13.2">
      <c r="A628" s="9"/>
      <c r="B628" s="9"/>
      <c r="C628" s="14"/>
      <c r="D628" s="9"/>
      <c r="E628" s="9"/>
      <c r="F628" s="9"/>
      <c r="H628" s="9"/>
      <c r="I628" s="9"/>
      <c r="J628" s="9"/>
      <c r="K628" s="9"/>
      <c r="L628" s="9"/>
      <c r="M628" s="9"/>
      <c r="N628" s="9"/>
      <c r="O628" s="9"/>
      <c r="P628" s="9"/>
      <c r="Q628" s="9"/>
      <c r="R628" s="9"/>
      <c r="S628" s="9"/>
      <c r="T628" s="9"/>
      <c r="U628" s="9"/>
      <c r="V628" s="9"/>
      <c r="W628" s="9"/>
      <c r="X628" s="9"/>
      <c r="Y628" s="9"/>
      <c r="Z628" s="9"/>
      <c r="AA628" s="9"/>
      <c r="AB628" s="9"/>
      <c r="AC628" s="9"/>
    </row>
    <row r="629" spans="1:29" ht="13.2">
      <c r="A629" s="9"/>
      <c r="B629" s="9"/>
      <c r="C629" s="14"/>
      <c r="D629" s="9"/>
      <c r="E629" s="9"/>
      <c r="F629" s="9"/>
      <c r="H629" s="9"/>
      <c r="I629" s="9"/>
      <c r="J629" s="9"/>
      <c r="K629" s="9"/>
      <c r="L629" s="9"/>
      <c r="M629" s="9"/>
      <c r="N629" s="9"/>
      <c r="O629" s="9"/>
      <c r="P629" s="9"/>
      <c r="Q629" s="9"/>
      <c r="R629" s="9"/>
      <c r="S629" s="9"/>
      <c r="T629" s="9"/>
      <c r="U629" s="9"/>
      <c r="V629" s="9"/>
      <c r="W629" s="9"/>
      <c r="X629" s="9"/>
      <c r="Y629" s="9"/>
      <c r="Z629" s="9"/>
      <c r="AA629" s="9"/>
      <c r="AB629" s="9"/>
      <c r="AC629" s="9"/>
    </row>
    <row r="630" spans="1:29" ht="13.2">
      <c r="A630" s="9"/>
      <c r="B630" s="9"/>
      <c r="C630" s="14"/>
      <c r="D630" s="9"/>
      <c r="E630" s="9"/>
      <c r="F630" s="9"/>
      <c r="H630" s="9"/>
      <c r="I630" s="9"/>
      <c r="J630" s="9"/>
      <c r="K630" s="9"/>
      <c r="L630" s="9"/>
      <c r="M630" s="9"/>
      <c r="N630" s="9"/>
      <c r="O630" s="9"/>
      <c r="P630" s="9"/>
      <c r="Q630" s="9"/>
      <c r="R630" s="9"/>
      <c r="S630" s="9"/>
      <c r="T630" s="9"/>
      <c r="U630" s="9"/>
      <c r="V630" s="9"/>
      <c r="W630" s="9"/>
      <c r="X630" s="9"/>
      <c r="Y630" s="9"/>
      <c r="Z630" s="9"/>
      <c r="AA630" s="9"/>
      <c r="AB630" s="9"/>
      <c r="AC630" s="9"/>
    </row>
    <row r="631" spans="1:29" ht="13.2">
      <c r="A631" s="9"/>
      <c r="B631" s="9"/>
      <c r="C631" s="14"/>
      <c r="D631" s="9"/>
      <c r="E631" s="9"/>
      <c r="F631" s="9"/>
      <c r="H631" s="9"/>
      <c r="I631" s="9"/>
      <c r="J631" s="9"/>
      <c r="K631" s="9"/>
      <c r="L631" s="9"/>
      <c r="M631" s="9"/>
      <c r="N631" s="9"/>
      <c r="O631" s="9"/>
      <c r="P631" s="9"/>
      <c r="Q631" s="9"/>
      <c r="R631" s="9"/>
      <c r="S631" s="9"/>
      <c r="T631" s="9"/>
      <c r="U631" s="9"/>
      <c r="V631" s="9"/>
      <c r="W631" s="9"/>
      <c r="X631" s="9"/>
      <c r="Y631" s="9"/>
      <c r="Z631" s="9"/>
      <c r="AA631" s="9"/>
      <c r="AB631" s="9"/>
      <c r="AC631" s="9"/>
    </row>
    <row r="632" spans="1:29" ht="13.2">
      <c r="A632" s="9"/>
      <c r="B632" s="9"/>
      <c r="C632" s="14"/>
      <c r="D632" s="9"/>
      <c r="E632" s="9"/>
      <c r="F632" s="9"/>
      <c r="H632" s="9"/>
      <c r="I632" s="9"/>
      <c r="J632" s="9"/>
      <c r="K632" s="9"/>
      <c r="L632" s="9"/>
      <c r="M632" s="9"/>
      <c r="N632" s="9"/>
      <c r="O632" s="9"/>
      <c r="P632" s="9"/>
      <c r="Q632" s="9"/>
      <c r="R632" s="9"/>
      <c r="S632" s="9"/>
      <c r="T632" s="9"/>
      <c r="U632" s="9"/>
      <c r="V632" s="9"/>
      <c r="W632" s="9"/>
      <c r="X632" s="9"/>
      <c r="Y632" s="9"/>
      <c r="Z632" s="9"/>
      <c r="AA632" s="9"/>
      <c r="AB632" s="9"/>
      <c r="AC632" s="9"/>
    </row>
    <row r="633" spans="1:29" ht="13.2">
      <c r="A633" s="9"/>
      <c r="B633" s="9"/>
      <c r="C633" s="14"/>
      <c r="D633" s="9"/>
      <c r="E633" s="9"/>
      <c r="F633" s="9"/>
      <c r="H633" s="9"/>
      <c r="I633" s="9"/>
      <c r="J633" s="9"/>
      <c r="K633" s="9"/>
      <c r="L633" s="9"/>
      <c r="M633" s="9"/>
      <c r="N633" s="9"/>
      <c r="O633" s="9"/>
      <c r="P633" s="9"/>
      <c r="Q633" s="9"/>
      <c r="R633" s="9"/>
      <c r="S633" s="9"/>
      <c r="T633" s="9"/>
      <c r="U633" s="9"/>
      <c r="V633" s="9"/>
      <c r="W633" s="9"/>
      <c r="X633" s="9"/>
      <c r="Y633" s="9"/>
      <c r="Z633" s="9"/>
      <c r="AA633" s="9"/>
      <c r="AB633" s="9"/>
      <c r="AC633" s="9"/>
    </row>
    <row r="634" spans="1:29" ht="13.2">
      <c r="A634" s="9"/>
      <c r="B634" s="9"/>
      <c r="C634" s="14"/>
      <c r="D634" s="9"/>
      <c r="E634" s="9"/>
      <c r="F634" s="9"/>
      <c r="H634" s="9"/>
      <c r="I634" s="9"/>
      <c r="J634" s="9"/>
      <c r="K634" s="9"/>
      <c r="L634" s="9"/>
      <c r="M634" s="9"/>
      <c r="N634" s="9"/>
      <c r="O634" s="9"/>
      <c r="P634" s="9"/>
      <c r="Q634" s="9"/>
      <c r="R634" s="9"/>
      <c r="S634" s="9"/>
      <c r="T634" s="9"/>
      <c r="U634" s="9"/>
      <c r="V634" s="9"/>
      <c r="W634" s="9"/>
      <c r="X634" s="9"/>
      <c r="Y634" s="9"/>
      <c r="Z634" s="9"/>
      <c r="AA634" s="9"/>
      <c r="AB634" s="9"/>
      <c r="AC634" s="9"/>
    </row>
    <row r="635" spans="1:29" ht="13.2">
      <c r="A635" s="9"/>
      <c r="B635" s="9"/>
      <c r="C635" s="14"/>
      <c r="D635" s="9"/>
      <c r="E635" s="9"/>
      <c r="F635" s="9"/>
      <c r="H635" s="9"/>
      <c r="I635" s="9"/>
      <c r="J635" s="9"/>
      <c r="K635" s="9"/>
      <c r="L635" s="9"/>
      <c r="M635" s="9"/>
      <c r="N635" s="9"/>
      <c r="O635" s="9"/>
      <c r="P635" s="9"/>
      <c r="Q635" s="9"/>
      <c r="R635" s="9"/>
      <c r="S635" s="9"/>
      <c r="T635" s="9"/>
      <c r="U635" s="9"/>
      <c r="V635" s="9"/>
      <c r="W635" s="9"/>
      <c r="X635" s="9"/>
      <c r="Y635" s="9"/>
      <c r="Z635" s="9"/>
      <c r="AA635" s="9"/>
      <c r="AB635" s="9"/>
      <c r="AC635" s="9"/>
    </row>
    <row r="636" spans="1:29" ht="13.2">
      <c r="A636" s="9"/>
      <c r="B636" s="9"/>
      <c r="C636" s="14"/>
      <c r="D636" s="9"/>
      <c r="E636" s="9"/>
      <c r="F636" s="9"/>
      <c r="H636" s="9"/>
      <c r="I636" s="9"/>
      <c r="J636" s="9"/>
      <c r="K636" s="9"/>
      <c r="L636" s="9"/>
      <c r="M636" s="9"/>
      <c r="N636" s="9"/>
      <c r="O636" s="9"/>
      <c r="P636" s="9"/>
      <c r="Q636" s="9"/>
      <c r="R636" s="9"/>
      <c r="S636" s="9"/>
      <c r="T636" s="9"/>
      <c r="U636" s="9"/>
      <c r="V636" s="9"/>
      <c r="W636" s="9"/>
      <c r="X636" s="9"/>
      <c r="Y636" s="9"/>
      <c r="Z636" s="9"/>
      <c r="AA636" s="9"/>
      <c r="AB636" s="9"/>
      <c r="AC636" s="9"/>
    </row>
    <row r="637" spans="1:29" ht="13.2">
      <c r="A637" s="9"/>
      <c r="B637" s="9"/>
      <c r="C637" s="14"/>
      <c r="D637" s="9"/>
      <c r="E637" s="9"/>
      <c r="F637" s="9"/>
      <c r="H637" s="9"/>
      <c r="I637" s="9"/>
      <c r="J637" s="9"/>
      <c r="K637" s="9"/>
      <c r="L637" s="9"/>
      <c r="M637" s="9"/>
      <c r="N637" s="9"/>
      <c r="O637" s="9"/>
      <c r="P637" s="9"/>
      <c r="Q637" s="9"/>
      <c r="R637" s="9"/>
      <c r="S637" s="9"/>
      <c r="T637" s="9"/>
      <c r="U637" s="9"/>
      <c r="V637" s="9"/>
      <c r="W637" s="9"/>
      <c r="X637" s="9"/>
      <c r="Y637" s="9"/>
      <c r="Z637" s="9"/>
      <c r="AA637" s="9"/>
      <c r="AB637" s="9"/>
      <c r="AC637" s="9"/>
    </row>
    <row r="638" spans="1:29" ht="13.2">
      <c r="A638" s="9"/>
      <c r="B638" s="9"/>
      <c r="C638" s="14"/>
      <c r="D638" s="9"/>
      <c r="E638" s="9"/>
      <c r="F638" s="9"/>
      <c r="H638" s="9"/>
      <c r="I638" s="9"/>
      <c r="J638" s="9"/>
      <c r="K638" s="9"/>
      <c r="L638" s="9"/>
      <c r="M638" s="9"/>
      <c r="N638" s="9"/>
      <c r="O638" s="9"/>
      <c r="P638" s="9"/>
      <c r="Q638" s="9"/>
      <c r="R638" s="9"/>
      <c r="S638" s="9"/>
      <c r="T638" s="9"/>
      <c r="U638" s="9"/>
      <c r="V638" s="9"/>
      <c r="W638" s="9"/>
      <c r="X638" s="9"/>
      <c r="Y638" s="9"/>
      <c r="Z638" s="9"/>
      <c r="AA638" s="9"/>
      <c r="AB638" s="9"/>
      <c r="AC638" s="9"/>
    </row>
    <row r="639" spans="1:29" ht="13.2">
      <c r="A639" s="9"/>
      <c r="B639" s="9"/>
      <c r="C639" s="14"/>
      <c r="D639" s="9"/>
      <c r="E639" s="9"/>
      <c r="F639" s="9"/>
      <c r="H639" s="9"/>
      <c r="I639" s="9"/>
      <c r="J639" s="9"/>
      <c r="K639" s="9"/>
      <c r="L639" s="9"/>
      <c r="M639" s="9"/>
      <c r="N639" s="9"/>
      <c r="O639" s="9"/>
      <c r="P639" s="9"/>
      <c r="Q639" s="9"/>
      <c r="R639" s="9"/>
      <c r="S639" s="9"/>
      <c r="T639" s="9"/>
      <c r="U639" s="9"/>
      <c r="V639" s="9"/>
      <c r="W639" s="9"/>
      <c r="X639" s="9"/>
      <c r="Y639" s="9"/>
      <c r="Z639" s="9"/>
      <c r="AA639" s="9"/>
      <c r="AB639" s="9"/>
      <c r="AC639" s="9"/>
    </row>
    <row r="640" spans="1:29" ht="13.2">
      <c r="A640" s="9"/>
      <c r="B640" s="9"/>
      <c r="C640" s="14"/>
      <c r="D640" s="9"/>
      <c r="E640" s="9"/>
      <c r="F640" s="9"/>
      <c r="H640" s="9"/>
      <c r="I640" s="9"/>
      <c r="J640" s="9"/>
      <c r="K640" s="9"/>
      <c r="L640" s="9"/>
      <c r="M640" s="9"/>
      <c r="N640" s="9"/>
      <c r="O640" s="9"/>
      <c r="P640" s="9"/>
      <c r="Q640" s="9"/>
      <c r="R640" s="9"/>
      <c r="S640" s="9"/>
      <c r="T640" s="9"/>
      <c r="U640" s="9"/>
      <c r="V640" s="9"/>
      <c r="W640" s="9"/>
      <c r="X640" s="9"/>
      <c r="Y640" s="9"/>
      <c r="Z640" s="9"/>
      <c r="AA640" s="9"/>
      <c r="AB640" s="9"/>
      <c r="AC640" s="9"/>
    </row>
    <row r="641" spans="1:29" ht="13.2">
      <c r="A641" s="9"/>
      <c r="B641" s="9"/>
      <c r="C641" s="14"/>
      <c r="D641" s="9"/>
      <c r="E641" s="9"/>
      <c r="F641" s="9"/>
      <c r="H641" s="9"/>
      <c r="I641" s="9"/>
      <c r="J641" s="9"/>
      <c r="K641" s="9"/>
      <c r="L641" s="9"/>
      <c r="M641" s="9"/>
      <c r="N641" s="9"/>
      <c r="O641" s="9"/>
      <c r="P641" s="9"/>
      <c r="Q641" s="9"/>
      <c r="R641" s="9"/>
      <c r="S641" s="9"/>
      <c r="T641" s="9"/>
      <c r="U641" s="9"/>
      <c r="V641" s="9"/>
      <c r="W641" s="9"/>
      <c r="X641" s="9"/>
      <c r="Y641" s="9"/>
      <c r="Z641" s="9"/>
      <c r="AA641" s="9"/>
      <c r="AB641" s="9"/>
      <c r="AC641" s="9"/>
    </row>
    <row r="642" spans="1:29" ht="13.2">
      <c r="A642" s="9"/>
      <c r="B642" s="9"/>
      <c r="C642" s="14"/>
      <c r="D642" s="9"/>
      <c r="E642" s="9"/>
      <c r="F642" s="9"/>
      <c r="H642" s="9"/>
      <c r="I642" s="9"/>
      <c r="J642" s="9"/>
      <c r="K642" s="9"/>
      <c r="L642" s="9"/>
      <c r="M642" s="9"/>
      <c r="N642" s="9"/>
      <c r="O642" s="9"/>
      <c r="P642" s="9"/>
      <c r="Q642" s="9"/>
      <c r="R642" s="9"/>
      <c r="S642" s="9"/>
      <c r="T642" s="9"/>
      <c r="U642" s="9"/>
      <c r="V642" s="9"/>
      <c r="W642" s="9"/>
      <c r="X642" s="9"/>
      <c r="Y642" s="9"/>
      <c r="Z642" s="9"/>
      <c r="AA642" s="9"/>
      <c r="AB642" s="9"/>
      <c r="AC642" s="9"/>
    </row>
    <row r="643" spans="1:29" ht="13.2">
      <c r="A643" s="9"/>
      <c r="B643" s="9"/>
      <c r="C643" s="14"/>
      <c r="D643" s="9"/>
      <c r="E643" s="9"/>
      <c r="F643" s="9"/>
      <c r="H643" s="9"/>
      <c r="I643" s="9"/>
      <c r="J643" s="9"/>
      <c r="K643" s="9"/>
      <c r="L643" s="9"/>
      <c r="M643" s="9"/>
      <c r="N643" s="9"/>
      <c r="O643" s="9"/>
      <c r="P643" s="9"/>
      <c r="Q643" s="9"/>
      <c r="R643" s="9"/>
      <c r="S643" s="9"/>
      <c r="T643" s="9"/>
      <c r="U643" s="9"/>
      <c r="V643" s="9"/>
      <c r="W643" s="9"/>
      <c r="X643" s="9"/>
      <c r="Y643" s="9"/>
      <c r="Z643" s="9"/>
      <c r="AA643" s="9"/>
      <c r="AB643" s="9"/>
      <c r="AC643" s="9"/>
    </row>
    <row r="644" spans="1:29" ht="13.2">
      <c r="A644" s="9"/>
      <c r="B644" s="9"/>
      <c r="C644" s="14"/>
      <c r="D644" s="9"/>
      <c r="E644" s="9"/>
      <c r="F644" s="9"/>
      <c r="H644" s="9"/>
      <c r="I644" s="9"/>
      <c r="J644" s="9"/>
      <c r="K644" s="9"/>
      <c r="L644" s="9"/>
      <c r="M644" s="9"/>
      <c r="N644" s="9"/>
      <c r="O644" s="9"/>
      <c r="P644" s="9"/>
      <c r="Q644" s="9"/>
      <c r="R644" s="9"/>
      <c r="S644" s="9"/>
      <c r="T644" s="9"/>
      <c r="U644" s="9"/>
      <c r="V644" s="9"/>
      <c r="W644" s="9"/>
      <c r="X644" s="9"/>
      <c r="Y644" s="9"/>
      <c r="Z644" s="9"/>
      <c r="AA644" s="9"/>
      <c r="AB644" s="9"/>
      <c r="AC644" s="9"/>
    </row>
    <row r="645" spans="1:29" ht="13.2">
      <c r="A645" s="9"/>
      <c r="B645" s="9"/>
      <c r="C645" s="14"/>
      <c r="D645" s="9"/>
      <c r="E645" s="9"/>
      <c r="F645" s="9"/>
      <c r="H645" s="9"/>
      <c r="I645" s="9"/>
      <c r="J645" s="9"/>
      <c r="K645" s="9"/>
      <c r="L645" s="9"/>
      <c r="M645" s="9"/>
      <c r="N645" s="9"/>
      <c r="O645" s="9"/>
      <c r="P645" s="9"/>
      <c r="Q645" s="9"/>
      <c r="R645" s="9"/>
      <c r="S645" s="9"/>
      <c r="T645" s="9"/>
      <c r="U645" s="9"/>
      <c r="V645" s="9"/>
      <c r="W645" s="9"/>
      <c r="X645" s="9"/>
      <c r="Y645" s="9"/>
      <c r="Z645" s="9"/>
      <c r="AA645" s="9"/>
      <c r="AB645" s="9"/>
      <c r="AC645" s="9"/>
    </row>
    <row r="646" spans="1:29" ht="13.2">
      <c r="A646" s="9"/>
      <c r="B646" s="9"/>
      <c r="C646" s="14"/>
      <c r="D646" s="9"/>
      <c r="E646" s="9"/>
      <c r="F646" s="9"/>
      <c r="H646" s="9"/>
      <c r="I646" s="9"/>
      <c r="J646" s="9"/>
      <c r="K646" s="9"/>
      <c r="L646" s="9"/>
      <c r="M646" s="9"/>
      <c r="N646" s="9"/>
      <c r="O646" s="9"/>
      <c r="P646" s="9"/>
      <c r="Q646" s="9"/>
      <c r="R646" s="9"/>
      <c r="S646" s="9"/>
      <c r="T646" s="9"/>
      <c r="U646" s="9"/>
      <c r="V646" s="9"/>
      <c r="W646" s="9"/>
      <c r="X646" s="9"/>
      <c r="Y646" s="9"/>
      <c r="Z646" s="9"/>
      <c r="AA646" s="9"/>
      <c r="AB646" s="9"/>
      <c r="AC646" s="9"/>
    </row>
    <row r="647" spans="1:29" ht="13.2">
      <c r="A647" s="9"/>
      <c r="B647" s="9"/>
      <c r="C647" s="14"/>
      <c r="D647" s="9"/>
      <c r="E647" s="9"/>
      <c r="F647" s="9"/>
      <c r="H647" s="9"/>
      <c r="I647" s="9"/>
      <c r="J647" s="9"/>
      <c r="K647" s="9"/>
      <c r="L647" s="9"/>
      <c r="M647" s="9"/>
      <c r="N647" s="9"/>
      <c r="O647" s="9"/>
      <c r="P647" s="9"/>
      <c r="Q647" s="9"/>
      <c r="R647" s="9"/>
      <c r="S647" s="9"/>
      <c r="T647" s="9"/>
      <c r="U647" s="9"/>
      <c r="V647" s="9"/>
      <c r="W647" s="9"/>
      <c r="X647" s="9"/>
      <c r="Y647" s="9"/>
      <c r="Z647" s="9"/>
      <c r="AA647" s="9"/>
      <c r="AB647" s="9"/>
      <c r="AC647" s="9"/>
    </row>
    <row r="648" spans="1:29" ht="13.2">
      <c r="A648" s="9"/>
      <c r="B648" s="9"/>
      <c r="C648" s="14"/>
      <c r="D648" s="9"/>
      <c r="E648" s="9"/>
      <c r="F648" s="9"/>
      <c r="H648" s="9"/>
      <c r="I648" s="9"/>
      <c r="J648" s="9"/>
      <c r="K648" s="9"/>
      <c r="L648" s="9"/>
      <c r="M648" s="9"/>
      <c r="N648" s="9"/>
      <c r="O648" s="9"/>
      <c r="P648" s="9"/>
      <c r="Q648" s="9"/>
      <c r="R648" s="9"/>
      <c r="S648" s="9"/>
      <c r="T648" s="9"/>
      <c r="U648" s="9"/>
      <c r="V648" s="9"/>
      <c r="W648" s="9"/>
      <c r="X648" s="9"/>
      <c r="Y648" s="9"/>
      <c r="Z648" s="9"/>
      <c r="AA648" s="9"/>
      <c r="AB648" s="9"/>
      <c r="AC648" s="9"/>
    </row>
    <row r="649" spans="1:29" ht="13.2">
      <c r="A649" s="9"/>
      <c r="B649" s="9"/>
      <c r="C649" s="14"/>
      <c r="D649" s="9"/>
      <c r="E649" s="9"/>
      <c r="F649" s="9"/>
      <c r="H649" s="9"/>
      <c r="I649" s="9"/>
      <c r="J649" s="9"/>
      <c r="K649" s="9"/>
      <c r="L649" s="9"/>
      <c r="M649" s="9"/>
      <c r="N649" s="9"/>
      <c r="O649" s="9"/>
      <c r="P649" s="9"/>
      <c r="Q649" s="9"/>
      <c r="R649" s="9"/>
      <c r="S649" s="9"/>
      <c r="T649" s="9"/>
      <c r="U649" s="9"/>
      <c r="V649" s="9"/>
      <c r="W649" s="9"/>
      <c r="X649" s="9"/>
      <c r="Y649" s="9"/>
      <c r="Z649" s="9"/>
      <c r="AA649" s="9"/>
      <c r="AB649" s="9"/>
      <c r="AC649" s="9"/>
    </row>
    <row r="650" spans="1:29" ht="13.2">
      <c r="A650" s="9"/>
      <c r="B650" s="9"/>
      <c r="C650" s="14"/>
      <c r="D650" s="9"/>
      <c r="E650" s="9"/>
      <c r="F650" s="9"/>
      <c r="H650" s="9"/>
      <c r="I650" s="9"/>
      <c r="J650" s="9"/>
      <c r="K650" s="9"/>
      <c r="L650" s="9"/>
      <c r="M650" s="9"/>
      <c r="N650" s="9"/>
      <c r="O650" s="9"/>
      <c r="P650" s="9"/>
      <c r="Q650" s="9"/>
      <c r="R650" s="9"/>
      <c r="S650" s="9"/>
      <c r="T650" s="9"/>
      <c r="U650" s="9"/>
      <c r="V650" s="9"/>
      <c r="W650" s="9"/>
      <c r="X650" s="9"/>
      <c r="Y650" s="9"/>
      <c r="Z650" s="9"/>
      <c r="AA650" s="9"/>
      <c r="AB650" s="9"/>
      <c r="AC650" s="9"/>
    </row>
    <row r="651" spans="1:29" ht="13.2">
      <c r="A651" s="9"/>
      <c r="B651" s="9"/>
      <c r="C651" s="14"/>
      <c r="D651" s="9"/>
      <c r="E651" s="9"/>
      <c r="F651" s="9"/>
      <c r="H651" s="9"/>
      <c r="I651" s="9"/>
      <c r="J651" s="9"/>
      <c r="K651" s="9"/>
      <c r="L651" s="9"/>
      <c r="M651" s="9"/>
      <c r="N651" s="9"/>
      <c r="O651" s="9"/>
      <c r="P651" s="9"/>
      <c r="Q651" s="9"/>
      <c r="R651" s="9"/>
      <c r="S651" s="9"/>
      <c r="T651" s="9"/>
      <c r="U651" s="9"/>
      <c r="V651" s="9"/>
      <c r="W651" s="9"/>
      <c r="X651" s="9"/>
      <c r="Y651" s="9"/>
      <c r="Z651" s="9"/>
      <c r="AA651" s="9"/>
      <c r="AB651" s="9"/>
      <c r="AC651" s="9"/>
    </row>
    <row r="652" spans="1:29" ht="13.2">
      <c r="A652" s="9"/>
      <c r="B652" s="9"/>
      <c r="C652" s="14"/>
      <c r="D652" s="9"/>
      <c r="E652" s="9"/>
      <c r="F652" s="9"/>
      <c r="H652" s="9"/>
      <c r="I652" s="9"/>
      <c r="J652" s="9"/>
      <c r="K652" s="9"/>
      <c r="L652" s="9"/>
      <c r="M652" s="9"/>
      <c r="N652" s="9"/>
      <c r="O652" s="9"/>
      <c r="P652" s="9"/>
      <c r="Q652" s="9"/>
      <c r="R652" s="9"/>
      <c r="S652" s="9"/>
      <c r="T652" s="9"/>
      <c r="U652" s="9"/>
      <c r="V652" s="9"/>
      <c r="W652" s="9"/>
      <c r="X652" s="9"/>
      <c r="Y652" s="9"/>
      <c r="Z652" s="9"/>
      <c r="AA652" s="9"/>
      <c r="AB652" s="9"/>
      <c r="AC652" s="9"/>
    </row>
    <row r="653" spans="1:29" ht="13.2">
      <c r="A653" s="9"/>
      <c r="B653" s="9"/>
      <c r="C653" s="14"/>
      <c r="D653" s="9"/>
      <c r="E653" s="9"/>
      <c r="F653" s="9"/>
      <c r="H653" s="9"/>
      <c r="I653" s="9"/>
      <c r="J653" s="9"/>
      <c r="K653" s="9"/>
      <c r="L653" s="9"/>
      <c r="M653" s="9"/>
      <c r="N653" s="9"/>
      <c r="O653" s="9"/>
      <c r="P653" s="9"/>
      <c r="Q653" s="9"/>
      <c r="R653" s="9"/>
      <c r="S653" s="9"/>
      <c r="T653" s="9"/>
      <c r="U653" s="9"/>
      <c r="V653" s="9"/>
      <c r="W653" s="9"/>
      <c r="X653" s="9"/>
      <c r="Y653" s="9"/>
      <c r="Z653" s="9"/>
      <c r="AA653" s="9"/>
      <c r="AB653" s="9"/>
      <c r="AC653" s="9"/>
    </row>
    <row r="654" spans="1:29" ht="13.2">
      <c r="A654" s="9"/>
      <c r="B654" s="9"/>
      <c r="C654" s="14"/>
      <c r="D654" s="9"/>
      <c r="E654" s="9"/>
      <c r="F654" s="9"/>
      <c r="H654" s="9"/>
      <c r="I654" s="9"/>
      <c r="J654" s="9"/>
      <c r="K654" s="9"/>
      <c r="L654" s="9"/>
      <c r="M654" s="9"/>
      <c r="N654" s="9"/>
      <c r="O654" s="9"/>
      <c r="P654" s="9"/>
      <c r="Q654" s="9"/>
      <c r="R654" s="9"/>
      <c r="S654" s="9"/>
      <c r="T654" s="9"/>
      <c r="U654" s="9"/>
      <c r="V654" s="9"/>
      <c r="W654" s="9"/>
      <c r="X654" s="9"/>
      <c r="Y654" s="9"/>
      <c r="Z654" s="9"/>
      <c r="AA654" s="9"/>
      <c r="AB654" s="9"/>
      <c r="AC654" s="9"/>
    </row>
    <row r="655" spans="1:29" ht="13.2">
      <c r="A655" s="9"/>
      <c r="B655" s="9"/>
      <c r="C655" s="14"/>
      <c r="D655" s="9"/>
      <c r="E655" s="9"/>
      <c r="F655" s="9"/>
      <c r="H655" s="9"/>
      <c r="I655" s="9"/>
      <c r="J655" s="9"/>
      <c r="K655" s="9"/>
      <c r="L655" s="9"/>
      <c r="M655" s="9"/>
      <c r="N655" s="9"/>
      <c r="O655" s="9"/>
      <c r="P655" s="9"/>
      <c r="Q655" s="9"/>
      <c r="R655" s="9"/>
      <c r="S655" s="9"/>
      <c r="T655" s="9"/>
      <c r="U655" s="9"/>
      <c r="V655" s="9"/>
      <c r="W655" s="9"/>
      <c r="X655" s="9"/>
      <c r="Y655" s="9"/>
      <c r="Z655" s="9"/>
      <c r="AA655" s="9"/>
      <c r="AB655" s="9"/>
      <c r="AC655" s="9"/>
    </row>
    <row r="656" spans="1:29" ht="13.2">
      <c r="A656" s="9"/>
      <c r="B656" s="9"/>
      <c r="C656" s="14"/>
      <c r="D656" s="9"/>
      <c r="E656" s="9"/>
      <c r="F656" s="9"/>
      <c r="H656" s="9"/>
      <c r="I656" s="9"/>
      <c r="J656" s="9"/>
      <c r="K656" s="9"/>
      <c r="L656" s="9"/>
      <c r="M656" s="9"/>
      <c r="N656" s="9"/>
      <c r="O656" s="9"/>
      <c r="P656" s="9"/>
      <c r="Q656" s="9"/>
      <c r="R656" s="9"/>
      <c r="S656" s="9"/>
      <c r="T656" s="9"/>
      <c r="U656" s="9"/>
      <c r="V656" s="9"/>
      <c r="W656" s="9"/>
      <c r="X656" s="9"/>
      <c r="Y656" s="9"/>
      <c r="Z656" s="9"/>
      <c r="AA656" s="9"/>
      <c r="AB656" s="9"/>
      <c r="AC656" s="9"/>
    </row>
    <row r="657" spans="1:29" ht="13.2">
      <c r="A657" s="9"/>
      <c r="B657" s="9"/>
      <c r="C657" s="14"/>
      <c r="D657" s="9"/>
      <c r="E657" s="9"/>
      <c r="F657" s="9"/>
      <c r="H657" s="9"/>
      <c r="I657" s="9"/>
      <c r="J657" s="9"/>
      <c r="K657" s="9"/>
      <c r="L657" s="9"/>
      <c r="M657" s="9"/>
      <c r="N657" s="9"/>
      <c r="O657" s="9"/>
      <c r="P657" s="9"/>
      <c r="Q657" s="9"/>
      <c r="R657" s="9"/>
      <c r="S657" s="9"/>
      <c r="T657" s="9"/>
      <c r="U657" s="9"/>
      <c r="V657" s="9"/>
      <c r="W657" s="9"/>
      <c r="X657" s="9"/>
      <c r="Y657" s="9"/>
      <c r="Z657" s="9"/>
      <c r="AA657" s="9"/>
      <c r="AB657" s="9"/>
      <c r="AC657" s="9"/>
    </row>
    <row r="658" spans="1:29" ht="13.2">
      <c r="A658" s="9"/>
      <c r="B658" s="9"/>
      <c r="C658" s="14"/>
      <c r="D658" s="9"/>
      <c r="E658" s="9"/>
      <c r="F658" s="9"/>
      <c r="H658" s="9"/>
      <c r="I658" s="9"/>
      <c r="J658" s="9"/>
      <c r="K658" s="9"/>
      <c r="L658" s="9"/>
      <c r="M658" s="9"/>
      <c r="N658" s="9"/>
      <c r="O658" s="9"/>
      <c r="P658" s="9"/>
      <c r="Q658" s="9"/>
      <c r="R658" s="9"/>
      <c r="S658" s="9"/>
      <c r="T658" s="9"/>
      <c r="U658" s="9"/>
      <c r="V658" s="9"/>
      <c r="W658" s="9"/>
      <c r="X658" s="9"/>
      <c r="Y658" s="9"/>
      <c r="Z658" s="9"/>
      <c r="AA658" s="9"/>
      <c r="AB658" s="9"/>
      <c r="AC658" s="9"/>
    </row>
    <row r="659" spans="1:29" ht="13.2">
      <c r="A659" s="9"/>
      <c r="B659" s="9"/>
      <c r="C659" s="14"/>
      <c r="D659" s="9"/>
      <c r="E659" s="9"/>
      <c r="F659" s="9"/>
      <c r="H659" s="9"/>
      <c r="I659" s="9"/>
      <c r="J659" s="9"/>
      <c r="K659" s="9"/>
      <c r="L659" s="9"/>
      <c r="M659" s="9"/>
      <c r="N659" s="9"/>
      <c r="O659" s="9"/>
      <c r="P659" s="9"/>
      <c r="Q659" s="9"/>
      <c r="R659" s="9"/>
      <c r="S659" s="9"/>
      <c r="T659" s="9"/>
      <c r="U659" s="9"/>
      <c r="V659" s="9"/>
      <c r="W659" s="9"/>
      <c r="X659" s="9"/>
      <c r="Y659" s="9"/>
      <c r="Z659" s="9"/>
      <c r="AA659" s="9"/>
      <c r="AB659" s="9"/>
      <c r="AC659" s="9"/>
    </row>
    <row r="660" spans="1:29" ht="13.2">
      <c r="A660" s="9"/>
      <c r="B660" s="9"/>
      <c r="C660" s="14"/>
      <c r="D660" s="9"/>
      <c r="E660" s="9"/>
      <c r="F660" s="9"/>
      <c r="H660" s="9"/>
      <c r="I660" s="9"/>
      <c r="J660" s="9"/>
      <c r="K660" s="9"/>
      <c r="L660" s="9"/>
      <c r="M660" s="9"/>
      <c r="N660" s="9"/>
      <c r="O660" s="9"/>
      <c r="P660" s="9"/>
      <c r="Q660" s="9"/>
      <c r="R660" s="9"/>
      <c r="S660" s="9"/>
      <c r="T660" s="9"/>
      <c r="U660" s="9"/>
      <c r="V660" s="9"/>
      <c r="W660" s="9"/>
      <c r="X660" s="9"/>
      <c r="Y660" s="9"/>
      <c r="Z660" s="9"/>
      <c r="AA660" s="9"/>
      <c r="AB660" s="9"/>
      <c r="AC660" s="9"/>
    </row>
    <row r="661" spans="1:29" ht="13.2">
      <c r="A661" s="9"/>
      <c r="B661" s="9"/>
      <c r="C661" s="14"/>
      <c r="D661" s="9"/>
      <c r="E661" s="9"/>
      <c r="F661" s="9"/>
      <c r="H661" s="9"/>
      <c r="I661" s="9"/>
      <c r="J661" s="9"/>
      <c r="K661" s="9"/>
      <c r="L661" s="9"/>
      <c r="M661" s="9"/>
      <c r="N661" s="9"/>
      <c r="O661" s="9"/>
      <c r="P661" s="9"/>
      <c r="Q661" s="9"/>
      <c r="R661" s="9"/>
      <c r="S661" s="9"/>
      <c r="T661" s="9"/>
      <c r="U661" s="9"/>
      <c r="V661" s="9"/>
      <c r="W661" s="9"/>
      <c r="X661" s="9"/>
      <c r="Y661" s="9"/>
      <c r="Z661" s="9"/>
      <c r="AA661" s="9"/>
      <c r="AB661" s="9"/>
      <c r="AC661" s="9"/>
    </row>
    <row r="662" spans="1:29" ht="13.2">
      <c r="A662" s="9"/>
      <c r="B662" s="9"/>
      <c r="C662" s="14"/>
      <c r="D662" s="9"/>
      <c r="E662" s="9"/>
      <c r="F662" s="9"/>
      <c r="H662" s="9"/>
      <c r="I662" s="9"/>
      <c r="J662" s="9"/>
      <c r="K662" s="9"/>
      <c r="L662" s="9"/>
      <c r="M662" s="9"/>
      <c r="N662" s="9"/>
      <c r="O662" s="9"/>
      <c r="P662" s="9"/>
      <c r="Q662" s="9"/>
      <c r="R662" s="9"/>
      <c r="S662" s="9"/>
      <c r="T662" s="9"/>
      <c r="U662" s="9"/>
      <c r="V662" s="9"/>
      <c r="W662" s="9"/>
      <c r="X662" s="9"/>
      <c r="Y662" s="9"/>
      <c r="Z662" s="9"/>
      <c r="AA662" s="9"/>
      <c r="AB662" s="9"/>
      <c r="AC662" s="9"/>
    </row>
    <row r="663" spans="1:29" ht="13.2">
      <c r="A663" s="9"/>
      <c r="B663" s="9"/>
      <c r="C663" s="14"/>
      <c r="D663" s="9"/>
      <c r="E663" s="9"/>
      <c r="F663" s="9"/>
      <c r="H663" s="9"/>
      <c r="I663" s="9"/>
      <c r="J663" s="9"/>
      <c r="K663" s="9"/>
      <c r="L663" s="9"/>
      <c r="M663" s="9"/>
      <c r="N663" s="9"/>
      <c r="O663" s="9"/>
      <c r="P663" s="9"/>
      <c r="Q663" s="9"/>
      <c r="R663" s="9"/>
      <c r="S663" s="9"/>
      <c r="T663" s="9"/>
      <c r="U663" s="9"/>
      <c r="V663" s="9"/>
      <c r="W663" s="9"/>
      <c r="X663" s="9"/>
      <c r="Y663" s="9"/>
      <c r="Z663" s="9"/>
      <c r="AA663" s="9"/>
      <c r="AB663" s="9"/>
      <c r="AC663" s="9"/>
    </row>
    <row r="664" spans="1:29" ht="13.2">
      <c r="A664" s="9"/>
      <c r="B664" s="9"/>
      <c r="C664" s="14"/>
      <c r="D664" s="9"/>
      <c r="E664" s="9"/>
      <c r="F664" s="9"/>
      <c r="H664" s="9"/>
      <c r="I664" s="9"/>
      <c r="J664" s="9"/>
      <c r="K664" s="9"/>
      <c r="L664" s="9"/>
      <c r="M664" s="9"/>
      <c r="N664" s="9"/>
      <c r="O664" s="9"/>
      <c r="P664" s="9"/>
      <c r="Q664" s="9"/>
      <c r="R664" s="9"/>
      <c r="S664" s="9"/>
      <c r="T664" s="9"/>
      <c r="U664" s="9"/>
      <c r="V664" s="9"/>
      <c r="W664" s="9"/>
      <c r="X664" s="9"/>
      <c r="Y664" s="9"/>
      <c r="Z664" s="9"/>
      <c r="AA664" s="9"/>
      <c r="AB664" s="9"/>
      <c r="AC664" s="9"/>
    </row>
    <row r="665" spans="1:29" ht="13.2">
      <c r="A665" s="9"/>
      <c r="B665" s="9"/>
      <c r="C665" s="14"/>
      <c r="D665" s="9"/>
      <c r="E665" s="9"/>
      <c r="F665" s="9"/>
      <c r="H665" s="9"/>
      <c r="I665" s="9"/>
      <c r="J665" s="9"/>
      <c r="K665" s="9"/>
      <c r="L665" s="9"/>
      <c r="M665" s="9"/>
      <c r="N665" s="9"/>
      <c r="O665" s="9"/>
      <c r="P665" s="9"/>
      <c r="Q665" s="9"/>
      <c r="R665" s="9"/>
      <c r="S665" s="9"/>
      <c r="T665" s="9"/>
      <c r="U665" s="9"/>
      <c r="V665" s="9"/>
      <c r="W665" s="9"/>
      <c r="X665" s="9"/>
      <c r="Y665" s="9"/>
      <c r="Z665" s="9"/>
      <c r="AA665" s="9"/>
      <c r="AB665" s="9"/>
      <c r="AC665" s="9"/>
    </row>
    <row r="666" spans="1:29" ht="13.2">
      <c r="A666" s="9"/>
      <c r="B666" s="9"/>
      <c r="C666" s="14"/>
      <c r="D666" s="9"/>
      <c r="E666" s="9"/>
      <c r="F666" s="9"/>
      <c r="H666" s="9"/>
      <c r="I666" s="9"/>
      <c r="J666" s="9"/>
      <c r="K666" s="9"/>
      <c r="L666" s="9"/>
      <c r="M666" s="9"/>
      <c r="N666" s="9"/>
      <c r="O666" s="9"/>
      <c r="P666" s="9"/>
      <c r="Q666" s="9"/>
      <c r="R666" s="9"/>
      <c r="S666" s="9"/>
      <c r="T666" s="9"/>
      <c r="U666" s="9"/>
      <c r="V666" s="9"/>
      <c r="W666" s="9"/>
      <c r="X666" s="9"/>
      <c r="Y666" s="9"/>
      <c r="Z666" s="9"/>
      <c r="AA666" s="9"/>
      <c r="AB666" s="9"/>
      <c r="AC666" s="9"/>
    </row>
    <row r="667" spans="1:29" ht="13.2">
      <c r="A667" s="9"/>
      <c r="B667" s="9"/>
      <c r="C667" s="14"/>
      <c r="D667" s="9"/>
      <c r="E667" s="9"/>
      <c r="F667" s="9"/>
      <c r="H667" s="9"/>
      <c r="I667" s="9"/>
      <c r="J667" s="9"/>
      <c r="K667" s="9"/>
      <c r="L667" s="9"/>
      <c r="M667" s="9"/>
      <c r="N667" s="9"/>
      <c r="O667" s="9"/>
      <c r="P667" s="9"/>
      <c r="Q667" s="9"/>
      <c r="R667" s="9"/>
      <c r="S667" s="9"/>
      <c r="T667" s="9"/>
      <c r="U667" s="9"/>
      <c r="V667" s="9"/>
      <c r="W667" s="9"/>
      <c r="X667" s="9"/>
      <c r="Y667" s="9"/>
      <c r="Z667" s="9"/>
      <c r="AA667" s="9"/>
      <c r="AB667" s="9"/>
      <c r="AC667" s="9"/>
    </row>
    <row r="668" spans="1:29" ht="13.2">
      <c r="A668" s="9"/>
      <c r="B668" s="9"/>
      <c r="C668" s="14"/>
      <c r="D668" s="9"/>
      <c r="E668" s="9"/>
      <c r="F668" s="9"/>
      <c r="H668" s="9"/>
      <c r="I668" s="9"/>
      <c r="J668" s="9"/>
      <c r="K668" s="9"/>
      <c r="L668" s="9"/>
      <c r="M668" s="9"/>
      <c r="N668" s="9"/>
      <c r="O668" s="9"/>
      <c r="P668" s="9"/>
      <c r="Q668" s="9"/>
      <c r="R668" s="9"/>
      <c r="S668" s="9"/>
      <c r="T668" s="9"/>
      <c r="U668" s="9"/>
      <c r="V668" s="9"/>
      <c r="W668" s="9"/>
      <c r="X668" s="9"/>
      <c r="Y668" s="9"/>
      <c r="Z668" s="9"/>
      <c r="AA668" s="9"/>
      <c r="AB668" s="9"/>
      <c r="AC668" s="9"/>
    </row>
    <row r="669" spans="1:29" ht="13.2">
      <c r="A669" s="9"/>
      <c r="B669" s="9"/>
      <c r="C669" s="14"/>
      <c r="D669" s="9"/>
      <c r="E669" s="9"/>
      <c r="F669" s="9"/>
      <c r="H669" s="9"/>
      <c r="I669" s="9"/>
      <c r="J669" s="9"/>
      <c r="K669" s="9"/>
      <c r="L669" s="9"/>
      <c r="M669" s="9"/>
      <c r="N669" s="9"/>
      <c r="O669" s="9"/>
      <c r="P669" s="9"/>
      <c r="Q669" s="9"/>
      <c r="R669" s="9"/>
      <c r="S669" s="9"/>
      <c r="T669" s="9"/>
      <c r="U669" s="9"/>
      <c r="V669" s="9"/>
      <c r="W669" s="9"/>
      <c r="X669" s="9"/>
      <c r="Y669" s="9"/>
      <c r="Z669" s="9"/>
      <c r="AA669" s="9"/>
      <c r="AB669" s="9"/>
      <c r="AC669" s="9"/>
    </row>
    <row r="670" spans="1:29" ht="13.2">
      <c r="A670" s="9"/>
      <c r="B670" s="9"/>
      <c r="C670" s="14"/>
      <c r="D670" s="9"/>
      <c r="E670" s="9"/>
      <c r="F670" s="9"/>
      <c r="H670" s="9"/>
      <c r="I670" s="9"/>
      <c r="J670" s="9"/>
      <c r="K670" s="9"/>
      <c r="L670" s="9"/>
      <c r="M670" s="9"/>
      <c r="N670" s="9"/>
      <c r="O670" s="9"/>
      <c r="P670" s="9"/>
      <c r="Q670" s="9"/>
      <c r="R670" s="9"/>
      <c r="S670" s="9"/>
      <c r="T670" s="9"/>
      <c r="U670" s="9"/>
      <c r="V670" s="9"/>
      <c r="W670" s="9"/>
      <c r="X670" s="9"/>
      <c r="Y670" s="9"/>
      <c r="Z670" s="9"/>
      <c r="AA670" s="9"/>
      <c r="AB670" s="9"/>
      <c r="AC670" s="9"/>
    </row>
    <row r="671" spans="1:29" ht="13.2">
      <c r="A671" s="9"/>
      <c r="B671" s="9"/>
      <c r="C671" s="14"/>
      <c r="D671" s="9"/>
      <c r="E671" s="9"/>
      <c r="F671" s="9"/>
      <c r="H671" s="9"/>
      <c r="I671" s="9"/>
      <c r="J671" s="9"/>
      <c r="K671" s="9"/>
      <c r="L671" s="9"/>
      <c r="M671" s="9"/>
      <c r="N671" s="9"/>
      <c r="O671" s="9"/>
      <c r="P671" s="9"/>
      <c r="Q671" s="9"/>
      <c r="R671" s="9"/>
      <c r="S671" s="9"/>
      <c r="T671" s="9"/>
      <c r="U671" s="9"/>
      <c r="V671" s="9"/>
      <c r="W671" s="9"/>
      <c r="X671" s="9"/>
      <c r="Y671" s="9"/>
      <c r="Z671" s="9"/>
      <c r="AA671" s="9"/>
      <c r="AB671" s="9"/>
      <c r="AC671" s="9"/>
    </row>
    <row r="672" spans="1:29" ht="13.2">
      <c r="A672" s="9"/>
      <c r="B672" s="9"/>
      <c r="C672" s="14"/>
      <c r="D672" s="9"/>
      <c r="E672" s="9"/>
      <c r="F672" s="9"/>
      <c r="H672" s="9"/>
      <c r="I672" s="9"/>
      <c r="J672" s="9"/>
      <c r="K672" s="9"/>
      <c r="L672" s="9"/>
      <c r="M672" s="9"/>
      <c r="N672" s="9"/>
      <c r="O672" s="9"/>
      <c r="P672" s="9"/>
      <c r="Q672" s="9"/>
      <c r="R672" s="9"/>
      <c r="S672" s="9"/>
      <c r="T672" s="9"/>
      <c r="U672" s="9"/>
      <c r="V672" s="9"/>
      <c r="W672" s="9"/>
      <c r="X672" s="9"/>
      <c r="Y672" s="9"/>
      <c r="Z672" s="9"/>
      <c r="AA672" s="9"/>
      <c r="AB672" s="9"/>
      <c r="AC672" s="9"/>
    </row>
    <row r="673" spans="1:29" ht="13.2">
      <c r="A673" s="9"/>
      <c r="B673" s="9"/>
      <c r="C673" s="14"/>
      <c r="D673" s="9"/>
      <c r="E673" s="9"/>
      <c r="F673" s="9"/>
      <c r="H673" s="9"/>
      <c r="I673" s="9"/>
      <c r="J673" s="9"/>
      <c r="K673" s="9"/>
      <c r="L673" s="9"/>
      <c r="M673" s="9"/>
      <c r="N673" s="9"/>
      <c r="O673" s="9"/>
      <c r="P673" s="9"/>
      <c r="Q673" s="9"/>
      <c r="R673" s="9"/>
      <c r="S673" s="9"/>
      <c r="T673" s="9"/>
      <c r="U673" s="9"/>
      <c r="V673" s="9"/>
      <c r="W673" s="9"/>
      <c r="X673" s="9"/>
      <c r="Y673" s="9"/>
      <c r="Z673" s="9"/>
      <c r="AA673" s="9"/>
      <c r="AB673" s="9"/>
      <c r="AC673" s="9"/>
    </row>
    <row r="674" spans="1:29" ht="13.2">
      <c r="A674" s="9"/>
      <c r="B674" s="9"/>
      <c r="C674" s="14"/>
      <c r="D674" s="9"/>
      <c r="E674" s="9"/>
      <c r="F674" s="9"/>
      <c r="H674" s="9"/>
      <c r="I674" s="9"/>
      <c r="J674" s="9"/>
      <c r="K674" s="9"/>
      <c r="L674" s="9"/>
      <c r="M674" s="9"/>
      <c r="N674" s="9"/>
      <c r="O674" s="9"/>
      <c r="P674" s="9"/>
      <c r="Q674" s="9"/>
      <c r="R674" s="9"/>
      <c r="S674" s="9"/>
      <c r="T674" s="9"/>
      <c r="U674" s="9"/>
      <c r="V674" s="9"/>
      <c r="W674" s="9"/>
      <c r="X674" s="9"/>
      <c r="Y674" s="9"/>
      <c r="Z674" s="9"/>
      <c r="AA674" s="9"/>
      <c r="AB674" s="9"/>
      <c r="AC674" s="9"/>
    </row>
    <row r="675" spans="1:29" ht="13.2">
      <c r="A675" s="9"/>
      <c r="B675" s="9"/>
      <c r="C675" s="14"/>
      <c r="D675" s="9"/>
      <c r="E675" s="9"/>
      <c r="F675" s="9"/>
      <c r="H675" s="9"/>
      <c r="I675" s="9"/>
      <c r="J675" s="9"/>
      <c r="K675" s="9"/>
      <c r="L675" s="9"/>
      <c r="M675" s="9"/>
      <c r="N675" s="9"/>
      <c r="O675" s="9"/>
      <c r="P675" s="9"/>
      <c r="Q675" s="9"/>
      <c r="R675" s="9"/>
      <c r="S675" s="9"/>
      <c r="T675" s="9"/>
      <c r="U675" s="9"/>
      <c r="V675" s="9"/>
      <c r="W675" s="9"/>
      <c r="X675" s="9"/>
      <c r="Y675" s="9"/>
      <c r="Z675" s="9"/>
      <c r="AA675" s="9"/>
      <c r="AB675" s="9"/>
      <c r="AC675" s="9"/>
    </row>
    <row r="676" spans="1:29" ht="13.2">
      <c r="A676" s="9"/>
      <c r="B676" s="9"/>
      <c r="C676" s="14"/>
      <c r="D676" s="9"/>
      <c r="E676" s="9"/>
      <c r="F676" s="9"/>
      <c r="H676" s="9"/>
      <c r="I676" s="9"/>
      <c r="J676" s="9"/>
      <c r="K676" s="9"/>
      <c r="L676" s="9"/>
      <c r="M676" s="9"/>
      <c r="N676" s="9"/>
      <c r="O676" s="9"/>
      <c r="P676" s="9"/>
      <c r="Q676" s="9"/>
      <c r="R676" s="9"/>
      <c r="S676" s="9"/>
      <c r="T676" s="9"/>
      <c r="U676" s="9"/>
      <c r="V676" s="9"/>
      <c r="W676" s="9"/>
      <c r="X676" s="9"/>
      <c r="Y676" s="9"/>
      <c r="Z676" s="9"/>
      <c r="AA676" s="9"/>
      <c r="AB676" s="9"/>
      <c r="AC676" s="9"/>
    </row>
    <row r="677" spans="1:29" ht="13.2">
      <c r="A677" s="9"/>
      <c r="B677" s="9"/>
      <c r="C677" s="14"/>
      <c r="D677" s="9"/>
      <c r="E677" s="9"/>
      <c r="F677" s="9"/>
      <c r="H677" s="9"/>
      <c r="I677" s="9"/>
      <c r="J677" s="9"/>
      <c r="K677" s="9"/>
      <c r="L677" s="9"/>
      <c r="M677" s="9"/>
      <c r="N677" s="9"/>
      <c r="O677" s="9"/>
      <c r="P677" s="9"/>
      <c r="Q677" s="9"/>
      <c r="R677" s="9"/>
      <c r="S677" s="9"/>
      <c r="T677" s="9"/>
      <c r="U677" s="9"/>
      <c r="V677" s="9"/>
      <c r="W677" s="9"/>
      <c r="X677" s="9"/>
      <c r="Y677" s="9"/>
      <c r="Z677" s="9"/>
      <c r="AA677" s="9"/>
      <c r="AB677" s="9"/>
      <c r="AC677" s="9"/>
    </row>
    <row r="678" spans="1:29" ht="13.2">
      <c r="A678" s="9"/>
      <c r="B678" s="9"/>
      <c r="C678" s="14"/>
      <c r="D678" s="9"/>
      <c r="E678" s="9"/>
      <c r="F678" s="9"/>
      <c r="H678" s="9"/>
      <c r="I678" s="9"/>
      <c r="J678" s="9"/>
      <c r="K678" s="9"/>
      <c r="L678" s="9"/>
      <c r="M678" s="9"/>
      <c r="N678" s="9"/>
      <c r="O678" s="9"/>
      <c r="P678" s="9"/>
      <c r="Q678" s="9"/>
      <c r="R678" s="9"/>
      <c r="S678" s="9"/>
      <c r="T678" s="9"/>
      <c r="U678" s="9"/>
      <c r="V678" s="9"/>
      <c r="W678" s="9"/>
      <c r="X678" s="9"/>
      <c r="Y678" s="9"/>
      <c r="Z678" s="9"/>
      <c r="AA678" s="9"/>
      <c r="AB678" s="9"/>
      <c r="AC678" s="9"/>
    </row>
    <row r="679" spans="1:29" ht="13.2">
      <c r="A679" s="9"/>
      <c r="B679" s="9"/>
      <c r="C679" s="14"/>
      <c r="D679" s="9"/>
      <c r="E679" s="9"/>
      <c r="F679" s="9"/>
      <c r="H679" s="9"/>
      <c r="I679" s="9"/>
      <c r="J679" s="9"/>
      <c r="K679" s="9"/>
      <c r="L679" s="9"/>
      <c r="M679" s="9"/>
      <c r="N679" s="9"/>
      <c r="O679" s="9"/>
      <c r="P679" s="9"/>
      <c r="Q679" s="9"/>
      <c r="R679" s="9"/>
      <c r="S679" s="9"/>
      <c r="T679" s="9"/>
      <c r="U679" s="9"/>
      <c r="V679" s="9"/>
      <c r="W679" s="9"/>
      <c r="X679" s="9"/>
      <c r="Y679" s="9"/>
      <c r="Z679" s="9"/>
      <c r="AA679" s="9"/>
      <c r="AB679" s="9"/>
      <c r="AC679" s="9"/>
    </row>
    <row r="680" spans="1:29" ht="13.2">
      <c r="A680" s="9"/>
      <c r="B680" s="9"/>
      <c r="C680" s="14"/>
      <c r="D680" s="9"/>
      <c r="E680" s="9"/>
      <c r="F680" s="9"/>
      <c r="H680" s="9"/>
      <c r="I680" s="9"/>
      <c r="J680" s="9"/>
      <c r="K680" s="9"/>
      <c r="L680" s="9"/>
      <c r="M680" s="9"/>
      <c r="N680" s="9"/>
      <c r="O680" s="9"/>
      <c r="P680" s="9"/>
      <c r="Q680" s="9"/>
      <c r="R680" s="9"/>
      <c r="S680" s="9"/>
      <c r="T680" s="9"/>
      <c r="U680" s="9"/>
      <c r="V680" s="9"/>
      <c r="W680" s="9"/>
      <c r="X680" s="9"/>
      <c r="Y680" s="9"/>
      <c r="Z680" s="9"/>
      <c r="AA680" s="9"/>
      <c r="AB680" s="9"/>
      <c r="AC680" s="9"/>
    </row>
    <row r="681" spans="1:29" ht="13.2">
      <c r="A681" s="9"/>
      <c r="B681" s="9"/>
      <c r="C681" s="14"/>
      <c r="D681" s="9"/>
      <c r="E681" s="9"/>
      <c r="F681" s="9"/>
      <c r="H681" s="9"/>
      <c r="I681" s="9"/>
      <c r="J681" s="9"/>
      <c r="K681" s="9"/>
      <c r="L681" s="9"/>
      <c r="M681" s="9"/>
      <c r="N681" s="9"/>
      <c r="O681" s="9"/>
      <c r="P681" s="9"/>
      <c r="Q681" s="9"/>
      <c r="R681" s="9"/>
      <c r="S681" s="9"/>
      <c r="T681" s="9"/>
      <c r="U681" s="9"/>
      <c r="V681" s="9"/>
      <c r="W681" s="9"/>
      <c r="X681" s="9"/>
      <c r="Y681" s="9"/>
      <c r="Z681" s="9"/>
      <c r="AA681" s="9"/>
      <c r="AB681" s="9"/>
      <c r="AC681" s="9"/>
    </row>
    <row r="682" spans="1:29" ht="13.2">
      <c r="A682" s="9"/>
      <c r="B682" s="9"/>
      <c r="C682" s="14"/>
      <c r="D682" s="9"/>
      <c r="E682" s="9"/>
      <c r="F682" s="9"/>
      <c r="H682" s="9"/>
      <c r="I682" s="9"/>
      <c r="J682" s="9"/>
      <c r="K682" s="9"/>
      <c r="L682" s="9"/>
      <c r="M682" s="9"/>
      <c r="N682" s="9"/>
      <c r="O682" s="9"/>
      <c r="P682" s="9"/>
      <c r="Q682" s="9"/>
      <c r="R682" s="9"/>
      <c r="S682" s="9"/>
      <c r="T682" s="9"/>
      <c r="U682" s="9"/>
      <c r="V682" s="9"/>
      <c r="W682" s="9"/>
      <c r="X682" s="9"/>
      <c r="Y682" s="9"/>
      <c r="Z682" s="9"/>
      <c r="AA682" s="9"/>
      <c r="AB682" s="9"/>
      <c r="AC682" s="9"/>
    </row>
    <row r="683" spans="1:29" ht="13.2">
      <c r="A683" s="9"/>
      <c r="B683" s="9"/>
      <c r="C683" s="14"/>
      <c r="D683" s="9"/>
      <c r="E683" s="9"/>
      <c r="F683" s="9"/>
      <c r="H683" s="9"/>
      <c r="I683" s="9"/>
      <c r="J683" s="9"/>
      <c r="K683" s="9"/>
      <c r="L683" s="9"/>
      <c r="M683" s="9"/>
      <c r="N683" s="9"/>
      <c r="O683" s="9"/>
      <c r="P683" s="9"/>
      <c r="Q683" s="9"/>
      <c r="R683" s="9"/>
      <c r="S683" s="9"/>
      <c r="T683" s="9"/>
      <c r="U683" s="9"/>
      <c r="V683" s="9"/>
      <c r="W683" s="9"/>
      <c r="X683" s="9"/>
      <c r="Y683" s="9"/>
      <c r="Z683" s="9"/>
      <c r="AA683" s="9"/>
      <c r="AB683" s="9"/>
      <c r="AC683" s="9"/>
    </row>
    <row r="684" spans="1:29" ht="13.2">
      <c r="A684" s="9"/>
      <c r="B684" s="9"/>
      <c r="C684" s="14"/>
      <c r="D684" s="9"/>
      <c r="E684" s="9"/>
      <c r="F684" s="9"/>
      <c r="H684" s="9"/>
      <c r="I684" s="9"/>
      <c r="J684" s="9"/>
      <c r="K684" s="9"/>
      <c r="L684" s="9"/>
      <c r="M684" s="9"/>
      <c r="N684" s="9"/>
      <c r="O684" s="9"/>
      <c r="P684" s="9"/>
      <c r="Q684" s="9"/>
      <c r="R684" s="9"/>
      <c r="S684" s="9"/>
      <c r="T684" s="9"/>
      <c r="U684" s="9"/>
      <c r="V684" s="9"/>
      <c r="W684" s="9"/>
      <c r="X684" s="9"/>
      <c r="Y684" s="9"/>
      <c r="Z684" s="9"/>
      <c r="AA684" s="9"/>
      <c r="AB684" s="9"/>
      <c r="AC684" s="9"/>
    </row>
    <row r="685" spans="1:29" ht="13.2">
      <c r="A685" s="9"/>
      <c r="B685" s="9"/>
      <c r="C685" s="14"/>
      <c r="D685" s="9"/>
      <c r="E685" s="9"/>
      <c r="F685" s="9"/>
      <c r="H685" s="9"/>
      <c r="I685" s="9"/>
      <c r="J685" s="9"/>
      <c r="K685" s="9"/>
      <c r="L685" s="9"/>
      <c r="M685" s="9"/>
      <c r="N685" s="9"/>
      <c r="O685" s="9"/>
      <c r="P685" s="9"/>
      <c r="Q685" s="9"/>
      <c r="R685" s="9"/>
      <c r="S685" s="9"/>
      <c r="T685" s="9"/>
      <c r="U685" s="9"/>
      <c r="V685" s="9"/>
      <c r="W685" s="9"/>
      <c r="X685" s="9"/>
      <c r="Y685" s="9"/>
      <c r="Z685" s="9"/>
      <c r="AA685" s="9"/>
      <c r="AB685" s="9"/>
      <c r="AC685" s="9"/>
    </row>
    <row r="686" spans="1:29" ht="13.2">
      <c r="A686" s="9"/>
      <c r="B686" s="9"/>
      <c r="C686" s="14"/>
      <c r="D686" s="9"/>
      <c r="E686" s="9"/>
      <c r="F686" s="9"/>
      <c r="H686" s="9"/>
      <c r="I686" s="9"/>
      <c r="J686" s="9"/>
      <c r="K686" s="9"/>
      <c r="L686" s="9"/>
      <c r="M686" s="9"/>
      <c r="N686" s="9"/>
      <c r="O686" s="9"/>
      <c r="P686" s="9"/>
      <c r="Q686" s="9"/>
      <c r="R686" s="9"/>
      <c r="S686" s="9"/>
      <c r="T686" s="9"/>
      <c r="U686" s="9"/>
      <c r="V686" s="9"/>
      <c r="W686" s="9"/>
      <c r="X686" s="9"/>
      <c r="Y686" s="9"/>
      <c r="Z686" s="9"/>
      <c r="AA686" s="9"/>
      <c r="AB686" s="9"/>
      <c r="AC686" s="9"/>
    </row>
    <row r="687" spans="1:29" ht="13.2">
      <c r="A687" s="9"/>
      <c r="B687" s="9"/>
      <c r="C687" s="14"/>
      <c r="D687" s="9"/>
      <c r="E687" s="9"/>
      <c r="F687" s="9"/>
      <c r="H687" s="9"/>
      <c r="I687" s="9"/>
      <c r="J687" s="9"/>
      <c r="K687" s="9"/>
      <c r="L687" s="9"/>
      <c r="M687" s="9"/>
      <c r="N687" s="9"/>
      <c r="O687" s="9"/>
      <c r="P687" s="9"/>
      <c r="Q687" s="9"/>
      <c r="R687" s="9"/>
      <c r="S687" s="9"/>
      <c r="T687" s="9"/>
      <c r="U687" s="9"/>
      <c r="V687" s="9"/>
      <c r="W687" s="9"/>
      <c r="X687" s="9"/>
      <c r="Y687" s="9"/>
      <c r="Z687" s="9"/>
      <c r="AA687" s="9"/>
      <c r="AB687" s="9"/>
      <c r="AC687" s="9"/>
    </row>
    <row r="688" spans="1:29" ht="13.2">
      <c r="A688" s="9"/>
      <c r="B688" s="9"/>
      <c r="C688" s="14"/>
      <c r="D688" s="9"/>
      <c r="E688" s="9"/>
      <c r="F688" s="9"/>
      <c r="H688" s="9"/>
      <c r="I688" s="9"/>
      <c r="J688" s="9"/>
      <c r="K688" s="9"/>
      <c r="L688" s="9"/>
      <c r="M688" s="9"/>
      <c r="N688" s="9"/>
      <c r="O688" s="9"/>
      <c r="P688" s="9"/>
      <c r="Q688" s="9"/>
      <c r="R688" s="9"/>
      <c r="S688" s="9"/>
      <c r="T688" s="9"/>
      <c r="U688" s="9"/>
      <c r="V688" s="9"/>
      <c r="W688" s="9"/>
      <c r="X688" s="9"/>
      <c r="Y688" s="9"/>
      <c r="Z688" s="9"/>
      <c r="AA688" s="9"/>
      <c r="AB688" s="9"/>
      <c r="AC688" s="9"/>
    </row>
    <row r="689" spans="1:29" ht="13.2">
      <c r="A689" s="9"/>
      <c r="B689" s="9"/>
      <c r="C689" s="14"/>
      <c r="D689" s="9"/>
      <c r="E689" s="9"/>
      <c r="F689" s="9"/>
      <c r="H689" s="9"/>
      <c r="I689" s="9"/>
      <c r="J689" s="9"/>
      <c r="K689" s="9"/>
      <c r="L689" s="9"/>
      <c r="M689" s="9"/>
      <c r="N689" s="9"/>
      <c r="O689" s="9"/>
      <c r="P689" s="9"/>
      <c r="Q689" s="9"/>
      <c r="R689" s="9"/>
      <c r="S689" s="9"/>
      <c r="T689" s="9"/>
      <c r="U689" s="9"/>
      <c r="V689" s="9"/>
      <c r="W689" s="9"/>
      <c r="X689" s="9"/>
      <c r="Y689" s="9"/>
      <c r="Z689" s="9"/>
      <c r="AA689" s="9"/>
      <c r="AB689" s="9"/>
      <c r="AC689" s="9"/>
    </row>
    <row r="690" spans="1:29" ht="13.2">
      <c r="A690" s="9"/>
      <c r="B690" s="9"/>
      <c r="C690" s="14"/>
      <c r="D690" s="9"/>
      <c r="E690" s="9"/>
      <c r="F690" s="9"/>
      <c r="H690" s="9"/>
      <c r="I690" s="9"/>
      <c r="J690" s="9"/>
      <c r="K690" s="9"/>
      <c r="L690" s="9"/>
      <c r="M690" s="9"/>
      <c r="N690" s="9"/>
      <c r="O690" s="9"/>
      <c r="P690" s="9"/>
      <c r="Q690" s="9"/>
      <c r="R690" s="9"/>
      <c r="S690" s="9"/>
      <c r="T690" s="9"/>
      <c r="U690" s="9"/>
      <c r="V690" s="9"/>
      <c r="W690" s="9"/>
      <c r="X690" s="9"/>
      <c r="Y690" s="9"/>
      <c r="Z690" s="9"/>
      <c r="AA690" s="9"/>
      <c r="AB690" s="9"/>
      <c r="AC690" s="9"/>
    </row>
    <row r="691" spans="1:29" ht="13.2">
      <c r="A691" s="9"/>
      <c r="B691" s="9"/>
      <c r="C691" s="14"/>
      <c r="D691" s="9"/>
      <c r="E691" s="9"/>
      <c r="F691" s="9"/>
      <c r="H691" s="9"/>
      <c r="I691" s="9"/>
      <c r="J691" s="9"/>
      <c r="K691" s="9"/>
      <c r="L691" s="9"/>
      <c r="M691" s="9"/>
      <c r="N691" s="9"/>
      <c r="O691" s="9"/>
      <c r="P691" s="9"/>
      <c r="Q691" s="9"/>
      <c r="R691" s="9"/>
      <c r="S691" s="9"/>
      <c r="T691" s="9"/>
      <c r="U691" s="9"/>
      <c r="V691" s="9"/>
      <c r="W691" s="9"/>
      <c r="X691" s="9"/>
      <c r="Y691" s="9"/>
      <c r="Z691" s="9"/>
      <c r="AA691" s="9"/>
      <c r="AB691" s="9"/>
      <c r="AC691" s="9"/>
    </row>
    <row r="692" spans="1:29" ht="13.2">
      <c r="A692" s="9"/>
      <c r="B692" s="9"/>
      <c r="C692" s="14"/>
      <c r="D692" s="9"/>
      <c r="E692" s="9"/>
      <c r="F692" s="9"/>
      <c r="H692" s="9"/>
      <c r="I692" s="9"/>
      <c r="J692" s="9"/>
      <c r="K692" s="9"/>
      <c r="L692" s="9"/>
      <c r="M692" s="9"/>
      <c r="N692" s="9"/>
      <c r="O692" s="9"/>
      <c r="P692" s="9"/>
      <c r="Q692" s="9"/>
      <c r="R692" s="9"/>
      <c r="S692" s="9"/>
      <c r="T692" s="9"/>
      <c r="U692" s="9"/>
      <c r="V692" s="9"/>
      <c r="W692" s="9"/>
      <c r="X692" s="9"/>
      <c r="Y692" s="9"/>
      <c r="Z692" s="9"/>
      <c r="AA692" s="9"/>
      <c r="AB692" s="9"/>
      <c r="AC692" s="9"/>
    </row>
    <row r="693" spans="1:29" ht="13.2">
      <c r="A693" s="9"/>
      <c r="B693" s="9"/>
      <c r="C693" s="14"/>
      <c r="D693" s="9"/>
      <c r="E693" s="9"/>
      <c r="F693" s="9"/>
      <c r="H693" s="9"/>
      <c r="I693" s="9"/>
      <c r="J693" s="9"/>
      <c r="K693" s="9"/>
      <c r="L693" s="9"/>
      <c r="M693" s="9"/>
      <c r="N693" s="9"/>
      <c r="O693" s="9"/>
      <c r="P693" s="9"/>
      <c r="Q693" s="9"/>
      <c r="R693" s="9"/>
      <c r="S693" s="9"/>
      <c r="T693" s="9"/>
      <c r="U693" s="9"/>
      <c r="V693" s="9"/>
      <c r="W693" s="9"/>
      <c r="X693" s="9"/>
      <c r="Y693" s="9"/>
      <c r="Z693" s="9"/>
      <c r="AA693" s="9"/>
      <c r="AB693" s="9"/>
      <c r="AC693" s="9"/>
    </row>
    <row r="694" spans="1:29" ht="13.2">
      <c r="A694" s="9"/>
      <c r="B694" s="9"/>
      <c r="C694" s="14"/>
      <c r="D694" s="9"/>
      <c r="E694" s="9"/>
      <c r="F694" s="9"/>
      <c r="H694" s="9"/>
      <c r="I694" s="9"/>
      <c r="J694" s="9"/>
      <c r="K694" s="9"/>
      <c r="L694" s="9"/>
      <c r="M694" s="9"/>
      <c r="N694" s="9"/>
      <c r="O694" s="9"/>
      <c r="P694" s="9"/>
      <c r="Q694" s="9"/>
      <c r="R694" s="9"/>
      <c r="S694" s="9"/>
      <c r="T694" s="9"/>
      <c r="U694" s="9"/>
      <c r="V694" s="9"/>
      <c r="W694" s="9"/>
      <c r="X694" s="9"/>
      <c r="Y694" s="9"/>
      <c r="Z694" s="9"/>
      <c r="AA694" s="9"/>
      <c r="AB694" s="9"/>
      <c r="AC694" s="9"/>
    </row>
    <row r="695" spans="1:29" ht="13.2">
      <c r="A695" s="9"/>
      <c r="B695" s="9"/>
      <c r="C695" s="14"/>
      <c r="D695" s="9"/>
      <c r="E695" s="9"/>
      <c r="F695" s="9"/>
      <c r="H695" s="9"/>
      <c r="I695" s="9"/>
      <c r="J695" s="9"/>
      <c r="K695" s="9"/>
      <c r="L695" s="9"/>
      <c r="M695" s="9"/>
      <c r="N695" s="9"/>
      <c r="O695" s="9"/>
      <c r="P695" s="9"/>
      <c r="Q695" s="9"/>
      <c r="R695" s="9"/>
      <c r="S695" s="9"/>
      <c r="T695" s="9"/>
      <c r="U695" s="9"/>
      <c r="V695" s="9"/>
      <c r="W695" s="9"/>
      <c r="X695" s="9"/>
      <c r="Y695" s="9"/>
      <c r="Z695" s="9"/>
      <c r="AA695" s="9"/>
      <c r="AB695" s="9"/>
      <c r="AC695" s="9"/>
    </row>
    <row r="696" spans="1:29" ht="13.2">
      <c r="A696" s="9"/>
      <c r="B696" s="9"/>
      <c r="C696" s="14"/>
      <c r="D696" s="9"/>
      <c r="E696" s="9"/>
      <c r="F696" s="9"/>
      <c r="H696" s="9"/>
      <c r="I696" s="9"/>
      <c r="J696" s="9"/>
      <c r="K696" s="9"/>
      <c r="L696" s="9"/>
      <c r="M696" s="9"/>
      <c r="N696" s="9"/>
      <c r="O696" s="9"/>
      <c r="P696" s="9"/>
      <c r="Q696" s="9"/>
      <c r="R696" s="9"/>
      <c r="S696" s="9"/>
      <c r="T696" s="9"/>
      <c r="U696" s="9"/>
      <c r="V696" s="9"/>
      <c r="W696" s="9"/>
      <c r="X696" s="9"/>
      <c r="Y696" s="9"/>
      <c r="Z696" s="9"/>
      <c r="AA696" s="9"/>
      <c r="AB696" s="9"/>
      <c r="AC696" s="9"/>
    </row>
    <row r="697" spans="1:29" ht="13.2">
      <c r="A697" s="9"/>
      <c r="B697" s="9"/>
      <c r="C697" s="14"/>
      <c r="D697" s="9"/>
      <c r="E697" s="9"/>
      <c r="F697" s="9"/>
      <c r="H697" s="9"/>
      <c r="I697" s="9"/>
      <c r="J697" s="9"/>
      <c r="K697" s="9"/>
      <c r="L697" s="9"/>
      <c r="M697" s="9"/>
      <c r="N697" s="9"/>
      <c r="O697" s="9"/>
      <c r="P697" s="9"/>
      <c r="Q697" s="9"/>
      <c r="R697" s="9"/>
      <c r="S697" s="9"/>
      <c r="T697" s="9"/>
      <c r="U697" s="9"/>
      <c r="V697" s="9"/>
      <c r="W697" s="9"/>
      <c r="X697" s="9"/>
      <c r="Y697" s="9"/>
      <c r="Z697" s="9"/>
      <c r="AA697" s="9"/>
      <c r="AB697" s="9"/>
      <c r="AC697" s="9"/>
    </row>
    <row r="698" spans="1:29" ht="13.2">
      <c r="A698" s="9"/>
      <c r="B698" s="9"/>
      <c r="C698" s="14"/>
      <c r="D698" s="9"/>
      <c r="E698" s="9"/>
      <c r="F698" s="9"/>
      <c r="H698" s="9"/>
      <c r="I698" s="9"/>
      <c r="J698" s="9"/>
      <c r="K698" s="9"/>
      <c r="L698" s="9"/>
      <c r="M698" s="9"/>
      <c r="N698" s="9"/>
      <c r="O698" s="9"/>
      <c r="P698" s="9"/>
      <c r="Q698" s="9"/>
      <c r="R698" s="9"/>
      <c r="S698" s="9"/>
      <c r="T698" s="9"/>
      <c r="U698" s="9"/>
      <c r="V698" s="9"/>
      <c r="W698" s="9"/>
      <c r="X698" s="9"/>
      <c r="Y698" s="9"/>
      <c r="Z698" s="9"/>
      <c r="AA698" s="9"/>
      <c r="AB698" s="9"/>
      <c r="AC698" s="9"/>
    </row>
    <row r="699" spans="1:29" ht="13.2">
      <c r="A699" s="9"/>
      <c r="B699" s="9"/>
      <c r="C699" s="14"/>
      <c r="D699" s="9"/>
      <c r="E699" s="9"/>
      <c r="F699" s="9"/>
      <c r="H699" s="9"/>
      <c r="I699" s="9"/>
      <c r="J699" s="9"/>
      <c r="K699" s="9"/>
      <c r="L699" s="9"/>
      <c r="M699" s="9"/>
      <c r="N699" s="9"/>
      <c r="O699" s="9"/>
      <c r="P699" s="9"/>
      <c r="Q699" s="9"/>
      <c r="R699" s="9"/>
      <c r="S699" s="9"/>
      <c r="T699" s="9"/>
      <c r="U699" s="9"/>
      <c r="V699" s="9"/>
      <c r="W699" s="9"/>
      <c r="X699" s="9"/>
      <c r="Y699" s="9"/>
      <c r="Z699" s="9"/>
      <c r="AA699" s="9"/>
      <c r="AB699" s="9"/>
      <c r="AC699" s="9"/>
    </row>
    <row r="700" spans="1:29" ht="13.2">
      <c r="A700" s="9"/>
      <c r="B700" s="9"/>
      <c r="C700" s="14"/>
      <c r="D700" s="9"/>
      <c r="E700" s="9"/>
      <c r="F700" s="9"/>
      <c r="H700" s="9"/>
      <c r="I700" s="9"/>
      <c r="J700" s="9"/>
      <c r="K700" s="9"/>
      <c r="L700" s="9"/>
      <c r="M700" s="9"/>
      <c r="N700" s="9"/>
      <c r="O700" s="9"/>
      <c r="P700" s="9"/>
      <c r="Q700" s="9"/>
      <c r="R700" s="9"/>
      <c r="S700" s="9"/>
      <c r="T700" s="9"/>
      <c r="U700" s="9"/>
      <c r="V700" s="9"/>
      <c r="W700" s="9"/>
      <c r="X700" s="9"/>
      <c r="Y700" s="9"/>
      <c r="Z700" s="9"/>
      <c r="AA700" s="9"/>
      <c r="AB700" s="9"/>
      <c r="AC700" s="9"/>
    </row>
    <row r="701" spans="1:29" ht="13.2">
      <c r="A701" s="9"/>
      <c r="B701" s="9"/>
      <c r="C701" s="14"/>
      <c r="D701" s="9"/>
      <c r="E701" s="9"/>
      <c r="F701" s="9"/>
      <c r="H701" s="9"/>
      <c r="I701" s="9"/>
      <c r="J701" s="9"/>
      <c r="K701" s="9"/>
      <c r="L701" s="9"/>
      <c r="M701" s="9"/>
      <c r="N701" s="9"/>
      <c r="O701" s="9"/>
      <c r="P701" s="9"/>
      <c r="Q701" s="9"/>
      <c r="R701" s="9"/>
      <c r="S701" s="9"/>
      <c r="T701" s="9"/>
      <c r="U701" s="9"/>
      <c r="V701" s="9"/>
      <c r="W701" s="9"/>
      <c r="X701" s="9"/>
      <c r="Y701" s="9"/>
      <c r="Z701" s="9"/>
      <c r="AA701" s="9"/>
      <c r="AB701" s="9"/>
      <c r="AC701" s="9"/>
    </row>
    <row r="702" spans="1:29" ht="13.2">
      <c r="A702" s="9"/>
      <c r="B702" s="9"/>
      <c r="C702" s="14"/>
      <c r="D702" s="9"/>
      <c r="E702" s="9"/>
      <c r="F702" s="9"/>
      <c r="H702" s="9"/>
      <c r="I702" s="9"/>
      <c r="J702" s="9"/>
      <c r="K702" s="9"/>
      <c r="L702" s="9"/>
      <c r="M702" s="9"/>
      <c r="N702" s="9"/>
      <c r="O702" s="9"/>
      <c r="P702" s="9"/>
      <c r="Q702" s="9"/>
      <c r="R702" s="9"/>
      <c r="S702" s="9"/>
      <c r="T702" s="9"/>
      <c r="U702" s="9"/>
      <c r="V702" s="9"/>
      <c r="W702" s="9"/>
      <c r="X702" s="9"/>
      <c r="Y702" s="9"/>
      <c r="Z702" s="9"/>
      <c r="AA702" s="9"/>
      <c r="AB702" s="9"/>
      <c r="AC702" s="9"/>
    </row>
    <row r="703" spans="1:29" ht="13.2">
      <c r="A703" s="9"/>
      <c r="B703" s="9"/>
      <c r="C703" s="14"/>
      <c r="D703" s="9"/>
      <c r="E703" s="9"/>
      <c r="F703" s="9"/>
      <c r="H703" s="9"/>
      <c r="I703" s="9"/>
      <c r="J703" s="9"/>
      <c r="K703" s="9"/>
      <c r="L703" s="9"/>
      <c r="M703" s="9"/>
      <c r="N703" s="9"/>
      <c r="O703" s="9"/>
      <c r="P703" s="9"/>
      <c r="Q703" s="9"/>
      <c r="R703" s="9"/>
      <c r="S703" s="9"/>
      <c r="T703" s="9"/>
      <c r="U703" s="9"/>
      <c r="V703" s="9"/>
      <c r="W703" s="9"/>
      <c r="X703" s="9"/>
      <c r="Y703" s="9"/>
      <c r="Z703" s="9"/>
      <c r="AA703" s="9"/>
      <c r="AB703" s="9"/>
      <c r="AC703" s="9"/>
    </row>
    <row r="704" spans="1:29" ht="13.2">
      <c r="A704" s="9"/>
      <c r="B704" s="9"/>
      <c r="C704" s="14"/>
      <c r="D704" s="9"/>
      <c r="E704" s="9"/>
      <c r="F704" s="9"/>
      <c r="H704" s="9"/>
      <c r="I704" s="9"/>
      <c r="J704" s="9"/>
      <c r="K704" s="9"/>
      <c r="L704" s="9"/>
      <c r="M704" s="9"/>
      <c r="N704" s="9"/>
      <c r="O704" s="9"/>
      <c r="P704" s="9"/>
      <c r="Q704" s="9"/>
      <c r="R704" s="9"/>
      <c r="S704" s="9"/>
      <c r="T704" s="9"/>
      <c r="U704" s="9"/>
      <c r="V704" s="9"/>
      <c r="W704" s="9"/>
      <c r="X704" s="9"/>
      <c r="Y704" s="9"/>
      <c r="Z704" s="9"/>
      <c r="AA704" s="9"/>
      <c r="AB704" s="9"/>
      <c r="AC704" s="9"/>
    </row>
    <row r="705" spans="1:29" ht="13.2">
      <c r="A705" s="9"/>
      <c r="B705" s="9"/>
      <c r="C705" s="14"/>
      <c r="D705" s="9"/>
      <c r="E705" s="9"/>
      <c r="F705" s="9"/>
      <c r="H705" s="9"/>
      <c r="I705" s="9"/>
      <c r="J705" s="9"/>
      <c r="K705" s="9"/>
      <c r="L705" s="9"/>
      <c r="M705" s="9"/>
      <c r="N705" s="9"/>
      <c r="O705" s="9"/>
      <c r="P705" s="9"/>
      <c r="Q705" s="9"/>
      <c r="R705" s="9"/>
      <c r="S705" s="9"/>
      <c r="T705" s="9"/>
      <c r="U705" s="9"/>
      <c r="V705" s="9"/>
      <c r="W705" s="9"/>
      <c r="X705" s="9"/>
      <c r="Y705" s="9"/>
      <c r="Z705" s="9"/>
      <c r="AA705" s="9"/>
      <c r="AB705" s="9"/>
      <c r="AC705" s="9"/>
    </row>
    <row r="706" spans="1:29" ht="13.2">
      <c r="A706" s="9"/>
      <c r="B706" s="9"/>
      <c r="C706" s="14"/>
      <c r="D706" s="9"/>
      <c r="E706" s="9"/>
      <c r="F706" s="9"/>
      <c r="H706" s="9"/>
      <c r="I706" s="9"/>
      <c r="J706" s="9"/>
      <c r="K706" s="9"/>
      <c r="L706" s="9"/>
      <c r="M706" s="9"/>
      <c r="N706" s="9"/>
      <c r="O706" s="9"/>
      <c r="P706" s="9"/>
      <c r="Q706" s="9"/>
      <c r="R706" s="9"/>
      <c r="S706" s="9"/>
      <c r="T706" s="9"/>
      <c r="U706" s="9"/>
      <c r="V706" s="9"/>
      <c r="W706" s="9"/>
      <c r="X706" s="9"/>
      <c r="Y706" s="9"/>
      <c r="Z706" s="9"/>
      <c r="AA706" s="9"/>
      <c r="AB706" s="9"/>
      <c r="AC706" s="9"/>
    </row>
    <row r="707" spans="1:29" ht="13.2">
      <c r="A707" s="9"/>
      <c r="B707" s="9"/>
      <c r="C707" s="14"/>
      <c r="D707" s="9"/>
      <c r="E707" s="9"/>
      <c r="F707" s="9"/>
      <c r="H707" s="9"/>
      <c r="I707" s="9"/>
      <c r="J707" s="9"/>
      <c r="K707" s="9"/>
      <c r="L707" s="9"/>
      <c r="M707" s="9"/>
      <c r="N707" s="9"/>
      <c r="O707" s="9"/>
      <c r="P707" s="9"/>
      <c r="Q707" s="9"/>
      <c r="R707" s="9"/>
      <c r="S707" s="9"/>
      <c r="T707" s="9"/>
      <c r="U707" s="9"/>
      <c r="V707" s="9"/>
      <c r="W707" s="9"/>
      <c r="X707" s="9"/>
      <c r="Y707" s="9"/>
      <c r="Z707" s="9"/>
      <c r="AA707" s="9"/>
      <c r="AB707" s="9"/>
      <c r="AC707" s="9"/>
    </row>
    <row r="708" spans="1:29" ht="13.2">
      <c r="A708" s="9"/>
      <c r="B708" s="9"/>
      <c r="C708" s="14"/>
      <c r="D708" s="9"/>
      <c r="E708" s="9"/>
      <c r="F708" s="9"/>
      <c r="H708" s="9"/>
      <c r="I708" s="9"/>
      <c r="J708" s="9"/>
      <c r="K708" s="9"/>
      <c r="L708" s="9"/>
      <c r="M708" s="9"/>
      <c r="N708" s="9"/>
      <c r="O708" s="9"/>
      <c r="P708" s="9"/>
      <c r="Q708" s="9"/>
      <c r="R708" s="9"/>
      <c r="S708" s="9"/>
      <c r="T708" s="9"/>
      <c r="U708" s="9"/>
      <c r="V708" s="9"/>
      <c r="W708" s="9"/>
      <c r="X708" s="9"/>
      <c r="Y708" s="9"/>
      <c r="Z708" s="9"/>
      <c r="AA708" s="9"/>
      <c r="AB708" s="9"/>
      <c r="AC708" s="9"/>
    </row>
    <row r="709" spans="1:29" ht="13.2">
      <c r="A709" s="9"/>
      <c r="B709" s="9"/>
      <c r="C709" s="14"/>
      <c r="D709" s="9"/>
      <c r="E709" s="9"/>
      <c r="F709" s="9"/>
      <c r="H709" s="9"/>
      <c r="I709" s="9"/>
      <c r="J709" s="9"/>
      <c r="K709" s="9"/>
      <c r="L709" s="9"/>
      <c r="M709" s="9"/>
      <c r="N709" s="9"/>
      <c r="O709" s="9"/>
      <c r="P709" s="9"/>
      <c r="Q709" s="9"/>
      <c r="R709" s="9"/>
      <c r="S709" s="9"/>
      <c r="T709" s="9"/>
      <c r="U709" s="9"/>
      <c r="V709" s="9"/>
      <c r="W709" s="9"/>
      <c r="X709" s="9"/>
      <c r="Y709" s="9"/>
      <c r="Z709" s="9"/>
      <c r="AA709" s="9"/>
      <c r="AB709" s="9"/>
      <c r="AC709" s="9"/>
    </row>
    <row r="710" spans="1:29" ht="13.2">
      <c r="A710" s="9"/>
      <c r="B710" s="9"/>
      <c r="C710" s="14"/>
      <c r="D710" s="9"/>
      <c r="E710" s="9"/>
      <c r="F710" s="9"/>
      <c r="H710" s="9"/>
      <c r="I710" s="9"/>
      <c r="J710" s="9"/>
      <c r="K710" s="9"/>
      <c r="L710" s="9"/>
      <c r="M710" s="9"/>
      <c r="N710" s="9"/>
      <c r="O710" s="9"/>
      <c r="P710" s="9"/>
      <c r="Q710" s="9"/>
      <c r="R710" s="9"/>
      <c r="S710" s="9"/>
      <c r="T710" s="9"/>
      <c r="U710" s="9"/>
      <c r="V710" s="9"/>
      <c r="W710" s="9"/>
      <c r="X710" s="9"/>
      <c r="Y710" s="9"/>
      <c r="Z710" s="9"/>
      <c r="AA710" s="9"/>
      <c r="AB710" s="9"/>
      <c r="AC710" s="9"/>
    </row>
    <row r="711" spans="1:29" ht="13.2">
      <c r="A711" s="9"/>
      <c r="B711" s="9"/>
      <c r="C711" s="14"/>
      <c r="D711" s="9"/>
      <c r="E711" s="9"/>
      <c r="F711" s="9"/>
      <c r="H711" s="9"/>
      <c r="I711" s="9"/>
      <c r="J711" s="9"/>
      <c r="K711" s="9"/>
      <c r="L711" s="9"/>
      <c r="M711" s="9"/>
      <c r="N711" s="9"/>
      <c r="O711" s="9"/>
      <c r="P711" s="9"/>
      <c r="Q711" s="9"/>
      <c r="R711" s="9"/>
      <c r="S711" s="9"/>
      <c r="T711" s="9"/>
      <c r="U711" s="9"/>
      <c r="V711" s="9"/>
      <c r="W711" s="9"/>
      <c r="X711" s="9"/>
      <c r="Y711" s="9"/>
      <c r="Z711" s="9"/>
      <c r="AA711" s="9"/>
      <c r="AB711" s="9"/>
      <c r="AC711" s="9"/>
    </row>
    <row r="712" spans="1:29" ht="13.2">
      <c r="A712" s="9"/>
      <c r="B712" s="9"/>
      <c r="C712" s="14"/>
      <c r="D712" s="9"/>
      <c r="E712" s="9"/>
      <c r="F712" s="9"/>
      <c r="H712" s="9"/>
      <c r="I712" s="9"/>
      <c r="J712" s="9"/>
      <c r="K712" s="9"/>
      <c r="L712" s="9"/>
      <c r="M712" s="9"/>
      <c r="N712" s="9"/>
      <c r="O712" s="9"/>
      <c r="P712" s="9"/>
      <c r="Q712" s="9"/>
      <c r="R712" s="9"/>
      <c r="S712" s="9"/>
      <c r="T712" s="9"/>
      <c r="U712" s="9"/>
      <c r="V712" s="9"/>
      <c r="W712" s="9"/>
      <c r="X712" s="9"/>
      <c r="Y712" s="9"/>
      <c r="Z712" s="9"/>
      <c r="AA712" s="9"/>
      <c r="AB712" s="9"/>
      <c r="AC712" s="9"/>
    </row>
    <row r="713" spans="1:29" ht="13.2">
      <c r="A713" s="9"/>
      <c r="B713" s="9"/>
      <c r="C713" s="14"/>
      <c r="D713" s="9"/>
      <c r="E713" s="9"/>
      <c r="F713" s="9"/>
      <c r="H713" s="9"/>
      <c r="I713" s="9"/>
      <c r="J713" s="9"/>
      <c r="K713" s="9"/>
      <c r="L713" s="9"/>
      <c r="M713" s="9"/>
      <c r="N713" s="9"/>
      <c r="O713" s="9"/>
      <c r="P713" s="9"/>
      <c r="Q713" s="9"/>
      <c r="R713" s="9"/>
      <c r="S713" s="9"/>
      <c r="T713" s="9"/>
      <c r="U713" s="9"/>
      <c r="V713" s="9"/>
      <c r="W713" s="9"/>
      <c r="X713" s="9"/>
      <c r="Y713" s="9"/>
      <c r="Z713" s="9"/>
      <c r="AA713" s="9"/>
      <c r="AB713" s="9"/>
      <c r="AC713" s="9"/>
    </row>
    <row r="714" spans="1:29" ht="13.2">
      <c r="A714" s="9"/>
      <c r="B714" s="9"/>
      <c r="C714" s="14"/>
      <c r="D714" s="9"/>
      <c r="E714" s="9"/>
      <c r="F714" s="9"/>
      <c r="H714" s="9"/>
      <c r="I714" s="9"/>
      <c r="J714" s="9"/>
      <c r="K714" s="9"/>
      <c r="L714" s="9"/>
      <c r="M714" s="9"/>
      <c r="N714" s="9"/>
      <c r="O714" s="9"/>
      <c r="P714" s="9"/>
      <c r="Q714" s="9"/>
      <c r="R714" s="9"/>
      <c r="S714" s="9"/>
      <c r="T714" s="9"/>
      <c r="U714" s="9"/>
      <c r="V714" s="9"/>
      <c r="W714" s="9"/>
      <c r="X714" s="9"/>
      <c r="Y714" s="9"/>
      <c r="Z714" s="9"/>
      <c r="AA714" s="9"/>
      <c r="AB714" s="9"/>
      <c r="AC714" s="9"/>
    </row>
    <row r="715" spans="1:29" ht="13.2">
      <c r="A715" s="9"/>
      <c r="B715" s="9"/>
      <c r="C715" s="14"/>
      <c r="D715" s="9"/>
      <c r="E715" s="9"/>
      <c r="F715" s="9"/>
      <c r="H715" s="9"/>
      <c r="I715" s="9"/>
      <c r="J715" s="9"/>
      <c r="K715" s="9"/>
      <c r="L715" s="9"/>
      <c r="M715" s="9"/>
      <c r="N715" s="9"/>
      <c r="O715" s="9"/>
      <c r="P715" s="9"/>
      <c r="Q715" s="9"/>
      <c r="R715" s="9"/>
      <c r="S715" s="9"/>
      <c r="T715" s="9"/>
      <c r="U715" s="9"/>
      <c r="V715" s="9"/>
      <c r="W715" s="9"/>
      <c r="X715" s="9"/>
      <c r="Y715" s="9"/>
      <c r="Z715" s="9"/>
      <c r="AA715" s="9"/>
      <c r="AB715" s="9"/>
      <c r="AC715" s="9"/>
    </row>
    <row r="716" spans="1:29" ht="13.2">
      <c r="A716" s="9"/>
      <c r="B716" s="9"/>
      <c r="C716" s="14"/>
      <c r="D716" s="9"/>
      <c r="E716" s="9"/>
      <c r="F716" s="9"/>
      <c r="H716" s="9"/>
      <c r="I716" s="9"/>
      <c r="J716" s="9"/>
      <c r="K716" s="9"/>
      <c r="L716" s="9"/>
      <c r="M716" s="9"/>
      <c r="N716" s="9"/>
      <c r="O716" s="9"/>
      <c r="P716" s="9"/>
      <c r="Q716" s="9"/>
      <c r="R716" s="9"/>
      <c r="S716" s="9"/>
      <c r="T716" s="9"/>
      <c r="U716" s="9"/>
      <c r="V716" s="9"/>
      <c r="W716" s="9"/>
      <c r="X716" s="9"/>
      <c r="Y716" s="9"/>
      <c r="Z716" s="9"/>
      <c r="AA716" s="9"/>
      <c r="AB716" s="9"/>
      <c r="AC716" s="9"/>
    </row>
    <row r="717" spans="1:29" ht="13.2">
      <c r="A717" s="9"/>
      <c r="B717" s="9"/>
      <c r="C717" s="14"/>
      <c r="D717" s="9"/>
      <c r="E717" s="9"/>
      <c r="F717" s="9"/>
      <c r="H717" s="9"/>
      <c r="I717" s="9"/>
      <c r="J717" s="9"/>
      <c r="K717" s="9"/>
      <c r="L717" s="9"/>
      <c r="M717" s="9"/>
      <c r="N717" s="9"/>
      <c r="O717" s="9"/>
      <c r="P717" s="9"/>
      <c r="Q717" s="9"/>
      <c r="R717" s="9"/>
      <c r="S717" s="9"/>
      <c r="T717" s="9"/>
      <c r="U717" s="9"/>
      <c r="V717" s="9"/>
      <c r="W717" s="9"/>
      <c r="X717" s="9"/>
      <c r="Y717" s="9"/>
      <c r="Z717" s="9"/>
      <c r="AA717" s="9"/>
      <c r="AB717" s="9"/>
      <c r="AC717" s="9"/>
    </row>
    <row r="718" spans="1:29" ht="13.2">
      <c r="A718" s="9"/>
      <c r="B718" s="9"/>
      <c r="C718" s="14"/>
      <c r="D718" s="9"/>
      <c r="H718" s="9"/>
      <c r="I718" s="9"/>
      <c r="J718" s="9"/>
      <c r="K718" s="9"/>
      <c r="L718" s="9"/>
      <c r="M718" s="9"/>
      <c r="N718" s="9"/>
      <c r="O718" s="9"/>
      <c r="P718" s="9"/>
      <c r="Q718" s="9"/>
      <c r="R718" s="9"/>
      <c r="S718" s="9"/>
      <c r="T718" s="9"/>
      <c r="U718" s="9"/>
      <c r="V718" s="9"/>
      <c r="W718" s="9"/>
      <c r="X718" s="9"/>
      <c r="Y718" s="9"/>
      <c r="Z718" s="9"/>
      <c r="AA718" s="9"/>
      <c r="AB718" s="9"/>
      <c r="AC718" s="9"/>
    </row>
    <row r="719" spans="1:29" ht="13.2">
      <c r="A719" s="9"/>
      <c r="B719" s="9"/>
      <c r="C719" s="14"/>
      <c r="H719" s="9"/>
      <c r="I719" s="9"/>
      <c r="J719" s="9"/>
      <c r="K719" s="9"/>
      <c r="L719" s="9"/>
      <c r="M719" s="9"/>
      <c r="N719" s="9"/>
      <c r="O719" s="9"/>
      <c r="P719" s="9"/>
      <c r="Q719" s="9"/>
      <c r="R719" s="9"/>
      <c r="S719" s="9"/>
      <c r="T719" s="9"/>
      <c r="U719" s="9"/>
      <c r="V719" s="9"/>
      <c r="W719" s="9"/>
      <c r="X719" s="9"/>
      <c r="Y719" s="9"/>
      <c r="Z719" s="9"/>
      <c r="AA719" s="9"/>
      <c r="AB719" s="9"/>
      <c r="AC719" s="9"/>
    </row>
    <row r="720" spans="1:29" ht="13.2">
      <c r="A720" s="9"/>
      <c r="B720" s="9"/>
      <c r="C720" s="14"/>
      <c r="H720" s="9"/>
      <c r="I720" s="9"/>
      <c r="J720" s="9"/>
      <c r="K720" s="9"/>
      <c r="L720" s="9"/>
      <c r="M720" s="9"/>
      <c r="N720" s="9"/>
      <c r="O720" s="9"/>
      <c r="P720" s="9"/>
      <c r="Q720" s="9"/>
      <c r="R720" s="9"/>
      <c r="S720" s="9"/>
      <c r="T720" s="9"/>
      <c r="U720" s="9"/>
      <c r="V720" s="9"/>
      <c r="W720" s="9"/>
      <c r="X720" s="9"/>
      <c r="Y720" s="9"/>
      <c r="Z720" s="9"/>
      <c r="AA720" s="9"/>
      <c r="AB720" s="9"/>
      <c r="AC720" s="9"/>
    </row>
    <row r="721" spans="1:29" ht="13.2">
      <c r="A721" s="9"/>
      <c r="B721" s="9"/>
      <c r="C721" s="14"/>
      <c r="H721" s="9"/>
      <c r="I721" s="9"/>
      <c r="J721" s="9"/>
      <c r="K721" s="9"/>
      <c r="L721" s="9"/>
      <c r="M721" s="9"/>
      <c r="N721" s="9"/>
      <c r="O721" s="9"/>
      <c r="P721" s="9"/>
      <c r="Q721" s="9"/>
      <c r="R721" s="9"/>
      <c r="S721" s="9"/>
      <c r="T721" s="9"/>
      <c r="U721" s="9"/>
      <c r="V721" s="9"/>
      <c r="W721" s="9"/>
      <c r="X721" s="9"/>
      <c r="Y721" s="9"/>
      <c r="Z721" s="9"/>
      <c r="AA721" s="9"/>
      <c r="AB721" s="9"/>
      <c r="AC721" s="9"/>
    </row>
    <row r="722" spans="1:29" ht="13.2">
      <c r="A722" s="9"/>
      <c r="B722" s="9"/>
      <c r="C722" s="14"/>
      <c r="H722" s="9"/>
      <c r="I722" s="9"/>
      <c r="J722" s="9"/>
      <c r="K722" s="9"/>
      <c r="L722" s="9"/>
      <c r="M722" s="9"/>
      <c r="N722" s="9"/>
      <c r="O722" s="9"/>
      <c r="P722" s="9"/>
      <c r="Q722" s="9"/>
      <c r="R722" s="9"/>
      <c r="S722" s="9"/>
      <c r="T722" s="9"/>
      <c r="U722" s="9"/>
      <c r="V722" s="9"/>
      <c r="W722" s="9"/>
      <c r="X722" s="9"/>
      <c r="Y722" s="9"/>
      <c r="Z722" s="9"/>
      <c r="AA722" s="9"/>
      <c r="AB722" s="9"/>
      <c r="AC722" s="9"/>
    </row>
    <row r="723" spans="1:29" ht="13.2">
      <c r="A723" s="9"/>
      <c r="B723" s="9"/>
      <c r="C723" s="14"/>
      <c r="H723" s="9"/>
      <c r="I723" s="9"/>
      <c r="J723" s="9"/>
      <c r="K723" s="9"/>
      <c r="L723" s="9"/>
      <c r="M723" s="9"/>
      <c r="N723" s="9"/>
      <c r="O723" s="9"/>
      <c r="P723" s="9"/>
      <c r="Q723" s="9"/>
      <c r="R723" s="9"/>
      <c r="S723" s="9"/>
      <c r="T723" s="9"/>
      <c r="U723" s="9"/>
      <c r="V723" s="9"/>
      <c r="W723" s="9"/>
      <c r="X723" s="9"/>
      <c r="Y723" s="9"/>
      <c r="Z723" s="9"/>
      <c r="AA723" s="9"/>
      <c r="AB723" s="9"/>
      <c r="AC723" s="9"/>
    </row>
    <row r="724" spans="1:29" ht="13.2">
      <c r="A724" s="9"/>
      <c r="B724" s="9"/>
      <c r="C724" s="14"/>
      <c r="H724" s="9"/>
      <c r="I724" s="9"/>
      <c r="J724" s="9"/>
      <c r="K724" s="9"/>
      <c r="L724" s="9"/>
      <c r="M724" s="9"/>
      <c r="N724" s="9"/>
      <c r="O724" s="9"/>
      <c r="P724" s="9"/>
      <c r="Q724" s="9"/>
      <c r="R724" s="9"/>
      <c r="S724" s="9"/>
      <c r="T724" s="9"/>
      <c r="U724" s="9"/>
      <c r="V724" s="9"/>
      <c r="W724" s="9"/>
      <c r="X724" s="9"/>
      <c r="Y724" s="9"/>
      <c r="Z724" s="9"/>
      <c r="AA724" s="9"/>
      <c r="AB724" s="9"/>
      <c r="AC724" s="9"/>
    </row>
    <row r="725" spans="1:29" ht="13.2">
      <c r="A725" s="9"/>
      <c r="B725" s="9"/>
      <c r="C725" s="14"/>
      <c r="H725" s="9"/>
      <c r="I725" s="9"/>
      <c r="J725" s="9"/>
      <c r="K725" s="9"/>
      <c r="L725" s="9"/>
      <c r="M725" s="9"/>
      <c r="N725" s="9"/>
      <c r="O725" s="9"/>
      <c r="P725" s="9"/>
      <c r="Q725" s="9"/>
      <c r="R725" s="9"/>
      <c r="S725" s="9"/>
      <c r="T725" s="9"/>
      <c r="U725" s="9"/>
      <c r="V725" s="9"/>
      <c r="W725" s="9"/>
      <c r="X725" s="9"/>
      <c r="Y725" s="9"/>
      <c r="Z725" s="9"/>
      <c r="AA725" s="9"/>
      <c r="AB725" s="9"/>
      <c r="AC725" s="9"/>
    </row>
    <row r="726" spans="1:29" ht="13.2">
      <c r="A726" s="9"/>
      <c r="B726" s="9"/>
      <c r="C726" s="14"/>
      <c r="H726" s="9"/>
      <c r="I726" s="9"/>
      <c r="J726" s="9"/>
      <c r="K726" s="9"/>
      <c r="L726" s="9"/>
      <c r="M726" s="9"/>
      <c r="N726" s="9"/>
      <c r="O726" s="9"/>
      <c r="P726" s="9"/>
      <c r="Q726" s="9"/>
      <c r="R726" s="9"/>
      <c r="S726" s="9"/>
      <c r="T726" s="9"/>
      <c r="U726" s="9"/>
      <c r="V726" s="9"/>
      <c r="W726" s="9"/>
      <c r="X726" s="9"/>
      <c r="Y726" s="9"/>
      <c r="Z726" s="9"/>
      <c r="AA726" s="9"/>
      <c r="AB726" s="9"/>
      <c r="AC726" s="9"/>
    </row>
    <row r="727" spans="1:29" ht="13.2">
      <c r="A727" s="9"/>
      <c r="B727" s="9"/>
      <c r="C727" s="14"/>
      <c r="H727" s="9"/>
      <c r="I727" s="9"/>
      <c r="J727" s="9"/>
      <c r="K727" s="9"/>
      <c r="L727" s="9"/>
      <c r="M727" s="9"/>
      <c r="N727" s="9"/>
      <c r="O727" s="9"/>
      <c r="P727" s="9"/>
      <c r="Q727" s="9"/>
      <c r="R727" s="9"/>
      <c r="S727" s="9"/>
      <c r="T727" s="9"/>
      <c r="U727" s="9"/>
      <c r="V727" s="9"/>
      <c r="W727" s="9"/>
      <c r="X727" s="9"/>
      <c r="Y727" s="9"/>
      <c r="Z727" s="9"/>
      <c r="AA727" s="9"/>
      <c r="AB727" s="9"/>
      <c r="AC727" s="9"/>
    </row>
    <row r="728" spans="1:29" ht="13.2">
      <c r="A728" s="9"/>
      <c r="B728" s="9"/>
      <c r="C728" s="14"/>
      <c r="H728" s="9"/>
      <c r="I728" s="9"/>
      <c r="J728" s="9"/>
      <c r="K728" s="9"/>
      <c r="L728" s="9"/>
      <c r="M728" s="9"/>
      <c r="N728" s="9"/>
      <c r="O728" s="9"/>
      <c r="P728" s="9"/>
      <c r="Q728" s="9"/>
      <c r="R728" s="9"/>
      <c r="S728" s="9"/>
      <c r="T728" s="9"/>
      <c r="U728" s="9"/>
      <c r="V728" s="9"/>
      <c r="W728" s="9"/>
      <c r="X728" s="9"/>
      <c r="Y728" s="9"/>
      <c r="Z728" s="9"/>
      <c r="AA728" s="9"/>
      <c r="AB728" s="9"/>
      <c r="AC728" s="9"/>
    </row>
    <row r="729" spans="1:29" ht="13.2">
      <c r="A729" s="9"/>
      <c r="B729" s="9"/>
      <c r="C729" s="14"/>
      <c r="H729" s="9"/>
      <c r="I729" s="9"/>
      <c r="J729" s="9"/>
      <c r="K729" s="9"/>
      <c r="L729" s="9"/>
      <c r="M729" s="9"/>
      <c r="N729" s="9"/>
      <c r="O729" s="9"/>
      <c r="P729" s="9"/>
      <c r="Q729" s="9"/>
      <c r="R729" s="9"/>
      <c r="S729" s="9"/>
      <c r="T729" s="9"/>
      <c r="U729" s="9"/>
      <c r="V729" s="9"/>
      <c r="W729" s="9"/>
      <c r="X729" s="9"/>
      <c r="Y729" s="9"/>
      <c r="Z729" s="9"/>
      <c r="AA729" s="9"/>
      <c r="AB729" s="9"/>
      <c r="AC729" s="9"/>
    </row>
    <row r="730" spans="1:29" ht="13.2">
      <c r="A730" s="9"/>
      <c r="B730" s="9"/>
      <c r="C730" s="14"/>
      <c r="H730" s="9"/>
      <c r="I730" s="9"/>
      <c r="J730" s="9"/>
      <c r="K730" s="9"/>
      <c r="L730" s="9"/>
      <c r="M730" s="9"/>
      <c r="N730" s="9"/>
      <c r="O730" s="9"/>
      <c r="P730" s="9"/>
      <c r="Q730" s="9"/>
      <c r="R730" s="9"/>
      <c r="S730" s="9"/>
      <c r="T730" s="9"/>
      <c r="U730" s="9"/>
      <c r="V730" s="9"/>
      <c r="W730" s="9"/>
      <c r="X730" s="9"/>
      <c r="Y730" s="9"/>
      <c r="Z730" s="9"/>
      <c r="AA730" s="9"/>
      <c r="AB730" s="9"/>
      <c r="AC730" s="9"/>
    </row>
    <row r="731" spans="1:29" ht="13.2">
      <c r="A731" s="9"/>
      <c r="B731" s="9"/>
      <c r="C731" s="14"/>
      <c r="H731" s="9"/>
      <c r="I731" s="9"/>
      <c r="J731" s="9"/>
      <c r="K731" s="9"/>
      <c r="L731" s="9"/>
      <c r="M731" s="9"/>
      <c r="N731" s="9"/>
      <c r="O731" s="9"/>
      <c r="P731" s="9"/>
      <c r="Q731" s="9"/>
      <c r="R731" s="9"/>
      <c r="S731" s="9"/>
      <c r="T731" s="9"/>
      <c r="U731" s="9"/>
      <c r="V731" s="9"/>
      <c r="W731" s="9"/>
      <c r="X731" s="9"/>
      <c r="Y731" s="9"/>
      <c r="Z731" s="9"/>
      <c r="AA731" s="9"/>
      <c r="AB731" s="9"/>
      <c r="AC731" s="9"/>
    </row>
    <row r="732" spans="1:29" ht="13.2">
      <c r="A732" s="9"/>
      <c r="B732" s="9"/>
      <c r="C732" s="14"/>
      <c r="H732" s="9"/>
      <c r="I732" s="9"/>
      <c r="J732" s="9"/>
      <c r="K732" s="9"/>
      <c r="L732" s="9"/>
      <c r="M732" s="9"/>
      <c r="N732" s="9"/>
      <c r="O732" s="9"/>
      <c r="P732" s="9"/>
      <c r="Q732" s="9"/>
      <c r="R732" s="9"/>
      <c r="S732" s="9"/>
      <c r="T732" s="9"/>
      <c r="U732" s="9"/>
      <c r="V732" s="9"/>
      <c r="W732" s="9"/>
      <c r="X732" s="9"/>
      <c r="Y732" s="9"/>
      <c r="Z732" s="9"/>
      <c r="AA732" s="9"/>
      <c r="AB732" s="9"/>
      <c r="AC732" s="9"/>
    </row>
    <row r="733" spans="1:29" ht="13.2">
      <c r="A733" s="9"/>
      <c r="B733" s="9"/>
      <c r="C733" s="14"/>
      <c r="H733" s="9"/>
      <c r="I733" s="9"/>
      <c r="J733" s="9"/>
      <c r="K733" s="9"/>
      <c r="L733" s="9"/>
      <c r="M733" s="9"/>
      <c r="N733" s="9"/>
      <c r="O733" s="9"/>
      <c r="P733" s="9"/>
      <c r="Q733" s="9"/>
      <c r="R733" s="9"/>
      <c r="S733" s="9"/>
      <c r="T733" s="9"/>
      <c r="U733" s="9"/>
      <c r="V733" s="9"/>
      <c r="W733" s="9"/>
      <c r="X733" s="9"/>
      <c r="Y733" s="9"/>
      <c r="Z733" s="9"/>
      <c r="AA733" s="9"/>
      <c r="AB733" s="9"/>
      <c r="AC733" s="9"/>
    </row>
    <row r="734" spans="1:29" ht="13.2">
      <c r="A734" s="9"/>
      <c r="B734" s="9"/>
      <c r="C734" s="14"/>
      <c r="H734" s="9"/>
      <c r="I734" s="9"/>
      <c r="J734" s="9"/>
      <c r="K734" s="9"/>
      <c r="L734" s="9"/>
      <c r="M734" s="9"/>
      <c r="N734" s="9"/>
      <c r="O734" s="9"/>
      <c r="P734" s="9"/>
      <c r="Q734" s="9"/>
      <c r="R734" s="9"/>
      <c r="S734" s="9"/>
      <c r="T734" s="9"/>
      <c r="U734" s="9"/>
      <c r="V734" s="9"/>
      <c r="W734" s="9"/>
      <c r="X734" s="9"/>
      <c r="Y734" s="9"/>
      <c r="Z734" s="9"/>
      <c r="AA734" s="9"/>
      <c r="AB734" s="9"/>
      <c r="AC734" s="9"/>
    </row>
    <row r="735" spans="1:29" ht="13.2">
      <c r="A735" s="9"/>
      <c r="B735" s="9"/>
      <c r="C735" s="14"/>
      <c r="H735" s="9"/>
      <c r="I735" s="9"/>
      <c r="J735" s="9"/>
      <c r="K735" s="9"/>
      <c r="L735" s="9"/>
      <c r="M735" s="9"/>
      <c r="N735" s="9"/>
      <c r="O735" s="9"/>
      <c r="P735" s="9"/>
      <c r="Q735" s="9"/>
      <c r="R735" s="9"/>
      <c r="S735" s="9"/>
      <c r="T735" s="9"/>
      <c r="U735" s="9"/>
      <c r="V735" s="9"/>
      <c r="W735" s="9"/>
      <c r="X735" s="9"/>
      <c r="Y735" s="9"/>
      <c r="Z735" s="9"/>
      <c r="AA735" s="9"/>
      <c r="AB735" s="9"/>
      <c r="AC735" s="9"/>
    </row>
    <row r="736" spans="1:29" ht="13.2">
      <c r="A736" s="9"/>
      <c r="B736" s="9"/>
      <c r="C736" s="14"/>
      <c r="H736" s="9"/>
      <c r="I736" s="9"/>
      <c r="J736" s="9"/>
      <c r="K736" s="9"/>
      <c r="L736" s="9"/>
      <c r="M736" s="9"/>
      <c r="N736" s="9"/>
      <c r="O736" s="9"/>
      <c r="P736" s="9"/>
      <c r="Q736" s="9"/>
      <c r="R736" s="9"/>
      <c r="S736" s="9"/>
      <c r="T736" s="9"/>
      <c r="U736" s="9"/>
      <c r="V736" s="9"/>
      <c r="W736" s="9"/>
      <c r="X736" s="9"/>
      <c r="Y736" s="9"/>
      <c r="Z736" s="9"/>
      <c r="AA736" s="9"/>
      <c r="AB736" s="9"/>
      <c r="AC736" s="9"/>
    </row>
    <row r="737" spans="1:29" ht="13.2">
      <c r="A737" s="9"/>
      <c r="B737" s="9"/>
      <c r="C737" s="14"/>
      <c r="H737" s="9"/>
      <c r="I737" s="9"/>
      <c r="J737" s="9"/>
      <c r="K737" s="9"/>
      <c r="L737" s="9"/>
      <c r="M737" s="9"/>
      <c r="N737" s="9"/>
      <c r="O737" s="9"/>
      <c r="P737" s="9"/>
      <c r="Q737" s="9"/>
      <c r="R737" s="9"/>
      <c r="S737" s="9"/>
      <c r="T737" s="9"/>
      <c r="U737" s="9"/>
      <c r="V737" s="9"/>
      <c r="W737" s="9"/>
      <c r="X737" s="9"/>
      <c r="Y737" s="9"/>
      <c r="Z737" s="9"/>
      <c r="AA737" s="9"/>
      <c r="AB737" s="9"/>
      <c r="AC737" s="9"/>
    </row>
    <row r="738" spans="1:29" ht="13.2">
      <c r="A738" s="9"/>
      <c r="B738" s="9"/>
      <c r="C738" s="14"/>
      <c r="H738" s="9"/>
      <c r="I738" s="9"/>
      <c r="J738" s="9"/>
      <c r="K738" s="9"/>
      <c r="L738" s="9"/>
      <c r="M738" s="9"/>
      <c r="N738" s="9"/>
      <c r="O738" s="9"/>
      <c r="P738" s="9"/>
      <c r="Q738" s="9"/>
      <c r="R738" s="9"/>
      <c r="S738" s="9"/>
      <c r="T738" s="9"/>
      <c r="U738" s="9"/>
      <c r="V738" s="9"/>
      <c r="W738" s="9"/>
      <c r="X738" s="9"/>
      <c r="Y738" s="9"/>
      <c r="Z738" s="9"/>
      <c r="AA738" s="9"/>
      <c r="AB738" s="9"/>
      <c r="AC738" s="9"/>
    </row>
    <row r="739" spans="1:29" ht="13.2">
      <c r="A739" s="9"/>
      <c r="B739" s="9"/>
      <c r="C739" s="14"/>
      <c r="H739" s="9"/>
      <c r="I739" s="9"/>
      <c r="J739" s="9"/>
      <c r="K739" s="9"/>
      <c r="L739" s="9"/>
      <c r="M739" s="9"/>
      <c r="N739" s="9"/>
      <c r="O739" s="9"/>
      <c r="P739" s="9"/>
      <c r="Q739" s="9"/>
      <c r="R739" s="9"/>
      <c r="S739" s="9"/>
      <c r="T739" s="9"/>
      <c r="U739" s="9"/>
      <c r="V739" s="9"/>
      <c r="W739" s="9"/>
      <c r="X739" s="9"/>
      <c r="Y739" s="9"/>
      <c r="Z739" s="9"/>
      <c r="AA739" s="9"/>
      <c r="AB739" s="9"/>
      <c r="AC739" s="9"/>
    </row>
    <row r="740" spans="1:29" ht="13.2">
      <c r="A740" s="9"/>
      <c r="B740" s="9"/>
      <c r="C740" s="14"/>
      <c r="H740" s="9"/>
      <c r="I740" s="9"/>
      <c r="J740" s="9"/>
      <c r="K740" s="9"/>
      <c r="L740" s="9"/>
      <c r="M740" s="9"/>
      <c r="N740" s="9"/>
      <c r="O740" s="9"/>
      <c r="P740" s="9"/>
      <c r="Q740" s="9"/>
      <c r="R740" s="9"/>
      <c r="S740" s="9"/>
      <c r="T740" s="9"/>
      <c r="U740" s="9"/>
      <c r="V740" s="9"/>
      <c r="W740" s="9"/>
      <c r="X740" s="9"/>
      <c r="Y740" s="9"/>
      <c r="Z740" s="9"/>
      <c r="AA740" s="9"/>
      <c r="AB740" s="9"/>
      <c r="AC740" s="9"/>
    </row>
    <row r="741" spans="1:29" ht="13.2">
      <c r="A741" s="9"/>
      <c r="B741" s="9"/>
      <c r="C741" s="14"/>
      <c r="H741" s="9"/>
      <c r="I741" s="9"/>
      <c r="J741" s="9"/>
      <c r="K741" s="9"/>
      <c r="L741" s="9"/>
      <c r="M741" s="9"/>
      <c r="N741" s="9"/>
      <c r="O741" s="9"/>
      <c r="P741" s="9"/>
      <c r="Q741" s="9"/>
      <c r="R741" s="9"/>
      <c r="S741" s="9"/>
      <c r="T741" s="9"/>
      <c r="U741" s="9"/>
      <c r="V741" s="9"/>
      <c r="W741" s="9"/>
      <c r="X741" s="9"/>
      <c r="Y741" s="9"/>
      <c r="Z741" s="9"/>
      <c r="AA741" s="9"/>
      <c r="AB741" s="9"/>
      <c r="AC741" s="9"/>
    </row>
    <row r="742" spans="1:29" ht="13.2">
      <c r="A742" s="9"/>
      <c r="B742" s="9"/>
      <c r="C742" s="14"/>
      <c r="H742" s="9"/>
      <c r="I742" s="9"/>
      <c r="J742" s="9"/>
      <c r="K742" s="9"/>
      <c r="L742" s="9"/>
      <c r="M742" s="9"/>
      <c r="N742" s="9"/>
      <c r="O742" s="9"/>
      <c r="P742" s="9"/>
      <c r="Q742" s="9"/>
      <c r="R742" s="9"/>
      <c r="S742" s="9"/>
      <c r="T742" s="9"/>
      <c r="U742" s="9"/>
      <c r="V742" s="9"/>
      <c r="W742" s="9"/>
      <c r="X742" s="9"/>
      <c r="Y742" s="9"/>
      <c r="Z742" s="9"/>
      <c r="AA742" s="9"/>
      <c r="AB742" s="9"/>
      <c r="AC742" s="9"/>
    </row>
    <row r="743" spans="1:29" ht="13.2">
      <c r="A743" s="9"/>
      <c r="B743" s="9"/>
      <c r="C743" s="14"/>
      <c r="H743" s="9"/>
      <c r="I743" s="9"/>
      <c r="J743" s="9"/>
      <c r="K743" s="9"/>
      <c r="L743" s="9"/>
      <c r="M743" s="9"/>
      <c r="N743" s="9"/>
      <c r="O743" s="9"/>
      <c r="P743" s="9"/>
      <c r="Q743" s="9"/>
      <c r="R743" s="9"/>
      <c r="S743" s="9"/>
      <c r="T743" s="9"/>
      <c r="U743" s="9"/>
      <c r="V743" s="9"/>
      <c r="W743" s="9"/>
      <c r="X743" s="9"/>
      <c r="Y743" s="9"/>
      <c r="Z743" s="9"/>
      <c r="AA743" s="9"/>
      <c r="AB743" s="9"/>
      <c r="AC743" s="9"/>
    </row>
    <row r="744" spans="1:29" ht="13.2">
      <c r="A744" s="9"/>
      <c r="B744" s="9"/>
      <c r="C744" s="14"/>
      <c r="H744" s="9"/>
      <c r="I744" s="9"/>
      <c r="J744" s="9"/>
      <c r="K744" s="9"/>
      <c r="L744" s="9"/>
      <c r="M744" s="9"/>
      <c r="N744" s="9"/>
      <c r="O744" s="9"/>
      <c r="P744" s="9"/>
      <c r="Q744" s="9"/>
      <c r="R744" s="9"/>
      <c r="S744" s="9"/>
      <c r="T744" s="9"/>
      <c r="U744" s="9"/>
      <c r="V744" s="9"/>
      <c r="W744" s="9"/>
      <c r="X744" s="9"/>
      <c r="Y744" s="9"/>
      <c r="Z744" s="9"/>
      <c r="AA744" s="9"/>
      <c r="AB744" s="9"/>
      <c r="AC744" s="9"/>
    </row>
    <row r="745" spans="1:29" ht="13.2">
      <c r="A745" s="9"/>
      <c r="B745" s="9"/>
      <c r="C745" s="14"/>
      <c r="H745" s="9"/>
      <c r="I745" s="9"/>
      <c r="J745" s="9"/>
      <c r="K745" s="9"/>
      <c r="L745" s="9"/>
      <c r="M745" s="9"/>
      <c r="N745" s="9"/>
      <c r="O745" s="9"/>
      <c r="P745" s="9"/>
      <c r="Q745" s="9"/>
      <c r="R745" s="9"/>
      <c r="S745" s="9"/>
      <c r="T745" s="9"/>
      <c r="U745" s="9"/>
      <c r="V745" s="9"/>
      <c r="W745" s="9"/>
      <c r="X745" s="9"/>
      <c r="Y745" s="9"/>
      <c r="Z745" s="9"/>
      <c r="AA745" s="9"/>
      <c r="AB745" s="9"/>
      <c r="AC745" s="9"/>
    </row>
    <row r="746" spans="1:29" ht="13.2">
      <c r="A746" s="9"/>
      <c r="B746" s="9"/>
      <c r="C746" s="14"/>
      <c r="H746" s="9"/>
      <c r="I746" s="9"/>
      <c r="J746" s="9"/>
      <c r="K746" s="9"/>
      <c r="L746" s="9"/>
      <c r="M746" s="9"/>
      <c r="N746" s="9"/>
      <c r="O746" s="9"/>
      <c r="P746" s="9"/>
      <c r="Q746" s="9"/>
      <c r="R746" s="9"/>
      <c r="S746" s="9"/>
      <c r="T746" s="9"/>
      <c r="U746" s="9"/>
      <c r="V746" s="9"/>
      <c r="W746" s="9"/>
      <c r="X746" s="9"/>
      <c r="Y746" s="9"/>
      <c r="Z746" s="9"/>
      <c r="AA746" s="9"/>
      <c r="AB746" s="9"/>
      <c r="AC746" s="9"/>
    </row>
    <row r="747" spans="1:29" ht="13.2">
      <c r="A747" s="9"/>
      <c r="B747" s="9"/>
      <c r="C747" s="14"/>
      <c r="H747" s="9"/>
      <c r="I747" s="9"/>
      <c r="J747" s="9"/>
      <c r="K747" s="9"/>
      <c r="L747" s="9"/>
      <c r="M747" s="9"/>
      <c r="N747" s="9"/>
      <c r="O747" s="9"/>
      <c r="P747" s="9"/>
      <c r="Q747" s="9"/>
      <c r="R747" s="9"/>
      <c r="S747" s="9"/>
      <c r="T747" s="9"/>
      <c r="U747" s="9"/>
      <c r="V747" s="9"/>
      <c r="W747" s="9"/>
      <c r="X747" s="9"/>
      <c r="Y747" s="9"/>
      <c r="Z747" s="9"/>
      <c r="AA747" s="9"/>
      <c r="AB747" s="9"/>
      <c r="AC747" s="9"/>
    </row>
    <row r="748" spans="1:29" ht="13.2">
      <c r="A748" s="9"/>
      <c r="B748" s="9"/>
      <c r="C748" s="14"/>
      <c r="H748" s="9"/>
      <c r="I748" s="9"/>
      <c r="J748" s="9"/>
      <c r="K748" s="9"/>
      <c r="L748" s="9"/>
      <c r="M748" s="9"/>
      <c r="N748" s="9"/>
      <c r="O748" s="9"/>
      <c r="P748" s="9"/>
      <c r="Q748" s="9"/>
      <c r="R748" s="9"/>
      <c r="S748" s="9"/>
      <c r="T748" s="9"/>
      <c r="U748" s="9"/>
      <c r="V748" s="9"/>
      <c r="W748" s="9"/>
      <c r="X748" s="9"/>
      <c r="Y748" s="9"/>
      <c r="Z748" s="9"/>
      <c r="AA748" s="9"/>
      <c r="AB748" s="9"/>
      <c r="AC748" s="9"/>
    </row>
    <row r="749" spans="1:29" ht="13.2">
      <c r="A749" s="9"/>
      <c r="B749" s="9"/>
      <c r="C749" s="14"/>
      <c r="H749" s="9"/>
      <c r="I749" s="9"/>
      <c r="J749" s="9"/>
      <c r="K749" s="9"/>
      <c r="L749" s="9"/>
      <c r="M749" s="9"/>
      <c r="N749" s="9"/>
      <c r="O749" s="9"/>
      <c r="P749" s="9"/>
      <c r="Q749" s="9"/>
      <c r="R749" s="9"/>
      <c r="S749" s="9"/>
      <c r="T749" s="9"/>
      <c r="U749" s="9"/>
      <c r="V749" s="9"/>
      <c r="W749" s="9"/>
      <c r="X749" s="9"/>
      <c r="Y749" s="9"/>
      <c r="Z749" s="9"/>
      <c r="AA749" s="9"/>
      <c r="AB749" s="9"/>
      <c r="AC749" s="9"/>
    </row>
    <row r="750" spans="1:29" ht="13.2">
      <c r="A750" s="9"/>
      <c r="B750" s="9"/>
      <c r="C750" s="14"/>
      <c r="H750" s="9"/>
      <c r="I750" s="9"/>
      <c r="J750" s="9"/>
      <c r="K750" s="9"/>
      <c r="L750" s="9"/>
      <c r="M750" s="9"/>
      <c r="N750" s="9"/>
      <c r="O750" s="9"/>
      <c r="P750" s="9"/>
      <c r="Q750" s="9"/>
      <c r="R750" s="9"/>
      <c r="S750" s="9"/>
      <c r="T750" s="9"/>
      <c r="U750" s="9"/>
      <c r="V750" s="9"/>
      <c r="W750" s="9"/>
      <c r="X750" s="9"/>
      <c r="Y750" s="9"/>
      <c r="Z750" s="9"/>
      <c r="AA750" s="9"/>
      <c r="AB750" s="9"/>
      <c r="AC750" s="9"/>
    </row>
    <row r="751" spans="1:29" ht="13.2">
      <c r="A751" s="9"/>
      <c r="B751" s="9"/>
      <c r="C751" s="14"/>
      <c r="H751" s="9"/>
      <c r="I751" s="9"/>
      <c r="J751" s="9"/>
      <c r="K751" s="9"/>
      <c r="L751" s="9"/>
      <c r="M751" s="9"/>
      <c r="N751" s="9"/>
      <c r="O751" s="9"/>
      <c r="P751" s="9"/>
      <c r="Q751" s="9"/>
      <c r="R751" s="9"/>
      <c r="S751" s="9"/>
      <c r="T751" s="9"/>
      <c r="U751" s="9"/>
      <c r="V751" s="9"/>
      <c r="W751" s="9"/>
      <c r="X751" s="9"/>
      <c r="Y751" s="9"/>
      <c r="Z751" s="9"/>
      <c r="AA751" s="9"/>
      <c r="AB751" s="9"/>
      <c r="AC751" s="9"/>
    </row>
    <row r="752" spans="1:29" ht="13.2">
      <c r="A752" s="9"/>
      <c r="B752" s="9"/>
      <c r="C752" s="14"/>
      <c r="H752" s="9"/>
      <c r="I752" s="9"/>
      <c r="J752" s="9"/>
      <c r="K752" s="9"/>
      <c r="L752" s="9"/>
      <c r="M752" s="9"/>
      <c r="N752" s="9"/>
      <c r="O752" s="9"/>
      <c r="P752" s="9"/>
      <c r="Q752" s="9"/>
      <c r="R752" s="9"/>
      <c r="S752" s="9"/>
      <c r="T752" s="9"/>
      <c r="U752" s="9"/>
      <c r="V752" s="9"/>
      <c r="W752" s="9"/>
      <c r="X752" s="9"/>
      <c r="Y752" s="9"/>
      <c r="Z752" s="9"/>
      <c r="AA752" s="9"/>
      <c r="AB752" s="9"/>
      <c r="AC752" s="9"/>
    </row>
    <row r="753" spans="1:29" ht="13.2">
      <c r="A753" s="9"/>
      <c r="B753" s="9"/>
      <c r="C753" s="14"/>
      <c r="H753" s="9"/>
      <c r="I753" s="9"/>
      <c r="J753" s="9"/>
      <c r="K753" s="9"/>
      <c r="L753" s="9"/>
      <c r="M753" s="9"/>
      <c r="N753" s="9"/>
      <c r="O753" s="9"/>
      <c r="P753" s="9"/>
      <c r="Q753" s="9"/>
      <c r="R753" s="9"/>
      <c r="S753" s="9"/>
      <c r="T753" s="9"/>
      <c r="U753" s="9"/>
      <c r="V753" s="9"/>
      <c r="W753" s="9"/>
      <c r="X753" s="9"/>
      <c r="Y753" s="9"/>
      <c r="Z753" s="9"/>
      <c r="AA753" s="9"/>
      <c r="AB753" s="9"/>
      <c r="AC753" s="9"/>
    </row>
    <row r="754" spans="1:29" ht="13.2">
      <c r="A754" s="9"/>
      <c r="B754" s="9"/>
      <c r="C754" s="14"/>
      <c r="H754" s="9"/>
      <c r="I754" s="9"/>
      <c r="J754" s="9"/>
      <c r="K754" s="9"/>
      <c r="L754" s="9"/>
      <c r="M754" s="9"/>
      <c r="N754" s="9"/>
      <c r="O754" s="9"/>
      <c r="P754" s="9"/>
      <c r="Q754" s="9"/>
      <c r="R754" s="9"/>
      <c r="S754" s="9"/>
      <c r="T754" s="9"/>
      <c r="U754" s="9"/>
      <c r="V754" s="9"/>
      <c r="W754" s="9"/>
      <c r="X754" s="9"/>
      <c r="Y754" s="9"/>
      <c r="Z754" s="9"/>
      <c r="AA754" s="9"/>
      <c r="AB754" s="9"/>
      <c r="AC754" s="9"/>
    </row>
    <row r="755" spans="1:29" ht="13.2">
      <c r="A755" s="9"/>
      <c r="B755" s="9"/>
      <c r="C755" s="14"/>
      <c r="H755" s="9"/>
      <c r="I755" s="9"/>
      <c r="J755" s="9"/>
      <c r="K755" s="9"/>
      <c r="L755" s="9"/>
      <c r="M755" s="9"/>
      <c r="N755" s="9"/>
      <c r="O755" s="9"/>
      <c r="P755" s="9"/>
      <c r="Q755" s="9"/>
      <c r="R755" s="9"/>
      <c r="S755" s="9"/>
      <c r="T755" s="9"/>
      <c r="U755" s="9"/>
      <c r="V755" s="9"/>
      <c r="W755" s="9"/>
      <c r="X755" s="9"/>
      <c r="Y755" s="9"/>
      <c r="Z755" s="9"/>
      <c r="AA755" s="9"/>
      <c r="AB755" s="9"/>
      <c r="AC755" s="9"/>
    </row>
    <row r="756" spans="1:29" ht="13.2">
      <c r="A756" s="9"/>
      <c r="B756" s="9"/>
      <c r="C756" s="14"/>
      <c r="H756" s="9"/>
      <c r="I756" s="9"/>
      <c r="J756" s="9"/>
      <c r="K756" s="9"/>
      <c r="L756" s="9"/>
      <c r="M756" s="9"/>
      <c r="N756" s="9"/>
      <c r="O756" s="9"/>
      <c r="P756" s="9"/>
      <c r="Q756" s="9"/>
      <c r="R756" s="9"/>
      <c r="S756" s="9"/>
      <c r="T756" s="9"/>
      <c r="U756" s="9"/>
      <c r="V756" s="9"/>
      <c r="W756" s="9"/>
      <c r="X756" s="9"/>
      <c r="Y756" s="9"/>
      <c r="Z756" s="9"/>
      <c r="AA756" s="9"/>
      <c r="AB756" s="9"/>
      <c r="AC756" s="9"/>
    </row>
    <row r="757" spans="1:29" ht="13.2">
      <c r="A757" s="9"/>
      <c r="B757" s="9"/>
      <c r="C757" s="14"/>
      <c r="H757" s="9"/>
      <c r="I757" s="9"/>
      <c r="J757" s="9"/>
      <c r="K757" s="9"/>
      <c r="L757" s="9"/>
      <c r="M757" s="9"/>
      <c r="N757" s="9"/>
      <c r="O757" s="9"/>
      <c r="P757" s="9"/>
      <c r="Q757" s="9"/>
      <c r="R757" s="9"/>
      <c r="S757" s="9"/>
      <c r="T757" s="9"/>
      <c r="U757" s="9"/>
      <c r="V757" s="9"/>
      <c r="W757" s="9"/>
      <c r="X757" s="9"/>
      <c r="Y757" s="9"/>
      <c r="Z757" s="9"/>
      <c r="AA757" s="9"/>
      <c r="AB757" s="9"/>
      <c r="AC757" s="9"/>
    </row>
    <row r="758" spans="1:29" ht="13.2">
      <c r="A758" s="9"/>
      <c r="B758" s="9"/>
      <c r="C758" s="14"/>
      <c r="H758" s="9"/>
      <c r="I758" s="9"/>
      <c r="J758" s="9"/>
      <c r="K758" s="9"/>
      <c r="L758" s="9"/>
      <c r="M758" s="9"/>
      <c r="N758" s="9"/>
      <c r="O758" s="9"/>
      <c r="P758" s="9"/>
      <c r="Q758" s="9"/>
      <c r="R758" s="9"/>
      <c r="S758" s="9"/>
      <c r="T758" s="9"/>
      <c r="U758" s="9"/>
      <c r="V758" s="9"/>
      <c r="W758" s="9"/>
      <c r="X758" s="9"/>
      <c r="Y758" s="9"/>
      <c r="Z758" s="9"/>
      <c r="AA758" s="9"/>
      <c r="AB758" s="9"/>
      <c r="AC758" s="9"/>
    </row>
    <row r="759" spans="1:29" ht="13.2">
      <c r="A759" s="9"/>
      <c r="B759" s="9"/>
      <c r="C759" s="14"/>
      <c r="H759" s="9"/>
      <c r="I759" s="9"/>
      <c r="J759" s="9"/>
      <c r="K759" s="9"/>
      <c r="L759" s="9"/>
      <c r="M759" s="9"/>
      <c r="N759" s="9"/>
      <c r="O759" s="9"/>
      <c r="P759" s="9"/>
      <c r="Q759" s="9"/>
      <c r="R759" s="9"/>
      <c r="S759" s="9"/>
      <c r="T759" s="9"/>
      <c r="U759" s="9"/>
      <c r="V759" s="9"/>
      <c r="W759" s="9"/>
      <c r="X759" s="9"/>
      <c r="Y759" s="9"/>
      <c r="Z759" s="9"/>
      <c r="AA759" s="9"/>
      <c r="AB759" s="9"/>
      <c r="AC759" s="9"/>
    </row>
    <row r="760" spans="1:29" ht="13.2">
      <c r="A760" s="9"/>
      <c r="B760" s="9"/>
      <c r="C760" s="14"/>
      <c r="H760" s="9"/>
      <c r="I760" s="9"/>
      <c r="J760" s="9"/>
      <c r="K760" s="9"/>
      <c r="L760" s="9"/>
      <c r="M760" s="9"/>
      <c r="N760" s="9"/>
      <c r="O760" s="9"/>
      <c r="P760" s="9"/>
      <c r="Q760" s="9"/>
      <c r="R760" s="9"/>
      <c r="S760" s="9"/>
      <c r="T760" s="9"/>
      <c r="U760" s="9"/>
      <c r="V760" s="9"/>
      <c r="W760" s="9"/>
      <c r="X760" s="9"/>
      <c r="Y760" s="9"/>
      <c r="Z760" s="9"/>
      <c r="AA760" s="9"/>
      <c r="AB760" s="9"/>
      <c r="AC760" s="9"/>
    </row>
    <row r="761" spans="1:29" ht="13.2">
      <c r="A761" s="9"/>
      <c r="B761" s="9"/>
      <c r="C761" s="14"/>
      <c r="H761" s="9"/>
      <c r="I761" s="9"/>
      <c r="J761" s="9"/>
      <c r="K761" s="9"/>
      <c r="L761" s="9"/>
      <c r="M761" s="9"/>
      <c r="N761" s="9"/>
      <c r="O761" s="9"/>
      <c r="P761" s="9"/>
      <c r="Q761" s="9"/>
      <c r="R761" s="9"/>
      <c r="S761" s="9"/>
      <c r="T761" s="9"/>
      <c r="U761" s="9"/>
      <c r="V761" s="9"/>
      <c r="W761" s="9"/>
      <c r="X761" s="9"/>
      <c r="Y761" s="9"/>
      <c r="Z761" s="9"/>
      <c r="AA761" s="9"/>
      <c r="AB761" s="9"/>
      <c r="AC761" s="9"/>
    </row>
    <row r="762" spans="1:29" ht="13.2">
      <c r="A762" s="9"/>
      <c r="B762" s="9"/>
      <c r="C762" s="14"/>
      <c r="H762" s="9"/>
      <c r="I762" s="9"/>
      <c r="J762" s="9"/>
      <c r="K762" s="9"/>
      <c r="L762" s="9"/>
      <c r="M762" s="9"/>
      <c r="N762" s="9"/>
      <c r="O762" s="9"/>
      <c r="P762" s="9"/>
      <c r="Q762" s="9"/>
      <c r="R762" s="9"/>
      <c r="S762" s="9"/>
      <c r="T762" s="9"/>
      <c r="U762" s="9"/>
      <c r="V762" s="9"/>
      <c r="W762" s="9"/>
      <c r="X762" s="9"/>
      <c r="Y762" s="9"/>
      <c r="Z762" s="9"/>
      <c r="AA762" s="9"/>
      <c r="AB762" s="9"/>
      <c r="AC762" s="9"/>
    </row>
    <row r="763" spans="1:29" ht="13.2">
      <c r="A763" s="9"/>
      <c r="B763" s="9"/>
      <c r="C763" s="14"/>
      <c r="H763" s="9"/>
      <c r="I763" s="9"/>
      <c r="J763" s="9"/>
      <c r="K763" s="9"/>
      <c r="L763" s="9"/>
      <c r="M763" s="9"/>
      <c r="N763" s="9"/>
      <c r="O763" s="9"/>
      <c r="P763" s="9"/>
      <c r="Q763" s="9"/>
      <c r="R763" s="9"/>
      <c r="S763" s="9"/>
      <c r="T763" s="9"/>
      <c r="U763" s="9"/>
      <c r="V763" s="9"/>
      <c r="W763" s="9"/>
      <c r="X763" s="9"/>
      <c r="Y763" s="9"/>
      <c r="Z763" s="9"/>
      <c r="AA763" s="9"/>
      <c r="AB763" s="9"/>
      <c r="AC763" s="9"/>
    </row>
    <row r="764" spans="1:29" ht="13.2">
      <c r="A764" s="9"/>
      <c r="B764" s="9"/>
      <c r="C764" s="14"/>
      <c r="H764" s="9"/>
      <c r="I764" s="9"/>
      <c r="J764" s="9"/>
      <c r="K764" s="9"/>
      <c r="L764" s="9"/>
      <c r="M764" s="9"/>
      <c r="N764" s="9"/>
      <c r="O764" s="9"/>
      <c r="P764" s="9"/>
      <c r="Q764" s="9"/>
      <c r="R764" s="9"/>
      <c r="S764" s="9"/>
      <c r="T764" s="9"/>
      <c r="U764" s="9"/>
      <c r="V764" s="9"/>
      <c r="W764" s="9"/>
      <c r="X764" s="9"/>
      <c r="Y764" s="9"/>
      <c r="Z764" s="9"/>
      <c r="AA764" s="9"/>
      <c r="AB764" s="9"/>
      <c r="AC764" s="9"/>
    </row>
    <row r="765" spans="1:29" ht="13.2">
      <c r="A765" s="9"/>
      <c r="B765" s="9"/>
      <c r="C765" s="14"/>
      <c r="H765" s="9"/>
      <c r="I765" s="9"/>
      <c r="J765" s="9"/>
      <c r="K765" s="9"/>
      <c r="L765" s="9"/>
      <c r="M765" s="9"/>
      <c r="N765" s="9"/>
      <c r="O765" s="9"/>
      <c r="P765" s="9"/>
      <c r="Q765" s="9"/>
      <c r="R765" s="9"/>
      <c r="S765" s="9"/>
      <c r="T765" s="9"/>
      <c r="U765" s="9"/>
      <c r="V765" s="9"/>
      <c r="W765" s="9"/>
      <c r="X765" s="9"/>
      <c r="Y765" s="9"/>
      <c r="Z765" s="9"/>
      <c r="AA765" s="9"/>
      <c r="AB765" s="9"/>
      <c r="AC765" s="9"/>
    </row>
    <row r="766" spans="1:29" ht="13.2">
      <c r="A766" s="9"/>
      <c r="B766" s="9"/>
      <c r="C766" s="14"/>
      <c r="H766" s="9"/>
      <c r="I766" s="9"/>
      <c r="J766" s="9"/>
      <c r="K766" s="9"/>
      <c r="L766" s="9"/>
      <c r="M766" s="9"/>
      <c r="N766" s="9"/>
      <c r="O766" s="9"/>
      <c r="P766" s="9"/>
      <c r="Q766" s="9"/>
      <c r="R766" s="9"/>
      <c r="S766" s="9"/>
      <c r="T766" s="9"/>
      <c r="U766" s="9"/>
      <c r="V766" s="9"/>
      <c r="W766" s="9"/>
      <c r="X766" s="9"/>
      <c r="Y766" s="9"/>
      <c r="Z766" s="9"/>
      <c r="AA766" s="9"/>
      <c r="AB766" s="9"/>
      <c r="AC766" s="9"/>
    </row>
    <row r="767" spans="1:29" ht="13.2">
      <c r="A767" s="9"/>
      <c r="B767" s="9"/>
      <c r="C767" s="14"/>
      <c r="H767" s="9"/>
      <c r="I767" s="9"/>
      <c r="J767" s="9"/>
      <c r="K767" s="9"/>
      <c r="L767" s="9"/>
      <c r="M767" s="9"/>
      <c r="N767" s="9"/>
      <c r="O767" s="9"/>
      <c r="P767" s="9"/>
      <c r="Q767" s="9"/>
      <c r="R767" s="9"/>
      <c r="S767" s="9"/>
      <c r="T767" s="9"/>
      <c r="U767" s="9"/>
      <c r="V767" s="9"/>
      <c r="W767" s="9"/>
      <c r="X767" s="9"/>
      <c r="Y767" s="9"/>
      <c r="Z767" s="9"/>
      <c r="AA767" s="9"/>
      <c r="AB767" s="9"/>
      <c r="AC767" s="9"/>
    </row>
    <row r="768" spans="1:29" ht="13.2">
      <c r="A768" s="9"/>
      <c r="B768" s="9"/>
      <c r="C768" s="14"/>
      <c r="H768" s="9"/>
      <c r="I768" s="9"/>
      <c r="J768" s="9"/>
      <c r="K768" s="9"/>
      <c r="L768" s="9"/>
      <c r="M768" s="9"/>
      <c r="N768" s="9"/>
      <c r="O768" s="9"/>
      <c r="P768" s="9"/>
      <c r="Q768" s="9"/>
      <c r="R768" s="9"/>
      <c r="S768" s="9"/>
      <c r="T768" s="9"/>
      <c r="U768" s="9"/>
      <c r="V768" s="9"/>
      <c r="W768" s="9"/>
      <c r="X768" s="9"/>
      <c r="Y768" s="9"/>
      <c r="Z768" s="9"/>
      <c r="AA768" s="9"/>
      <c r="AB768" s="9"/>
      <c r="AC768" s="9"/>
    </row>
    <row r="769" spans="1:29" ht="13.2">
      <c r="A769" s="9"/>
      <c r="B769" s="9"/>
      <c r="C769" s="14"/>
      <c r="H769" s="9"/>
      <c r="I769" s="9"/>
      <c r="J769" s="9"/>
      <c r="K769" s="9"/>
      <c r="L769" s="9"/>
      <c r="M769" s="9"/>
      <c r="N769" s="9"/>
      <c r="O769" s="9"/>
      <c r="P769" s="9"/>
      <c r="Q769" s="9"/>
      <c r="R769" s="9"/>
      <c r="S769" s="9"/>
      <c r="T769" s="9"/>
      <c r="U769" s="9"/>
      <c r="V769" s="9"/>
      <c r="W769" s="9"/>
      <c r="X769" s="9"/>
      <c r="Y769" s="9"/>
      <c r="Z769" s="9"/>
      <c r="AA769" s="9"/>
      <c r="AB769" s="9"/>
      <c r="AC769" s="9"/>
    </row>
    <row r="770" spans="1:29" ht="13.2">
      <c r="A770" s="9"/>
      <c r="B770" s="9"/>
      <c r="C770" s="14"/>
      <c r="H770" s="9"/>
      <c r="I770" s="9"/>
      <c r="J770" s="9"/>
      <c r="K770" s="9"/>
      <c r="L770" s="9"/>
      <c r="M770" s="9"/>
      <c r="N770" s="9"/>
      <c r="O770" s="9"/>
      <c r="P770" s="9"/>
      <c r="Q770" s="9"/>
      <c r="R770" s="9"/>
      <c r="S770" s="9"/>
      <c r="T770" s="9"/>
      <c r="U770" s="9"/>
      <c r="V770" s="9"/>
      <c r="W770" s="9"/>
      <c r="X770" s="9"/>
      <c r="Y770" s="9"/>
      <c r="Z770" s="9"/>
      <c r="AA770" s="9"/>
      <c r="AB770" s="9"/>
      <c r="AC770" s="9"/>
    </row>
    <row r="771" spans="1:29" ht="13.2">
      <c r="A771" s="9"/>
      <c r="B771" s="9"/>
      <c r="C771" s="14"/>
      <c r="H771" s="9"/>
      <c r="I771" s="9"/>
      <c r="J771" s="9"/>
      <c r="K771" s="9"/>
      <c r="L771" s="9"/>
      <c r="M771" s="9"/>
      <c r="N771" s="9"/>
      <c r="O771" s="9"/>
      <c r="P771" s="9"/>
      <c r="Q771" s="9"/>
      <c r="R771" s="9"/>
      <c r="S771" s="9"/>
      <c r="T771" s="9"/>
      <c r="U771" s="9"/>
      <c r="V771" s="9"/>
      <c r="W771" s="9"/>
      <c r="X771" s="9"/>
      <c r="Y771" s="9"/>
      <c r="Z771" s="9"/>
      <c r="AA771" s="9"/>
      <c r="AB771" s="9"/>
      <c r="AC771" s="9"/>
    </row>
    <row r="772" spans="1:29" ht="13.2">
      <c r="A772" s="9"/>
      <c r="B772" s="9"/>
      <c r="C772" s="14"/>
      <c r="H772" s="9"/>
      <c r="I772" s="9"/>
      <c r="J772" s="9"/>
      <c r="K772" s="9"/>
      <c r="L772" s="9"/>
      <c r="M772" s="9"/>
      <c r="N772" s="9"/>
      <c r="O772" s="9"/>
      <c r="P772" s="9"/>
      <c r="Q772" s="9"/>
      <c r="R772" s="9"/>
      <c r="S772" s="9"/>
      <c r="T772" s="9"/>
      <c r="U772" s="9"/>
      <c r="V772" s="9"/>
      <c r="W772" s="9"/>
      <c r="X772" s="9"/>
      <c r="Y772" s="9"/>
      <c r="Z772" s="9"/>
      <c r="AA772" s="9"/>
      <c r="AB772" s="9"/>
      <c r="AC772" s="9"/>
    </row>
    <row r="773" spans="1:29" ht="13.2">
      <c r="A773" s="9"/>
      <c r="B773" s="9"/>
      <c r="C773" s="14"/>
      <c r="H773" s="9"/>
      <c r="I773" s="9"/>
      <c r="J773" s="9"/>
      <c r="K773" s="9"/>
      <c r="L773" s="9"/>
      <c r="M773" s="9"/>
      <c r="N773" s="9"/>
      <c r="O773" s="9"/>
      <c r="P773" s="9"/>
      <c r="Q773" s="9"/>
      <c r="R773" s="9"/>
      <c r="S773" s="9"/>
      <c r="T773" s="9"/>
      <c r="U773" s="9"/>
      <c r="V773" s="9"/>
      <c r="W773" s="9"/>
      <c r="X773" s="9"/>
      <c r="Y773" s="9"/>
      <c r="Z773" s="9"/>
      <c r="AA773" s="9"/>
      <c r="AB773" s="9"/>
      <c r="AC773" s="9"/>
    </row>
    <row r="774" spans="1:29" ht="13.2">
      <c r="A774" s="9"/>
      <c r="B774" s="9"/>
      <c r="C774" s="14"/>
      <c r="H774" s="9"/>
      <c r="I774" s="9"/>
      <c r="J774" s="9"/>
      <c r="K774" s="9"/>
      <c r="L774" s="9"/>
      <c r="M774" s="9"/>
      <c r="N774" s="9"/>
      <c r="O774" s="9"/>
      <c r="P774" s="9"/>
      <c r="Q774" s="9"/>
      <c r="R774" s="9"/>
      <c r="S774" s="9"/>
      <c r="T774" s="9"/>
      <c r="U774" s="9"/>
      <c r="V774" s="9"/>
      <c r="W774" s="9"/>
      <c r="X774" s="9"/>
      <c r="Y774" s="9"/>
      <c r="Z774" s="9"/>
      <c r="AA774" s="9"/>
      <c r="AB774" s="9"/>
      <c r="AC774" s="9"/>
    </row>
    <row r="775" spans="1:29" ht="13.2">
      <c r="A775" s="9"/>
      <c r="B775" s="9"/>
      <c r="C775" s="14"/>
      <c r="H775" s="9"/>
      <c r="I775" s="9"/>
      <c r="J775" s="9"/>
      <c r="K775" s="9"/>
      <c r="L775" s="9"/>
      <c r="M775" s="9"/>
      <c r="N775" s="9"/>
      <c r="O775" s="9"/>
      <c r="P775" s="9"/>
      <c r="Q775" s="9"/>
      <c r="R775" s="9"/>
      <c r="S775" s="9"/>
      <c r="T775" s="9"/>
      <c r="U775" s="9"/>
      <c r="V775" s="9"/>
      <c r="W775" s="9"/>
      <c r="X775" s="9"/>
      <c r="Y775" s="9"/>
      <c r="Z775" s="9"/>
      <c r="AA775" s="9"/>
      <c r="AB775" s="9"/>
      <c r="AC775" s="9"/>
    </row>
    <row r="776" spans="1:29" ht="13.2">
      <c r="A776" s="9"/>
      <c r="B776" s="9"/>
      <c r="C776" s="14"/>
      <c r="H776" s="9"/>
      <c r="I776" s="9"/>
      <c r="J776" s="9"/>
      <c r="K776" s="9"/>
      <c r="L776" s="9"/>
      <c r="M776" s="9"/>
      <c r="N776" s="9"/>
      <c r="O776" s="9"/>
      <c r="P776" s="9"/>
      <c r="Q776" s="9"/>
      <c r="R776" s="9"/>
      <c r="S776" s="9"/>
      <c r="T776" s="9"/>
      <c r="U776" s="9"/>
      <c r="V776" s="9"/>
      <c r="W776" s="9"/>
      <c r="X776" s="9"/>
      <c r="Y776" s="9"/>
      <c r="Z776" s="9"/>
      <c r="AA776" s="9"/>
      <c r="AB776" s="9"/>
      <c r="AC776" s="9"/>
    </row>
    <row r="777" spans="1:29" ht="13.2">
      <c r="A777" s="9"/>
      <c r="B777" s="9"/>
      <c r="C777" s="14"/>
      <c r="H777" s="9"/>
      <c r="I777" s="9"/>
      <c r="J777" s="9"/>
      <c r="K777" s="9"/>
      <c r="L777" s="9"/>
      <c r="M777" s="9"/>
      <c r="N777" s="9"/>
      <c r="O777" s="9"/>
      <c r="P777" s="9"/>
      <c r="Q777" s="9"/>
      <c r="R777" s="9"/>
      <c r="S777" s="9"/>
      <c r="T777" s="9"/>
      <c r="U777" s="9"/>
      <c r="V777" s="9"/>
      <c r="W777" s="9"/>
      <c r="X777" s="9"/>
      <c r="Y777" s="9"/>
      <c r="Z777" s="9"/>
      <c r="AA777" s="9"/>
      <c r="AB777" s="9"/>
      <c r="AC777" s="9"/>
    </row>
    <row r="778" spans="1:29" ht="13.2">
      <c r="A778" s="9"/>
      <c r="B778" s="9"/>
      <c r="C778" s="14"/>
      <c r="H778" s="9"/>
      <c r="I778" s="9"/>
      <c r="J778" s="9"/>
      <c r="K778" s="9"/>
      <c r="L778" s="9"/>
      <c r="M778" s="9"/>
      <c r="N778" s="9"/>
      <c r="O778" s="9"/>
      <c r="P778" s="9"/>
      <c r="Q778" s="9"/>
      <c r="R778" s="9"/>
      <c r="S778" s="9"/>
      <c r="T778" s="9"/>
      <c r="U778" s="9"/>
      <c r="V778" s="9"/>
      <c r="W778" s="9"/>
      <c r="X778" s="9"/>
      <c r="Y778" s="9"/>
      <c r="Z778" s="9"/>
      <c r="AA778" s="9"/>
      <c r="AB778" s="9"/>
      <c r="AC778" s="9"/>
    </row>
    <row r="779" spans="1:29" ht="13.2">
      <c r="A779" s="9"/>
      <c r="B779" s="9"/>
      <c r="C779" s="14"/>
      <c r="H779" s="9"/>
      <c r="I779" s="9"/>
      <c r="J779" s="9"/>
      <c r="K779" s="9"/>
      <c r="L779" s="9"/>
      <c r="M779" s="9"/>
      <c r="N779" s="9"/>
      <c r="O779" s="9"/>
      <c r="P779" s="9"/>
      <c r="Q779" s="9"/>
      <c r="R779" s="9"/>
      <c r="S779" s="9"/>
      <c r="T779" s="9"/>
      <c r="U779" s="9"/>
      <c r="V779" s="9"/>
      <c r="W779" s="9"/>
      <c r="X779" s="9"/>
      <c r="Y779" s="9"/>
      <c r="Z779" s="9"/>
      <c r="AA779" s="9"/>
      <c r="AB779" s="9"/>
      <c r="AC779" s="9"/>
    </row>
    <row r="780" spans="1:29" ht="13.2">
      <c r="A780" s="9"/>
      <c r="B780" s="9"/>
      <c r="C780" s="14"/>
      <c r="H780" s="9"/>
      <c r="I780" s="9"/>
      <c r="J780" s="9"/>
      <c r="K780" s="9"/>
      <c r="L780" s="9"/>
      <c r="M780" s="9"/>
      <c r="N780" s="9"/>
      <c r="O780" s="9"/>
      <c r="P780" s="9"/>
      <c r="Q780" s="9"/>
      <c r="R780" s="9"/>
      <c r="S780" s="9"/>
      <c r="T780" s="9"/>
      <c r="U780" s="9"/>
      <c r="V780" s="9"/>
      <c r="W780" s="9"/>
      <c r="X780" s="9"/>
      <c r="Y780" s="9"/>
      <c r="Z780" s="9"/>
      <c r="AA780" s="9"/>
      <c r="AB780" s="9"/>
      <c r="AC780" s="9"/>
    </row>
    <row r="781" spans="1:29" ht="13.2">
      <c r="A781" s="9"/>
      <c r="B781" s="9"/>
      <c r="C781" s="14"/>
      <c r="H781" s="9"/>
      <c r="I781" s="9"/>
      <c r="J781" s="9"/>
      <c r="K781" s="9"/>
      <c r="L781" s="9"/>
      <c r="M781" s="9"/>
      <c r="N781" s="9"/>
      <c r="O781" s="9"/>
      <c r="P781" s="9"/>
      <c r="Q781" s="9"/>
      <c r="R781" s="9"/>
      <c r="S781" s="9"/>
      <c r="T781" s="9"/>
      <c r="U781" s="9"/>
      <c r="V781" s="9"/>
      <c r="W781" s="9"/>
      <c r="X781" s="9"/>
      <c r="Y781" s="9"/>
      <c r="Z781" s="9"/>
      <c r="AA781" s="9"/>
      <c r="AB781" s="9"/>
      <c r="AC781" s="9"/>
    </row>
    <row r="782" spans="1:29" ht="13.2">
      <c r="A782" s="9"/>
      <c r="B782" s="9"/>
      <c r="C782" s="14"/>
      <c r="H782" s="9"/>
      <c r="I782" s="9"/>
      <c r="J782" s="9"/>
      <c r="K782" s="9"/>
      <c r="L782" s="9"/>
      <c r="M782" s="9"/>
      <c r="N782" s="9"/>
      <c r="O782" s="9"/>
      <c r="P782" s="9"/>
      <c r="Q782" s="9"/>
      <c r="R782" s="9"/>
      <c r="S782" s="9"/>
      <c r="T782" s="9"/>
      <c r="U782" s="9"/>
      <c r="V782" s="9"/>
      <c r="W782" s="9"/>
      <c r="X782" s="9"/>
      <c r="Y782" s="9"/>
      <c r="Z782" s="9"/>
      <c r="AA782" s="9"/>
      <c r="AB782" s="9"/>
      <c r="AC782" s="9"/>
    </row>
    <row r="783" spans="1:29" ht="13.2">
      <c r="A783" s="9"/>
      <c r="B783" s="9"/>
      <c r="C783" s="14"/>
      <c r="H783" s="9"/>
      <c r="I783" s="9"/>
      <c r="J783" s="9"/>
      <c r="K783" s="9"/>
      <c r="L783" s="9"/>
      <c r="M783" s="9"/>
      <c r="N783" s="9"/>
      <c r="O783" s="9"/>
      <c r="P783" s="9"/>
      <c r="Q783" s="9"/>
      <c r="R783" s="9"/>
      <c r="S783" s="9"/>
      <c r="T783" s="9"/>
      <c r="U783" s="9"/>
      <c r="V783" s="9"/>
      <c r="W783" s="9"/>
      <c r="X783" s="9"/>
      <c r="Y783" s="9"/>
      <c r="Z783" s="9"/>
      <c r="AA783" s="9"/>
      <c r="AB783" s="9"/>
      <c r="AC783" s="9"/>
    </row>
    <row r="784" spans="1:29" ht="13.2">
      <c r="A784" s="9"/>
      <c r="B784" s="9"/>
      <c r="C784" s="14"/>
      <c r="H784" s="9"/>
      <c r="I784" s="9"/>
      <c r="J784" s="9"/>
      <c r="K784" s="9"/>
      <c r="L784" s="9"/>
      <c r="M784" s="9"/>
      <c r="N784" s="9"/>
      <c r="O784" s="9"/>
      <c r="P784" s="9"/>
      <c r="Q784" s="9"/>
      <c r="R784" s="9"/>
      <c r="S784" s="9"/>
      <c r="T784" s="9"/>
      <c r="U784" s="9"/>
      <c r="V784" s="9"/>
      <c r="W784" s="9"/>
      <c r="X784" s="9"/>
      <c r="Y784" s="9"/>
      <c r="Z784" s="9"/>
      <c r="AA784" s="9"/>
      <c r="AB784" s="9"/>
      <c r="AC784" s="9"/>
    </row>
    <row r="785" spans="1:29" ht="13.2">
      <c r="A785" s="9"/>
      <c r="B785" s="9"/>
      <c r="C785" s="14"/>
      <c r="H785" s="9"/>
      <c r="I785" s="9"/>
      <c r="J785" s="9"/>
      <c r="K785" s="9"/>
      <c r="L785" s="9"/>
      <c r="M785" s="9"/>
      <c r="N785" s="9"/>
      <c r="O785" s="9"/>
      <c r="P785" s="9"/>
      <c r="Q785" s="9"/>
      <c r="R785" s="9"/>
      <c r="S785" s="9"/>
      <c r="T785" s="9"/>
      <c r="U785" s="9"/>
      <c r="V785" s="9"/>
      <c r="W785" s="9"/>
      <c r="X785" s="9"/>
      <c r="Y785" s="9"/>
      <c r="Z785" s="9"/>
      <c r="AA785" s="9"/>
      <c r="AB785" s="9"/>
      <c r="AC785" s="9"/>
    </row>
    <row r="786" spans="1:29" ht="13.2">
      <c r="A786" s="9"/>
      <c r="B786" s="9"/>
      <c r="C786" s="14"/>
      <c r="H786" s="9"/>
      <c r="I786" s="9"/>
      <c r="J786" s="9"/>
      <c r="K786" s="9"/>
      <c r="L786" s="9"/>
      <c r="M786" s="9"/>
      <c r="N786" s="9"/>
      <c r="O786" s="9"/>
      <c r="P786" s="9"/>
      <c r="Q786" s="9"/>
      <c r="R786" s="9"/>
      <c r="S786" s="9"/>
      <c r="T786" s="9"/>
      <c r="U786" s="9"/>
      <c r="V786" s="9"/>
      <c r="W786" s="9"/>
      <c r="X786" s="9"/>
      <c r="Y786" s="9"/>
      <c r="Z786" s="9"/>
      <c r="AA786" s="9"/>
      <c r="AB786" s="9"/>
      <c r="AC786" s="9"/>
    </row>
    <row r="787" spans="1:29" ht="13.2">
      <c r="A787" s="9"/>
      <c r="B787" s="9"/>
      <c r="C787" s="14"/>
      <c r="H787" s="9"/>
      <c r="I787" s="9"/>
      <c r="J787" s="9"/>
      <c r="K787" s="9"/>
      <c r="L787" s="9"/>
      <c r="M787" s="9"/>
      <c r="N787" s="9"/>
      <c r="O787" s="9"/>
      <c r="P787" s="9"/>
      <c r="Q787" s="9"/>
      <c r="R787" s="9"/>
      <c r="S787" s="9"/>
      <c r="T787" s="9"/>
      <c r="U787" s="9"/>
      <c r="V787" s="9"/>
      <c r="W787" s="9"/>
      <c r="X787" s="9"/>
      <c r="Y787" s="9"/>
      <c r="Z787" s="9"/>
      <c r="AA787" s="9"/>
      <c r="AB787" s="9"/>
      <c r="AC787" s="9"/>
    </row>
    <row r="788" spans="1:29" ht="13.2">
      <c r="A788" s="9"/>
      <c r="B788" s="9"/>
      <c r="C788" s="14"/>
      <c r="H788" s="9"/>
      <c r="I788" s="9"/>
      <c r="J788" s="9"/>
      <c r="K788" s="9"/>
      <c r="L788" s="9"/>
      <c r="M788" s="9"/>
      <c r="N788" s="9"/>
      <c r="O788" s="9"/>
      <c r="P788" s="9"/>
      <c r="Q788" s="9"/>
      <c r="R788" s="9"/>
      <c r="S788" s="9"/>
      <c r="T788" s="9"/>
      <c r="U788" s="9"/>
      <c r="V788" s="9"/>
      <c r="W788" s="9"/>
      <c r="X788" s="9"/>
      <c r="Y788" s="9"/>
      <c r="Z788" s="9"/>
      <c r="AA788" s="9"/>
      <c r="AB788" s="9"/>
      <c r="AC788" s="9"/>
    </row>
    <row r="789" spans="1:29" ht="13.2">
      <c r="A789" s="9"/>
      <c r="B789" s="9"/>
      <c r="C789" s="14"/>
      <c r="H789" s="9"/>
      <c r="I789" s="9"/>
      <c r="J789" s="9"/>
      <c r="K789" s="9"/>
      <c r="L789" s="9"/>
      <c r="M789" s="9"/>
      <c r="N789" s="9"/>
      <c r="O789" s="9"/>
      <c r="P789" s="9"/>
      <c r="Q789" s="9"/>
      <c r="R789" s="9"/>
      <c r="S789" s="9"/>
      <c r="T789" s="9"/>
      <c r="U789" s="9"/>
      <c r="V789" s="9"/>
      <c r="W789" s="9"/>
      <c r="X789" s="9"/>
      <c r="Y789" s="9"/>
      <c r="Z789" s="9"/>
      <c r="AA789" s="9"/>
      <c r="AB789" s="9"/>
      <c r="AC789" s="9"/>
    </row>
    <row r="790" spans="1:29" ht="13.2">
      <c r="A790" s="9"/>
      <c r="B790" s="9"/>
      <c r="C790" s="14"/>
      <c r="H790" s="9"/>
      <c r="I790" s="9"/>
      <c r="J790" s="9"/>
      <c r="K790" s="9"/>
      <c r="L790" s="9"/>
      <c r="M790" s="9"/>
      <c r="N790" s="9"/>
      <c r="O790" s="9"/>
      <c r="P790" s="9"/>
      <c r="Q790" s="9"/>
      <c r="R790" s="9"/>
      <c r="S790" s="9"/>
      <c r="T790" s="9"/>
      <c r="U790" s="9"/>
      <c r="V790" s="9"/>
      <c r="W790" s="9"/>
      <c r="X790" s="9"/>
      <c r="Y790" s="9"/>
      <c r="Z790" s="9"/>
      <c r="AA790" s="9"/>
      <c r="AB790" s="9"/>
      <c r="AC790" s="9"/>
    </row>
    <row r="791" spans="1:29" ht="13.2">
      <c r="A791" s="9"/>
      <c r="B791" s="9"/>
      <c r="C791" s="14"/>
      <c r="H791" s="9"/>
      <c r="I791" s="9"/>
      <c r="J791" s="9"/>
      <c r="K791" s="9"/>
      <c r="L791" s="9"/>
      <c r="M791" s="9"/>
      <c r="N791" s="9"/>
      <c r="O791" s="9"/>
      <c r="P791" s="9"/>
      <c r="Q791" s="9"/>
      <c r="R791" s="9"/>
      <c r="S791" s="9"/>
      <c r="T791" s="9"/>
      <c r="U791" s="9"/>
      <c r="V791" s="9"/>
      <c r="W791" s="9"/>
      <c r="X791" s="9"/>
      <c r="Y791" s="9"/>
      <c r="Z791" s="9"/>
      <c r="AA791" s="9"/>
      <c r="AB791" s="9"/>
      <c r="AC791" s="9"/>
    </row>
    <row r="792" spans="1:29" ht="13.2">
      <c r="A792" s="9"/>
      <c r="B792" s="9"/>
      <c r="C792" s="14"/>
      <c r="H792" s="9"/>
      <c r="I792" s="9"/>
      <c r="J792" s="9"/>
      <c r="K792" s="9"/>
      <c r="L792" s="9"/>
      <c r="M792" s="9"/>
      <c r="N792" s="9"/>
      <c r="O792" s="9"/>
      <c r="P792" s="9"/>
      <c r="Q792" s="9"/>
      <c r="R792" s="9"/>
      <c r="S792" s="9"/>
      <c r="T792" s="9"/>
      <c r="U792" s="9"/>
      <c r="V792" s="9"/>
      <c r="W792" s="9"/>
      <c r="X792" s="9"/>
      <c r="Y792" s="9"/>
      <c r="Z792" s="9"/>
      <c r="AA792" s="9"/>
      <c r="AB792" s="9"/>
      <c r="AC792" s="9"/>
    </row>
    <row r="793" spans="1:29" ht="13.2">
      <c r="A793" s="9"/>
      <c r="B793" s="9"/>
      <c r="C793" s="14"/>
      <c r="H793" s="9"/>
      <c r="I793" s="9"/>
      <c r="J793" s="9"/>
      <c r="K793" s="9"/>
      <c r="L793" s="9"/>
      <c r="M793" s="9"/>
      <c r="N793" s="9"/>
      <c r="O793" s="9"/>
      <c r="P793" s="9"/>
      <c r="Q793" s="9"/>
      <c r="R793" s="9"/>
      <c r="S793" s="9"/>
      <c r="T793" s="9"/>
      <c r="U793" s="9"/>
      <c r="V793" s="9"/>
      <c r="W793" s="9"/>
      <c r="X793" s="9"/>
      <c r="Y793" s="9"/>
      <c r="Z793" s="9"/>
      <c r="AA793" s="9"/>
      <c r="AB793" s="9"/>
      <c r="AC793" s="9"/>
    </row>
    <row r="794" spans="1:29" ht="13.2">
      <c r="A794" s="9"/>
      <c r="B794" s="9"/>
      <c r="C794" s="14"/>
      <c r="H794" s="9"/>
      <c r="I794" s="9"/>
      <c r="J794" s="9"/>
      <c r="K794" s="9"/>
      <c r="L794" s="9"/>
      <c r="M794" s="9"/>
      <c r="N794" s="9"/>
      <c r="O794" s="9"/>
      <c r="P794" s="9"/>
      <c r="Q794" s="9"/>
      <c r="R794" s="9"/>
      <c r="S794" s="9"/>
      <c r="T794" s="9"/>
      <c r="U794" s="9"/>
      <c r="V794" s="9"/>
      <c r="W794" s="9"/>
      <c r="X794" s="9"/>
      <c r="Y794" s="9"/>
      <c r="Z794" s="9"/>
      <c r="AA794" s="9"/>
      <c r="AB794" s="9"/>
      <c r="AC794" s="9"/>
    </row>
    <row r="795" spans="1:29" ht="13.2">
      <c r="A795" s="9"/>
      <c r="B795" s="9"/>
      <c r="C795" s="14"/>
      <c r="H795" s="9"/>
      <c r="I795" s="9"/>
      <c r="J795" s="9"/>
      <c r="K795" s="9"/>
      <c r="L795" s="9"/>
      <c r="M795" s="9"/>
      <c r="N795" s="9"/>
      <c r="O795" s="9"/>
      <c r="P795" s="9"/>
      <c r="Q795" s="9"/>
      <c r="R795" s="9"/>
      <c r="S795" s="9"/>
      <c r="T795" s="9"/>
      <c r="U795" s="9"/>
      <c r="V795" s="9"/>
      <c r="W795" s="9"/>
      <c r="X795" s="9"/>
      <c r="Y795" s="9"/>
      <c r="Z795" s="9"/>
      <c r="AA795" s="9"/>
      <c r="AB795" s="9"/>
      <c r="AC795" s="9"/>
    </row>
    <row r="796" spans="1:29" ht="13.2">
      <c r="A796" s="9"/>
      <c r="B796" s="9"/>
      <c r="C796" s="14"/>
      <c r="H796" s="9"/>
      <c r="I796" s="9"/>
      <c r="J796" s="9"/>
      <c r="K796" s="9"/>
      <c r="L796" s="9"/>
      <c r="M796" s="9"/>
      <c r="N796" s="9"/>
      <c r="O796" s="9"/>
      <c r="P796" s="9"/>
      <c r="Q796" s="9"/>
      <c r="R796" s="9"/>
      <c r="S796" s="9"/>
      <c r="T796" s="9"/>
      <c r="U796" s="9"/>
      <c r="V796" s="9"/>
      <c r="W796" s="9"/>
      <c r="X796" s="9"/>
      <c r="Y796" s="9"/>
      <c r="Z796" s="9"/>
      <c r="AA796" s="9"/>
      <c r="AB796" s="9"/>
      <c r="AC796" s="9"/>
    </row>
    <row r="797" spans="1:29" ht="13.2">
      <c r="A797" s="9"/>
      <c r="B797" s="9"/>
      <c r="C797" s="14"/>
      <c r="H797" s="9"/>
      <c r="I797" s="9"/>
      <c r="J797" s="9"/>
      <c r="K797" s="9"/>
      <c r="L797" s="9"/>
      <c r="M797" s="9"/>
      <c r="N797" s="9"/>
      <c r="O797" s="9"/>
      <c r="P797" s="9"/>
      <c r="Q797" s="9"/>
      <c r="R797" s="9"/>
      <c r="S797" s="9"/>
      <c r="T797" s="9"/>
      <c r="U797" s="9"/>
      <c r="V797" s="9"/>
      <c r="W797" s="9"/>
      <c r="X797" s="9"/>
      <c r="Y797" s="9"/>
      <c r="Z797" s="9"/>
      <c r="AA797" s="9"/>
      <c r="AB797" s="9"/>
      <c r="AC797" s="9"/>
    </row>
    <row r="798" spans="1:29" ht="13.2">
      <c r="A798" s="9"/>
      <c r="B798" s="9"/>
      <c r="C798" s="14"/>
      <c r="H798" s="9"/>
      <c r="I798" s="9"/>
      <c r="J798" s="9"/>
      <c r="K798" s="9"/>
      <c r="L798" s="9"/>
      <c r="M798" s="9"/>
      <c r="N798" s="9"/>
      <c r="O798" s="9"/>
      <c r="P798" s="9"/>
      <c r="Q798" s="9"/>
      <c r="R798" s="9"/>
      <c r="S798" s="9"/>
      <c r="T798" s="9"/>
      <c r="U798" s="9"/>
      <c r="V798" s="9"/>
      <c r="W798" s="9"/>
      <c r="X798" s="9"/>
      <c r="Y798" s="9"/>
      <c r="Z798" s="9"/>
      <c r="AA798" s="9"/>
      <c r="AB798" s="9"/>
      <c r="AC798" s="9"/>
    </row>
    <row r="799" spans="1:29" ht="13.2">
      <c r="A799" s="9"/>
      <c r="B799" s="9"/>
      <c r="C799" s="14"/>
      <c r="H799" s="9"/>
      <c r="I799" s="9"/>
      <c r="J799" s="9"/>
      <c r="K799" s="9"/>
      <c r="L799" s="9"/>
      <c r="M799" s="9"/>
      <c r="N799" s="9"/>
      <c r="O799" s="9"/>
      <c r="P799" s="9"/>
      <c r="Q799" s="9"/>
      <c r="R799" s="9"/>
      <c r="S799" s="9"/>
      <c r="T799" s="9"/>
      <c r="U799" s="9"/>
      <c r="V799" s="9"/>
      <c r="W799" s="9"/>
      <c r="X799" s="9"/>
      <c r="Y799" s="9"/>
      <c r="Z799" s="9"/>
      <c r="AA799" s="9"/>
      <c r="AB799" s="9"/>
      <c r="AC799" s="9"/>
    </row>
    <row r="800" spans="1:29" ht="13.2">
      <c r="A800" s="9"/>
      <c r="B800" s="9"/>
      <c r="C800" s="14"/>
      <c r="H800" s="9"/>
      <c r="I800" s="9"/>
      <c r="J800" s="9"/>
      <c r="K800" s="9"/>
      <c r="L800" s="9"/>
      <c r="M800" s="9"/>
      <c r="N800" s="9"/>
      <c r="O800" s="9"/>
      <c r="P800" s="9"/>
      <c r="Q800" s="9"/>
      <c r="R800" s="9"/>
      <c r="S800" s="9"/>
      <c r="T800" s="9"/>
      <c r="U800" s="9"/>
      <c r="V800" s="9"/>
      <c r="W800" s="9"/>
      <c r="X800" s="9"/>
      <c r="Y800" s="9"/>
      <c r="Z800" s="9"/>
      <c r="AA800" s="9"/>
      <c r="AB800" s="9"/>
      <c r="AC800" s="9"/>
    </row>
    <row r="801" spans="1:29" ht="13.2">
      <c r="A801" s="9"/>
      <c r="B801" s="9"/>
      <c r="C801" s="14"/>
      <c r="H801" s="9"/>
      <c r="I801" s="9"/>
      <c r="J801" s="9"/>
      <c r="K801" s="9"/>
      <c r="L801" s="9"/>
      <c r="M801" s="9"/>
      <c r="N801" s="9"/>
      <c r="O801" s="9"/>
      <c r="P801" s="9"/>
      <c r="Q801" s="9"/>
      <c r="R801" s="9"/>
      <c r="S801" s="9"/>
      <c r="T801" s="9"/>
      <c r="U801" s="9"/>
      <c r="V801" s="9"/>
      <c r="W801" s="9"/>
      <c r="X801" s="9"/>
      <c r="Y801" s="9"/>
      <c r="Z801" s="9"/>
      <c r="AA801" s="9"/>
      <c r="AB801" s="9"/>
      <c r="AC801" s="9"/>
    </row>
    <row r="802" spans="1:29" ht="13.2">
      <c r="A802" s="9"/>
      <c r="B802" s="9"/>
      <c r="C802" s="14"/>
      <c r="H802" s="9"/>
      <c r="I802" s="9"/>
      <c r="J802" s="9"/>
      <c r="K802" s="9"/>
      <c r="L802" s="9"/>
      <c r="M802" s="9"/>
      <c r="N802" s="9"/>
      <c r="O802" s="9"/>
      <c r="P802" s="9"/>
      <c r="Q802" s="9"/>
      <c r="R802" s="9"/>
      <c r="S802" s="9"/>
      <c r="T802" s="9"/>
      <c r="U802" s="9"/>
      <c r="V802" s="9"/>
      <c r="W802" s="9"/>
      <c r="X802" s="9"/>
      <c r="Y802" s="9"/>
      <c r="Z802" s="9"/>
      <c r="AA802" s="9"/>
      <c r="AB802" s="9"/>
      <c r="AC802" s="9"/>
    </row>
    <row r="803" spans="1:29" ht="13.2">
      <c r="A803" s="9"/>
      <c r="B803" s="9"/>
      <c r="C803" s="14"/>
      <c r="H803" s="9"/>
      <c r="I803" s="9"/>
      <c r="J803" s="9"/>
      <c r="K803" s="9"/>
      <c r="L803" s="9"/>
      <c r="M803" s="9"/>
      <c r="N803" s="9"/>
      <c r="O803" s="9"/>
      <c r="P803" s="9"/>
      <c r="Q803" s="9"/>
      <c r="R803" s="9"/>
      <c r="S803" s="9"/>
      <c r="T803" s="9"/>
      <c r="U803" s="9"/>
      <c r="V803" s="9"/>
      <c r="W803" s="9"/>
      <c r="X803" s="9"/>
      <c r="Y803" s="9"/>
      <c r="Z803" s="9"/>
      <c r="AA803" s="9"/>
      <c r="AB803" s="9"/>
      <c r="AC803" s="9"/>
    </row>
    <row r="804" spans="1:29" ht="13.2">
      <c r="A804" s="9"/>
      <c r="B804" s="9"/>
      <c r="C804" s="14"/>
      <c r="H804" s="9"/>
      <c r="I804" s="9"/>
      <c r="J804" s="9"/>
      <c r="K804" s="9"/>
      <c r="L804" s="9"/>
      <c r="M804" s="9"/>
      <c r="N804" s="9"/>
      <c r="O804" s="9"/>
      <c r="P804" s="9"/>
      <c r="Q804" s="9"/>
      <c r="R804" s="9"/>
      <c r="S804" s="9"/>
      <c r="T804" s="9"/>
      <c r="U804" s="9"/>
      <c r="V804" s="9"/>
      <c r="W804" s="9"/>
      <c r="X804" s="9"/>
      <c r="Y804" s="9"/>
      <c r="Z804" s="9"/>
      <c r="AA804" s="9"/>
      <c r="AB804" s="9"/>
      <c r="AC804" s="9"/>
    </row>
    <row r="805" spans="1:29" ht="13.2">
      <c r="A805" s="9"/>
      <c r="B805" s="9"/>
      <c r="C805" s="14"/>
      <c r="H805" s="9"/>
      <c r="I805" s="9"/>
      <c r="J805" s="9"/>
      <c r="K805" s="9"/>
      <c r="L805" s="9"/>
      <c r="M805" s="9"/>
      <c r="N805" s="9"/>
      <c r="O805" s="9"/>
      <c r="P805" s="9"/>
      <c r="Q805" s="9"/>
      <c r="R805" s="9"/>
      <c r="S805" s="9"/>
      <c r="T805" s="9"/>
      <c r="U805" s="9"/>
      <c r="V805" s="9"/>
      <c r="W805" s="9"/>
      <c r="X805" s="9"/>
      <c r="Y805" s="9"/>
      <c r="Z805" s="9"/>
      <c r="AA805" s="9"/>
      <c r="AB805" s="9"/>
      <c r="AC805" s="9"/>
    </row>
    <row r="806" spans="1:29" ht="13.2">
      <c r="A806" s="9"/>
      <c r="B806" s="9"/>
      <c r="C806" s="14"/>
      <c r="H806" s="9"/>
      <c r="I806" s="9"/>
      <c r="J806" s="9"/>
      <c r="K806" s="9"/>
      <c r="L806" s="9"/>
      <c r="M806" s="9"/>
      <c r="N806" s="9"/>
      <c r="O806" s="9"/>
      <c r="P806" s="9"/>
      <c r="Q806" s="9"/>
      <c r="R806" s="9"/>
      <c r="S806" s="9"/>
      <c r="T806" s="9"/>
      <c r="U806" s="9"/>
      <c r="V806" s="9"/>
      <c r="W806" s="9"/>
      <c r="X806" s="9"/>
      <c r="Y806" s="9"/>
      <c r="Z806" s="9"/>
      <c r="AA806" s="9"/>
      <c r="AB806" s="9"/>
      <c r="AC806" s="9"/>
    </row>
    <row r="807" spans="1:29" ht="13.2">
      <c r="A807" s="9"/>
      <c r="B807" s="9"/>
      <c r="C807" s="14"/>
      <c r="H807" s="9"/>
      <c r="I807" s="9"/>
      <c r="J807" s="9"/>
      <c r="K807" s="9"/>
      <c r="L807" s="9"/>
      <c r="M807" s="9"/>
      <c r="N807" s="9"/>
      <c r="O807" s="9"/>
      <c r="P807" s="9"/>
      <c r="Q807" s="9"/>
      <c r="R807" s="9"/>
      <c r="S807" s="9"/>
      <c r="T807" s="9"/>
      <c r="U807" s="9"/>
      <c r="V807" s="9"/>
      <c r="W807" s="9"/>
      <c r="X807" s="9"/>
      <c r="Y807" s="9"/>
      <c r="Z807" s="9"/>
      <c r="AA807" s="9"/>
      <c r="AB807" s="9"/>
      <c r="AC807" s="9"/>
    </row>
    <row r="808" spans="1:29" ht="13.2">
      <c r="A808" s="9"/>
      <c r="B808" s="9"/>
      <c r="C808" s="14"/>
      <c r="H808" s="9"/>
      <c r="I808" s="9"/>
      <c r="J808" s="9"/>
      <c r="K808" s="9"/>
      <c r="L808" s="9"/>
      <c r="M808" s="9"/>
      <c r="N808" s="9"/>
      <c r="O808" s="9"/>
      <c r="P808" s="9"/>
      <c r="Q808" s="9"/>
      <c r="R808" s="9"/>
      <c r="S808" s="9"/>
      <c r="T808" s="9"/>
      <c r="U808" s="9"/>
      <c r="V808" s="9"/>
      <c r="W808" s="9"/>
      <c r="X808" s="9"/>
      <c r="Y808" s="9"/>
      <c r="Z808" s="9"/>
      <c r="AA808" s="9"/>
      <c r="AB808" s="9"/>
      <c r="AC808" s="9"/>
    </row>
    <row r="809" spans="1:29" ht="13.2">
      <c r="A809" s="9"/>
      <c r="B809" s="9"/>
      <c r="C809" s="14"/>
      <c r="H809" s="9"/>
      <c r="I809" s="9"/>
      <c r="J809" s="9"/>
      <c r="K809" s="9"/>
      <c r="L809" s="9"/>
      <c r="M809" s="9"/>
      <c r="N809" s="9"/>
      <c r="O809" s="9"/>
      <c r="P809" s="9"/>
      <c r="Q809" s="9"/>
      <c r="R809" s="9"/>
      <c r="S809" s="9"/>
      <c r="T809" s="9"/>
      <c r="U809" s="9"/>
      <c r="V809" s="9"/>
      <c r="W809" s="9"/>
      <c r="X809" s="9"/>
      <c r="Y809" s="9"/>
      <c r="Z809" s="9"/>
      <c r="AA809" s="9"/>
      <c r="AB809" s="9"/>
      <c r="AC809" s="9"/>
    </row>
    <row r="810" spans="1:29" ht="13.2">
      <c r="A810" s="9"/>
      <c r="B810" s="9"/>
      <c r="C810" s="14"/>
      <c r="H810" s="9"/>
      <c r="I810" s="9"/>
      <c r="J810" s="9"/>
      <c r="K810" s="9"/>
      <c r="L810" s="9"/>
      <c r="M810" s="9"/>
      <c r="N810" s="9"/>
      <c r="O810" s="9"/>
      <c r="P810" s="9"/>
      <c r="Q810" s="9"/>
      <c r="R810" s="9"/>
      <c r="S810" s="9"/>
      <c r="T810" s="9"/>
      <c r="U810" s="9"/>
      <c r="V810" s="9"/>
      <c r="W810" s="9"/>
      <c r="X810" s="9"/>
      <c r="Y810" s="9"/>
      <c r="Z810" s="9"/>
      <c r="AA810" s="9"/>
      <c r="AB810" s="9"/>
      <c r="AC810" s="9"/>
    </row>
    <row r="811" spans="1:29" ht="13.2">
      <c r="A811" s="9"/>
      <c r="B811" s="9"/>
      <c r="C811" s="14"/>
      <c r="H811" s="9"/>
      <c r="I811" s="9"/>
      <c r="J811" s="9"/>
      <c r="K811" s="9"/>
      <c r="L811" s="9"/>
      <c r="M811" s="9"/>
      <c r="N811" s="9"/>
      <c r="O811" s="9"/>
      <c r="P811" s="9"/>
      <c r="Q811" s="9"/>
      <c r="R811" s="9"/>
      <c r="S811" s="9"/>
      <c r="T811" s="9"/>
      <c r="U811" s="9"/>
      <c r="V811" s="9"/>
      <c r="W811" s="9"/>
      <c r="X811" s="9"/>
      <c r="Y811" s="9"/>
      <c r="Z811" s="9"/>
      <c r="AA811" s="9"/>
      <c r="AB811" s="9"/>
      <c r="AC811" s="9"/>
    </row>
    <row r="812" spans="1:29" ht="13.2">
      <c r="A812" s="9"/>
      <c r="B812" s="9"/>
      <c r="C812" s="14"/>
      <c r="H812" s="9"/>
      <c r="I812" s="9"/>
      <c r="J812" s="9"/>
      <c r="K812" s="9"/>
      <c r="L812" s="9"/>
      <c r="M812" s="9"/>
      <c r="N812" s="9"/>
      <c r="O812" s="9"/>
      <c r="P812" s="9"/>
      <c r="Q812" s="9"/>
      <c r="R812" s="9"/>
      <c r="S812" s="9"/>
      <c r="T812" s="9"/>
      <c r="U812" s="9"/>
      <c r="V812" s="9"/>
      <c r="W812" s="9"/>
      <c r="X812" s="9"/>
      <c r="Y812" s="9"/>
      <c r="Z812" s="9"/>
      <c r="AA812" s="9"/>
      <c r="AB812" s="9"/>
      <c r="AC812" s="9"/>
    </row>
    <row r="813" spans="1:29" ht="13.2">
      <c r="A813" s="9"/>
      <c r="B813" s="9"/>
      <c r="C813" s="14"/>
      <c r="H813" s="9"/>
      <c r="I813" s="9"/>
      <c r="J813" s="9"/>
      <c r="K813" s="9"/>
      <c r="L813" s="9"/>
      <c r="M813" s="9"/>
      <c r="N813" s="9"/>
      <c r="O813" s="9"/>
      <c r="P813" s="9"/>
      <c r="Q813" s="9"/>
      <c r="R813" s="9"/>
      <c r="S813" s="9"/>
      <c r="T813" s="9"/>
      <c r="U813" s="9"/>
      <c r="V813" s="9"/>
      <c r="W813" s="9"/>
      <c r="X813" s="9"/>
      <c r="Y813" s="9"/>
      <c r="Z813" s="9"/>
      <c r="AA813" s="9"/>
      <c r="AB813" s="9"/>
      <c r="AC813" s="9"/>
    </row>
    <row r="814" spans="1:29" ht="13.2">
      <c r="A814" s="9"/>
      <c r="B814" s="9"/>
      <c r="C814" s="14"/>
      <c r="H814" s="9"/>
      <c r="I814" s="9"/>
      <c r="J814" s="9"/>
      <c r="K814" s="9"/>
      <c r="L814" s="9"/>
      <c r="M814" s="9"/>
      <c r="N814" s="9"/>
      <c r="O814" s="9"/>
      <c r="P814" s="9"/>
      <c r="Q814" s="9"/>
      <c r="R814" s="9"/>
      <c r="S814" s="9"/>
      <c r="T814" s="9"/>
      <c r="U814" s="9"/>
      <c r="V814" s="9"/>
      <c r="W814" s="9"/>
      <c r="X814" s="9"/>
      <c r="Y814" s="9"/>
      <c r="Z814" s="9"/>
      <c r="AA814" s="9"/>
      <c r="AB814" s="9"/>
      <c r="AC814" s="9"/>
    </row>
    <row r="815" spans="1:29" ht="13.2">
      <c r="A815" s="9"/>
      <c r="B815" s="9"/>
      <c r="C815" s="14"/>
      <c r="H815" s="9"/>
      <c r="I815" s="9"/>
      <c r="J815" s="9"/>
      <c r="K815" s="9"/>
      <c r="L815" s="9"/>
      <c r="M815" s="9"/>
      <c r="N815" s="9"/>
      <c r="O815" s="9"/>
      <c r="P815" s="9"/>
      <c r="Q815" s="9"/>
      <c r="R815" s="9"/>
      <c r="S815" s="9"/>
      <c r="T815" s="9"/>
      <c r="U815" s="9"/>
      <c r="V815" s="9"/>
      <c r="W815" s="9"/>
      <c r="X815" s="9"/>
      <c r="Y815" s="9"/>
      <c r="Z815" s="9"/>
      <c r="AA815" s="9"/>
      <c r="AB815" s="9"/>
      <c r="AC815" s="9"/>
    </row>
    <row r="816" spans="1:29" ht="13.2">
      <c r="A816" s="9"/>
      <c r="B816" s="9"/>
      <c r="C816" s="14"/>
      <c r="H816" s="9"/>
      <c r="I816" s="9"/>
      <c r="J816" s="9"/>
      <c r="K816" s="9"/>
      <c r="L816" s="9"/>
      <c r="M816" s="9"/>
      <c r="N816" s="9"/>
      <c r="O816" s="9"/>
      <c r="P816" s="9"/>
      <c r="Q816" s="9"/>
      <c r="R816" s="9"/>
      <c r="S816" s="9"/>
      <c r="T816" s="9"/>
      <c r="U816" s="9"/>
      <c r="V816" s="9"/>
      <c r="W816" s="9"/>
      <c r="X816" s="9"/>
      <c r="Y816" s="9"/>
      <c r="Z816" s="9"/>
      <c r="AA816" s="9"/>
      <c r="AB816" s="9"/>
      <c r="AC816" s="9"/>
    </row>
    <row r="817" spans="1:29" ht="13.2">
      <c r="A817" s="9"/>
      <c r="B817" s="9"/>
      <c r="C817" s="14"/>
      <c r="H817" s="9"/>
      <c r="I817" s="9"/>
      <c r="J817" s="9"/>
      <c r="K817" s="9"/>
      <c r="L817" s="9"/>
      <c r="M817" s="9"/>
      <c r="N817" s="9"/>
      <c r="O817" s="9"/>
      <c r="P817" s="9"/>
      <c r="Q817" s="9"/>
      <c r="R817" s="9"/>
      <c r="S817" s="9"/>
      <c r="T817" s="9"/>
      <c r="U817" s="9"/>
      <c r="V817" s="9"/>
      <c r="W817" s="9"/>
      <c r="X817" s="9"/>
      <c r="Y817" s="9"/>
      <c r="Z817" s="9"/>
      <c r="AA817" s="9"/>
      <c r="AB817" s="9"/>
      <c r="AC817" s="9"/>
    </row>
    <row r="818" spans="1:29" ht="13.2">
      <c r="A818" s="9"/>
      <c r="B818" s="9"/>
      <c r="C818" s="14"/>
      <c r="H818" s="9"/>
      <c r="I818" s="9"/>
      <c r="J818" s="9"/>
      <c r="K818" s="9"/>
      <c r="L818" s="9"/>
      <c r="M818" s="9"/>
      <c r="N818" s="9"/>
      <c r="O818" s="9"/>
      <c r="P818" s="9"/>
      <c r="Q818" s="9"/>
      <c r="R818" s="9"/>
      <c r="S818" s="9"/>
      <c r="T818" s="9"/>
      <c r="U818" s="9"/>
      <c r="V818" s="9"/>
      <c r="W818" s="9"/>
      <c r="X818" s="9"/>
      <c r="Y818" s="9"/>
      <c r="Z818" s="9"/>
      <c r="AA818" s="9"/>
      <c r="AB818" s="9"/>
      <c r="AC818" s="9"/>
    </row>
    <row r="819" spans="1:29" ht="13.2">
      <c r="A819" s="9"/>
      <c r="B819" s="9"/>
      <c r="C819" s="14"/>
      <c r="H819" s="9"/>
      <c r="I819" s="9"/>
      <c r="J819" s="9"/>
      <c r="K819" s="9"/>
      <c r="L819" s="9"/>
      <c r="M819" s="9"/>
      <c r="N819" s="9"/>
      <c r="O819" s="9"/>
      <c r="P819" s="9"/>
      <c r="Q819" s="9"/>
      <c r="R819" s="9"/>
      <c r="S819" s="9"/>
      <c r="T819" s="9"/>
      <c r="U819" s="9"/>
      <c r="V819" s="9"/>
      <c r="W819" s="9"/>
      <c r="X819" s="9"/>
      <c r="Y819" s="9"/>
      <c r="Z819" s="9"/>
      <c r="AA819" s="9"/>
      <c r="AB819" s="9"/>
      <c r="AC819" s="9"/>
    </row>
    <row r="820" spans="1:29" ht="13.2">
      <c r="A820" s="9"/>
      <c r="B820" s="9"/>
      <c r="C820" s="14"/>
      <c r="H820" s="9"/>
      <c r="I820" s="9"/>
      <c r="J820" s="9"/>
      <c r="K820" s="9"/>
      <c r="L820" s="9"/>
      <c r="M820" s="9"/>
      <c r="N820" s="9"/>
      <c r="O820" s="9"/>
      <c r="P820" s="9"/>
      <c r="Q820" s="9"/>
      <c r="R820" s="9"/>
      <c r="S820" s="9"/>
      <c r="T820" s="9"/>
      <c r="U820" s="9"/>
      <c r="V820" s="9"/>
      <c r="W820" s="9"/>
      <c r="X820" s="9"/>
      <c r="Y820" s="9"/>
      <c r="Z820" s="9"/>
      <c r="AA820" s="9"/>
      <c r="AB820" s="9"/>
      <c r="AC820" s="9"/>
    </row>
    <row r="821" spans="1:29" ht="13.2">
      <c r="A821" s="9"/>
      <c r="B821" s="9"/>
      <c r="C821" s="14"/>
      <c r="H821" s="9"/>
      <c r="I821" s="9"/>
      <c r="J821" s="9"/>
      <c r="K821" s="9"/>
      <c r="L821" s="9"/>
      <c r="M821" s="9"/>
      <c r="N821" s="9"/>
      <c r="O821" s="9"/>
      <c r="P821" s="9"/>
      <c r="Q821" s="9"/>
      <c r="R821" s="9"/>
      <c r="S821" s="9"/>
      <c r="T821" s="9"/>
      <c r="U821" s="9"/>
      <c r="V821" s="9"/>
      <c r="W821" s="9"/>
      <c r="X821" s="9"/>
      <c r="Y821" s="9"/>
      <c r="Z821" s="9"/>
      <c r="AA821" s="9"/>
      <c r="AB821" s="9"/>
      <c r="AC821" s="9"/>
    </row>
    <row r="822" spans="1:29" ht="13.2">
      <c r="A822" s="9"/>
      <c r="B822" s="9"/>
      <c r="C822" s="14"/>
      <c r="H822" s="9"/>
      <c r="I822" s="9"/>
      <c r="J822" s="9"/>
      <c r="K822" s="9"/>
      <c r="L822" s="9"/>
      <c r="M822" s="9"/>
      <c r="N822" s="9"/>
      <c r="O822" s="9"/>
      <c r="P822" s="9"/>
      <c r="Q822" s="9"/>
      <c r="R822" s="9"/>
      <c r="S822" s="9"/>
      <c r="T822" s="9"/>
      <c r="U822" s="9"/>
      <c r="V822" s="9"/>
      <c r="W822" s="9"/>
      <c r="X822" s="9"/>
      <c r="Y822" s="9"/>
      <c r="Z822" s="9"/>
      <c r="AA822" s="9"/>
      <c r="AB822" s="9"/>
      <c r="AC822" s="9"/>
    </row>
    <row r="823" spans="1:29" ht="13.2">
      <c r="A823" s="9"/>
      <c r="B823" s="9"/>
      <c r="C823" s="14"/>
      <c r="H823" s="9"/>
      <c r="I823" s="9"/>
      <c r="J823" s="9"/>
      <c r="K823" s="9"/>
      <c r="L823" s="9"/>
      <c r="M823" s="9"/>
      <c r="N823" s="9"/>
      <c r="O823" s="9"/>
      <c r="P823" s="9"/>
      <c r="Q823" s="9"/>
      <c r="R823" s="9"/>
      <c r="S823" s="9"/>
      <c r="T823" s="9"/>
      <c r="U823" s="9"/>
      <c r="V823" s="9"/>
      <c r="W823" s="9"/>
      <c r="X823" s="9"/>
      <c r="Y823" s="9"/>
      <c r="Z823" s="9"/>
      <c r="AA823" s="9"/>
      <c r="AB823" s="9"/>
      <c r="AC823" s="9"/>
    </row>
    <row r="824" spans="1:29" ht="13.2">
      <c r="A824" s="9"/>
      <c r="B824" s="9"/>
      <c r="C824" s="14"/>
      <c r="H824" s="9"/>
      <c r="I824" s="9"/>
      <c r="J824" s="9"/>
      <c r="K824" s="9"/>
      <c r="L824" s="9"/>
      <c r="M824" s="9"/>
      <c r="N824" s="9"/>
      <c r="O824" s="9"/>
      <c r="P824" s="9"/>
      <c r="Q824" s="9"/>
      <c r="R824" s="9"/>
      <c r="S824" s="9"/>
      <c r="T824" s="9"/>
      <c r="U824" s="9"/>
      <c r="V824" s="9"/>
      <c r="W824" s="9"/>
      <c r="X824" s="9"/>
      <c r="Y824" s="9"/>
      <c r="Z824" s="9"/>
      <c r="AA824" s="9"/>
      <c r="AB824" s="9"/>
      <c r="AC824" s="9"/>
    </row>
    <row r="825" spans="1:29" ht="13.2">
      <c r="A825" s="9"/>
      <c r="B825" s="9"/>
      <c r="C825" s="14"/>
      <c r="H825" s="9"/>
      <c r="I825" s="9"/>
      <c r="J825" s="9"/>
      <c r="K825" s="9"/>
      <c r="L825" s="9"/>
      <c r="M825" s="9"/>
      <c r="N825" s="9"/>
      <c r="O825" s="9"/>
      <c r="P825" s="9"/>
      <c r="Q825" s="9"/>
      <c r="R825" s="9"/>
      <c r="S825" s="9"/>
      <c r="T825" s="9"/>
      <c r="U825" s="9"/>
      <c r="V825" s="9"/>
      <c r="W825" s="9"/>
      <c r="X825" s="9"/>
      <c r="Y825" s="9"/>
      <c r="Z825" s="9"/>
      <c r="AA825" s="9"/>
      <c r="AB825" s="9"/>
      <c r="AC825" s="9"/>
    </row>
    <row r="826" spans="1:29" ht="13.2">
      <c r="A826" s="9"/>
      <c r="B826" s="9"/>
      <c r="C826" s="14"/>
      <c r="H826" s="9"/>
      <c r="I826" s="9"/>
      <c r="J826" s="9"/>
      <c r="K826" s="9"/>
      <c r="L826" s="9"/>
      <c r="M826" s="9"/>
      <c r="N826" s="9"/>
      <c r="O826" s="9"/>
      <c r="P826" s="9"/>
      <c r="Q826" s="9"/>
      <c r="R826" s="9"/>
      <c r="S826" s="9"/>
      <c r="T826" s="9"/>
      <c r="U826" s="9"/>
      <c r="V826" s="9"/>
      <c r="W826" s="9"/>
      <c r="X826" s="9"/>
      <c r="Y826" s="9"/>
      <c r="Z826" s="9"/>
      <c r="AA826" s="9"/>
      <c r="AB826" s="9"/>
      <c r="AC826" s="9"/>
    </row>
    <row r="827" spans="1:29" ht="13.2">
      <c r="A827" s="9"/>
      <c r="B827" s="9"/>
      <c r="C827" s="14"/>
      <c r="H827" s="9"/>
      <c r="I827" s="9"/>
      <c r="J827" s="9"/>
      <c r="K827" s="9"/>
      <c r="L827" s="9"/>
      <c r="M827" s="9"/>
      <c r="N827" s="9"/>
      <c r="O827" s="9"/>
      <c r="P827" s="9"/>
      <c r="Q827" s="9"/>
      <c r="R827" s="9"/>
      <c r="S827" s="9"/>
      <c r="T827" s="9"/>
      <c r="U827" s="9"/>
      <c r="V827" s="9"/>
      <c r="W827" s="9"/>
      <c r="X827" s="9"/>
      <c r="Y827" s="9"/>
      <c r="Z827" s="9"/>
      <c r="AA827" s="9"/>
      <c r="AB827" s="9"/>
      <c r="AC827" s="9"/>
    </row>
    <row r="828" spans="1:29" ht="13.2">
      <c r="A828" s="9"/>
      <c r="B828" s="9"/>
      <c r="C828" s="14"/>
      <c r="H828" s="9"/>
      <c r="I828" s="9"/>
      <c r="J828" s="9"/>
      <c r="K828" s="9"/>
      <c r="L828" s="9"/>
      <c r="M828" s="9"/>
      <c r="N828" s="9"/>
      <c r="O828" s="9"/>
      <c r="P828" s="9"/>
      <c r="Q828" s="9"/>
      <c r="R828" s="9"/>
      <c r="S828" s="9"/>
      <c r="T828" s="9"/>
      <c r="U828" s="9"/>
      <c r="V828" s="9"/>
      <c r="W828" s="9"/>
      <c r="X828" s="9"/>
      <c r="Y828" s="9"/>
      <c r="Z828" s="9"/>
      <c r="AA828" s="9"/>
      <c r="AB828" s="9"/>
      <c r="AC828" s="9"/>
    </row>
    <row r="829" spans="1:29" ht="13.2">
      <c r="A829" s="9"/>
      <c r="B829" s="9"/>
      <c r="C829" s="14"/>
      <c r="H829" s="9"/>
      <c r="I829" s="9"/>
      <c r="J829" s="9"/>
      <c r="K829" s="9"/>
      <c r="L829" s="9"/>
      <c r="M829" s="9"/>
      <c r="N829" s="9"/>
      <c r="O829" s="9"/>
      <c r="P829" s="9"/>
      <c r="Q829" s="9"/>
      <c r="R829" s="9"/>
      <c r="S829" s="9"/>
      <c r="T829" s="9"/>
      <c r="U829" s="9"/>
      <c r="V829" s="9"/>
      <c r="W829" s="9"/>
      <c r="X829" s="9"/>
      <c r="Y829" s="9"/>
      <c r="Z829" s="9"/>
      <c r="AA829" s="9"/>
      <c r="AB829" s="9"/>
      <c r="AC829" s="9"/>
    </row>
    <row r="830" spans="1:29" ht="13.2">
      <c r="A830" s="9"/>
      <c r="B830" s="9"/>
      <c r="C830" s="14"/>
      <c r="H830" s="9"/>
      <c r="I830" s="9"/>
      <c r="J830" s="9"/>
      <c r="K830" s="9"/>
      <c r="L830" s="9"/>
      <c r="M830" s="9"/>
      <c r="N830" s="9"/>
      <c r="O830" s="9"/>
      <c r="P830" s="9"/>
      <c r="Q830" s="9"/>
      <c r="R830" s="9"/>
      <c r="S830" s="9"/>
      <c r="T830" s="9"/>
      <c r="U830" s="9"/>
      <c r="V830" s="9"/>
      <c r="W830" s="9"/>
      <c r="X830" s="9"/>
      <c r="Y830" s="9"/>
      <c r="Z830" s="9"/>
      <c r="AA830" s="9"/>
      <c r="AB830" s="9"/>
      <c r="AC830" s="9"/>
    </row>
    <row r="831" spans="1:29" ht="13.2">
      <c r="A831" s="9"/>
      <c r="B831" s="9"/>
      <c r="C831" s="14"/>
      <c r="H831" s="9"/>
      <c r="I831" s="9"/>
      <c r="J831" s="9"/>
      <c r="K831" s="9"/>
      <c r="L831" s="9"/>
      <c r="M831" s="9"/>
      <c r="N831" s="9"/>
      <c r="O831" s="9"/>
      <c r="P831" s="9"/>
      <c r="Q831" s="9"/>
      <c r="R831" s="9"/>
      <c r="S831" s="9"/>
      <c r="T831" s="9"/>
      <c r="U831" s="9"/>
      <c r="V831" s="9"/>
      <c r="W831" s="9"/>
      <c r="X831" s="9"/>
      <c r="Y831" s="9"/>
      <c r="Z831" s="9"/>
      <c r="AA831" s="9"/>
      <c r="AB831" s="9"/>
      <c r="AC831" s="9"/>
    </row>
    <row r="832" spans="1:29" ht="13.2">
      <c r="A832" s="9"/>
      <c r="B832" s="9"/>
      <c r="C832" s="14"/>
      <c r="H832" s="9"/>
      <c r="I832" s="9"/>
      <c r="J832" s="9"/>
      <c r="K832" s="9"/>
      <c r="L832" s="9"/>
      <c r="M832" s="9"/>
      <c r="N832" s="9"/>
      <c r="O832" s="9"/>
      <c r="P832" s="9"/>
      <c r="Q832" s="9"/>
      <c r="R832" s="9"/>
      <c r="S832" s="9"/>
      <c r="T832" s="9"/>
      <c r="U832" s="9"/>
      <c r="V832" s="9"/>
      <c r="W832" s="9"/>
      <c r="X832" s="9"/>
      <c r="Y832" s="9"/>
      <c r="Z832" s="9"/>
      <c r="AA832" s="9"/>
      <c r="AB832" s="9"/>
      <c r="AC832" s="9"/>
    </row>
    <row r="833" spans="1:29" ht="13.2">
      <c r="A833" s="9"/>
      <c r="B833" s="9"/>
      <c r="C833" s="14"/>
      <c r="H833" s="9"/>
      <c r="I833" s="9"/>
      <c r="J833" s="9"/>
      <c r="K833" s="9"/>
      <c r="L833" s="9"/>
      <c r="M833" s="9"/>
      <c r="N833" s="9"/>
      <c r="O833" s="9"/>
      <c r="P833" s="9"/>
      <c r="Q833" s="9"/>
      <c r="R833" s="9"/>
      <c r="S833" s="9"/>
      <c r="T833" s="9"/>
      <c r="U833" s="9"/>
      <c r="V833" s="9"/>
      <c r="W833" s="9"/>
      <c r="X833" s="9"/>
      <c r="Y833" s="9"/>
      <c r="Z833" s="9"/>
      <c r="AA833" s="9"/>
      <c r="AB833" s="9"/>
      <c r="AC833" s="9"/>
    </row>
    <row r="834" spans="1:29" ht="13.2">
      <c r="A834" s="9"/>
      <c r="B834" s="9"/>
      <c r="C834" s="14"/>
      <c r="H834" s="9"/>
      <c r="I834" s="9"/>
      <c r="J834" s="9"/>
      <c r="K834" s="9"/>
      <c r="L834" s="9"/>
      <c r="M834" s="9"/>
      <c r="N834" s="9"/>
      <c r="O834" s="9"/>
      <c r="P834" s="9"/>
      <c r="Q834" s="9"/>
      <c r="R834" s="9"/>
      <c r="S834" s="9"/>
      <c r="T834" s="9"/>
      <c r="U834" s="9"/>
      <c r="V834" s="9"/>
      <c r="W834" s="9"/>
      <c r="X834" s="9"/>
      <c r="Y834" s="9"/>
      <c r="Z834" s="9"/>
      <c r="AA834" s="9"/>
      <c r="AB834" s="9"/>
      <c r="AC834" s="9"/>
    </row>
    <row r="835" spans="1:29" ht="13.2">
      <c r="A835" s="9"/>
      <c r="B835" s="9"/>
      <c r="C835" s="14"/>
      <c r="H835" s="9"/>
      <c r="I835" s="9"/>
      <c r="J835" s="9"/>
      <c r="K835" s="9"/>
      <c r="L835" s="9"/>
      <c r="M835" s="9"/>
      <c r="N835" s="9"/>
      <c r="O835" s="9"/>
      <c r="P835" s="9"/>
      <c r="Q835" s="9"/>
      <c r="R835" s="9"/>
      <c r="S835" s="9"/>
      <c r="T835" s="9"/>
      <c r="U835" s="9"/>
      <c r="V835" s="9"/>
      <c r="W835" s="9"/>
      <c r="X835" s="9"/>
      <c r="Y835" s="9"/>
      <c r="Z835" s="9"/>
      <c r="AA835" s="9"/>
      <c r="AB835" s="9"/>
      <c r="AC835" s="9"/>
    </row>
    <row r="836" spans="1:29" ht="13.2">
      <c r="A836" s="9"/>
      <c r="B836" s="9"/>
      <c r="C836" s="14"/>
      <c r="H836" s="9"/>
      <c r="I836" s="9"/>
      <c r="J836" s="9"/>
      <c r="K836" s="9"/>
      <c r="L836" s="9"/>
      <c r="M836" s="9"/>
      <c r="N836" s="9"/>
      <c r="O836" s="9"/>
      <c r="P836" s="9"/>
      <c r="Q836" s="9"/>
      <c r="R836" s="9"/>
      <c r="S836" s="9"/>
      <c r="T836" s="9"/>
      <c r="U836" s="9"/>
      <c r="V836" s="9"/>
      <c r="W836" s="9"/>
      <c r="X836" s="9"/>
      <c r="Y836" s="9"/>
      <c r="Z836" s="9"/>
      <c r="AA836" s="9"/>
      <c r="AB836" s="9"/>
      <c r="AC836" s="9"/>
    </row>
    <row r="837" spans="1:29" ht="13.2">
      <c r="A837" s="9"/>
      <c r="B837" s="9"/>
      <c r="C837" s="14"/>
      <c r="H837" s="9"/>
      <c r="I837" s="9"/>
      <c r="J837" s="9"/>
      <c r="K837" s="9"/>
      <c r="L837" s="9"/>
      <c r="M837" s="9"/>
      <c r="N837" s="9"/>
      <c r="O837" s="9"/>
      <c r="P837" s="9"/>
      <c r="Q837" s="9"/>
      <c r="R837" s="9"/>
      <c r="S837" s="9"/>
      <c r="T837" s="9"/>
      <c r="U837" s="9"/>
      <c r="V837" s="9"/>
      <c r="W837" s="9"/>
      <c r="X837" s="9"/>
      <c r="Y837" s="9"/>
      <c r="Z837" s="9"/>
      <c r="AA837" s="9"/>
      <c r="AB837" s="9"/>
      <c r="AC837" s="9"/>
    </row>
    <row r="838" spans="1:29" ht="13.2">
      <c r="A838" s="9"/>
      <c r="B838" s="9"/>
      <c r="C838" s="14"/>
      <c r="H838" s="9"/>
      <c r="I838" s="9"/>
      <c r="J838" s="9"/>
      <c r="K838" s="9"/>
      <c r="L838" s="9"/>
      <c r="M838" s="9"/>
      <c r="N838" s="9"/>
      <c r="O838" s="9"/>
      <c r="P838" s="9"/>
      <c r="Q838" s="9"/>
      <c r="R838" s="9"/>
      <c r="S838" s="9"/>
      <c r="T838" s="9"/>
      <c r="U838" s="9"/>
      <c r="V838" s="9"/>
      <c r="W838" s="9"/>
      <c r="X838" s="9"/>
      <c r="Y838" s="9"/>
      <c r="Z838" s="9"/>
      <c r="AA838" s="9"/>
      <c r="AB838" s="9"/>
      <c r="AC838" s="9"/>
    </row>
    <row r="839" spans="1:29" ht="13.2">
      <c r="A839" s="9"/>
      <c r="B839" s="9"/>
      <c r="C839" s="14"/>
      <c r="H839" s="9"/>
      <c r="I839" s="9"/>
      <c r="J839" s="9"/>
      <c r="K839" s="9"/>
      <c r="L839" s="9"/>
      <c r="M839" s="9"/>
      <c r="N839" s="9"/>
      <c r="O839" s="9"/>
      <c r="P839" s="9"/>
      <c r="Q839" s="9"/>
      <c r="R839" s="9"/>
      <c r="S839" s="9"/>
      <c r="T839" s="9"/>
      <c r="U839" s="9"/>
      <c r="V839" s="9"/>
      <c r="W839" s="9"/>
      <c r="X839" s="9"/>
      <c r="Y839" s="9"/>
      <c r="Z839" s="9"/>
      <c r="AA839" s="9"/>
      <c r="AB839" s="9"/>
      <c r="AC839" s="9"/>
    </row>
    <row r="840" spans="1:29" ht="13.2">
      <c r="A840" s="9"/>
      <c r="B840" s="9"/>
      <c r="C840" s="14"/>
      <c r="H840" s="9"/>
      <c r="I840" s="9"/>
      <c r="J840" s="9"/>
      <c r="K840" s="9"/>
      <c r="L840" s="9"/>
      <c r="M840" s="9"/>
      <c r="N840" s="9"/>
      <c r="O840" s="9"/>
      <c r="P840" s="9"/>
      <c r="Q840" s="9"/>
      <c r="R840" s="9"/>
      <c r="S840" s="9"/>
      <c r="T840" s="9"/>
      <c r="U840" s="9"/>
      <c r="V840" s="9"/>
      <c r="W840" s="9"/>
      <c r="X840" s="9"/>
      <c r="Y840" s="9"/>
      <c r="Z840" s="9"/>
      <c r="AA840" s="9"/>
      <c r="AB840" s="9"/>
      <c r="AC840" s="9"/>
    </row>
    <row r="841" spans="1:29" ht="13.2">
      <c r="A841" s="9"/>
      <c r="B841" s="9"/>
      <c r="C841" s="14"/>
      <c r="H841" s="9"/>
      <c r="I841" s="9"/>
      <c r="J841" s="9"/>
      <c r="K841" s="9"/>
      <c r="L841" s="9"/>
      <c r="M841" s="9"/>
      <c r="N841" s="9"/>
      <c r="O841" s="9"/>
      <c r="P841" s="9"/>
      <c r="Q841" s="9"/>
      <c r="R841" s="9"/>
      <c r="S841" s="9"/>
      <c r="T841" s="9"/>
      <c r="U841" s="9"/>
      <c r="V841" s="9"/>
      <c r="W841" s="9"/>
      <c r="X841" s="9"/>
      <c r="Y841" s="9"/>
      <c r="Z841" s="9"/>
      <c r="AA841" s="9"/>
      <c r="AB841" s="9"/>
      <c r="AC841" s="9"/>
    </row>
    <row r="842" spans="1:29" ht="13.2">
      <c r="A842" s="9"/>
      <c r="B842" s="9"/>
      <c r="C842" s="14"/>
      <c r="H842" s="9"/>
      <c r="I842" s="9"/>
      <c r="J842" s="9"/>
      <c r="K842" s="9"/>
      <c r="L842" s="9"/>
      <c r="M842" s="9"/>
      <c r="N842" s="9"/>
      <c r="O842" s="9"/>
      <c r="P842" s="9"/>
      <c r="Q842" s="9"/>
      <c r="R842" s="9"/>
      <c r="S842" s="9"/>
      <c r="T842" s="9"/>
      <c r="U842" s="9"/>
      <c r="V842" s="9"/>
      <c r="W842" s="9"/>
      <c r="X842" s="9"/>
      <c r="Y842" s="9"/>
      <c r="Z842" s="9"/>
      <c r="AA842" s="9"/>
      <c r="AB842" s="9"/>
      <c r="AC842" s="9"/>
    </row>
    <row r="843" spans="1:29" ht="13.2">
      <c r="A843" s="9"/>
      <c r="B843" s="9"/>
      <c r="C843" s="14"/>
      <c r="H843" s="9"/>
      <c r="I843" s="9"/>
      <c r="J843" s="9"/>
      <c r="K843" s="9"/>
      <c r="L843" s="9"/>
      <c r="M843" s="9"/>
      <c r="N843" s="9"/>
      <c r="O843" s="9"/>
      <c r="P843" s="9"/>
      <c r="Q843" s="9"/>
      <c r="R843" s="9"/>
      <c r="S843" s="9"/>
      <c r="T843" s="9"/>
      <c r="U843" s="9"/>
      <c r="V843" s="9"/>
      <c r="W843" s="9"/>
      <c r="X843" s="9"/>
      <c r="Y843" s="9"/>
      <c r="Z843" s="9"/>
      <c r="AA843" s="9"/>
      <c r="AB843" s="9"/>
      <c r="AC843" s="9"/>
    </row>
    <row r="844" spans="1:29" ht="13.2">
      <c r="A844" s="9"/>
      <c r="B844" s="9"/>
      <c r="C844" s="14"/>
      <c r="H844" s="9"/>
      <c r="I844" s="9"/>
      <c r="J844" s="9"/>
      <c r="K844" s="9"/>
      <c r="L844" s="9"/>
      <c r="M844" s="9"/>
      <c r="N844" s="9"/>
      <c r="O844" s="9"/>
      <c r="P844" s="9"/>
      <c r="Q844" s="9"/>
      <c r="R844" s="9"/>
      <c r="S844" s="9"/>
      <c r="T844" s="9"/>
      <c r="U844" s="9"/>
      <c r="V844" s="9"/>
      <c r="W844" s="9"/>
      <c r="X844" s="9"/>
      <c r="Y844" s="9"/>
      <c r="Z844" s="9"/>
      <c r="AA844" s="9"/>
      <c r="AB844" s="9"/>
      <c r="AC844" s="9"/>
    </row>
    <row r="845" spans="1:29" ht="13.2">
      <c r="A845" s="9"/>
      <c r="B845" s="9"/>
      <c r="C845" s="14"/>
      <c r="H845" s="9"/>
      <c r="I845" s="9"/>
      <c r="J845" s="9"/>
      <c r="K845" s="9"/>
      <c r="L845" s="9"/>
      <c r="M845" s="9"/>
      <c r="N845" s="9"/>
      <c r="O845" s="9"/>
      <c r="P845" s="9"/>
      <c r="Q845" s="9"/>
      <c r="R845" s="9"/>
      <c r="S845" s="9"/>
      <c r="T845" s="9"/>
      <c r="U845" s="9"/>
      <c r="V845" s="9"/>
      <c r="W845" s="9"/>
      <c r="X845" s="9"/>
      <c r="Y845" s="9"/>
      <c r="Z845" s="9"/>
      <c r="AA845" s="9"/>
      <c r="AB845" s="9"/>
      <c r="AC845" s="9"/>
    </row>
    <row r="846" spans="1:29" ht="13.2">
      <c r="A846" s="9"/>
      <c r="B846" s="9"/>
      <c r="C846" s="14"/>
      <c r="H846" s="9"/>
      <c r="I846" s="9"/>
      <c r="J846" s="9"/>
      <c r="K846" s="9"/>
      <c r="L846" s="9"/>
      <c r="M846" s="9"/>
      <c r="N846" s="9"/>
      <c r="O846" s="9"/>
      <c r="P846" s="9"/>
      <c r="Q846" s="9"/>
      <c r="R846" s="9"/>
      <c r="S846" s="9"/>
      <c r="T846" s="9"/>
      <c r="U846" s="9"/>
      <c r="V846" s="9"/>
      <c r="W846" s="9"/>
      <c r="X846" s="9"/>
      <c r="Y846" s="9"/>
      <c r="Z846" s="9"/>
      <c r="AA846" s="9"/>
      <c r="AB846" s="9"/>
      <c r="AC846" s="9"/>
    </row>
    <row r="847" spans="1:29" ht="13.2">
      <c r="A847" s="9"/>
      <c r="B847" s="9"/>
      <c r="C847" s="14"/>
      <c r="H847" s="9"/>
      <c r="I847" s="9"/>
      <c r="J847" s="9"/>
      <c r="K847" s="9"/>
      <c r="L847" s="9"/>
      <c r="M847" s="9"/>
      <c r="N847" s="9"/>
      <c r="O847" s="9"/>
      <c r="P847" s="9"/>
      <c r="Q847" s="9"/>
      <c r="R847" s="9"/>
      <c r="S847" s="9"/>
      <c r="T847" s="9"/>
      <c r="U847" s="9"/>
      <c r="V847" s="9"/>
      <c r="W847" s="9"/>
      <c r="X847" s="9"/>
      <c r="Y847" s="9"/>
      <c r="Z847" s="9"/>
      <c r="AA847" s="9"/>
      <c r="AB847" s="9"/>
      <c r="AC847" s="9"/>
    </row>
    <row r="848" spans="1:29" ht="13.2">
      <c r="A848" s="9"/>
      <c r="B848" s="9"/>
      <c r="C848" s="14"/>
      <c r="H848" s="9"/>
      <c r="I848" s="9"/>
      <c r="J848" s="9"/>
      <c r="K848" s="9"/>
      <c r="L848" s="9"/>
      <c r="M848" s="9"/>
      <c r="N848" s="9"/>
      <c r="O848" s="9"/>
      <c r="P848" s="9"/>
      <c r="Q848" s="9"/>
      <c r="R848" s="9"/>
      <c r="S848" s="9"/>
      <c r="T848" s="9"/>
      <c r="U848" s="9"/>
      <c r="V848" s="9"/>
      <c r="W848" s="9"/>
      <c r="X848" s="9"/>
      <c r="Y848" s="9"/>
      <c r="Z848" s="9"/>
      <c r="AA848" s="9"/>
      <c r="AB848" s="9"/>
      <c r="AC848" s="9"/>
    </row>
    <row r="849" spans="1:29" ht="13.2">
      <c r="A849" s="9"/>
      <c r="B849" s="9"/>
      <c r="C849" s="14"/>
      <c r="H849" s="9"/>
      <c r="I849" s="9"/>
      <c r="J849" s="9"/>
      <c r="K849" s="9"/>
      <c r="L849" s="9"/>
      <c r="M849" s="9"/>
      <c r="N849" s="9"/>
      <c r="O849" s="9"/>
      <c r="P849" s="9"/>
      <c r="Q849" s="9"/>
      <c r="R849" s="9"/>
      <c r="S849" s="9"/>
      <c r="T849" s="9"/>
      <c r="U849" s="9"/>
      <c r="V849" s="9"/>
      <c r="W849" s="9"/>
      <c r="X849" s="9"/>
      <c r="Y849" s="9"/>
      <c r="Z849" s="9"/>
      <c r="AA849" s="9"/>
      <c r="AB849" s="9"/>
      <c r="AC849" s="9"/>
    </row>
    <row r="850" spans="1:29" ht="13.2">
      <c r="A850" s="9"/>
      <c r="B850" s="9"/>
      <c r="C850" s="14"/>
      <c r="H850" s="9"/>
      <c r="I850" s="9"/>
      <c r="J850" s="9"/>
      <c r="K850" s="9"/>
      <c r="L850" s="9"/>
      <c r="M850" s="9"/>
      <c r="N850" s="9"/>
      <c r="O850" s="9"/>
      <c r="P850" s="9"/>
      <c r="Q850" s="9"/>
      <c r="R850" s="9"/>
      <c r="S850" s="9"/>
      <c r="T850" s="9"/>
      <c r="U850" s="9"/>
      <c r="V850" s="9"/>
      <c r="W850" s="9"/>
      <c r="X850" s="9"/>
      <c r="Y850" s="9"/>
      <c r="Z850" s="9"/>
      <c r="AA850" s="9"/>
      <c r="AB850" s="9"/>
      <c r="AC850" s="9"/>
    </row>
    <row r="851" spans="1:29" ht="13.2">
      <c r="A851" s="9"/>
      <c r="B851" s="9"/>
      <c r="C851" s="14"/>
      <c r="H851" s="9"/>
      <c r="I851" s="9"/>
      <c r="J851" s="9"/>
      <c r="K851" s="9"/>
      <c r="L851" s="9"/>
      <c r="M851" s="9"/>
      <c r="N851" s="9"/>
      <c r="O851" s="9"/>
      <c r="P851" s="9"/>
      <c r="Q851" s="9"/>
      <c r="R851" s="9"/>
      <c r="S851" s="9"/>
      <c r="T851" s="9"/>
      <c r="U851" s="9"/>
      <c r="V851" s="9"/>
      <c r="W851" s="9"/>
      <c r="X851" s="9"/>
      <c r="Y851" s="9"/>
      <c r="Z851" s="9"/>
      <c r="AA851" s="9"/>
      <c r="AB851" s="9"/>
      <c r="AC851" s="9"/>
    </row>
    <row r="852" spans="1:29" ht="13.2">
      <c r="A852" s="9"/>
      <c r="B852" s="9"/>
      <c r="C852" s="14"/>
      <c r="H852" s="9"/>
      <c r="I852" s="9"/>
      <c r="J852" s="9"/>
      <c r="K852" s="9"/>
      <c r="L852" s="9"/>
      <c r="M852" s="9"/>
      <c r="N852" s="9"/>
      <c r="O852" s="9"/>
      <c r="P852" s="9"/>
      <c r="Q852" s="9"/>
      <c r="R852" s="9"/>
      <c r="S852" s="9"/>
      <c r="T852" s="9"/>
      <c r="U852" s="9"/>
      <c r="V852" s="9"/>
      <c r="W852" s="9"/>
      <c r="X852" s="9"/>
      <c r="Y852" s="9"/>
      <c r="Z852" s="9"/>
      <c r="AA852" s="9"/>
      <c r="AB852" s="9"/>
      <c r="AC852" s="9"/>
    </row>
    <row r="853" spans="1:29" ht="13.2">
      <c r="A853" s="9"/>
      <c r="B853" s="9"/>
      <c r="C853" s="14"/>
      <c r="H853" s="9"/>
      <c r="I853" s="9"/>
      <c r="J853" s="9"/>
      <c r="K853" s="9"/>
      <c r="L853" s="9"/>
      <c r="M853" s="9"/>
      <c r="N853" s="9"/>
      <c r="O853" s="9"/>
      <c r="P853" s="9"/>
      <c r="Q853" s="9"/>
      <c r="R853" s="9"/>
      <c r="S853" s="9"/>
      <c r="T853" s="9"/>
      <c r="U853" s="9"/>
      <c r="V853" s="9"/>
      <c r="W853" s="9"/>
      <c r="X853" s="9"/>
      <c r="Y853" s="9"/>
      <c r="Z853" s="9"/>
      <c r="AA853" s="9"/>
      <c r="AB853" s="9"/>
      <c r="AC853" s="9"/>
    </row>
    <row r="854" spans="1:29" ht="13.2">
      <c r="A854" s="9"/>
      <c r="B854" s="9"/>
      <c r="C854" s="14"/>
      <c r="H854" s="9"/>
      <c r="I854" s="9"/>
      <c r="J854" s="9"/>
      <c r="K854" s="9"/>
      <c r="L854" s="9"/>
      <c r="M854" s="9"/>
      <c r="N854" s="9"/>
      <c r="O854" s="9"/>
      <c r="P854" s="9"/>
      <c r="Q854" s="9"/>
      <c r="R854" s="9"/>
      <c r="S854" s="9"/>
      <c r="T854" s="9"/>
      <c r="U854" s="9"/>
      <c r="V854" s="9"/>
      <c r="W854" s="9"/>
      <c r="X854" s="9"/>
      <c r="Y854" s="9"/>
      <c r="Z854" s="9"/>
      <c r="AA854" s="9"/>
      <c r="AB854" s="9"/>
      <c r="AC854" s="9"/>
    </row>
    <row r="855" spans="1:29" ht="13.2">
      <c r="A855" s="9"/>
      <c r="B855" s="9"/>
      <c r="C855" s="14"/>
      <c r="H855" s="9"/>
      <c r="I855" s="9"/>
      <c r="J855" s="9"/>
      <c r="K855" s="9"/>
      <c r="L855" s="9"/>
      <c r="M855" s="9"/>
      <c r="N855" s="9"/>
      <c r="O855" s="9"/>
      <c r="P855" s="9"/>
      <c r="Q855" s="9"/>
      <c r="R855" s="9"/>
      <c r="S855" s="9"/>
      <c r="T855" s="9"/>
      <c r="U855" s="9"/>
      <c r="V855" s="9"/>
      <c r="W855" s="9"/>
      <c r="X855" s="9"/>
      <c r="Y855" s="9"/>
      <c r="Z855" s="9"/>
      <c r="AA855" s="9"/>
      <c r="AB855" s="9"/>
      <c r="AC855" s="9"/>
    </row>
    <row r="856" spans="1:29" ht="13.2">
      <c r="A856" s="9"/>
      <c r="B856" s="9"/>
      <c r="C856" s="14"/>
      <c r="H856" s="9"/>
      <c r="I856" s="9"/>
      <c r="J856" s="9"/>
      <c r="K856" s="9"/>
      <c r="L856" s="9"/>
      <c r="M856" s="9"/>
      <c r="N856" s="9"/>
      <c r="O856" s="9"/>
      <c r="P856" s="9"/>
      <c r="Q856" s="9"/>
      <c r="R856" s="9"/>
      <c r="S856" s="9"/>
      <c r="T856" s="9"/>
      <c r="U856" s="9"/>
      <c r="V856" s="9"/>
      <c r="W856" s="9"/>
      <c r="X856" s="9"/>
      <c r="Y856" s="9"/>
      <c r="Z856" s="9"/>
      <c r="AA856" s="9"/>
      <c r="AB856" s="9"/>
      <c r="AC856" s="9"/>
    </row>
    <row r="857" spans="1:29" ht="13.2">
      <c r="A857" s="9"/>
      <c r="B857" s="9"/>
      <c r="C857" s="14"/>
      <c r="H857" s="9"/>
      <c r="I857" s="9"/>
      <c r="J857" s="9"/>
      <c r="K857" s="9"/>
      <c r="L857" s="9"/>
      <c r="M857" s="9"/>
      <c r="N857" s="9"/>
      <c r="O857" s="9"/>
      <c r="P857" s="9"/>
      <c r="Q857" s="9"/>
      <c r="R857" s="9"/>
      <c r="S857" s="9"/>
      <c r="T857" s="9"/>
      <c r="U857" s="9"/>
      <c r="V857" s="9"/>
      <c r="W857" s="9"/>
      <c r="X857" s="9"/>
      <c r="Y857" s="9"/>
      <c r="Z857" s="9"/>
      <c r="AA857" s="9"/>
      <c r="AB857" s="9"/>
      <c r="AC857" s="9"/>
    </row>
    <row r="858" spans="1:29" ht="13.2">
      <c r="A858" s="9"/>
      <c r="B858" s="9"/>
      <c r="C858" s="14"/>
      <c r="H858" s="9"/>
      <c r="I858" s="9"/>
      <c r="J858" s="9"/>
      <c r="K858" s="9"/>
      <c r="L858" s="9"/>
      <c r="M858" s="9"/>
      <c r="N858" s="9"/>
      <c r="O858" s="9"/>
      <c r="P858" s="9"/>
      <c r="Q858" s="9"/>
      <c r="R858" s="9"/>
      <c r="S858" s="9"/>
      <c r="T858" s="9"/>
      <c r="U858" s="9"/>
      <c r="V858" s="9"/>
      <c r="W858" s="9"/>
      <c r="X858" s="9"/>
      <c r="Y858" s="9"/>
      <c r="Z858" s="9"/>
      <c r="AA858" s="9"/>
      <c r="AB858" s="9"/>
      <c r="AC858" s="9"/>
    </row>
    <row r="859" spans="1:29" ht="13.2">
      <c r="A859" s="9"/>
      <c r="B859" s="9"/>
      <c r="C859" s="14"/>
      <c r="H859" s="9"/>
      <c r="I859" s="9"/>
      <c r="J859" s="9"/>
      <c r="K859" s="9"/>
      <c r="L859" s="9"/>
      <c r="M859" s="9"/>
      <c r="N859" s="9"/>
      <c r="O859" s="9"/>
      <c r="P859" s="9"/>
      <c r="Q859" s="9"/>
      <c r="R859" s="9"/>
      <c r="S859" s="9"/>
      <c r="T859" s="9"/>
      <c r="U859" s="9"/>
      <c r="V859" s="9"/>
      <c r="W859" s="9"/>
      <c r="X859" s="9"/>
      <c r="Y859" s="9"/>
      <c r="Z859" s="9"/>
      <c r="AA859" s="9"/>
      <c r="AB859" s="9"/>
      <c r="AC859" s="9"/>
    </row>
    <row r="860" spans="1:29" ht="13.2">
      <c r="A860" s="9"/>
      <c r="B860" s="9"/>
      <c r="C860" s="14"/>
      <c r="H860" s="9"/>
      <c r="I860" s="9"/>
      <c r="J860" s="9"/>
      <c r="K860" s="9"/>
      <c r="L860" s="9"/>
      <c r="M860" s="9"/>
      <c r="N860" s="9"/>
      <c r="O860" s="9"/>
      <c r="P860" s="9"/>
      <c r="Q860" s="9"/>
      <c r="R860" s="9"/>
      <c r="S860" s="9"/>
      <c r="T860" s="9"/>
      <c r="U860" s="9"/>
      <c r="V860" s="9"/>
      <c r="W860" s="9"/>
      <c r="X860" s="9"/>
      <c r="Y860" s="9"/>
      <c r="Z860" s="9"/>
      <c r="AA860" s="9"/>
      <c r="AB860" s="9"/>
      <c r="AC860" s="9"/>
    </row>
    <row r="861" spans="1:29" ht="13.2">
      <c r="A861" s="9"/>
      <c r="B861" s="9"/>
      <c r="C861" s="14"/>
      <c r="H861" s="9"/>
      <c r="I861" s="9"/>
      <c r="J861" s="9"/>
      <c r="K861" s="9"/>
      <c r="L861" s="9"/>
      <c r="M861" s="9"/>
      <c r="N861" s="9"/>
      <c r="O861" s="9"/>
      <c r="P861" s="9"/>
      <c r="Q861" s="9"/>
      <c r="R861" s="9"/>
      <c r="S861" s="9"/>
      <c r="T861" s="9"/>
      <c r="U861" s="9"/>
      <c r="V861" s="9"/>
      <c r="W861" s="9"/>
      <c r="X861" s="9"/>
      <c r="Y861" s="9"/>
      <c r="Z861" s="9"/>
      <c r="AA861" s="9"/>
      <c r="AB861" s="9"/>
      <c r="AC861" s="9"/>
    </row>
    <row r="862" spans="1:29" ht="13.2">
      <c r="A862" s="9"/>
      <c r="B862" s="9"/>
      <c r="C862" s="14"/>
      <c r="H862" s="9"/>
      <c r="I862" s="9"/>
      <c r="J862" s="9"/>
      <c r="K862" s="9"/>
      <c r="L862" s="9"/>
      <c r="M862" s="9"/>
      <c r="N862" s="9"/>
      <c r="O862" s="9"/>
      <c r="P862" s="9"/>
      <c r="Q862" s="9"/>
      <c r="R862" s="9"/>
      <c r="S862" s="9"/>
      <c r="T862" s="9"/>
      <c r="U862" s="9"/>
      <c r="V862" s="9"/>
      <c r="W862" s="9"/>
      <c r="X862" s="9"/>
      <c r="Y862" s="9"/>
      <c r="Z862" s="9"/>
      <c r="AA862" s="9"/>
      <c r="AB862" s="9"/>
      <c r="AC862" s="9"/>
    </row>
    <row r="863" spans="1:29" ht="13.2">
      <c r="A863" s="9"/>
      <c r="B863" s="9"/>
      <c r="C863" s="14"/>
      <c r="H863" s="9"/>
      <c r="I863" s="9"/>
      <c r="J863" s="9"/>
      <c r="K863" s="9"/>
      <c r="L863" s="9"/>
      <c r="M863" s="9"/>
      <c r="N863" s="9"/>
      <c r="O863" s="9"/>
      <c r="P863" s="9"/>
      <c r="Q863" s="9"/>
      <c r="R863" s="9"/>
      <c r="S863" s="9"/>
      <c r="T863" s="9"/>
      <c r="U863" s="9"/>
      <c r="V863" s="9"/>
      <c r="W863" s="9"/>
      <c r="X863" s="9"/>
      <c r="Y863" s="9"/>
      <c r="Z863" s="9"/>
      <c r="AA863" s="9"/>
      <c r="AB863" s="9"/>
      <c r="AC863" s="9"/>
    </row>
    <row r="864" spans="1:29" ht="13.2">
      <c r="A864" s="9"/>
      <c r="B864" s="9"/>
      <c r="C864" s="14"/>
      <c r="H864" s="9"/>
      <c r="I864" s="9"/>
      <c r="J864" s="9"/>
      <c r="K864" s="9"/>
      <c r="L864" s="9"/>
      <c r="M864" s="9"/>
      <c r="N864" s="9"/>
      <c r="O864" s="9"/>
      <c r="P864" s="9"/>
      <c r="Q864" s="9"/>
      <c r="R864" s="9"/>
      <c r="S864" s="9"/>
      <c r="T864" s="9"/>
      <c r="U864" s="9"/>
      <c r="V864" s="9"/>
      <c r="W864" s="9"/>
      <c r="X864" s="9"/>
      <c r="Y864" s="9"/>
      <c r="Z864" s="9"/>
      <c r="AA864" s="9"/>
      <c r="AB864" s="9"/>
      <c r="AC864" s="9"/>
    </row>
    <row r="865" spans="1:29" ht="13.2">
      <c r="A865" s="9"/>
      <c r="B865" s="9"/>
      <c r="C865" s="14"/>
      <c r="H865" s="9"/>
      <c r="I865" s="9"/>
      <c r="J865" s="9"/>
      <c r="K865" s="9"/>
      <c r="L865" s="9"/>
      <c r="M865" s="9"/>
      <c r="N865" s="9"/>
      <c r="O865" s="9"/>
      <c r="P865" s="9"/>
      <c r="Q865" s="9"/>
      <c r="R865" s="9"/>
      <c r="S865" s="9"/>
      <c r="T865" s="9"/>
      <c r="U865" s="9"/>
      <c r="V865" s="9"/>
      <c r="W865" s="9"/>
      <c r="X865" s="9"/>
      <c r="Y865" s="9"/>
      <c r="Z865" s="9"/>
      <c r="AA865" s="9"/>
      <c r="AB865" s="9"/>
      <c r="AC865" s="9"/>
    </row>
    <row r="866" spans="1:29" ht="13.2">
      <c r="A866" s="9"/>
      <c r="B866" s="9"/>
      <c r="C866" s="14"/>
      <c r="H866" s="9"/>
      <c r="I866" s="9"/>
      <c r="J866" s="9"/>
      <c r="K866" s="9"/>
      <c r="L866" s="9"/>
      <c r="M866" s="9"/>
      <c r="N866" s="9"/>
      <c r="O866" s="9"/>
      <c r="P866" s="9"/>
      <c r="Q866" s="9"/>
      <c r="R866" s="9"/>
      <c r="S866" s="9"/>
      <c r="T866" s="9"/>
      <c r="U866" s="9"/>
      <c r="V866" s="9"/>
      <c r="W866" s="9"/>
      <c r="X866" s="9"/>
      <c r="Y866" s="9"/>
      <c r="Z866" s="9"/>
      <c r="AA866" s="9"/>
      <c r="AB866" s="9"/>
      <c r="AC866" s="9"/>
    </row>
    <row r="867" spans="1:29" ht="13.2">
      <c r="A867" s="9"/>
      <c r="B867" s="9"/>
      <c r="C867" s="14"/>
      <c r="H867" s="9"/>
      <c r="I867" s="9"/>
      <c r="J867" s="9"/>
      <c r="K867" s="9"/>
      <c r="L867" s="9"/>
      <c r="M867" s="9"/>
      <c r="N867" s="9"/>
      <c r="O867" s="9"/>
      <c r="P867" s="9"/>
      <c r="Q867" s="9"/>
      <c r="R867" s="9"/>
      <c r="S867" s="9"/>
      <c r="T867" s="9"/>
      <c r="U867" s="9"/>
      <c r="V867" s="9"/>
      <c r="W867" s="9"/>
      <c r="X867" s="9"/>
      <c r="Y867" s="9"/>
      <c r="Z867" s="9"/>
      <c r="AA867" s="9"/>
      <c r="AB867" s="9"/>
      <c r="AC867" s="9"/>
    </row>
    <row r="868" spans="1:29" ht="13.2">
      <c r="A868" s="9"/>
      <c r="B868" s="9"/>
      <c r="C868" s="14"/>
      <c r="H868" s="9"/>
      <c r="I868" s="9"/>
      <c r="J868" s="9"/>
      <c r="K868" s="9"/>
      <c r="L868" s="9"/>
      <c r="M868" s="9"/>
      <c r="N868" s="9"/>
      <c r="O868" s="9"/>
      <c r="P868" s="9"/>
      <c r="Q868" s="9"/>
      <c r="R868" s="9"/>
      <c r="S868" s="9"/>
      <c r="T868" s="9"/>
      <c r="U868" s="9"/>
      <c r="V868" s="9"/>
      <c r="W868" s="9"/>
      <c r="X868" s="9"/>
      <c r="Y868" s="9"/>
      <c r="Z868" s="9"/>
      <c r="AA868" s="9"/>
      <c r="AB868" s="9"/>
      <c r="AC868" s="9"/>
    </row>
    <row r="869" spans="1:29" ht="13.2">
      <c r="A869" s="9"/>
      <c r="B869" s="9"/>
      <c r="C869" s="14"/>
      <c r="H869" s="9"/>
      <c r="I869" s="9"/>
      <c r="J869" s="9"/>
      <c r="K869" s="9"/>
      <c r="L869" s="9"/>
      <c r="M869" s="9"/>
      <c r="N869" s="9"/>
      <c r="O869" s="9"/>
      <c r="P869" s="9"/>
      <c r="Q869" s="9"/>
      <c r="R869" s="9"/>
      <c r="S869" s="9"/>
      <c r="T869" s="9"/>
      <c r="U869" s="9"/>
      <c r="V869" s="9"/>
      <c r="W869" s="9"/>
      <c r="X869" s="9"/>
      <c r="Y869" s="9"/>
      <c r="Z869" s="9"/>
      <c r="AA869" s="9"/>
      <c r="AB869" s="9"/>
      <c r="AC869" s="9"/>
    </row>
    <row r="870" spans="1:29" ht="13.2">
      <c r="A870" s="9"/>
      <c r="B870" s="9"/>
      <c r="C870" s="14"/>
      <c r="H870" s="9"/>
      <c r="I870" s="9"/>
      <c r="J870" s="9"/>
      <c r="K870" s="9"/>
      <c r="L870" s="9"/>
      <c r="M870" s="9"/>
      <c r="N870" s="9"/>
      <c r="O870" s="9"/>
      <c r="P870" s="9"/>
      <c r="Q870" s="9"/>
      <c r="R870" s="9"/>
      <c r="S870" s="9"/>
      <c r="T870" s="9"/>
      <c r="U870" s="9"/>
      <c r="V870" s="9"/>
      <c r="W870" s="9"/>
      <c r="X870" s="9"/>
      <c r="Y870" s="9"/>
      <c r="Z870" s="9"/>
      <c r="AA870" s="9"/>
      <c r="AB870" s="9"/>
      <c r="AC870" s="9"/>
    </row>
    <row r="871" spans="1:29" ht="13.2">
      <c r="A871" s="9"/>
      <c r="B871" s="9"/>
      <c r="C871" s="14"/>
      <c r="H871" s="9"/>
      <c r="I871" s="9"/>
      <c r="J871" s="9"/>
      <c r="K871" s="9"/>
      <c r="L871" s="9"/>
      <c r="M871" s="9"/>
      <c r="N871" s="9"/>
      <c r="O871" s="9"/>
      <c r="P871" s="9"/>
      <c r="Q871" s="9"/>
      <c r="R871" s="9"/>
      <c r="S871" s="9"/>
      <c r="T871" s="9"/>
      <c r="U871" s="9"/>
      <c r="V871" s="9"/>
      <c r="W871" s="9"/>
      <c r="X871" s="9"/>
      <c r="Y871" s="9"/>
      <c r="Z871" s="9"/>
      <c r="AA871" s="9"/>
      <c r="AB871" s="9"/>
      <c r="AC871" s="9"/>
    </row>
    <row r="872" spans="1:29" ht="13.2">
      <c r="A872" s="9"/>
      <c r="B872" s="9"/>
      <c r="C872" s="14"/>
      <c r="H872" s="9"/>
      <c r="I872" s="9"/>
      <c r="J872" s="9"/>
      <c r="K872" s="9"/>
      <c r="L872" s="9"/>
      <c r="M872" s="9"/>
      <c r="N872" s="9"/>
      <c r="O872" s="9"/>
      <c r="P872" s="9"/>
      <c r="Q872" s="9"/>
      <c r="R872" s="9"/>
      <c r="S872" s="9"/>
      <c r="T872" s="9"/>
      <c r="U872" s="9"/>
      <c r="V872" s="9"/>
      <c r="W872" s="9"/>
      <c r="X872" s="9"/>
      <c r="Y872" s="9"/>
      <c r="Z872" s="9"/>
      <c r="AA872" s="9"/>
      <c r="AB872" s="9"/>
      <c r="AC872" s="9"/>
    </row>
    <row r="873" spans="1:29" ht="13.2">
      <c r="A873" s="9"/>
      <c r="B873" s="9"/>
      <c r="C873" s="14"/>
      <c r="H873" s="9"/>
      <c r="I873" s="9"/>
      <c r="J873" s="9"/>
      <c r="K873" s="9"/>
      <c r="L873" s="9"/>
      <c r="M873" s="9"/>
      <c r="N873" s="9"/>
      <c r="O873" s="9"/>
      <c r="P873" s="9"/>
      <c r="Q873" s="9"/>
      <c r="R873" s="9"/>
      <c r="S873" s="9"/>
      <c r="T873" s="9"/>
      <c r="U873" s="9"/>
      <c r="V873" s="9"/>
      <c r="W873" s="9"/>
      <c r="X873" s="9"/>
      <c r="Y873" s="9"/>
      <c r="Z873" s="9"/>
      <c r="AA873" s="9"/>
      <c r="AB873" s="9"/>
      <c r="AC873" s="9"/>
    </row>
    <row r="874" spans="1:29" ht="13.2">
      <c r="A874" s="9"/>
      <c r="B874" s="9"/>
      <c r="C874" s="14"/>
      <c r="H874" s="9"/>
      <c r="I874" s="9"/>
      <c r="J874" s="9"/>
      <c r="K874" s="9"/>
      <c r="L874" s="9"/>
      <c r="M874" s="9"/>
      <c r="N874" s="9"/>
      <c r="O874" s="9"/>
      <c r="P874" s="9"/>
      <c r="Q874" s="9"/>
      <c r="R874" s="9"/>
      <c r="S874" s="9"/>
      <c r="T874" s="9"/>
      <c r="U874" s="9"/>
      <c r="V874" s="9"/>
      <c r="W874" s="9"/>
      <c r="X874" s="9"/>
      <c r="Y874" s="9"/>
      <c r="Z874" s="9"/>
      <c r="AA874" s="9"/>
      <c r="AB874" s="9"/>
      <c r="AC874" s="9"/>
    </row>
    <row r="875" spans="1:29" ht="13.2">
      <c r="A875" s="9"/>
      <c r="B875" s="9"/>
      <c r="C875" s="14"/>
      <c r="H875" s="9"/>
      <c r="I875" s="9"/>
      <c r="J875" s="9"/>
      <c r="K875" s="9"/>
      <c r="L875" s="9"/>
      <c r="M875" s="9"/>
      <c r="N875" s="9"/>
      <c r="O875" s="9"/>
      <c r="P875" s="9"/>
      <c r="Q875" s="9"/>
      <c r="R875" s="9"/>
      <c r="S875" s="9"/>
      <c r="T875" s="9"/>
      <c r="U875" s="9"/>
      <c r="V875" s="9"/>
      <c r="W875" s="9"/>
      <c r="X875" s="9"/>
      <c r="Y875" s="9"/>
      <c r="Z875" s="9"/>
      <c r="AA875" s="9"/>
      <c r="AB875" s="9"/>
      <c r="AC875" s="9"/>
    </row>
    <row r="876" spans="1:29" ht="13.2">
      <c r="A876" s="9"/>
      <c r="B876" s="9"/>
      <c r="C876" s="14"/>
      <c r="H876" s="9"/>
      <c r="I876" s="9"/>
      <c r="J876" s="9"/>
      <c r="K876" s="9"/>
      <c r="L876" s="9"/>
      <c r="M876" s="9"/>
      <c r="N876" s="9"/>
      <c r="O876" s="9"/>
      <c r="P876" s="9"/>
      <c r="Q876" s="9"/>
      <c r="R876" s="9"/>
      <c r="S876" s="9"/>
      <c r="T876" s="9"/>
      <c r="U876" s="9"/>
      <c r="V876" s="9"/>
      <c r="W876" s="9"/>
      <c r="X876" s="9"/>
      <c r="Y876" s="9"/>
      <c r="Z876" s="9"/>
      <c r="AA876" s="9"/>
      <c r="AB876" s="9"/>
      <c r="AC876" s="9"/>
    </row>
    <row r="877" spans="1:29" ht="13.2">
      <c r="A877" s="9"/>
      <c r="B877" s="9"/>
      <c r="C877" s="14"/>
      <c r="H877" s="9"/>
      <c r="I877" s="9"/>
      <c r="J877" s="9"/>
      <c r="K877" s="9"/>
      <c r="L877" s="9"/>
      <c r="M877" s="9"/>
      <c r="N877" s="9"/>
      <c r="O877" s="9"/>
      <c r="P877" s="9"/>
      <c r="Q877" s="9"/>
      <c r="R877" s="9"/>
      <c r="S877" s="9"/>
      <c r="T877" s="9"/>
      <c r="U877" s="9"/>
      <c r="V877" s="9"/>
      <c r="W877" s="9"/>
      <c r="X877" s="9"/>
      <c r="Y877" s="9"/>
      <c r="Z877" s="9"/>
      <c r="AA877" s="9"/>
      <c r="AB877" s="9"/>
      <c r="AC877" s="9"/>
    </row>
    <row r="878" spans="1:29" ht="13.2">
      <c r="A878" s="9"/>
      <c r="B878" s="9"/>
      <c r="C878" s="14"/>
      <c r="H878" s="9"/>
      <c r="I878" s="9"/>
      <c r="J878" s="9"/>
      <c r="K878" s="9"/>
      <c r="L878" s="9"/>
      <c r="M878" s="9"/>
      <c r="N878" s="9"/>
      <c r="O878" s="9"/>
      <c r="P878" s="9"/>
      <c r="Q878" s="9"/>
      <c r="R878" s="9"/>
      <c r="S878" s="9"/>
      <c r="T878" s="9"/>
      <c r="U878" s="9"/>
      <c r="V878" s="9"/>
      <c r="W878" s="9"/>
      <c r="X878" s="9"/>
      <c r="Y878" s="9"/>
      <c r="Z878" s="9"/>
      <c r="AA878" s="9"/>
      <c r="AB878" s="9"/>
      <c r="AC878" s="9"/>
    </row>
    <row r="879" spans="1:29" ht="13.2">
      <c r="A879" s="9"/>
      <c r="B879" s="9"/>
      <c r="C879" s="14"/>
      <c r="H879" s="9"/>
      <c r="I879" s="9"/>
      <c r="J879" s="9"/>
      <c r="K879" s="9"/>
      <c r="L879" s="9"/>
      <c r="M879" s="9"/>
      <c r="N879" s="9"/>
      <c r="O879" s="9"/>
      <c r="P879" s="9"/>
      <c r="Q879" s="9"/>
      <c r="R879" s="9"/>
      <c r="S879" s="9"/>
      <c r="T879" s="9"/>
      <c r="U879" s="9"/>
      <c r="V879" s="9"/>
      <c r="W879" s="9"/>
      <c r="X879" s="9"/>
      <c r="Y879" s="9"/>
      <c r="Z879" s="9"/>
      <c r="AA879" s="9"/>
      <c r="AB879" s="9"/>
      <c r="AC879" s="9"/>
    </row>
    <row r="880" spans="1:29" ht="13.2">
      <c r="A880" s="9"/>
      <c r="B880" s="9"/>
      <c r="C880" s="14"/>
      <c r="H880" s="9"/>
      <c r="I880" s="9"/>
      <c r="J880" s="9"/>
      <c r="K880" s="9"/>
      <c r="L880" s="9"/>
      <c r="M880" s="9"/>
      <c r="N880" s="9"/>
      <c r="O880" s="9"/>
      <c r="P880" s="9"/>
      <c r="Q880" s="9"/>
      <c r="R880" s="9"/>
      <c r="S880" s="9"/>
      <c r="T880" s="9"/>
      <c r="U880" s="9"/>
      <c r="V880" s="9"/>
      <c r="W880" s="9"/>
      <c r="X880" s="9"/>
      <c r="Y880" s="9"/>
      <c r="Z880" s="9"/>
      <c r="AA880" s="9"/>
      <c r="AB880" s="9"/>
      <c r="AC880" s="9"/>
    </row>
    <row r="881" spans="1:29" ht="13.2">
      <c r="A881" s="9"/>
      <c r="B881" s="9"/>
      <c r="C881" s="14"/>
      <c r="H881" s="9"/>
      <c r="I881" s="9"/>
      <c r="J881" s="9"/>
      <c r="K881" s="9"/>
      <c r="L881" s="9"/>
      <c r="M881" s="9"/>
      <c r="N881" s="9"/>
      <c r="O881" s="9"/>
      <c r="P881" s="9"/>
      <c r="Q881" s="9"/>
      <c r="R881" s="9"/>
      <c r="S881" s="9"/>
      <c r="T881" s="9"/>
      <c r="U881" s="9"/>
      <c r="V881" s="9"/>
      <c r="W881" s="9"/>
      <c r="X881" s="9"/>
      <c r="Y881" s="9"/>
      <c r="Z881" s="9"/>
      <c r="AA881" s="9"/>
      <c r="AB881" s="9"/>
      <c r="AC881" s="9"/>
    </row>
    <row r="882" spans="1:29" ht="13.2">
      <c r="A882" s="9"/>
      <c r="B882" s="9"/>
      <c r="C882" s="14"/>
      <c r="H882" s="9"/>
      <c r="I882" s="9"/>
      <c r="J882" s="9"/>
      <c r="K882" s="9"/>
      <c r="L882" s="9"/>
      <c r="M882" s="9"/>
      <c r="N882" s="9"/>
      <c r="O882" s="9"/>
      <c r="P882" s="9"/>
      <c r="Q882" s="9"/>
      <c r="R882" s="9"/>
      <c r="S882" s="9"/>
      <c r="T882" s="9"/>
      <c r="U882" s="9"/>
      <c r="V882" s="9"/>
      <c r="W882" s="9"/>
      <c r="X882" s="9"/>
      <c r="Y882" s="9"/>
      <c r="Z882" s="9"/>
      <c r="AA882" s="9"/>
      <c r="AB882" s="9"/>
      <c r="AC882" s="9"/>
    </row>
    <row r="883" spans="1:29" ht="13.2">
      <c r="A883" s="9"/>
      <c r="B883" s="9"/>
      <c r="C883" s="14"/>
      <c r="H883" s="9"/>
      <c r="I883" s="9"/>
      <c r="J883" s="9"/>
      <c r="K883" s="9"/>
      <c r="L883" s="9"/>
      <c r="M883" s="9"/>
      <c r="N883" s="9"/>
      <c r="O883" s="9"/>
      <c r="P883" s="9"/>
      <c r="Q883" s="9"/>
      <c r="R883" s="9"/>
      <c r="S883" s="9"/>
      <c r="T883" s="9"/>
      <c r="U883" s="9"/>
      <c r="V883" s="9"/>
      <c r="W883" s="9"/>
      <c r="X883" s="9"/>
      <c r="Y883" s="9"/>
      <c r="Z883" s="9"/>
      <c r="AA883" s="9"/>
      <c r="AB883" s="9"/>
      <c r="AC883" s="9"/>
    </row>
    <row r="884" spans="1:29" ht="13.2">
      <c r="A884" s="9"/>
      <c r="B884" s="9"/>
      <c r="C884" s="14"/>
      <c r="H884" s="9"/>
      <c r="I884" s="9"/>
      <c r="J884" s="9"/>
      <c r="K884" s="9"/>
      <c r="L884" s="9"/>
      <c r="M884" s="9"/>
      <c r="N884" s="9"/>
      <c r="O884" s="9"/>
      <c r="P884" s="9"/>
      <c r="Q884" s="9"/>
      <c r="R884" s="9"/>
      <c r="S884" s="9"/>
      <c r="T884" s="9"/>
      <c r="U884" s="9"/>
      <c r="V884" s="9"/>
      <c r="W884" s="9"/>
      <c r="X884" s="9"/>
      <c r="Y884" s="9"/>
      <c r="Z884" s="9"/>
      <c r="AA884" s="9"/>
      <c r="AB884" s="9"/>
      <c r="AC884" s="9"/>
    </row>
    <row r="885" spans="1:29" ht="13.2">
      <c r="A885" s="9"/>
      <c r="B885" s="9"/>
      <c r="C885" s="14"/>
      <c r="H885" s="9"/>
      <c r="I885" s="9"/>
      <c r="J885" s="9"/>
      <c r="K885" s="9"/>
      <c r="L885" s="9"/>
      <c r="M885" s="9"/>
      <c r="N885" s="9"/>
      <c r="O885" s="9"/>
      <c r="P885" s="9"/>
      <c r="Q885" s="9"/>
      <c r="R885" s="9"/>
      <c r="S885" s="9"/>
      <c r="T885" s="9"/>
      <c r="U885" s="9"/>
      <c r="V885" s="9"/>
      <c r="W885" s="9"/>
      <c r="X885" s="9"/>
      <c r="Y885" s="9"/>
      <c r="Z885" s="9"/>
      <c r="AA885" s="9"/>
      <c r="AB885" s="9"/>
      <c r="AC885" s="9"/>
    </row>
    <row r="886" spans="1:29" ht="13.2">
      <c r="A886" s="9"/>
      <c r="B886" s="9"/>
      <c r="C886" s="14"/>
      <c r="H886" s="9"/>
      <c r="I886" s="9"/>
      <c r="J886" s="9"/>
      <c r="K886" s="9"/>
      <c r="L886" s="9"/>
      <c r="M886" s="9"/>
      <c r="N886" s="9"/>
      <c r="O886" s="9"/>
      <c r="P886" s="9"/>
      <c r="Q886" s="9"/>
      <c r="R886" s="9"/>
      <c r="S886" s="9"/>
      <c r="T886" s="9"/>
      <c r="U886" s="9"/>
      <c r="V886" s="9"/>
      <c r="W886" s="9"/>
      <c r="X886" s="9"/>
      <c r="Y886" s="9"/>
      <c r="Z886" s="9"/>
      <c r="AA886" s="9"/>
      <c r="AB886" s="9"/>
      <c r="AC886" s="9"/>
    </row>
    <row r="887" spans="1:29" ht="13.2">
      <c r="A887" s="9"/>
      <c r="B887" s="9"/>
      <c r="C887" s="14"/>
      <c r="H887" s="9"/>
      <c r="I887" s="9"/>
      <c r="J887" s="9"/>
      <c r="K887" s="9"/>
      <c r="L887" s="9"/>
      <c r="M887" s="9"/>
      <c r="N887" s="9"/>
      <c r="O887" s="9"/>
      <c r="P887" s="9"/>
      <c r="Q887" s="9"/>
      <c r="R887" s="9"/>
      <c r="S887" s="9"/>
      <c r="T887" s="9"/>
      <c r="U887" s="9"/>
      <c r="V887" s="9"/>
      <c r="W887" s="9"/>
      <c r="X887" s="9"/>
      <c r="Y887" s="9"/>
      <c r="Z887" s="9"/>
      <c r="AA887" s="9"/>
      <c r="AB887" s="9"/>
      <c r="AC887" s="9"/>
    </row>
    <row r="888" spans="1:29" ht="13.2">
      <c r="A888" s="9"/>
      <c r="B888" s="9"/>
      <c r="C888" s="14"/>
      <c r="H888" s="9"/>
      <c r="I888" s="9"/>
      <c r="J888" s="9"/>
      <c r="K888" s="9"/>
      <c r="L888" s="9"/>
      <c r="M888" s="9"/>
      <c r="N888" s="9"/>
      <c r="O888" s="9"/>
      <c r="P888" s="9"/>
      <c r="Q888" s="9"/>
      <c r="R888" s="9"/>
      <c r="S888" s="9"/>
      <c r="T888" s="9"/>
      <c r="U888" s="9"/>
      <c r="V888" s="9"/>
      <c r="W888" s="9"/>
      <c r="X888" s="9"/>
      <c r="Y888" s="9"/>
      <c r="Z888" s="9"/>
      <c r="AA888" s="9"/>
      <c r="AB888" s="9"/>
      <c r="AC888" s="9"/>
    </row>
    <row r="889" spans="1:29" ht="13.2">
      <c r="A889" s="9"/>
      <c r="B889" s="9"/>
      <c r="C889" s="14"/>
      <c r="H889" s="9"/>
      <c r="I889" s="9"/>
      <c r="J889" s="9"/>
      <c r="K889" s="9"/>
      <c r="L889" s="9"/>
      <c r="M889" s="9"/>
      <c r="N889" s="9"/>
      <c r="O889" s="9"/>
      <c r="P889" s="9"/>
      <c r="Q889" s="9"/>
      <c r="R889" s="9"/>
      <c r="S889" s="9"/>
      <c r="T889" s="9"/>
      <c r="U889" s="9"/>
      <c r="V889" s="9"/>
      <c r="W889" s="9"/>
      <c r="X889" s="9"/>
      <c r="Y889" s="9"/>
      <c r="Z889" s="9"/>
      <c r="AA889" s="9"/>
      <c r="AB889" s="9"/>
      <c r="AC889" s="9"/>
    </row>
    <row r="890" spans="1:29" ht="13.2">
      <c r="A890" s="9"/>
      <c r="B890" s="9"/>
      <c r="C890" s="14"/>
      <c r="H890" s="9"/>
      <c r="I890" s="9"/>
      <c r="J890" s="9"/>
      <c r="K890" s="9"/>
      <c r="L890" s="9"/>
      <c r="M890" s="9"/>
      <c r="N890" s="9"/>
      <c r="O890" s="9"/>
      <c r="P890" s="9"/>
      <c r="Q890" s="9"/>
      <c r="R890" s="9"/>
      <c r="S890" s="9"/>
      <c r="T890" s="9"/>
      <c r="U890" s="9"/>
      <c r="V890" s="9"/>
      <c r="W890" s="9"/>
      <c r="X890" s="9"/>
      <c r="Y890" s="9"/>
      <c r="Z890" s="9"/>
      <c r="AA890" s="9"/>
      <c r="AB890" s="9"/>
      <c r="AC890" s="9"/>
    </row>
    <row r="891" spans="1:29" ht="13.2">
      <c r="A891" s="9"/>
      <c r="B891" s="9"/>
      <c r="C891" s="14"/>
      <c r="H891" s="9"/>
      <c r="I891" s="9"/>
      <c r="J891" s="9"/>
      <c r="K891" s="9"/>
      <c r="L891" s="9"/>
      <c r="M891" s="9"/>
      <c r="N891" s="9"/>
      <c r="O891" s="9"/>
      <c r="P891" s="9"/>
      <c r="Q891" s="9"/>
      <c r="R891" s="9"/>
      <c r="S891" s="9"/>
      <c r="T891" s="9"/>
      <c r="U891" s="9"/>
      <c r="V891" s="9"/>
      <c r="W891" s="9"/>
      <c r="X891" s="9"/>
      <c r="Y891" s="9"/>
      <c r="Z891" s="9"/>
      <c r="AA891" s="9"/>
      <c r="AB891" s="9"/>
      <c r="AC891" s="9"/>
    </row>
    <row r="892" spans="1:29" ht="13.2">
      <c r="A892" s="9"/>
      <c r="B892" s="9"/>
      <c r="C892" s="14"/>
      <c r="H892" s="9"/>
      <c r="I892" s="9"/>
      <c r="J892" s="9"/>
      <c r="K892" s="9"/>
      <c r="L892" s="9"/>
      <c r="M892" s="9"/>
      <c r="N892" s="9"/>
      <c r="O892" s="9"/>
      <c r="P892" s="9"/>
      <c r="Q892" s="9"/>
      <c r="R892" s="9"/>
      <c r="S892" s="9"/>
      <c r="T892" s="9"/>
      <c r="U892" s="9"/>
      <c r="V892" s="9"/>
      <c r="W892" s="9"/>
      <c r="X892" s="9"/>
      <c r="Y892" s="9"/>
      <c r="Z892" s="9"/>
      <c r="AA892" s="9"/>
      <c r="AB892" s="9"/>
      <c r="AC892" s="9"/>
    </row>
    <row r="893" spans="1:29" ht="13.2">
      <c r="A893" s="9"/>
      <c r="B893" s="9"/>
      <c r="C893" s="14"/>
      <c r="H893" s="9"/>
      <c r="I893" s="9"/>
      <c r="J893" s="9"/>
      <c r="K893" s="9"/>
      <c r="L893" s="9"/>
      <c r="M893" s="9"/>
      <c r="N893" s="9"/>
      <c r="O893" s="9"/>
      <c r="P893" s="9"/>
      <c r="Q893" s="9"/>
      <c r="R893" s="9"/>
      <c r="S893" s="9"/>
      <c r="T893" s="9"/>
      <c r="U893" s="9"/>
      <c r="V893" s="9"/>
      <c r="W893" s="9"/>
      <c r="X893" s="9"/>
      <c r="Y893" s="9"/>
      <c r="Z893" s="9"/>
      <c r="AA893" s="9"/>
      <c r="AB893" s="9"/>
      <c r="AC893" s="9"/>
    </row>
    <row r="894" spans="1:29" ht="13.2">
      <c r="A894" s="9"/>
      <c r="B894" s="9"/>
      <c r="C894" s="14"/>
      <c r="H894" s="9"/>
      <c r="I894" s="9"/>
      <c r="J894" s="9"/>
      <c r="K894" s="9"/>
      <c r="L894" s="9"/>
      <c r="M894" s="9"/>
      <c r="N894" s="9"/>
      <c r="O894" s="9"/>
      <c r="P894" s="9"/>
      <c r="Q894" s="9"/>
      <c r="R894" s="9"/>
      <c r="S894" s="9"/>
      <c r="T894" s="9"/>
      <c r="U894" s="9"/>
      <c r="V894" s="9"/>
      <c r="W894" s="9"/>
      <c r="X894" s="9"/>
      <c r="Y894" s="9"/>
      <c r="Z894" s="9"/>
      <c r="AA894" s="9"/>
      <c r="AB894" s="9"/>
      <c r="AC894" s="9"/>
    </row>
    <row r="895" spans="1:29" ht="13.2">
      <c r="A895" s="9"/>
      <c r="B895" s="9"/>
      <c r="C895" s="14"/>
      <c r="H895" s="9"/>
      <c r="I895" s="9"/>
      <c r="J895" s="9"/>
      <c r="K895" s="9"/>
      <c r="L895" s="9"/>
      <c r="M895" s="9"/>
      <c r="N895" s="9"/>
      <c r="O895" s="9"/>
      <c r="P895" s="9"/>
      <c r="Q895" s="9"/>
      <c r="R895" s="9"/>
      <c r="S895" s="9"/>
      <c r="T895" s="9"/>
      <c r="U895" s="9"/>
      <c r="V895" s="9"/>
      <c r="W895" s="9"/>
      <c r="X895" s="9"/>
      <c r="Y895" s="9"/>
      <c r="Z895" s="9"/>
      <c r="AA895" s="9"/>
      <c r="AB895" s="9"/>
      <c r="AC895" s="9"/>
    </row>
    <row r="896" spans="1:29" ht="13.2">
      <c r="A896" s="9"/>
      <c r="B896" s="9"/>
      <c r="C896" s="14"/>
      <c r="H896" s="9"/>
      <c r="I896" s="9"/>
      <c r="J896" s="9"/>
      <c r="K896" s="9"/>
      <c r="L896" s="9"/>
      <c r="M896" s="9"/>
      <c r="N896" s="9"/>
      <c r="O896" s="9"/>
      <c r="P896" s="9"/>
      <c r="Q896" s="9"/>
      <c r="R896" s="9"/>
      <c r="S896" s="9"/>
      <c r="T896" s="9"/>
      <c r="U896" s="9"/>
      <c r="V896" s="9"/>
      <c r="W896" s="9"/>
      <c r="X896" s="9"/>
      <c r="Y896" s="9"/>
      <c r="Z896" s="9"/>
      <c r="AA896" s="9"/>
      <c r="AB896" s="9"/>
      <c r="AC896" s="9"/>
    </row>
    <row r="897" spans="1:29" ht="13.2">
      <c r="A897" s="9"/>
      <c r="B897" s="9"/>
      <c r="C897" s="14"/>
      <c r="H897" s="9"/>
      <c r="I897" s="9"/>
      <c r="J897" s="9"/>
      <c r="K897" s="9"/>
      <c r="L897" s="9"/>
      <c r="M897" s="9"/>
      <c r="N897" s="9"/>
      <c r="O897" s="9"/>
      <c r="P897" s="9"/>
      <c r="Q897" s="9"/>
      <c r="R897" s="9"/>
      <c r="S897" s="9"/>
      <c r="T897" s="9"/>
      <c r="U897" s="9"/>
      <c r="V897" s="9"/>
      <c r="W897" s="9"/>
      <c r="X897" s="9"/>
      <c r="Y897" s="9"/>
      <c r="Z897" s="9"/>
      <c r="AA897" s="9"/>
      <c r="AB897" s="9"/>
      <c r="AC897" s="9"/>
    </row>
    <row r="898" spans="1:29" ht="13.2">
      <c r="A898" s="9"/>
      <c r="B898" s="9"/>
      <c r="C898" s="14"/>
      <c r="H898" s="9"/>
      <c r="I898" s="9"/>
      <c r="J898" s="9"/>
      <c r="K898" s="9"/>
      <c r="L898" s="9"/>
      <c r="M898" s="9"/>
      <c r="N898" s="9"/>
      <c r="O898" s="9"/>
      <c r="P898" s="9"/>
      <c r="Q898" s="9"/>
      <c r="R898" s="9"/>
      <c r="S898" s="9"/>
      <c r="T898" s="9"/>
      <c r="U898" s="9"/>
      <c r="V898" s="9"/>
      <c r="W898" s="9"/>
      <c r="X898" s="9"/>
      <c r="Y898" s="9"/>
      <c r="Z898" s="9"/>
      <c r="AA898" s="9"/>
      <c r="AB898" s="9"/>
      <c r="AC898" s="9"/>
    </row>
    <row r="899" spans="1:29" ht="13.2">
      <c r="A899" s="9"/>
      <c r="B899" s="9"/>
      <c r="C899" s="14"/>
      <c r="H899" s="9"/>
      <c r="I899" s="9"/>
      <c r="J899" s="9"/>
      <c r="K899" s="9"/>
      <c r="L899" s="9"/>
      <c r="M899" s="9"/>
      <c r="N899" s="9"/>
      <c r="O899" s="9"/>
      <c r="P899" s="9"/>
      <c r="Q899" s="9"/>
      <c r="R899" s="9"/>
      <c r="S899" s="9"/>
      <c r="T899" s="9"/>
      <c r="U899" s="9"/>
      <c r="V899" s="9"/>
      <c r="W899" s="9"/>
      <c r="X899" s="9"/>
      <c r="Y899" s="9"/>
      <c r="Z899" s="9"/>
      <c r="AA899" s="9"/>
      <c r="AB899" s="9"/>
      <c r="AC899" s="9"/>
    </row>
    <row r="900" spans="1:29" ht="13.2">
      <c r="A900" s="9"/>
      <c r="B900" s="9"/>
      <c r="C900" s="14"/>
      <c r="H900" s="9"/>
      <c r="I900" s="9"/>
      <c r="J900" s="9"/>
      <c r="K900" s="9"/>
      <c r="L900" s="9"/>
      <c r="M900" s="9"/>
      <c r="N900" s="9"/>
      <c r="O900" s="9"/>
      <c r="P900" s="9"/>
      <c r="Q900" s="9"/>
      <c r="R900" s="9"/>
      <c r="S900" s="9"/>
      <c r="T900" s="9"/>
      <c r="U900" s="9"/>
      <c r="V900" s="9"/>
      <c r="W900" s="9"/>
      <c r="X900" s="9"/>
      <c r="Y900" s="9"/>
      <c r="Z900" s="9"/>
      <c r="AA900" s="9"/>
      <c r="AB900" s="9"/>
      <c r="AC900" s="9"/>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63"/>
  <sheetViews>
    <sheetView tabSelected="1" workbookViewId="0">
      <pane ySplit="1" topLeftCell="A2" activePane="bottomLeft" state="frozen"/>
      <selection pane="bottomLeft" activeCell="G12" sqref="G12"/>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thickBo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thickBot="1">
      <c r="A2" s="32">
        <v>9</v>
      </c>
      <c r="B2" s="33" t="e">
        <f>VLOOKUP(C2,Lists!I:J,2,FALSE)</f>
        <v>#N/A</v>
      </c>
      <c r="C2" s="34" t="e">
        <f>VLOOKUP(E2&amp;D2,Lists!C:E,3,FALSE)</f>
        <v>#N/A</v>
      </c>
      <c r="D2" s="35" t="s">
        <v>28</v>
      </c>
      <c r="E2" s="36" t="s">
        <v>475</v>
      </c>
      <c r="F2" s="35" t="s">
        <v>476</v>
      </c>
      <c r="G2" s="32">
        <v>24</v>
      </c>
      <c r="H2" s="32">
        <v>28</v>
      </c>
      <c r="I2" s="234">
        <v>52</v>
      </c>
      <c r="J2" s="37">
        <v>402976</v>
      </c>
      <c r="K2" s="37">
        <v>0</v>
      </c>
      <c r="L2" s="37">
        <v>0</v>
      </c>
      <c r="M2" s="38">
        <f>I2/(HLOOKUP(F2,Team_Composition_23[[#All],[Yellow]:[Red]],10,FALSE)+HLOOKUP(F2,Team_Composition_23[[#All],[Yellow]:[Red]],11,FALSE))</f>
        <v>1.2996750812296926E-2</v>
      </c>
      <c r="N2" s="38">
        <f>J2/HLOOKUP(F2,Team_Composition_23[[#All],[Yellow]:[Red]],6,FALSE)</f>
        <v>9.0834846980714437E-3</v>
      </c>
      <c r="O2" s="38">
        <f>K2/HLOOKUP(F2,Team_Composition_23[[#All],[Yellow]:[Red]],8,FALSE)</f>
        <v>0</v>
      </c>
      <c r="P2" s="38">
        <f>L2/HLOOKUP(F2,Team_Composition_23[[#All],[Yellow]:[Red]],7,FALSE)</f>
        <v>0</v>
      </c>
      <c r="Q2" s="31"/>
      <c r="R2" s="227" t="s">
        <v>477</v>
      </c>
      <c r="S2" s="228"/>
      <c r="T2" s="228"/>
      <c r="U2" s="31"/>
      <c r="V2" s="229" t="s">
        <v>478</v>
      </c>
      <c r="W2" s="228"/>
      <c r="X2" s="39"/>
      <c r="Y2" s="229" t="s">
        <v>479</v>
      </c>
      <c r="Z2" s="228"/>
      <c r="AA2" s="31"/>
      <c r="AB2" s="227" t="s">
        <v>480</v>
      </c>
      <c r="AC2" s="228"/>
      <c r="AD2" s="228"/>
    </row>
    <row r="3" spans="1:30" ht="22.5" customHeight="1" thickBot="1">
      <c r="A3" s="32">
        <v>11</v>
      </c>
      <c r="B3" s="40" t="e">
        <f>VLOOKUP(C3,Lists!I:J,2,FALSE)</f>
        <v>#N/A</v>
      </c>
      <c r="C3" s="34" t="e">
        <f>VLOOKUP(E3&amp;D3,Lists!C:E,3,FALSE)</f>
        <v>#N/A</v>
      </c>
      <c r="D3" s="35" t="s">
        <v>28</v>
      </c>
      <c r="E3" s="36" t="s">
        <v>481</v>
      </c>
      <c r="F3" s="35" t="s">
        <v>476</v>
      </c>
      <c r="G3" s="32">
        <v>22</v>
      </c>
      <c r="H3" s="32">
        <v>32</v>
      </c>
      <c r="I3" s="235">
        <v>54</v>
      </c>
      <c r="J3" s="37">
        <v>1268522</v>
      </c>
      <c r="K3" s="37">
        <v>41233</v>
      </c>
      <c r="L3" s="37">
        <v>41233</v>
      </c>
      <c r="M3" s="38">
        <f>I3/(HLOOKUP(F3,Team_Composition_23[[#All],[Yellow]:[Red]],10,FALSE)+HLOOKUP(F3,Team_Composition_23[[#All],[Yellow]:[Red]],11,FALSE))</f>
        <v>1.3496625843539115E-2</v>
      </c>
      <c r="N3" s="38">
        <f>J3/HLOOKUP(F3,Team_Composition_23[[#All],[Yellow]:[Red]],6,FALSE)</f>
        <v>2.859376284485176E-2</v>
      </c>
      <c r="O3" s="38">
        <f>K3/HLOOKUP(F3,Team_Composition_23[[#All],[Yellow]:[Red]],8,FALSE)</f>
        <v>2.3536479145245585E-3</v>
      </c>
      <c r="P3" s="38">
        <f>L3/HLOOKUP(F3,Team_Composition_23[[#All],[Yellow]:[Red]],7,FALSE)</f>
        <v>3.1853008789492964E-3</v>
      </c>
      <c r="Q3" s="31"/>
      <c r="R3" s="41" t="s">
        <v>482</v>
      </c>
      <c r="S3" s="42" t="s">
        <v>476</v>
      </c>
      <c r="T3" s="42" t="s">
        <v>483</v>
      </c>
      <c r="U3" s="31"/>
      <c r="V3" s="43" t="s">
        <v>1</v>
      </c>
      <c r="W3" s="44" t="s">
        <v>467</v>
      </c>
      <c r="X3" s="31"/>
      <c r="Y3" s="43" t="s">
        <v>1</v>
      </c>
      <c r="Z3" s="44" t="s">
        <v>484</v>
      </c>
      <c r="AA3" s="31"/>
      <c r="AB3" s="41" t="s">
        <v>482</v>
      </c>
      <c r="AC3" s="42" t="s">
        <v>485</v>
      </c>
      <c r="AD3" s="42" t="s">
        <v>28</v>
      </c>
    </row>
    <row r="4" spans="1:30" ht="22.5" customHeight="1" thickBot="1">
      <c r="A4" s="32">
        <v>30</v>
      </c>
      <c r="B4" s="34" t="e">
        <f>VLOOKUP(C4,Lists!I:J,2,FALSE)</f>
        <v>#N/A</v>
      </c>
      <c r="C4" s="34" t="e">
        <f>VLOOKUP(E4&amp;D4,Lists!C:E,3,FALSE)</f>
        <v>#N/A</v>
      </c>
      <c r="D4" s="35" t="s">
        <v>28</v>
      </c>
      <c r="E4" s="36" t="s">
        <v>486</v>
      </c>
      <c r="F4" s="35" t="s">
        <v>483</v>
      </c>
      <c r="G4" s="32">
        <v>6</v>
      </c>
      <c r="H4" s="32">
        <v>52</v>
      </c>
      <c r="I4" s="236">
        <v>58</v>
      </c>
      <c r="J4" s="37">
        <v>1008045</v>
      </c>
      <c r="K4" s="37">
        <v>1451</v>
      </c>
      <c r="L4" s="37">
        <v>1451</v>
      </c>
      <c r="M4" s="38">
        <f>I4/(HLOOKUP(F4,Team_Composition_23[[#All],[Yellow]:[Red]],10,FALSE)+HLOOKUP(F4,Team_Composition_23[[#All],[Yellow]:[Red]],11,FALSE))</f>
        <v>7.0645554202192443E-2</v>
      </c>
      <c r="N4" s="38">
        <f>J4/HLOOKUP(F4,Team_Composition_23[[#All],[Yellow]:[Red]],6,FALSE)</f>
        <v>5.7127903836721235E-2</v>
      </c>
      <c r="O4" s="38">
        <f>K4/HLOOKUP(F4,Team_Composition_23[[#All],[Yellow]:[Red]],8,FALSE)</f>
        <v>3.2965331785045679E-5</v>
      </c>
      <c r="P4" s="38">
        <f>L4/HLOOKUP(F4,Team_Composition_23[[#All],[Yellow]:[Red]],7,FALSE)</f>
        <v>5.9789663178991255E-5</v>
      </c>
      <c r="Q4" s="31"/>
      <c r="R4" s="45" t="s">
        <v>25</v>
      </c>
      <c r="S4" s="46">
        <f>COUNTIFS(Scoreboard_43[Role],R4,Scoreboard_43[Team],"Yellow")</f>
        <v>5</v>
      </c>
      <c r="T4" s="47">
        <f>COUNTIFS(Scoreboard_43[Role],R4,Scoreboard_43[Team],"Red")</f>
        <v>6</v>
      </c>
      <c r="U4" s="31"/>
      <c r="V4" s="48" t="str">
        <f ca="1">IFERROR(__xludf.DUMMYFUNCTION("query(A1:P238, ""Select E,I where B!='Healer' Order by I Desc Limit 10"", 0)"),"K")</f>
        <v>K</v>
      </c>
      <c r="W4" s="49">
        <f ca="1">IFERROR(__xludf.DUMMYFUNCTION("""COMPUTED_VALUE"""),2829039)</f>
        <v>2829039</v>
      </c>
      <c r="X4" s="31"/>
      <c r="Y4" s="48" t="str">
        <f ca="1">IFERROR(__xludf.DUMMYFUNCTION("query(A1:P238, ""Select E,J Order by J Desc Limit 10"", 0)"),"B")</f>
        <v>B</v>
      </c>
      <c r="Z4" s="49">
        <f ca="1">IFERROR(__xludf.DUMMYFUNCTION("""COMPUTED_VALUE"""),1504747)</f>
        <v>1504747</v>
      </c>
      <c r="AA4" s="31"/>
      <c r="AB4" s="45" t="s">
        <v>25</v>
      </c>
      <c r="AC4" s="50">
        <f>COUNTIFS(Scoreboard_43[Role],AB4,Scoreboard_43[Guild],"House Regard")</f>
        <v>6</v>
      </c>
      <c r="AD4" s="51">
        <f>COUNTIFS(Scoreboard_43[Role],AB4,Scoreboard_43[Guild],"Undercooked")</f>
        <v>5</v>
      </c>
    </row>
    <row r="5" spans="1:30" ht="22.5" customHeight="1" thickBot="1">
      <c r="A5" s="32">
        <v>32</v>
      </c>
      <c r="B5" s="52" t="e">
        <f>VLOOKUP(C5,Lists!I:J,2,FALSE)</f>
        <v>#N/A</v>
      </c>
      <c r="C5" s="34" t="e">
        <f>VLOOKUP(E5&amp;D5,Lists!C:E,3,FALSE)</f>
        <v>#N/A</v>
      </c>
      <c r="D5" s="35" t="s">
        <v>28</v>
      </c>
      <c r="E5" s="36" t="s">
        <v>487</v>
      </c>
      <c r="F5" s="35" t="s">
        <v>476</v>
      </c>
      <c r="G5" s="32">
        <v>5</v>
      </c>
      <c r="H5" s="32">
        <v>22</v>
      </c>
      <c r="I5" s="235">
        <v>27</v>
      </c>
      <c r="J5" s="37">
        <v>537975</v>
      </c>
      <c r="K5" s="37">
        <v>46974</v>
      </c>
      <c r="L5" s="37">
        <v>46974</v>
      </c>
      <c r="M5" s="38">
        <f>I5/(HLOOKUP(F5,Team_Composition_23[[#All],[Yellow]:[Red]],10,FALSE)+HLOOKUP(F5,Team_Composition_23[[#All],[Yellow]:[Red]],11,FALSE))</f>
        <v>6.7483129217695576E-3</v>
      </c>
      <c r="N5" s="38">
        <f>J5/HLOOKUP(F5,Team_Composition_23[[#All],[Yellow]:[Red]],6,FALSE)</f>
        <v>1.2126498055578954E-2</v>
      </c>
      <c r="O5" s="38">
        <f>K5/HLOOKUP(F5,Team_Composition_23[[#All],[Yellow]:[Red]],8,FALSE)</f>
        <v>2.6813537006008929E-3</v>
      </c>
      <c r="P5" s="38">
        <f>L5/HLOOKUP(F5,Team_Composition_23[[#All],[Yellow]:[Red]],7,FALSE)</f>
        <v>3.6288003174099448E-3</v>
      </c>
      <c r="Q5" s="31"/>
      <c r="R5" s="45" t="s">
        <v>39</v>
      </c>
      <c r="S5" s="46">
        <f>COUNTIFS(Scoreboard_43[Role],R5,Scoreboard_43[Team],"Yellow")</f>
        <v>5</v>
      </c>
      <c r="T5" s="47">
        <f>COUNTIFS(Scoreboard_43[Role],R5,Scoreboard_43[Team],"Red")</f>
        <v>6</v>
      </c>
      <c r="U5" s="31"/>
      <c r="V5" s="48" t="str">
        <f ca="1">IFERROR(__xludf.DUMMYFUNCTION("""COMPUTED_VALUE"""),"Slushy")</f>
        <v>Slushy</v>
      </c>
      <c r="W5" s="49">
        <f ca="1">IFERROR(__xludf.DUMMYFUNCTION("""COMPUTED_VALUE"""),2306241)</f>
        <v>2306241</v>
      </c>
      <c r="X5" s="31"/>
      <c r="Y5" s="48" t="str">
        <f ca="1">IFERROR(__xludf.DUMMYFUNCTION("""COMPUTED_VALUE"""),"Baozer")</f>
        <v>Baozer</v>
      </c>
      <c r="Z5" s="49">
        <f ca="1">IFERROR(__xludf.DUMMYFUNCTION("""COMPUTED_VALUE"""),1463082)</f>
        <v>1463082</v>
      </c>
      <c r="AA5" s="31"/>
      <c r="AB5" s="45" t="s">
        <v>39</v>
      </c>
      <c r="AC5" s="50">
        <f>COUNTIFS(Scoreboard_43[Role],AB5,Scoreboard_43[Guild],"House Regard")</f>
        <v>6</v>
      </c>
      <c r="AD5" s="51">
        <f>COUNTIFS(Scoreboard_43[Role],AB5,Scoreboard_43[Guild],"Undercooked")</f>
        <v>5</v>
      </c>
    </row>
    <row r="6" spans="1:30" ht="22.5" customHeight="1" thickBot="1">
      <c r="A6" s="32">
        <v>36</v>
      </c>
      <c r="B6" s="34" t="e">
        <f>VLOOKUP(C6,Lists!I:J,2,FALSE)</f>
        <v>#N/A</v>
      </c>
      <c r="C6" s="34" t="e">
        <f>VLOOKUP(E6&amp;D6,Lists!C:E,3,FALSE)</f>
        <v>#N/A</v>
      </c>
      <c r="D6" s="35" t="s">
        <v>28</v>
      </c>
      <c r="E6" s="36" t="s">
        <v>488</v>
      </c>
      <c r="F6" s="35" t="s">
        <v>483</v>
      </c>
      <c r="G6" s="32">
        <v>1</v>
      </c>
      <c r="H6" s="32">
        <v>15</v>
      </c>
      <c r="I6" s="236">
        <v>16</v>
      </c>
      <c r="J6" s="37">
        <v>455386</v>
      </c>
      <c r="K6" s="37">
        <v>33955</v>
      </c>
      <c r="L6" s="37">
        <v>33955</v>
      </c>
      <c r="M6" s="38">
        <f>I6/(HLOOKUP(F6,Team_Composition_23[[#All],[Yellow]:[Red]],10,FALSE)+HLOOKUP(F6,Team_Composition_23[[#All],[Yellow]:[Red]],11,FALSE))</f>
        <v>1.9488428745432398E-2</v>
      </c>
      <c r="N6" s="38">
        <f>J6/HLOOKUP(F6,Team_Composition_23[[#All],[Yellow]:[Red]],6,FALSE)</f>
        <v>2.5807625271281675E-2</v>
      </c>
      <c r="O6" s="38">
        <f>K6/HLOOKUP(F6,Team_Composition_23[[#All],[Yellow]:[Red]],8,FALSE)</f>
        <v>7.7142511423930124E-4</v>
      </c>
      <c r="P6" s="38">
        <f>L6/HLOOKUP(F6,Team_Composition_23[[#All],[Yellow]:[Red]],7,FALSE)</f>
        <v>1.3991440477206397E-3</v>
      </c>
      <c r="Q6" s="31"/>
      <c r="R6" s="45" t="s">
        <v>67</v>
      </c>
      <c r="S6" s="46">
        <f>COUNTIFS(Scoreboard_43[Role],R6,Scoreboard_43[Team],"Yellow")</f>
        <v>13</v>
      </c>
      <c r="T6" s="47">
        <f>COUNTIFS(Scoreboard_43[Role],R6,Scoreboard_43[Team],"Red")</f>
        <v>10</v>
      </c>
      <c r="U6" s="31"/>
      <c r="V6" s="48" t="str">
        <f ca="1">IFERROR(__xludf.DUMMYFUNCTION("""COMPUTED_VALUE"""),"charigueya")</f>
        <v>charigueya</v>
      </c>
      <c r="W6" s="49">
        <f ca="1">IFERROR(__xludf.DUMMYFUNCTION("""COMPUTED_VALUE"""),2238791)</f>
        <v>2238791</v>
      </c>
      <c r="X6" s="31"/>
      <c r="Y6" s="48" t="str">
        <f ca="1">IFERROR(__xludf.DUMMYFUNCTION("""COMPUTED_VALUE"""),"Revioli")</f>
        <v>Revioli</v>
      </c>
      <c r="Z6" s="49">
        <f ca="1">IFERROR(__xludf.DUMMYFUNCTION("""COMPUTED_VALUE"""),1268522)</f>
        <v>1268522</v>
      </c>
      <c r="AA6" s="31"/>
      <c r="AB6" s="45" t="s">
        <v>67</v>
      </c>
      <c r="AC6" s="50">
        <f>COUNTIFS(Scoreboard_43[Role],AB6,Scoreboard_43[Guild],"House Regard")</f>
        <v>15</v>
      </c>
      <c r="AD6" s="51">
        <f>COUNTIFS(Scoreboard_43[Role],AB6,Scoreboard_43[Guild],"Undercooked")</f>
        <v>8</v>
      </c>
    </row>
    <row r="7" spans="1:30" ht="22.5" customHeight="1" thickBot="1">
      <c r="A7" s="32">
        <v>39</v>
      </c>
      <c r="B7" s="53" t="e">
        <f>VLOOKUP(C7,Lists!I:J,2,FALSE)</f>
        <v>#N/A</v>
      </c>
      <c r="C7" s="34" t="e">
        <f>VLOOKUP(E7&amp;D7,Lists!C:E,3,FALSE)</f>
        <v>#N/A</v>
      </c>
      <c r="D7" s="35" t="s">
        <v>28</v>
      </c>
      <c r="E7" s="36" t="s">
        <v>489</v>
      </c>
      <c r="F7" s="35" t="s">
        <v>476</v>
      </c>
      <c r="G7" s="32">
        <v>1</v>
      </c>
      <c r="H7" s="32">
        <v>8</v>
      </c>
      <c r="I7" s="235">
        <v>9</v>
      </c>
      <c r="J7" s="37">
        <v>725342</v>
      </c>
      <c r="K7" s="37">
        <v>59491</v>
      </c>
      <c r="L7" s="37">
        <v>59491</v>
      </c>
      <c r="M7" s="38">
        <f>I7/(HLOOKUP(F7,Team_Composition_23[[#All],[Yellow]:[Red]],10,FALSE)+HLOOKUP(F7,Team_Composition_23[[#All],[Yellow]:[Red]],11,FALSE))</f>
        <v>2.2494376405898524E-3</v>
      </c>
      <c r="N7" s="38">
        <f>J7/HLOOKUP(F7,Team_Composition_23[[#All],[Yellow]:[Red]],6,FALSE)</f>
        <v>1.6349938849630093E-2</v>
      </c>
      <c r="O7" s="38">
        <f>K7/HLOOKUP(F7,Team_Composition_23[[#All],[Yellow]:[Red]],8,FALSE)</f>
        <v>3.395844786529734E-3</v>
      </c>
      <c r="P7" s="38">
        <f>L7/HLOOKUP(F7,Team_Composition_23[[#All],[Yellow]:[Red]],7,FALSE)</f>
        <v>4.5957542402826033E-3</v>
      </c>
      <c r="Q7" s="31"/>
      <c r="R7" s="45" t="s">
        <v>11</v>
      </c>
      <c r="S7" s="46">
        <f>COUNTIFS(Scoreboard_43[Role],R7,Scoreboard_43[Team],"Yellow")</f>
        <v>14</v>
      </c>
      <c r="T7" s="47">
        <f>COUNTIFS(Scoreboard_43[Role],R7,Scoreboard_43[Team],"Red")</f>
        <v>17</v>
      </c>
      <c r="U7" s="31"/>
      <c r="V7" s="48" t="str">
        <f ca="1">IFERROR(__xludf.DUMMYFUNCTION("""COMPUTED_VALUE"""),"CruMpet")</f>
        <v>CruMpet</v>
      </c>
      <c r="W7" s="49">
        <f ca="1">IFERROR(__xludf.DUMMYFUNCTION("""COMPUTED_VALUE"""),2210720)</f>
        <v>2210720</v>
      </c>
      <c r="X7" s="31"/>
      <c r="Y7" s="48" t="str">
        <f ca="1">IFERROR(__xludf.DUMMYFUNCTION("""COMPUTED_VALUE"""),"ohMnMs")</f>
        <v>ohMnMs</v>
      </c>
      <c r="Z7" s="49">
        <f ca="1">IFERROR(__xludf.DUMMYFUNCTION("""COMPUTED_VALUE"""),1008045)</f>
        <v>1008045</v>
      </c>
      <c r="AA7" s="31"/>
      <c r="AB7" s="45" t="s">
        <v>11</v>
      </c>
      <c r="AC7" s="50">
        <f>COUNTIFS(Scoreboard_43[Role],AB7,Scoreboard_43[Guild],"House Regard")</f>
        <v>16</v>
      </c>
      <c r="AD7" s="51">
        <f>COUNTIFS(Scoreboard_43[Role],AB7,Scoreboard_43[Guild],"Undercooked")</f>
        <v>15</v>
      </c>
    </row>
    <row r="8" spans="1:30" ht="22.5" customHeight="1" thickBot="1">
      <c r="A8" s="32">
        <v>73</v>
      </c>
      <c r="B8" s="33" t="e">
        <f>VLOOKUP(C8,Lists!I:J,2,FALSE)</f>
        <v>#N/A</v>
      </c>
      <c r="C8" s="34" t="e">
        <f>VLOOKUP(E8&amp;D8,Lists!C:E,3,FALSE)</f>
        <v>#N/A</v>
      </c>
      <c r="D8" s="35" t="s">
        <v>490</v>
      </c>
      <c r="E8" s="36" t="s">
        <v>491</v>
      </c>
      <c r="F8" s="35" t="s">
        <v>483</v>
      </c>
      <c r="G8" s="32">
        <v>0</v>
      </c>
      <c r="H8" s="32">
        <v>15</v>
      </c>
      <c r="I8" s="236">
        <v>15</v>
      </c>
      <c r="J8" s="37">
        <v>313516</v>
      </c>
      <c r="K8" s="37">
        <v>52687</v>
      </c>
      <c r="L8" s="37">
        <v>52687</v>
      </c>
      <c r="M8" s="38">
        <f>I8/(HLOOKUP(F8,Team_Composition_23[[#All],[Yellow]:[Red]],10,FALSE)+HLOOKUP(F8,Team_Composition_23[[#All],[Yellow]:[Red]],11,FALSE))</f>
        <v>1.8270401948842874E-2</v>
      </c>
      <c r="N8" s="38">
        <f>J8/HLOOKUP(F8,Team_Composition_23[[#All],[Yellow]:[Red]],6,FALSE)</f>
        <v>1.7767571784269048E-2</v>
      </c>
      <c r="O8" s="38">
        <f>K8/HLOOKUP(F8,Team_Composition_23[[#All],[Yellow]:[Red]],8,FALSE)</f>
        <v>1.1969982327765002E-3</v>
      </c>
      <c r="P8" s="38">
        <f>L8/HLOOKUP(F8,Team_Composition_23[[#All],[Yellow]:[Red]],7,FALSE)</f>
        <v>2.171011704970029E-3</v>
      </c>
      <c r="Q8" s="31"/>
      <c r="R8" s="45" t="s">
        <v>468</v>
      </c>
      <c r="S8" s="46">
        <f>SUMIFS(Scoreboard_43[Damage Dealt],Scoreboard_43[Team],"Yellow")</f>
        <v>22967253</v>
      </c>
      <c r="T8" s="47">
        <f>SUMIFS(Scoreboard_43[Damage Dealt],Scoreboard_43[Team],"Red")</f>
        <v>21310822</v>
      </c>
      <c r="U8" s="31"/>
      <c r="V8" s="48" t="str">
        <f ca="1">IFERROR(__xludf.DUMMYFUNCTION("""COMPUTED_VALUE"""),"EnoughCrazy")</f>
        <v>EnoughCrazy</v>
      </c>
      <c r="W8" s="49">
        <f ca="1">IFERROR(__xludf.DUMMYFUNCTION("""COMPUTED_VALUE"""),2088955)</f>
        <v>2088955</v>
      </c>
      <c r="X8" s="31"/>
      <c r="Y8" s="48" t="str">
        <f ca="1">IFERROR(__xludf.DUMMYFUNCTION("""COMPUTED_VALUE"""),"皮姆利")</f>
        <v>皮姆利</v>
      </c>
      <c r="Z8" s="49">
        <f ca="1">IFERROR(__xludf.DUMMYFUNCTION("""COMPUTED_VALUE"""),969970)</f>
        <v>969970</v>
      </c>
      <c r="AA8" s="31"/>
      <c r="AB8" s="45" t="s">
        <v>468</v>
      </c>
      <c r="AC8" s="50">
        <f>SUMIFS(Scoreboard_43[Damage Dealt],Scoreboard_43[Guild],"House Regard")</f>
        <v>23187324</v>
      </c>
      <c r="AD8" s="51">
        <f>SUMIFS(Scoreboard_43[Damage Dealt],Scoreboard_43[Guild],"Undercooked")</f>
        <v>20777235</v>
      </c>
    </row>
    <row r="9" spans="1:30" ht="22.5" customHeight="1" thickBot="1">
      <c r="A9" s="32">
        <v>76</v>
      </c>
      <c r="B9" s="54" t="e">
        <f>VLOOKUP(C9,Lists!I:J,2,FALSE)</f>
        <v>#N/A</v>
      </c>
      <c r="C9" s="34" t="e">
        <f>VLOOKUP(E9&amp;D9,Lists!C:E,3,FALSE)</f>
        <v>#N/A</v>
      </c>
      <c r="D9" s="35" t="s">
        <v>28</v>
      </c>
      <c r="E9" s="36" t="s">
        <v>492</v>
      </c>
      <c r="F9" s="35" t="s">
        <v>476</v>
      </c>
      <c r="G9" s="32">
        <v>0</v>
      </c>
      <c r="H9" s="32">
        <v>14</v>
      </c>
      <c r="I9" s="235">
        <v>14</v>
      </c>
      <c r="J9" s="37">
        <v>323144</v>
      </c>
      <c r="K9" s="37">
        <v>285120</v>
      </c>
      <c r="L9" s="37">
        <v>285120</v>
      </c>
      <c r="M9" s="38">
        <f>I9/(HLOOKUP(F9,Team_Composition_23[[#All],[Yellow]:[Red]],10,FALSE)+HLOOKUP(F9,Team_Composition_23[[#All],[Yellow]:[Red]],11,FALSE))</f>
        <v>3.4991252186953262E-3</v>
      </c>
      <c r="N9" s="38">
        <f>J9/HLOOKUP(F9,Team_Composition_23[[#All],[Yellow]:[Red]],6,FALSE)</f>
        <v>7.2839910547367551E-3</v>
      </c>
      <c r="O9" s="38">
        <f>K9/HLOOKUP(F9,Team_Composition_23[[#All],[Yellow]:[Red]],8,FALSE)</f>
        <v>1.6275121708079505E-2</v>
      </c>
      <c r="P9" s="38">
        <f>L9/HLOOKUP(F9,Team_Composition_23[[#All],[Yellow]:[Red]],7,FALSE)</f>
        <v>2.2025877006427459E-2</v>
      </c>
      <c r="Q9" s="31"/>
      <c r="R9" s="45" t="s">
        <v>470</v>
      </c>
      <c r="S9" s="46">
        <f>SUMIFS(Scoreboard_43[Amount Healed],Scoreboard_43[Team],"Yellow")</f>
        <v>15672194</v>
      </c>
      <c r="T9" s="47">
        <f>SUMIFS(Scoreboard_43[Amount Healed],Scoreboard_43[Team],"Red")</f>
        <v>14470093</v>
      </c>
      <c r="U9" s="31"/>
      <c r="V9" s="48" t="str">
        <f ca="1">IFERROR(__xludf.DUMMYFUNCTION("""COMPUTED_VALUE"""),"ALilSnakes")</f>
        <v>ALilSnakes</v>
      </c>
      <c r="W9" s="49">
        <f ca="1">IFERROR(__xludf.DUMMYFUNCTION("""COMPUTED_VALUE"""),1817713)</f>
        <v>1817713</v>
      </c>
      <c r="X9" s="31"/>
      <c r="Y9" s="48" t="str">
        <f ca="1">IFERROR(__xludf.DUMMYFUNCTION("""COMPUTED_VALUE"""),"H612")</f>
        <v>H612</v>
      </c>
      <c r="Z9" s="49">
        <f ca="1">IFERROR(__xludf.DUMMYFUNCTION("""COMPUTED_VALUE"""),969144)</f>
        <v>969144</v>
      </c>
      <c r="AA9" s="31"/>
      <c r="AB9" s="45" t="s">
        <v>470</v>
      </c>
      <c r="AC9" s="50">
        <f>SUMIFS(Scoreboard_43[Amount Healed],Scoreboard_43[Guild],"House Regard")</f>
        <v>16052769</v>
      </c>
      <c r="AD9" s="51">
        <f>SUMIFS(Scoreboard_43[Amount Healed],Scoreboard_43[Guild],"Undercooked")</f>
        <v>14036831</v>
      </c>
    </row>
    <row r="10" spans="1:30" ht="22.5" customHeight="1" thickBot="1">
      <c r="A10" s="32">
        <v>83</v>
      </c>
      <c r="B10" s="33" t="e">
        <f>VLOOKUP(C10,Lists!I:J,2,FALSE)</f>
        <v>#N/A</v>
      </c>
      <c r="C10" s="34" t="e">
        <f>VLOOKUP(E10&amp;D10,Lists!C:E,3,FALSE)</f>
        <v>#N/A</v>
      </c>
      <c r="D10" s="35" t="s">
        <v>28</v>
      </c>
      <c r="E10" s="36" t="s">
        <v>493</v>
      </c>
      <c r="F10" s="35" t="s">
        <v>476</v>
      </c>
      <c r="G10" s="32">
        <v>0</v>
      </c>
      <c r="H10" s="32">
        <v>13</v>
      </c>
      <c r="I10" s="236">
        <v>13</v>
      </c>
      <c r="J10" s="37">
        <v>297202</v>
      </c>
      <c r="K10" s="37">
        <v>375922</v>
      </c>
      <c r="L10" s="37">
        <v>375922</v>
      </c>
      <c r="M10" s="38">
        <f>I10/(HLOOKUP(F10,Team_Composition_23[[#All],[Yellow]:[Red]],10,FALSE)+HLOOKUP(F10,Team_Composition_23[[#All],[Yellow]:[Red]],11,FALSE))</f>
        <v>3.2491877030742314E-3</v>
      </c>
      <c r="N10" s="38">
        <f>J10/HLOOKUP(F10,Team_Composition_23[[#All],[Yellow]:[Red]],6,FALSE)</f>
        <v>6.6992322600756106E-3</v>
      </c>
      <c r="O10" s="38">
        <f>K10/HLOOKUP(F10,Team_Composition_23[[#All],[Yellow]:[Red]],8,FALSE)</f>
        <v>2.1458250220064052E-2</v>
      </c>
      <c r="P10" s="38">
        <f>L10/HLOOKUP(F10,Team_Composition_23[[#All],[Yellow]:[Red]],7,FALSE)</f>
        <v>2.9040445202056057E-2</v>
      </c>
      <c r="Q10" s="31"/>
      <c r="R10" s="45" t="s">
        <v>469</v>
      </c>
      <c r="S10" s="46">
        <f>SUMIFS(Scoreboard_43[Damage Taken],Scoreboard_43[Team],"Yellow")</f>
        <v>15672194</v>
      </c>
      <c r="T10" s="47">
        <f>SUMIFS(Scoreboard_43[Damage Taken],Scoreboard_43[Team],"Red")</f>
        <v>14470093</v>
      </c>
      <c r="U10" s="31"/>
      <c r="V10" s="48" t="str">
        <f ca="1">IFERROR(__xludf.DUMMYFUNCTION("""COMPUTED_VALUE"""),"Ryujin")</f>
        <v>Ryujin</v>
      </c>
      <c r="W10" s="49">
        <f ca="1">IFERROR(__xludf.DUMMYFUNCTION("""COMPUTED_VALUE"""),1804500)</f>
        <v>1804500</v>
      </c>
      <c r="X10" s="31"/>
      <c r="Y10" s="48" t="str">
        <f ca="1">IFERROR(__xludf.DUMMYFUNCTION("""COMPUTED_VALUE"""),"ELCHAMO")</f>
        <v>ELCHAMO</v>
      </c>
      <c r="Z10" s="49">
        <f ca="1">IFERROR(__xludf.DUMMYFUNCTION("""COMPUTED_VALUE"""),950751)</f>
        <v>950751</v>
      </c>
      <c r="AA10" s="31"/>
      <c r="AB10" s="45" t="s">
        <v>469</v>
      </c>
      <c r="AC10" s="50">
        <f>SUMIFS(Scoreboard_43[Damage Taken],Scoreboard_43[Guild],"House Regard")</f>
        <v>16052769</v>
      </c>
      <c r="AD10" s="51">
        <f>SUMIFS(Scoreboard_43[Damage Taken],Scoreboard_43[Guild],"Undercooked")</f>
        <v>14036831</v>
      </c>
    </row>
    <row r="11" spans="1:30" ht="22.5" customHeight="1" thickBot="1">
      <c r="A11" s="32">
        <v>90</v>
      </c>
      <c r="B11" s="40" t="e">
        <f>VLOOKUP(C11,Lists!I:J,2,FALSE)</f>
        <v>#N/A</v>
      </c>
      <c r="C11" s="34" t="e">
        <f>VLOOKUP(E11&amp;D11,Lists!C:E,3,FALSE)</f>
        <v>#N/A</v>
      </c>
      <c r="D11" s="35" t="s">
        <v>28</v>
      </c>
      <c r="E11" s="36" t="s">
        <v>494</v>
      </c>
      <c r="F11" s="35" t="s">
        <v>483</v>
      </c>
      <c r="G11" s="32">
        <v>0</v>
      </c>
      <c r="H11" s="32">
        <v>7</v>
      </c>
      <c r="I11" s="235">
        <v>7</v>
      </c>
      <c r="J11" s="37">
        <v>363203</v>
      </c>
      <c r="K11" s="37">
        <v>46797</v>
      </c>
      <c r="L11" s="37">
        <v>46797</v>
      </c>
      <c r="M11" s="38">
        <f>I11/(HLOOKUP(F11,Team_Composition_23[[#All],[Yellow]:[Red]],10,FALSE)+HLOOKUP(F11,Team_Composition_23[[#All],[Yellow]:[Red]],11,FALSE))</f>
        <v>8.5261875761266752E-3</v>
      </c>
      <c r="N11" s="38">
        <f>J11/HLOOKUP(F11,Team_Composition_23[[#All],[Yellow]:[Red]],6,FALSE)</f>
        <v>2.0583432344001173E-2</v>
      </c>
      <c r="O11" s="38">
        <f>K11/HLOOKUP(F11,Team_Composition_23[[#All],[Yellow]:[Red]],8,FALSE)</f>
        <v>1.0631830679150812E-3</v>
      </c>
      <c r="P11" s="38">
        <f>L11/HLOOKUP(F11,Team_Composition_23[[#All],[Yellow]:[Red]],7,FALSE)</f>
        <v>1.9283093506459363E-3</v>
      </c>
      <c r="Q11" s="31"/>
      <c r="R11" s="45" t="s">
        <v>495</v>
      </c>
      <c r="S11" s="46">
        <f ca="1">IFERROR(DIVIDE(SUMIFS(Scoreboard_43[Amount Healed],Scoreboard_43[Team],"Yellow"), SUMIFS(Scoreboard_43[Damage Taken],Scoreboard_43[Team],"Yellow"))*(100),0)</f>
        <v>0</v>
      </c>
      <c r="T11" s="47">
        <f ca="1">IFERROR(DIVIDE(SUMIFS(Scoreboard_43[Amount Healed],Scoreboard_43[Team],"Red"), SUMIFS(Scoreboard_43[Damage Taken],Scoreboard_43[Team],"Red"))*(100),0)</f>
        <v>0</v>
      </c>
      <c r="U11" s="31"/>
      <c r="V11" s="48" t="str">
        <f ca="1">IFERROR(__xludf.DUMMYFUNCTION("""COMPUTED_VALUE"""),"Ceviche")</f>
        <v>Ceviche</v>
      </c>
      <c r="W11" s="49">
        <f ca="1">IFERROR(__xludf.DUMMYFUNCTION("""COMPUTED_VALUE"""),1723458)</f>
        <v>1723458</v>
      </c>
      <c r="X11" s="31"/>
      <c r="Y11" s="48" t="str">
        <f ca="1">IFERROR(__xludf.DUMMYFUNCTION("""COMPUTED_VALUE"""),"waffles")</f>
        <v>waffles</v>
      </c>
      <c r="Z11" s="49">
        <f ca="1">IFERROR(__xludf.DUMMYFUNCTION("""COMPUTED_VALUE"""),917832)</f>
        <v>917832</v>
      </c>
      <c r="AA11" s="31"/>
      <c r="AB11" s="45" t="s">
        <v>495</v>
      </c>
      <c r="AC11" s="50">
        <f ca="1">IFERROR(DIVIDE(SUMIFS(Scoreboard_43[Amount Healed],Scoreboard_43[Guild],"House Regard"), SUMIFS(Scoreboard_43[Damage Taken],Scoreboard_43[Guild],"House Regard"))*(100),0)</f>
        <v>0</v>
      </c>
      <c r="AD11" s="51">
        <f ca="1">IFERROR(DIVIDE(SUMIFS(Scoreboard_43[Amount Healed],Scoreboard_43[Guild],"Undercooked"), SUMIFS(Scoreboard_43[Damage Taken],Scoreboard_43[Guild],"Undercooked"))*(100),0)</f>
        <v>0</v>
      </c>
    </row>
    <row r="12" spans="1:30" ht="22.5" customHeight="1" thickBot="1">
      <c r="A12" s="32">
        <v>40</v>
      </c>
      <c r="B12" s="55" t="str">
        <f>VLOOKUP(C12,Lists!I:J,2,FALSE)</f>
        <v>Healer</v>
      </c>
      <c r="C12" s="34" t="str">
        <f>VLOOKUP(E12&amp;D12,Lists!C:E,3,FALSE)</f>
        <v>Wand/Orb</v>
      </c>
      <c r="D12" s="35" t="s">
        <v>40</v>
      </c>
      <c r="E12" s="36" t="s">
        <v>136</v>
      </c>
      <c r="F12" s="35" t="s">
        <v>483</v>
      </c>
      <c r="G12" s="32">
        <v>1</v>
      </c>
      <c r="H12" s="32">
        <v>1</v>
      </c>
      <c r="I12" s="236">
        <v>2</v>
      </c>
      <c r="J12" s="37">
        <v>244909</v>
      </c>
      <c r="K12" s="37">
        <v>229765</v>
      </c>
      <c r="L12" s="37">
        <v>229765</v>
      </c>
      <c r="M12" s="38">
        <f>I12/(HLOOKUP(F12,Team_Composition_23[[#All],[Yellow]:[Red]],10,FALSE)+HLOOKUP(F12,Team_Composition_23[[#All],[Yellow]:[Red]],11,FALSE))</f>
        <v>2.4360535931790498E-3</v>
      </c>
      <c r="N12" s="38">
        <f>J12/HLOOKUP(F12,Team_Composition_23[[#All],[Yellow]:[Red]],6,FALSE)</f>
        <v>1.387947740502414E-2</v>
      </c>
      <c r="O12" s="38">
        <f>K12/HLOOKUP(F12,Team_Composition_23[[#All],[Yellow]:[Red]],8,FALSE)</f>
        <v>5.2200409769752034E-3</v>
      </c>
      <c r="P12" s="38">
        <f>L12/HLOOKUP(F12,Team_Composition_23[[#All],[Yellow]:[Red]],7,FALSE)</f>
        <v>9.4676581394355103E-3</v>
      </c>
      <c r="Q12" s="31"/>
      <c r="R12" s="45" t="s">
        <v>465</v>
      </c>
      <c r="S12" s="46">
        <f>SUMIFS(Scoreboard_43[Kills],Scoreboard_43[Team],"Yellow")</f>
        <v>297</v>
      </c>
      <c r="T12" s="47">
        <f>SUMIFS(Scoreboard_43[Kills],Scoreboard_43[Team],"Red")</f>
        <v>307</v>
      </c>
      <c r="U12" s="31"/>
      <c r="V12" s="48" t="str">
        <f ca="1">IFERROR(__xludf.DUMMYFUNCTION("""COMPUTED_VALUE"""),"Thundercats")</f>
        <v>Thundercats</v>
      </c>
      <c r="W12" s="49">
        <f ca="1">IFERROR(__xludf.DUMMYFUNCTION("""COMPUTED_VALUE"""),1677203)</f>
        <v>1677203</v>
      </c>
      <c r="X12" s="31"/>
      <c r="Y12" s="48" t="str">
        <f ca="1">IFERROR(__xludf.DUMMYFUNCTION("""COMPUTED_VALUE"""),"K")</f>
        <v>K</v>
      </c>
      <c r="Z12" s="49">
        <f ca="1">IFERROR(__xludf.DUMMYFUNCTION("""COMPUTED_VALUE"""),877506)</f>
        <v>877506</v>
      </c>
      <c r="AA12" s="31"/>
      <c r="AB12" s="45" t="s">
        <v>465</v>
      </c>
      <c r="AC12" s="50">
        <f>SUMIFS(Scoreboard_43[Kills],Scoreboard_43[Guild],"House Regard")</f>
        <v>335</v>
      </c>
      <c r="AD12" s="51">
        <f>SUMIFS(Scoreboard_43[Kills],Scoreboard_43[Guild],"Undercooked")</f>
        <v>269</v>
      </c>
    </row>
    <row r="13" spans="1:30" ht="22.5" customHeight="1" thickBot="1">
      <c r="A13" s="32">
        <v>42</v>
      </c>
      <c r="B13" s="56" t="str">
        <f>VLOOKUP(C13,Lists!I:J,2,FALSE)</f>
        <v>Healer</v>
      </c>
      <c r="C13" s="34" t="str">
        <f>VLOOKUP(E13&amp;D13,Lists!C:E,3,FALSE)</f>
        <v>Wand/Orb</v>
      </c>
      <c r="D13" s="35" t="s">
        <v>28</v>
      </c>
      <c r="E13" s="36" t="s">
        <v>340</v>
      </c>
      <c r="F13" s="35" t="s">
        <v>476</v>
      </c>
      <c r="G13" s="32">
        <v>0</v>
      </c>
      <c r="H13" s="32">
        <v>67</v>
      </c>
      <c r="I13" s="235">
        <v>67</v>
      </c>
      <c r="J13" s="37">
        <v>199505</v>
      </c>
      <c r="K13" s="37">
        <v>178472</v>
      </c>
      <c r="L13" s="37">
        <v>178472</v>
      </c>
      <c r="M13" s="38">
        <f>I13/(HLOOKUP(F13,Team_Composition_23[[#All],[Yellow]:[Red]],10,FALSE)+HLOOKUP(F13,Team_Composition_23[[#All],[Yellow]:[Red]],11,FALSE))</f>
        <v>1.6745813546613347E-2</v>
      </c>
      <c r="N13" s="38">
        <f>J13/HLOOKUP(F13,Team_Composition_23[[#All],[Yellow]:[Red]],6,FALSE)</f>
        <v>4.4970435328375467E-3</v>
      </c>
      <c r="O13" s="38">
        <f>K13/HLOOKUP(F13,Team_Composition_23[[#All],[Yellow]:[Red]],8,FALSE)</f>
        <v>1.018747727793338E-2</v>
      </c>
      <c r="P13" s="38">
        <f>L13/HLOOKUP(F13,Team_Composition_23[[#All],[Yellow]:[Red]],7,FALSE)</f>
        <v>1.3787185469595684E-2</v>
      </c>
      <c r="Q13" s="31"/>
      <c r="R13" s="45" t="s">
        <v>466</v>
      </c>
      <c r="S13" s="46">
        <f>SUMIFS(Scoreboard_43[Assists],Scoreboard_43[Team],"Yellow")</f>
        <v>1262</v>
      </c>
      <c r="T13" s="47">
        <f>SUMIFS(Scoreboard_43[Assists],Scoreboard_43[Team],"Red")</f>
        <v>1336</v>
      </c>
      <c r="U13" s="31"/>
      <c r="V13" s="48" t="str">
        <f ca="1">IFERROR(__xludf.DUMMYFUNCTION("""COMPUTED_VALUE"""),"Ratatouille")</f>
        <v>Ratatouille</v>
      </c>
      <c r="W13" s="49">
        <f ca="1">IFERROR(__xludf.DUMMYFUNCTION("""COMPUTED_VALUE"""),1589775)</f>
        <v>1589775</v>
      </c>
      <c r="X13" s="31"/>
      <c r="Y13" s="48" t="str">
        <f ca="1">IFERROR(__xludf.DUMMYFUNCTION("""COMPUTED_VALUE"""),"Margheritaa")</f>
        <v>Margheritaa</v>
      </c>
      <c r="Z13" s="49">
        <f ca="1">IFERROR(__xludf.DUMMYFUNCTION("""COMPUTED_VALUE"""),832655)</f>
        <v>832655</v>
      </c>
      <c r="AA13" s="31"/>
      <c r="AB13" s="45" t="s">
        <v>466</v>
      </c>
      <c r="AC13" s="50">
        <f>SUMIFS(Scoreboard_43[Kills],Scoreboard_43[Guild],"House Regard")</f>
        <v>335</v>
      </c>
      <c r="AD13" s="51">
        <f>SUMIFS(Scoreboard_43[Assists],Scoreboard_43[Guild],"Undercooked")</f>
        <v>1278</v>
      </c>
    </row>
    <row r="14" spans="1:30" ht="22.5" customHeight="1" thickBot="1">
      <c r="A14" s="32">
        <v>44</v>
      </c>
      <c r="B14" s="57" t="str">
        <f>VLOOKUP(C14,Lists!I:J,2,FALSE)</f>
        <v>Healer</v>
      </c>
      <c r="C14" s="34" t="str">
        <f>VLOOKUP(E14&amp;D14,Lists!C:E,3,FALSE)</f>
        <v>Wand/Orb</v>
      </c>
      <c r="D14" s="35" t="s">
        <v>40</v>
      </c>
      <c r="E14" s="36" t="s">
        <v>146</v>
      </c>
      <c r="F14" s="35" t="s">
        <v>483</v>
      </c>
      <c r="G14" s="32">
        <v>0</v>
      </c>
      <c r="H14" s="32">
        <v>53</v>
      </c>
      <c r="I14" s="236">
        <v>53</v>
      </c>
      <c r="J14" s="37">
        <v>225617</v>
      </c>
      <c r="K14" s="37">
        <v>633299</v>
      </c>
      <c r="L14" s="37">
        <v>633299</v>
      </c>
      <c r="M14" s="38">
        <f>I14/(HLOOKUP(F14,Team_Composition_23[[#All],[Yellow]:[Red]],10,FALSE)+HLOOKUP(F14,Team_Composition_23[[#All],[Yellow]:[Red]],11,FALSE))</f>
        <v>6.4555420219244819E-2</v>
      </c>
      <c r="N14" s="38">
        <f>J14/HLOOKUP(F14,Team_Composition_23[[#All],[Yellow]:[Red]],6,FALSE)</f>
        <v>1.2786161609778864E-2</v>
      </c>
      <c r="O14" s="38">
        <f>K14/HLOOKUP(F14,Team_Composition_23[[#All],[Yellow]:[Red]],8,FALSE)</f>
        <v>1.4387947383968053E-2</v>
      </c>
      <c r="P14" s="38">
        <f>L14/HLOOKUP(F14,Team_Composition_23[[#All],[Yellow]:[Red]],7,FALSE)</f>
        <v>2.6095612613088893E-2</v>
      </c>
      <c r="Q14" s="31"/>
      <c r="R14" s="48"/>
      <c r="S14" s="58">
        <f t="shared" ref="S14:T14" si="0">SUM(S4:S7)</f>
        <v>37</v>
      </c>
      <c r="T14" s="58">
        <f t="shared" si="0"/>
        <v>39</v>
      </c>
      <c r="U14" s="31"/>
      <c r="V14" s="31"/>
      <c r="W14" s="31"/>
      <c r="X14" s="31"/>
      <c r="Y14" s="31"/>
      <c r="Z14" s="31"/>
      <c r="AA14" s="31"/>
      <c r="AB14" s="48"/>
      <c r="AC14" s="58"/>
      <c r="AD14" s="58"/>
    </row>
    <row r="15" spans="1:30" ht="22.5" customHeight="1" thickBot="1">
      <c r="A15" s="32">
        <v>45</v>
      </c>
      <c r="B15" s="40" t="str">
        <f>VLOOKUP(C15,Lists!I:J,2,FALSE)</f>
        <v>Healer</v>
      </c>
      <c r="C15" s="34" t="str">
        <f>VLOOKUP(E15&amp;D15,Lists!C:E,3,FALSE)</f>
        <v>Wand/Orb</v>
      </c>
      <c r="D15" s="35" t="s">
        <v>40</v>
      </c>
      <c r="E15" s="36" t="s">
        <v>151</v>
      </c>
      <c r="F15" s="35" t="s">
        <v>476</v>
      </c>
      <c r="G15" s="32">
        <v>0</v>
      </c>
      <c r="H15" s="32">
        <v>46</v>
      </c>
      <c r="I15" s="235">
        <v>46</v>
      </c>
      <c r="J15" s="37">
        <v>369826</v>
      </c>
      <c r="K15" s="37">
        <v>656170</v>
      </c>
      <c r="L15" s="37">
        <v>656170</v>
      </c>
      <c r="M15" s="38">
        <f>I15/(HLOOKUP(F15,Team_Composition_23[[#All],[Yellow]:[Red]],10,FALSE)+HLOOKUP(F15,Team_Composition_23[[#All],[Yellow]:[Red]],11,FALSE))</f>
        <v>1.1497125718570358E-2</v>
      </c>
      <c r="N15" s="38">
        <f>J15/HLOOKUP(F15,Team_Composition_23[[#All],[Yellow]:[Red]],6,FALSE)</f>
        <v>8.3362503274362985E-3</v>
      </c>
      <c r="O15" s="38">
        <f>K15/HLOOKUP(F15,Team_Composition_23[[#All],[Yellow]:[Red]],8,FALSE)</f>
        <v>3.7455270100976878E-2</v>
      </c>
      <c r="P15" s="38">
        <f>L15/HLOOKUP(F15,Team_Composition_23[[#All],[Yellow]:[Red]],7,FALSE)</f>
        <v>5.068995410812116E-2</v>
      </c>
      <c r="Q15" s="31"/>
      <c r="R15" s="227" t="s">
        <v>25</v>
      </c>
      <c r="S15" s="228"/>
      <c r="T15" s="228"/>
      <c r="U15" s="31"/>
      <c r="V15" s="229" t="s">
        <v>496</v>
      </c>
      <c r="W15" s="228"/>
      <c r="X15" s="31"/>
      <c r="Y15" s="229" t="s">
        <v>497</v>
      </c>
      <c r="Z15" s="228"/>
      <c r="AA15" s="31"/>
      <c r="AB15" s="227" t="s">
        <v>25</v>
      </c>
      <c r="AC15" s="228"/>
      <c r="AD15" s="228"/>
    </row>
    <row r="16" spans="1:30" ht="22.5" customHeight="1" thickBot="1">
      <c r="A16" s="32">
        <v>46</v>
      </c>
      <c r="B16" s="33" t="str">
        <f>VLOOKUP(C16,Lists!I:J,2,FALSE)</f>
        <v>Healer</v>
      </c>
      <c r="C16" s="34" t="str">
        <f>VLOOKUP(E16&amp;D16,Lists!C:E,3,FALSE)</f>
        <v>Wand/Orb</v>
      </c>
      <c r="D16" s="35" t="s">
        <v>28</v>
      </c>
      <c r="E16" s="36" t="s">
        <v>357</v>
      </c>
      <c r="F16" s="35" t="s">
        <v>483</v>
      </c>
      <c r="G16" s="32">
        <v>0</v>
      </c>
      <c r="H16" s="32">
        <v>45</v>
      </c>
      <c r="I16" s="236">
        <v>45</v>
      </c>
      <c r="J16" s="37">
        <v>298728</v>
      </c>
      <c r="K16" s="37">
        <v>527609</v>
      </c>
      <c r="L16" s="37">
        <v>527609</v>
      </c>
      <c r="M16" s="38">
        <f>I16/(HLOOKUP(F16,Team_Composition_23[[#All],[Yellow]:[Red]],10,FALSE)+HLOOKUP(F16,Team_Composition_23[[#All],[Yellow]:[Red]],11,FALSE))</f>
        <v>5.4811205846528627E-2</v>
      </c>
      <c r="N16" s="38">
        <f>J16/HLOOKUP(F16,Team_Composition_23[[#All],[Yellow]:[Red]],6,FALSE)</f>
        <v>1.6929506576924699E-2</v>
      </c>
      <c r="O16" s="38">
        <f>K16/HLOOKUP(F16,Team_Composition_23[[#All],[Yellow]:[Red]],8,FALSE)</f>
        <v>1.1986771700741672E-2</v>
      </c>
      <c r="P16" s="38">
        <f>L16/HLOOKUP(F16,Team_Composition_23[[#All],[Yellow]:[Red]],7,FALSE)</f>
        <v>2.1740568160030598E-2</v>
      </c>
      <c r="Q16" s="31"/>
      <c r="R16" s="41" t="s">
        <v>482</v>
      </c>
      <c r="S16" s="42" t="s">
        <v>476</v>
      </c>
      <c r="T16" s="42" t="s">
        <v>483</v>
      </c>
      <c r="U16" s="31"/>
      <c r="V16" s="43" t="s">
        <v>1</v>
      </c>
      <c r="W16" s="44" t="s">
        <v>498</v>
      </c>
      <c r="X16" s="31"/>
      <c r="Y16" s="43" t="s">
        <v>1</v>
      </c>
      <c r="Z16" s="44" t="s">
        <v>499</v>
      </c>
      <c r="AA16" s="31"/>
      <c r="AB16" s="41" t="s">
        <v>482</v>
      </c>
      <c r="AC16" s="42" t="s">
        <v>485</v>
      </c>
      <c r="AD16" s="42" t="s">
        <v>28</v>
      </c>
    </row>
    <row r="17" spans="1:30" ht="22.5" customHeight="1" thickBot="1">
      <c r="A17" s="32">
        <v>47</v>
      </c>
      <c r="B17" s="59" t="str">
        <f>VLOOKUP(C17,Lists!I:J,2,FALSE)</f>
        <v>Healer</v>
      </c>
      <c r="C17" s="34" t="str">
        <f>VLOOKUP(E17&amp;D17,Lists!C:E,3,FALSE)</f>
        <v>Wand/Orb</v>
      </c>
      <c r="D17" s="35" t="s">
        <v>40</v>
      </c>
      <c r="E17" s="36" t="s">
        <v>96</v>
      </c>
      <c r="F17" s="35" t="s">
        <v>483</v>
      </c>
      <c r="G17" s="32">
        <v>0</v>
      </c>
      <c r="H17" s="32">
        <v>43</v>
      </c>
      <c r="I17" s="235">
        <v>43</v>
      </c>
      <c r="J17" s="37">
        <v>183047</v>
      </c>
      <c r="K17" s="37">
        <v>440447</v>
      </c>
      <c r="L17" s="37">
        <v>440447</v>
      </c>
      <c r="M17" s="38">
        <f>I17/(HLOOKUP(F17,Team_Composition_23[[#All],[Yellow]:[Red]],10,FALSE)+HLOOKUP(F17,Team_Composition_23[[#All],[Yellow]:[Red]],11,FALSE))</f>
        <v>5.2375152253349572E-2</v>
      </c>
      <c r="N17" s="38">
        <f>J17/HLOOKUP(F17,Team_Composition_23[[#All],[Yellow]:[Red]],6,FALSE)</f>
        <v>1.0373635515875097E-2</v>
      </c>
      <c r="O17" s="38">
        <f>K17/HLOOKUP(F17,Team_Composition_23[[#All],[Yellow]:[Red]],8,FALSE)</f>
        <v>1.0006534451225372E-2</v>
      </c>
      <c r="P17" s="38">
        <f>L17/HLOOKUP(F17,Team_Composition_23[[#All],[Yellow]:[Red]],7,FALSE)</f>
        <v>1.8148985374360552E-2</v>
      </c>
      <c r="Q17" s="31"/>
      <c r="R17" s="45" t="s">
        <v>468</v>
      </c>
      <c r="S17" s="46">
        <f>SUMIFS(Scoreboard_43[Damage Dealt],Scoreboard_43[Role],"Melee DPS",Scoreboard_43[Team],"Yellow")</f>
        <v>4801386</v>
      </c>
      <c r="T17" s="47">
        <f>SUMIFS(Scoreboard_43[Damage Dealt],Scoreboard_43[Role],"Melee DPS",Scoreboard_43[Team],"Red")</f>
        <v>4080298</v>
      </c>
      <c r="U17" s="31"/>
      <c r="V17" s="48" t="str">
        <f ca="1">IFERROR(__xludf.DUMMYFUNCTION("query(A1:P238, ""Select E,K Order by K Desc Limit 10"", 0)"),"apgonzo")</f>
        <v>apgonzo</v>
      </c>
      <c r="W17" s="49">
        <f ca="1">IFERROR(__xludf.DUMMYFUNCTION("""COMPUTED_VALUE"""),2498131)</f>
        <v>2498131</v>
      </c>
      <c r="X17" s="31"/>
      <c r="Y17" s="48" t="str">
        <f ca="1">IFERROR(__xludf.DUMMYFUNCTION("query(A1:P238, ""Select E,L Order by L Desc Limit 10"", 0)"),"apgonzo")</f>
        <v>apgonzo</v>
      </c>
      <c r="Z17" s="49">
        <f ca="1">IFERROR(__xludf.DUMMYFUNCTION("""COMPUTED_VALUE"""),2498131)</f>
        <v>2498131</v>
      </c>
      <c r="AA17" s="31"/>
      <c r="AB17" s="45" t="s">
        <v>468</v>
      </c>
      <c r="AC17" s="50">
        <f>SUMIFS(Scoreboard_43[Damage Dealt],Scoreboard_43[Role],"Melee DPS",Scoreboard_43[Guild],"House Regard")</f>
        <v>6100205</v>
      </c>
      <c r="AD17" s="51">
        <f>SUMIFS(Scoreboard_43[Damage Dealt],Scoreboard_43[Role],"Melee DPS",Scoreboard_43[Guild],"Undercooked")</f>
        <v>2781479</v>
      </c>
    </row>
    <row r="18" spans="1:30" ht="22.5" customHeight="1" thickBot="1">
      <c r="A18" s="32">
        <v>48</v>
      </c>
      <c r="B18" s="60" t="str">
        <f>VLOOKUP(C18,Lists!I:J,2,FALSE)</f>
        <v>Healer</v>
      </c>
      <c r="C18" s="34" t="str">
        <f>VLOOKUP(E18&amp;D18,Lists!C:E,3,FALSE)</f>
        <v>Wand/Orb</v>
      </c>
      <c r="D18" s="35" t="s">
        <v>40</v>
      </c>
      <c r="E18" s="36" t="s">
        <v>181</v>
      </c>
      <c r="F18" s="35" t="s">
        <v>476</v>
      </c>
      <c r="G18" s="32">
        <v>0</v>
      </c>
      <c r="H18" s="32">
        <v>43</v>
      </c>
      <c r="I18" s="236">
        <v>43</v>
      </c>
      <c r="J18" s="37">
        <v>170699</v>
      </c>
      <c r="K18" s="37">
        <v>357229</v>
      </c>
      <c r="L18" s="37">
        <v>357229</v>
      </c>
      <c r="M18" s="38">
        <f>I18/(HLOOKUP(F18,Team_Composition_23[[#All],[Yellow]:[Red]],10,FALSE)+HLOOKUP(F18,Team_Composition_23[[#All],[Yellow]:[Red]],11,FALSE))</f>
        <v>1.0747313171707074E-2</v>
      </c>
      <c r="N18" s="38">
        <f>J18/HLOOKUP(F18,Team_Composition_23[[#All],[Yellow]:[Red]],6,FALSE)</f>
        <v>3.8477272951145908E-3</v>
      </c>
      <c r="O18" s="38">
        <f>K18/HLOOKUP(F18,Team_Composition_23[[#All],[Yellow]:[Red]],8,FALSE)</f>
        <v>2.039122282777614E-2</v>
      </c>
      <c r="P18" s="38">
        <f>L18/HLOOKUP(F18,Team_Composition_23[[#All],[Yellow]:[Red]],7,FALSE)</f>
        <v>2.7596387546047541E-2</v>
      </c>
      <c r="Q18" s="31"/>
      <c r="R18" s="45" t="s">
        <v>469</v>
      </c>
      <c r="S18" s="46">
        <f>SUMIFS(Scoreboard_43[Damage Taken],Scoreboard_43[Role],"Melee DPS",Scoreboard_43[Team],"Yellow")</f>
        <v>1023169</v>
      </c>
      <c r="T18" s="47">
        <f>SUMIFS(Scoreboard_43[Damage Taken],Scoreboard_43[Role],"Melee DPS",Scoreboard_43[Team],"Red")</f>
        <v>117029</v>
      </c>
      <c r="U18" s="31"/>
      <c r="V18" s="48" t="str">
        <f ca="1">IFERROR(__xludf.DUMMYFUNCTION("""COMPUTED_VALUE"""),"Z")</f>
        <v>Z</v>
      </c>
      <c r="W18" s="49">
        <f ca="1">IFERROR(__xludf.DUMMYFUNCTION("""COMPUTED_VALUE"""),1801633)</f>
        <v>1801633</v>
      </c>
      <c r="X18" s="31"/>
      <c r="Y18" s="48" t="str">
        <f ca="1">IFERROR(__xludf.DUMMYFUNCTION("""COMPUTED_VALUE"""),"Z")</f>
        <v>Z</v>
      </c>
      <c r="Z18" s="49">
        <f ca="1">IFERROR(__xludf.DUMMYFUNCTION("""COMPUTED_VALUE"""),1801633)</f>
        <v>1801633</v>
      </c>
      <c r="AA18" s="31"/>
      <c r="AB18" s="45" t="s">
        <v>469</v>
      </c>
      <c r="AC18" s="50">
        <f>SUMIFS(Scoreboard_43[Damage Taken],Scoreboard_43[Role],"Melee DPS",Scoreboard_43[Guild],"House Regard")</f>
        <v>144968</v>
      </c>
      <c r="AD18" s="51">
        <f>SUMIFS(Scoreboard_43[Damage Taken],Scoreboard_43[Role],"Melee DPS",Scoreboard_43[Guild],"Undercooked")</f>
        <v>995230</v>
      </c>
    </row>
    <row r="19" spans="1:30" ht="22.5" customHeight="1" thickBot="1">
      <c r="A19" s="32">
        <v>51</v>
      </c>
      <c r="B19" s="61" t="str">
        <f>VLOOKUP(C19,Lists!I:J,2,FALSE)</f>
        <v>Healer</v>
      </c>
      <c r="C19" s="34" t="str">
        <f>VLOOKUP(E19&amp;D19,Lists!C:E,3,FALSE)</f>
        <v>Wand/Orb</v>
      </c>
      <c r="D19" s="35" t="s">
        <v>40</v>
      </c>
      <c r="E19" s="36" t="s">
        <v>144</v>
      </c>
      <c r="F19" s="35" t="s">
        <v>483</v>
      </c>
      <c r="G19" s="32">
        <v>0</v>
      </c>
      <c r="H19" s="32">
        <v>35</v>
      </c>
      <c r="I19" s="235">
        <v>35</v>
      </c>
      <c r="J19" s="37">
        <v>320772</v>
      </c>
      <c r="K19" s="37">
        <v>1014984</v>
      </c>
      <c r="L19" s="37">
        <v>1014984</v>
      </c>
      <c r="M19" s="38">
        <f>I19/(HLOOKUP(F19,Team_Composition_23[[#All],[Yellow]:[Red]],10,FALSE)+HLOOKUP(F19,Team_Composition_23[[#All],[Yellow]:[Red]],11,FALSE))</f>
        <v>4.2630937880633372E-2</v>
      </c>
      <c r="N19" s="38">
        <f>J19/HLOOKUP(F19,Team_Composition_23[[#All],[Yellow]:[Red]],6,FALSE)</f>
        <v>1.8178783655008201E-2</v>
      </c>
      <c r="O19" s="38">
        <f>K19/HLOOKUP(F19,Team_Composition_23[[#All],[Yellow]:[Red]],8,FALSE)</f>
        <v>2.305946541455052E-2</v>
      </c>
      <c r="P19" s="38">
        <f>L19/HLOOKUP(F19,Team_Composition_23[[#All],[Yellow]:[Red]],7,FALSE)</f>
        <v>4.1823260849114585E-2</v>
      </c>
      <c r="Q19" s="31"/>
      <c r="R19" s="45" t="s">
        <v>470</v>
      </c>
      <c r="S19" s="46">
        <f>SUMIFS(Scoreboard_43[Amount Healed],Scoreboard_43[Role],"Melee DPS",Scoreboard_43[Team],"Yellow")</f>
        <v>1023169</v>
      </c>
      <c r="T19" s="47">
        <f>SUMIFS(Scoreboard_43[Amount Healed],Scoreboard_43[Role],"Melee DPS",Scoreboard_43[Team],"Red")</f>
        <v>117029</v>
      </c>
      <c r="U19" s="31"/>
      <c r="V19" s="48" t="str">
        <f ca="1">IFERROR(__xludf.DUMMYFUNCTION("""COMPUTED_VALUE"""),"ShiFood")</f>
        <v>ShiFood</v>
      </c>
      <c r="W19" s="49">
        <f ca="1">IFERROR(__xludf.DUMMYFUNCTION("""COMPUTED_VALUE"""),1618583)</f>
        <v>1618583</v>
      </c>
      <c r="X19" s="31"/>
      <c r="Y19" s="48" t="str">
        <f ca="1">IFERROR(__xludf.DUMMYFUNCTION("""COMPUTED_VALUE"""),"ShiFood")</f>
        <v>ShiFood</v>
      </c>
      <c r="Z19" s="49">
        <f ca="1">IFERROR(__xludf.DUMMYFUNCTION("""COMPUTED_VALUE"""),1618583)</f>
        <v>1618583</v>
      </c>
      <c r="AA19" s="31"/>
      <c r="AB19" s="45" t="s">
        <v>470</v>
      </c>
      <c r="AC19" s="50">
        <f>SUMIFS(Scoreboard_43[Amount Healed],Scoreboard_43[Role],"Melee DPS",Scoreboard_43[Guild],"House Regard")</f>
        <v>144968</v>
      </c>
      <c r="AD19" s="51">
        <f>SUMIFS(Scoreboard_43[Amount Healed],Scoreboard_43[Role],"Melee DPS",Scoreboard_43[Guild],"Undercooked")</f>
        <v>995230</v>
      </c>
    </row>
    <row r="20" spans="1:30" ht="22.5" customHeight="1" thickBot="1">
      <c r="A20" s="32">
        <v>55</v>
      </c>
      <c r="B20" s="62" t="str">
        <f>VLOOKUP(C20,Lists!I:J,2,FALSE)</f>
        <v>Healer</v>
      </c>
      <c r="C20" s="34" t="str">
        <f>VLOOKUP(E20&amp;D20,Lists!C:E,3,FALSE)</f>
        <v>Wand/Orb</v>
      </c>
      <c r="D20" s="35" t="s">
        <v>40</v>
      </c>
      <c r="E20" s="36" t="s">
        <v>153</v>
      </c>
      <c r="F20" s="35" t="s">
        <v>483</v>
      </c>
      <c r="G20" s="32">
        <v>0</v>
      </c>
      <c r="H20" s="32">
        <v>32</v>
      </c>
      <c r="I20" s="236">
        <v>32</v>
      </c>
      <c r="J20" s="37">
        <v>441889</v>
      </c>
      <c r="K20" s="37">
        <v>809053</v>
      </c>
      <c r="L20" s="37">
        <v>809053</v>
      </c>
      <c r="M20" s="38">
        <f>I20/(HLOOKUP(F20,Team_Composition_23[[#All],[Yellow]:[Red]],10,FALSE)+HLOOKUP(F20,Team_Composition_23[[#All],[Yellow]:[Red]],11,FALSE))</f>
        <v>3.8976857490864797E-2</v>
      </c>
      <c r="N20" s="38">
        <f>J20/HLOOKUP(F20,Team_Composition_23[[#All],[Yellow]:[Red]],6,FALSE)</f>
        <v>2.5042723587245519E-2</v>
      </c>
      <c r="O20" s="38">
        <f>K20/HLOOKUP(F20,Team_Composition_23[[#All],[Yellow]:[Red]],8,FALSE)</f>
        <v>1.8380910114877025E-2</v>
      </c>
      <c r="P20" s="38">
        <f>L20/HLOOKUP(F20,Team_Composition_23[[#All],[Yellow]:[Red]],7,FALSE)</f>
        <v>3.3337702525122269E-2</v>
      </c>
      <c r="Q20" s="31"/>
      <c r="R20" s="45" t="s">
        <v>465</v>
      </c>
      <c r="S20" s="46">
        <f>SUMIFS(Scoreboard_43[Kills],Scoreboard_43[Role],"Melee DPS",Scoreboard_43[Team],"Yellow")</f>
        <v>80</v>
      </c>
      <c r="T20" s="47">
        <f>SUMIFS(Scoreboard_43[Kills],Scoreboard_43[Role],"Melee DPS",Scoreboard_43[Team],"Red")</f>
        <v>125</v>
      </c>
      <c r="U20" s="31"/>
      <c r="V20" s="48" t="str">
        <f ca="1">IFERROR(__xludf.DUMMYFUNCTION("""COMPUTED_VALUE"""),"Bunnie")</f>
        <v>Bunnie</v>
      </c>
      <c r="W20" s="49">
        <f ca="1">IFERROR(__xludf.DUMMYFUNCTION("""COMPUTED_VALUE"""),1396898)</f>
        <v>1396898</v>
      </c>
      <c r="X20" s="31"/>
      <c r="Y20" s="48" t="str">
        <f ca="1">IFERROR(__xludf.DUMMYFUNCTION("""COMPUTED_VALUE"""),"Bunnie")</f>
        <v>Bunnie</v>
      </c>
      <c r="Z20" s="49">
        <f ca="1">IFERROR(__xludf.DUMMYFUNCTION("""COMPUTED_VALUE"""),1396898)</f>
        <v>1396898</v>
      </c>
      <c r="AA20" s="31"/>
      <c r="AB20" s="45" t="s">
        <v>465</v>
      </c>
      <c r="AC20" s="50">
        <f>SUMIFS(Scoreboard_43[Kills],Scoreboard_43[Role],"Melee DPS",Scoreboard_43[Guild],"House Regard")</f>
        <v>139</v>
      </c>
      <c r="AD20" s="51">
        <f>SUMIFS(Scoreboard_43[Kills],Scoreboard_43[Role],"Melee DPS",Scoreboard_43[Guild],"Undercooked")</f>
        <v>66</v>
      </c>
    </row>
    <row r="21" spans="1:30" ht="22.5" customHeight="1" thickBot="1">
      <c r="A21" s="32">
        <v>56</v>
      </c>
      <c r="B21" s="40" t="str">
        <f>VLOOKUP(C21,Lists!I:J,2,FALSE)</f>
        <v>Healer</v>
      </c>
      <c r="C21" s="34" t="str">
        <f>VLOOKUP(E21&amp;D21,Lists!C:E,3,FALSE)</f>
        <v>Wand/Orb</v>
      </c>
      <c r="D21" s="35" t="s">
        <v>28</v>
      </c>
      <c r="E21" s="36" t="s">
        <v>389</v>
      </c>
      <c r="F21" s="35" t="s">
        <v>476</v>
      </c>
      <c r="G21" s="32">
        <v>0</v>
      </c>
      <c r="H21" s="32">
        <v>31</v>
      </c>
      <c r="I21" s="235">
        <v>31</v>
      </c>
      <c r="J21" s="37">
        <v>365314</v>
      </c>
      <c r="K21" s="37">
        <v>791872</v>
      </c>
      <c r="L21" s="37">
        <v>791872</v>
      </c>
      <c r="M21" s="38">
        <f>I21/(HLOOKUP(F21,Team_Composition_23[[#All],[Yellow]:[Red]],10,FALSE)+HLOOKUP(F21,Team_Composition_23[[#All],[Yellow]:[Red]],11,FALSE))</f>
        <v>7.7480629842539362E-3</v>
      </c>
      <c r="N21" s="38">
        <f>J21/HLOOKUP(F21,Team_Composition_23[[#All],[Yellow]:[Red]],6,FALSE)</f>
        <v>8.2345453054059586E-3</v>
      </c>
      <c r="O21" s="38">
        <f>K21/HLOOKUP(F21,Team_Composition_23[[#All],[Yellow]:[Red]],8,FALSE)</f>
        <v>4.5201364959386689E-2</v>
      </c>
      <c r="P21" s="38">
        <f>L21/HLOOKUP(F21,Team_Composition_23[[#All],[Yellow]:[Red]],7,FALSE)</f>
        <v>6.1173103524248471E-2</v>
      </c>
      <c r="Q21" s="31"/>
      <c r="R21" s="45" t="s">
        <v>466</v>
      </c>
      <c r="S21" s="46">
        <f>SUMIFS(Scoreboard_43[Assists],Scoreboard_43[Role],"Melee DPS",Scoreboard_43[Team],"Yellow")</f>
        <v>162</v>
      </c>
      <c r="T21" s="47">
        <f>SUMIFS(Scoreboard_43[Assists],Scoreboard_43[Role],"Melee DPS",Scoreboard_43[Team],"Red")</f>
        <v>257</v>
      </c>
      <c r="U21" s="31"/>
      <c r="V21" s="48" t="str">
        <f ca="1">IFERROR(__xludf.DUMMYFUNCTION("""COMPUTED_VALUE"""),"MICTECACIHUATL")</f>
        <v>MICTECACIHUATL</v>
      </c>
      <c r="W21" s="49">
        <f ca="1">IFERROR(__xludf.DUMMYFUNCTION("""COMPUTED_VALUE"""),1384441)</f>
        <v>1384441</v>
      </c>
      <c r="X21" s="31"/>
      <c r="Y21" s="48" t="str">
        <f ca="1">IFERROR(__xludf.DUMMYFUNCTION("""COMPUTED_VALUE"""),"MICTECACIHUATL")</f>
        <v>MICTECACIHUATL</v>
      </c>
      <c r="Z21" s="49">
        <f ca="1">IFERROR(__xludf.DUMMYFUNCTION("""COMPUTED_VALUE"""),1384441)</f>
        <v>1384441</v>
      </c>
      <c r="AA21" s="31"/>
      <c r="AB21" s="45" t="s">
        <v>466</v>
      </c>
      <c r="AC21" s="50">
        <f>SUMIFS(Scoreboard_43[Assists],Scoreboard_43[Role],"Melee DPS",Scoreboard_43[Guild],"House Regard")</f>
        <v>249</v>
      </c>
      <c r="AD21" s="51">
        <f>SUMIFS(Scoreboard_43[Assists],Scoreboard_43[Role],"Melee DPS",Scoreboard_43[Guild],"Undercooked")</f>
        <v>170</v>
      </c>
    </row>
    <row r="22" spans="1:30" ht="22.5" customHeight="1" thickBot="1">
      <c r="A22" s="32">
        <v>58</v>
      </c>
      <c r="B22" s="33" t="str">
        <f>VLOOKUP(C22,Lists!I:J,2,FALSE)</f>
        <v>Healer</v>
      </c>
      <c r="C22" s="34" t="str">
        <f>VLOOKUP(E22&amp;D22,Lists!C:E,3,FALSE)</f>
        <v>Wand/Orb</v>
      </c>
      <c r="D22" s="35" t="s">
        <v>40</v>
      </c>
      <c r="E22" s="36" t="s">
        <v>91</v>
      </c>
      <c r="F22" s="35" t="s">
        <v>476</v>
      </c>
      <c r="G22" s="32">
        <v>0</v>
      </c>
      <c r="H22" s="32">
        <v>29</v>
      </c>
      <c r="I22" s="236">
        <v>29</v>
      </c>
      <c r="J22" s="37">
        <v>509347</v>
      </c>
      <c r="K22" s="37">
        <v>1269253</v>
      </c>
      <c r="L22" s="37">
        <v>1269253</v>
      </c>
      <c r="M22" s="38">
        <f>I22/(HLOOKUP(F22,Team_Composition_23[[#All],[Yellow]:[Red]],10,FALSE)+HLOOKUP(F22,Team_Composition_23[[#All],[Yellow]:[Red]],11,FALSE))</f>
        <v>7.2481879530117473E-3</v>
      </c>
      <c r="N22" s="38">
        <f>J22/HLOOKUP(F22,Team_Composition_23[[#All],[Yellow]:[Red]],6,FALSE)</f>
        <v>1.1481194117040705E-2</v>
      </c>
      <c r="O22" s="38">
        <f>K22/HLOOKUP(F22,Team_Composition_23[[#All],[Yellow]:[Red]],8,FALSE)</f>
        <v>7.2451062897534488E-2</v>
      </c>
      <c r="P22" s="38">
        <f>L22/HLOOKUP(F22,Team_Composition_23[[#All],[Yellow]:[Red]],7,FALSE)</f>
        <v>9.8051383515849716E-2</v>
      </c>
      <c r="Q22" s="31"/>
      <c r="R22" s="45" t="s">
        <v>24</v>
      </c>
      <c r="S22" s="46">
        <f t="shared" ref="S22:S25" si="1">COUNTIFS(C:C,R22,F:F,"Yellow")</f>
        <v>0</v>
      </c>
      <c r="T22" s="47">
        <f t="shared" ref="T22:T25" si="2">COUNTIFS(C:C,R22,F:F,"Red")</f>
        <v>2</v>
      </c>
      <c r="U22" s="31"/>
      <c r="V22" s="48" t="str">
        <f ca="1">IFERROR(__xludf.DUMMYFUNCTION("""COMPUTED_VALUE"""),"Purple")</f>
        <v>Purple</v>
      </c>
      <c r="W22" s="49">
        <f ca="1">IFERROR(__xludf.DUMMYFUNCTION("""COMPUTED_VALUE"""),1269253)</f>
        <v>1269253</v>
      </c>
      <c r="X22" s="31"/>
      <c r="Y22" s="48" t="str">
        <f ca="1">IFERROR(__xludf.DUMMYFUNCTION("""COMPUTED_VALUE"""),"Purple")</f>
        <v>Purple</v>
      </c>
      <c r="Z22" s="49">
        <f ca="1">IFERROR(__xludf.DUMMYFUNCTION("""COMPUTED_VALUE"""),1269253)</f>
        <v>1269253</v>
      </c>
      <c r="AA22" s="31"/>
      <c r="AB22" s="45" t="s">
        <v>24</v>
      </c>
      <c r="AC22" s="50">
        <f t="shared" ref="AC22:AC25" si="3">COUNTIFS(C:C,AB22,D:D,"House Regard")</f>
        <v>1</v>
      </c>
      <c r="AD22" s="51">
        <f t="shared" ref="AD22:AD25" si="4">COUNTIFS(C:C,AB22,D:D,"Undercooked")</f>
        <v>1</v>
      </c>
    </row>
    <row r="23" spans="1:30" ht="22.5" customHeight="1" thickBot="1">
      <c r="A23" s="32">
        <v>59</v>
      </c>
      <c r="B23" s="54" t="str">
        <f>VLOOKUP(C23,Lists!I:J,2,FALSE)</f>
        <v>Healer</v>
      </c>
      <c r="C23" s="34" t="str">
        <f>VLOOKUP(E23&amp;D23,Lists!C:E,3,FALSE)</f>
        <v>Wand/Orb</v>
      </c>
      <c r="D23" s="35" t="s">
        <v>28</v>
      </c>
      <c r="E23" s="36" t="s">
        <v>387</v>
      </c>
      <c r="F23" s="35" t="s">
        <v>483</v>
      </c>
      <c r="G23" s="32">
        <v>0</v>
      </c>
      <c r="H23" s="32">
        <v>29</v>
      </c>
      <c r="I23" s="235">
        <v>29</v>
      </c>
      <c r="J23" s="37">
        <v>202004</v>
      </c>
      <c r="K23" s="37">
        <v>613719</v>
      </c>
      <c r="L23" s="37">
        <v>613719</v>
      </c>
      <c r="M23" s="38">
        <f>I23/(HLOOKUP(F23,Team_Composition_23[[#All],[Yellow]:[Red]],10,FALSE)+HLOOKUP(F23,Team_Composition_23[[#All],[Yellow]:[Red]],11,FALSE))</f>
        <v>3.5322777101096221E-2</v>
      </c>
      <c r="N23" s="38">
        <f>J23/HLOOKUP(F23,Team_Composition_23[[#All],[Yellow]:[Red]],6,FALSE)</f>
        <v>1.1447966198565576E-2</v>
      </c>
      <c r="O23" s="38">
        <f>K23/HLOOKUP(F23,Team_Composition_23[[#All],[Yellow]:[Red]],8,FALSE)</f>
        <v>1.3943108516737733E-2</v>
      </c>
      <c r="P23" s="38">
        <f>L23/HLOOKUP(F23,Team_Composition_23[[#All],[Yellow]:[Red]],7,FALSE)</f>
        <v>2.5288802409750059E-2</v>
      </c>
      <c r="Q23" s="31"/>
      <c r="R23" s="45" t="s">
        <v>69</v>
      </c>
      <c r="S23" s="46">
        <f t="shared" si="1"/>
        <v>2</v>
      </c>
      <c r="T23" s="47">
        <f t="shared" si="2"/>
        <v>3</v>
      </c>
      <c r="U23" s="31"/>
      <c r="V23" s="48" t="str">
        <f ca="1">IFERROR(__xludf.DUMMYFUNCTION("""COMPUTED_VALUE"""),"Biscuit")</f>
        <v>Biscuit</v>
      </c>
      <c r="W23" s="49">
        <f ca="1">IFERROR(__xludf.DUMMYFUNCTION("""COMPUTED_VALUE"""),1227758)</f>
        <v>1227758</v>
      </c>
      <c r="X23" s="31"/>
      <c r="Y23" s="48" t="str">
        <f ca="1">IFERROR(__xludf.DUMMYFUNCTION("""COMPUTED_VALUE"""),"Biscuit")</f>
        <v>Biscuit</v>
      </c>
      <c r="Z23" s="49">
        <f ca="1">IFERROR(__xludf.DUMMYFUNCTION("""COMPUTED_VALUE"""),1227758)</f>
        <v>1227758</v>
      </c>
      <c r="AA23" s="31"/>
      <c r="AB23" s="45" t="s">
        <v>69</v>
      </c>
      <c r="AC23" s="50">
        <f t="shared" si="3"/>
        <v>2</v>
      </c>
      <c r="AD23" s="51">
        <f t="shared" si="4"/>
        <v>3</v>
      </c>
    </row>
    <row r="24" spans="1:30" ht="22.5" customHeight="1" thickBot="1">
      <c r="A24" s="32">
        <v>60</v>
      </c>
      <c r="B24" s="57" t="str">
        <f>VLOOKUP(C24,Lists!I:J,2,FALSE)</f>
        <v>Healer</v>
      </c>
      <c r="C24" s="34" t="str">
        <f>VLOOKUP(E24&amp;D24,Lists!C:E,3,FALSE)</f>
        <v>Wand/Orb</v>
      </c>
      <c r="D24" s="35" t="s">
        <v>28</v>
      </c>
      <c r="E24" s="36" t="s">
        <v>377</v>
      </c>
      <c r="F24" s="35" t="s">
        <v>483</v>
      </c>
      <c r="G24" s="32">
        <v>0</v>
      </c>
      <c r="H24" s="32">
        <v>28</v>
      </c>
      <c r="I24" s="236">
        <v>28</v>
      </c>
      <c r="J24" s="37">
        <v>273506</v>
      </c>
      <c r="K24" s="37">
        <v>718690</v>
      </c>
      <c r="L24" s="37">
        <v>718690</v>
      </c>
      <c r="M24" s="38">
        <f>I24/(HLOOKUP(F24,Team_Composition_23[[#All],[Yellow]:[Red]],10,FALSE)+HLOOKUP(F24,Team_Composition_23[[#All],[Yellow]:[Red]],11,FALSE))</f>
        <v>3.4104750304506701E-2</v>
      </c>
      <c r="N24" s="38">
        <f>J24/HLOOKUP(F24,Team_Composition_23[[#All],[Yellow]:[Red]],6,FALSE)</f>
        <v>1.5500125953470606E-2</v>
      </c>
      <c r="O24" s="38">
        <f>K24/HLOOKUP(F24,Team_Composition_23[[#All],[Yellow]:[Red]],8,FALSE)</f>
        <v>1.6327949207852847E-2</v>
      </c>
      <c r="P24" s="38">
        <f>L24/HLOOKUP(F24,Team_Composition_23[[#All],[Yellow]:[Red]],7,FALSE)</f>
        <v>2.9614219869131101E-2</v>
      </c>
      <c r="Q24" s="31"/>
      <c r="R24" s="45" t="s">
        <v>23</v>
      </c>
      <c r="S24" s="46">
        <f t="shared" si="1"/>
        <v>4</v>
      </c>
      <c r="T24" s="47">
        <f t="shared" si="2"/>
        <v>3</v>
      </c>
      <c r="U24" s="31"/>
      <c r="V24" s="48" t="str">
        <f ca="1">IFERROR(__xludf.DUMMYFUNCTION("""COMPUTED_VALUE"""),"Reinnier")</f>
        <v>Reinnier</v>
      </c>
      <c r="W24" s="49">
        <f ca="1">IFERROR(__xludf.DUMMYFUNCTION("""COMPUTED_VALUE"""),1189910)</f>
        <v>1189910</v>
      </c>
      <c r="X24" s="31"/>
      <c r="Y24" s="48" t="str">
        <f ca="1">IFERROR(__xludf.DUMMYFUNCTION("""COMPUTED_VALUE"""),"Reinnier")</f>
        <v>Reinnier</v>
      </c>
      <c r="Z24" s="49">
        <f ca="1">IFERROR(__xludf.DUMMYFUNCTION("""COMPUTED_VALUE"""),1189910)</f>
        <v>1189910</v>
      </c>
      <c r="AA24" s="31"/>
      <c r="AB24" s="45" t="s">
        <v>23</v>
      </c>
      <c r="AC24" s="50">
        <f t="shared" si="3"/>
        <v>4</v>
      </c>
      <c r="AD24" s="51">
        <f t="shared" si="4"/>
        <v>3</v>
      </c>
    </row>
    <row r="25" spans="1:30" ht="22.5" customHeight="1" thickBot="1">
      <c r="A25" s="32">
        <v>66</v>
      </c>
      <c r="B25" s="52" t="str">
        <f>VLOOKUP(C25,Lists!I:J,2,FALSE)</f>
        <v>Healer</v>
      </c>
      <c r="C25" s="34" t="str">
        <f>VLOOKUP(E25&amp;D25,Lists!C:E,3,FALSE)</f>
        <v>Wand/Orb</v>
      </c>
      <c r="D25" s="35" t="s">
        <v>40</v>
      </c>
      <c r="E25" s="36" t="s">
        <v>168</v>
      </c>
      <c r="F25" s="35" t="s">
        <v>476</v>
      </c>
      <c r="G25" s="32">
        <v>0</v>
      </c>
      <c r="H25" s="32">
        <v>23</v>
      </c>
      <c r="I25" s="235">
        <v>23</v>
      </c>
      <c r="J25" s="37">
        <v>211921</v>
      </c>
      <c r="K25" s="37">
        <v>432564</v>
      </c>
      <c r="L25" s="37">
        <v>432564</v>
      </c>
      <c r="M25" s="38">
        <f>I25/(HLOOKUP(F25,Team_Composition_23[[#All],[Yellow]:[Red]],10,FALSE)+HLOOKUP(F25,Team_Composition_23[[#All],[Yellow]:[Red]],11,FALSE))</f>
        <v>5.7485628592851791E-3</v>
      </c>
      <c r="N25" s="38">
        <f>J25/HLOOKUP(F25,Team_Composition_23[[#All],[Yellow]:[Red]],6,FALSE)</f>
        <v>4.7769126714742273E-3</v>
      </c>
      <c r="O25" s="38">
        <f>K25/HLOOKUP(F25,Team_Composition_23[[#All],[Yellow]:[Red]],8,FALSE)</f>
        <v>2.46914693691558E-2</v>
      </c>
      <c r="P25" s="38">
        <f>L25/HLOOKUP(F25,Team_Composition_23[[#All],[Yellow]:[Red]],7,FALSE)</f>
        <v>3.3416110625029069E-2</v>
      </c>
      <c r="Q25" s="31"/>
      <c r="R25" s="45" t="s">
        <v>33</v>
      </c>
      <c r="S25" s="46">
        <f t="shared" si="1"/>
        <v>0</v>
      </c>
      <c r="T25" s="47">
        <f t="shared" si="2"/>
        <v>0</v>
      </c>
      <c r="U25" s="31"/>
      <c r="V25" s="48" t="str">
        <f ca="1">IFERROR(__xludf.DUMMYFUNCTION("""COMPUTED_VALUE"""),"syrup")</f>
        <v>syrup</v>
      </c>
      <c r="W25" s="49">
        <f ca="1">IFERROR(__xludf.DUMMYFUNCTION("""COMPUTED_VALUE"""),1066213)</f>
        <v>1066213</v>
      </c>
      <c r="X25" s="31"/>
      <c r="Y25" s="48" t="str">
        <f ca="1">IFERROR(__xludf.DUMMYFUNCTION("""COMPUTED_VALUE"""),"syrup")</f>
        <v>syrup</v>
      </c>
      <c r="Z25" s="49">
        <f ca="1">IFERROR(__xludf.DUMMYFUNCTION("""COMPUTED_VALUE"""),1066213)</f>
        <v>1066213</v>
      </c>
      <c r="AA25" s="31"/>
      <c r="AB25" s="45" t="s">
        <v>33</v>
      </c>
      <c r="AC25" s="50">
        <f t="shared" si="3"/>
        <v>0</v>
      </c>
      <c r="AD25" s="51">
        <f t="shared" si="4"/>
        <v>0</v>
      </c>
    </row>
    <row r="26" spans="1:30" ht="22.5" customHeight="1" thickBot="1">
      <c r="A26" s="32">
        <v>70</v>
      </c>
      <c r="B26" s="55" t="str">
        <f>VLOOKUP(C26,Lists!I:J,2,FALSE)</f>
        <v>Healer</v>
      </c>
      <c r="C26" s="34" t="str">
        <f>VLOOKUP(E26&amp;D26,Lists!C:E,3,FALSE)</f>
        <v>Wand/Orb</v>
      </c>
      <c r="D26" s="35" t="s">
        <v>28</v>
      </c>
      <c r="E26" s="36" t="s">
        <v>343</v>
      </c>
      <c r="F26" s="35" t="s">
        <v>483</v>
      </c>
      <c r="G26" s="32">
        <v>0</v>
      </c>
      <c r="H26" s="32">
        <v>19</v>
      </c>
      <c r="I26" s="236">
        <v>19</v>
      </c>
      <c r="J26" s="37">
        <v>255452</v>
      </c>
      <c r="K26" s="37">
        <v>253114</v>
      </c>
      <c r="L26" s="37">
        <v>253114</v>
      </c>
      <c r="M26" s="38">
        <f>I26/(HLOOKUP(F26,Team_Composition_23[[#All],[Yellow]:[Red]],10,FALSE)+HLOOKUP(F26,Team_Composition_23[[#All],[Yellow]:[Red]],11,FALSE))</f>
        <v>2.3142509135200974E-2</v>
      </c>
      <c r="N26" s="38">
        <f>J26/HLOOKUP(F26,Team_Composition_23[[#All],[Yellow]:[Red]],6,FALSE)</f>
        <v>1.4476970066711418E-2</v>
      </c>
      <c r="O26" s="38">
        <f>K26/HLOOKUP(F26,Team_Composition_23[[#All],[Yellow]:[Red]],8,FALSE)</f>
        <v>5.7505079182908697E-3</v>
      </c>
      <c r="P26" s="38">
        <f>L26/HLOOKUP(F26,Team_Composition_23[[#All],[Yellow]:[Red]],7,FALSE)</f>
        <v>1.0429773126042173E-2</v>
      </c>
      <c r="Q26" s="31"/>
      <c r="R26" s="48"/>
      <c r="S26" s="63"/>
      <c r="T26" s="63"/>
      <c r="U26" s="31"/>
      <c r="V26" s="48" t="str">
        <f ca="1">IFERROR(__xludf.DUMMYFUNCTION("""COMPUTED_VALUE"""),"EgirlWaifu")</f>
        <v>EgirlWaifu</v>
      </c>
      <c r="W26" s="49">
        <f ca="1">IFERROR(__xludf.DUMMYFUNCTION("""COMPUTED_VALUE"""),1024031)</f>
        <v>1024031</v>
      </c>
      <c r="X26" s="31"/>
      <c r="Y26" s="48" t="str">
        <f ca="1">IFERROR(__xludf.DUMMYFUNCTION("""COMPUTED_VALUE"""),"EgirlWaifu")</f>
        <v>EgirlWaifu</v>
      </c>
      <c r="Z26" s="49">
        <f ca="1">IFERROR(__xludf.DUMMYFUNCTION("""COMPUTED_VALUE"""),1024031)</f>
        <v>1024031</v>
      </c>
      <c r="AA26" s="31"/>
      <c r="AB26" s="48"/>
      <c r="AC26" s="63"/>
      <c r="AD26" s="63"/>
    </row>
    <row r="27" spans="1:30" ht="22.5" customHeight="1" thickBot="1">
      <c r="A27" s="32">
        <v>72</v>
      </c>
      <c r="B27" s="52" t="str">
        <f>VLOOKUP(C27,Lists!I:J,2,FALSE)</f>
        <v>Healer</v>
      </c>
      <c r="C27" s="34" t="str">
        <f>VLOOKUP(E27&amp;D27,Lists!C:E,3,FALSE)</f>
        <v>Wand/Orb</v>
      </c>
      <c r="D27" s="35" t="s">
        <v>28</v>
      </c>
      <c r="E27" s="36" t="s">
        <v>386</v>
      </c>
      <c r="F27" s="35" t="s">
        <v>483</v>
      </c>
      <c r="G27" s="32">
        <v>0</v>
      </c>
      <c r="H27" s="32">
        <v>17</v>
      </c>
      <c r="I27" s="235">
        <v>17</v>
      </c>
      <c r="J27" s="37">
        <v>230041</v>
      </c>
      <c r="K27" s="37">
        <v>249907</v>
      </c>
      <c r="L27" s="37">
        <v>249907</v>
      </c>
      <c r="M27" s="38">
        <f>I27/(HLOOKUP(F27,Team_Composition_23[[#All],[Yellow]:[Red]],10,FALSE)+HLOOKUP(F27,Team_Composition_23[[#All],[Yellow]:[Red]],11,FALSE))</f>
        <v>2.0706455542021926E-2</v>
      </c>
      <c r="N27" s="38">
        <f>J27/HLOOKUP(F27,Team_Composition_23[[#All],[Yellow]:[Red]],6,FALSE)</f>
        <v>1.3036878439457751E-2</v>
      </c>
      <c r="O27" s="38">
        <f>K27/HLOOKUP(F27,Team_Composition_23[[#All],[Yellow]:[Red]],8,FALSE)</f>
        <v>5.677647946523371E-3</v>
      </c>
      <c r="P27" s="38">
        <f>L27/HLOOKUP(F27,Team_Composition_23[[#All],[Yellow]:[Red]],7,FALSE)</f>
        <v>1.0297626020725132E-2</v>
      </c>
      <c r="Q27" s="31"/>
      <c r="R27" s="31"/>
      <c r="S27" s="64"/>
      <c r="T27" s="64"/>
      <c r="U27" s="31"/>
      <c r="V27" s="31"/>
      <c r="W27" s="31"/>
      <c r="X27" s="31"/>
      <c r="Y27" s="31"/>
      <c r="Z27" s="31"/>
      <c r="AA27" s="31"/>
      <c r="AB27" s="31"/>
      <c r="AC27" s="64"/>
      <c r="AD27" s="64"/>
    </row>
    <row r="28" spans="1:30" ht="22.5" customHeight="1" thickBot="1">
      <c r="A28" s="32">
        <v>77</v>
      </c>
      <c r="B28" s="33" t="str">
        <f>VLOOKUP(C28,Lists!I:J,2,FALSE)</f>
        <v>Healer</v>
      </c>
      <c r="C28" s="34" t="str">
        <f>VLOOKUP(E28&amp;D28,Lists!C:E,3,FALSE)</f>
        <v>Wand/Orb</v>
      </c>
      <c r="D28" s="35" t="s">
        <v>28</v>
      </c>
      <c r="E28" s="36" t="s">
        <v>382</v>
      </c>
      <c r="F28" s="35" t="s">
        <v>483</v>
      </c>
      <c r="G28" s="32">
        <v>0</v>
      </c>
      <c r="H28" s="32">
        <v>14</v>
      </c>
      <c r="I28" s="236">
        <v>14</v>
      </c>
      <c r="J28" s="37">
        <v>287962</v>
      </c>
      <c r="K28" s="37">
        <v>423831</v>
      </c>
      <c r="L28" s="37">
        <v>423831</v>
      </c>
      <c r="M28" s="38">
        <f>I28/(HLOOKUP(F28,Team_Composition_23[[#All],[Yellow]:[Red]],10,FALSE)+HLOOKUP(F28,Team_Composition_23[[#All],[Yellow]:[Red]],11,FALSE))</f>
        <v>1.705237515225335E-2</v>
      </c>
      <c r="N28" s="38">
        <f>J28/HLOOKUP(F28,Team_Composition_23[[#All],[Yellow]:[Red]],6,FALSE)</f>
        <v>1.6319376064193484E-2</v>
      </c>
      <c r="O28" s="38">
        <f>K28/HLOOKUP(F28,Team_Composition_23[[#All],[Yellow]:[Red]],8,FALSE)</f>
        <v>9.6290348282478955E-3</v>
      </c>
      <c r="P28" s="38">
        <f>L28/HLOOKUP(F28,Team_Composition_23[[#All],[Yellow]:[Red]],7,FALSE)</f>
        <v>1.7464309259004166E-2</v>
      </c>
      <c r="Q28" s="31"/>
      <c r="R28" s="227" t="s">
        <v>39</v>
      </c>
      <c r="S28" s="228"/>
      <c r="T28" s="228"/>
      <c r="U28" s="31"/>
      <c r="V28" s="31"/>
      <c r="W28" s="31"/>
      <c r="X28" s="31"/>
      <c r="Y28" s="31"/>
      <c r="Z28" s="31"/>
      <c r="AA28" s="31"/>
      <c r="AB28" s="227" t="s">
        <v>39</v>
      </c>
      <c r="AC28" s="228"/>
      <c r="AD28" s="228"/>
    </row>
    <row r="29" spans="1:30" ht="22.5" customHeight="1" thickBot="1">
      <c r="A29" s="32">
        <v>96</v>
      </c>
      <c r="B29" s="65" t="str">
        <f>VLOOKUP(C29,Lists!I:J,2,FALSE)</f>
        <v>Healer</v>
      </c>
      <c r="C29" s="34" t="str">
        <f>VLOOKUP(E29&amp;D29,Lists!C:E,3,FALSE)</f>
        <v>Wand/Orb</v>
      </c>
      <c r="D29" s="35" t="s">
        <v>28</v>
      </c>
      <c r="E29" s="36" t="s">
        <v>392</v>
      </c>
      <c r="F29" s="35" t="s">
        <v>476</v>
      </c>
      <c r="G29" s="32">
        <v>0</v>
      </c>
      <c r="H29" s="32">
        <v>2</v>
      </c>
      <c r="I29" s="235">
        <v>2</v>
      </c>
      <c r="J29" s="37">
        <v>188226</v>
      </c>
      <c r="K29" s="37">
        <v>473617</v>
      </c>
      <c r="L29" s="37">
        <v>473617</v>
      </c>
      <c r="M29" s="38">
        <f>I29/(HLOOKUP(F29,Team_Composition_23[[#All],[Yellow]:[Red]],10,FALSE)+HLOOKUP(F29,Team_Composition_23[[#All],[Yellow]:[Red]],11,FALSE))</f>
        <v>4.9987503124218949E-4</v>
      </c>
      <c r="N29" s="38">
        <f>J29/HLOOKUP(F29,Team_Composition_23[[#All],[Yellow]:[Red]],6,FALSE)</f>
        <v>4.2428035187683519E-3</v>
      </c>
      <c r="O29" s="38">
        <f>K29/HLOOKUP(F29,Team_Composition_23[[#All],[Yellow]:[Red]],8,FALSE)</f>
        <v>2.7034842585632331E-2</v>
      </c>
      <c r="P29" s="38">
        <f>L29/HLOOKUP(F29,Team_Composition_23[[#All],[Yellow]:[Red]],7,FALSE)</f>
        <v>3.6587506278595514E-2</v>
      </c>
      <c r="Q29" s="31"/>
      <c r="R29" s="41" t="s">
        <v>482</v>
      </c>
      <c r="S29" s="42" t="s">
        <v>476</v>
      </c>
      <c r="T29" s="42" t="s">
        <v>483</v>
      </c>
      <c r="U29" s="31"/>
      <c r="V29" s="31"/>
      <c r="W29" s="31"/>
      <c r="X29" s="31"/>
      <c r="Y29" s="31"/>
      <c r="Z29" s="31"/>
      <c r="AA29" s="31"/>
      <c r="AB29" s="41" t="s">
        <v>482</v>
      </c>
      <c r="AC29" s="42" t="s">
        <v>485</v>
      </c>
      <c r="AD29" s="42" t="s">
        <v>28</v>
      </c>
    </row>
    <row r="30" spans="1:30" ht="22.5" customHeight="1" thickBot="1">
      <c r="A30" s="32">
        <v>41</v>
      </c>
      <c r="B30" s="55" t="str">
        <f>VLOOKUP(C30,Lists!I:J,2,FALSE)</f>
        <v>Healer</v>
      </c>
      <c r="C30" s="34" t="str">
        <f>VLOOKUP(E30&amp;D30,Lists!C:E,3,FALSE)</f>
        <v>Wand/Longbow</v>
      </c>
      <c r="D30" s="35" t="s">
        <v>28</v>
      </c>
      <c r="E30" s="36" t="s">
        <v>338</v>
      </c>
      <c r="F30" s="35" t="s">
        <v>476</v>
      </c>
      <c r="G30" s="32">
        <v>0</v>
      </c>
      <c r="H30" s="32">
        <v>74</v>
      </c>
      <c r="I30" s="236">
        <v>74</v>
      </c>
      <c r="J30" s="37">
        <v>108368</v>
      </c>
      <c r="K30" s="37">
        <v>1227758</v>
      </c>
      <c r="L30" s="37">
        <v>1227758</v>
      </c>
      <c r="M30" s="38">
        <f>I30/(HLOOKUP(F30,Team_Composition_23[[#All],[Yellow]:[Red]],10,FALSE)+HLOOKUP(F30,Team_Composition_23[[#All],[Yellow]:[Red]],11,FALSE))</f>
        <v>1.8495376155961009E-2</v>
      </c>
      <c r="N30" s="38">
        <f>J30/HLOOKUP(F30,Team_Composition_23[[#All],[Yellow]:[Red]],6,FALSE)</f>
        <v>2.4427238092606164E-3</v>
      </c>
      <c r="O30" s="38">
        <f>K30/HLOOKUP(F30,Team_Composition_23[[#All],[Yellow]:[Red]],8,FALSE)</f>
        <v>7.0082459589184465E-2</v>
      </c>
      <c r="P30" s="38">
        <f>L30/HLOOKUP(F30,Team_Composition_23[[#All],[Yellow]:[Red]],7,FALSE)</f>
        <v>9.4845842808843173E-2</v>
      </c>
      <c r="Q30" s="31"/>
      <c r="R30" s="45" t="s">
        <v>468</v>
      </c>
      <c r="S30" s="46">
        <f>SUMIFS(Scoreboard_43[Damage Dealt],Scoreboard_43[Role],"Ranged DPS",Scoreboard_43[Team],"Yellow")</f>
        <v>2948867</v>
      </c>
      <c r="T30" s="47">
        <f>SUMIFS(Scoreboard_43[Damage Dealt],Scoreboard_43[Role],"Ranged DPS",Scoreboard_43[Team],"Red")</f>
        <v>3191188</v>
      </c>
      <c r="U30" s="31"/>
      <c r="V30" s="31"/>
      <c r="W30" s="31"/>
      <c r="X30" s="31"/>
      <c r="Y30" s="31"/>
      <c r="Z30" s="31"/>
      <c r="AA30" s="31"/>
      <c r="AB30" s="45" t="s">
        <v>468</v>
      </c>
      <c r="AC30" s="50">
        <f>SUMIFS(Scoreboard_43[Damage Dealt],Scoreboard_43[Role],"Ranged DPS",Scoreboard_43[Guild],"House Regard")</f>
        <v>3672513</v>
      </c>
      <c r="AD30" s="51">
        <f>SUMIFS(Scoreboard_43[Damage Dealt],Scoreboard_43[Role],"Ranged DPS",Scoreboard_43[Guild],"Undercooked")</f>
        <v>2467542</v>
      </c>
    </row>
    <row r="31" spans="1:30" ht="22.5" customHeight="1" thickBot="1">
      <c r="A31" s="32">
        <v>43</v>
      </c>
      <c r="B31" s="59" t="str">
        <f>VLOOKUP(C31,Lists!I:J,2,FALSE)</f>
        <v>Healer</v>
      </c>
      <c r="C31" s="34" t="str">
        <f>VLOOKUP(E31&amp;D31,Lists!C:E,3,FALSE)</f>
        <v>Wand/Longbow</v>
      </c>
      <c r="D31" s="35" t="s">
        <v>40</v>
      </c>
      <c r="E31" s="36" t="s">
        <v>149</v>
      </c>
      <c r="F31" s="35" t="s">
        <v>483</v>
      </c>
      <c r="G31" s="32">
        <v>0</v>
      </c>
      <c r="H31" s="32">
        <v>65</v>
      </c>
      <c r="I31" s="235">
        <v>65</v>
      </c>
      <c r="J31" s="37">
        <v>491494</v>
      </c>
      <c r="K31" s="37">
        <v>1801633</v>
      </c>
      <c r="L31" s="37">
        <v>1801633</v>
      </c>
      <c r="M31" s="38">
        <f>I31/(HLOOKUP(F31,Team_Composition_23[[#All],[Yellow]:[Red]],10,FALSE)+HLOOKUP(F31,Team_Composition_23[[#All],[Yellow]:[Red]],11,FALSE))</f>
        <v>7.9171741778319121E-2</v>
      </c>
      <c r="N31" s="38">
        <f>J31/HLOOKUP(F31,Team_Composition_23[[#All],[Yellow]:[Red]],6,FALSE)</f>
        <v>2.7853937044800048E-2</v>
      </c>
      <c r="O31" s="38">
        <f>K31/HLOOKUP(F31,Team_Composition_23[[#All],[Yellow]:[Red]],8,FALSE)</f>
        <v>4.0931378084002205E-2</v>
      </c>
      <c r="P31" s="38">
        <f>L31/HLOOKUP(F31,Team_Composition_23[[#All],[Yellow]:[Red]],7,FALSE)</f>
        <v>7.4237787899486943E-2</v>
      </c>
      <c r="Q31" s="31"/>
      <c r="R31" s="45" t="s">
        <v>469</v>
      </c>
      <c r="S31" s="46">
        <f>SUMIFS(Scoreboard_43[Damage Taken],Scoreboard_43[Role],"Ranged DPS",Scoreboard_43[Team],"Yellow")</f>
        <v>65007</v>
      </c>
      <c r="T31" s="47">
        <f>SUMIFS(Scoreboard_43[Damage Taken],Scoreboard_43[Role],"Ranged DPS",Scoreboard_43[Team],"Red")</f>
        <v>167566</v>
      </c>
      <c r="U31" s="31"/>
      <c r="V31" s="31"/>
      <c r="W31" s="31"/>
      <c r="X31" s="31"/>
      <c r="Y31" s="31"/>
      <c r="Z31" s="31"/>
      <c r="AA31" s="31"/>
      <c r="AB31" s="45" t="s">
        <v>469</v>
      </c>
      <c r="AC31" s="50">
        <f>SUMIFS(Scoreboard_43[Damage Taken],Scoreboard_43[Role],"Ranged DPS",Scoreboard_43[Guild],"House Regard")</f>
        <v>191289</v>
      </c>
      <c r="AD31" s="51">
        <f>SUMIFS(Scoreboard_43[Damage Taken],Scoreboard_43[Role],"Ranged DPS",Scoreboard_43[Guild],"Undercooked")</f>
        <v>41284</v>
      </c>
    </row>
    <row r="32" spans="1:30" ht="22.5" customHeight="1" thickBot="1">
      <c r="A32" s="32">
        <v>49</v>
      </c>
      <c r="B32" s="55" t="str">
        <f>VLOOKUP(C32,Lists!I:J,2,FALSE)</f>
        <v>Healer</v>
      </c>
      <c r="C32" s="34" t="str">
        <f>VLOOKUP(E32&amp;D32,Lists!C:E,3,FALSE)</f>
        <v>Wand/Longbow</v>
      </c>
      <c r="D32" s="35" t="s">
        <v>40</v>
      </c>
      <c r="E32" s="36" t="s">
        <v>106</v>
      </c>
      <c r="F32" s="35" t="s">
        <v>476</v>
      </c>
      <c r="G32" s="32">
        <v>0</v>
      </c>
      <c r="H32" s="32">
        <v>38</v>
      </c>
      <c r="I32" s="236">
        <v>38</v>
      </c>
      <c r="J32" s="37">
        <v>200675</v>
      </c>
      <c r="K32" s="37">
        <v>700329</v>
      </c>
      <c r="L32" s="37">
        <v>700329</v>
      </c>
      <c r="M32" s="38">
        <f>I32/(HLOOKUP(F32,Team_Composition_23[[#All],[Yellow]:[Red]],10,FALSE)+HLOOKUP(F32,Team_Composition_23[[#All],[Yellow]:[Red]],11,FALSE))</f>
        <v>9.4976255936015993E-3</v>
      </c>
      <c r="N32" s="38">
        <f>J32/HLOOKUP(F32,Team_Composition_23[[#All],[Yellow]:[Red]],6,FALSE)</f>
        <v>4.5234165106246699E-3</v>
      </c>
      <c r="O32" s="38">
        <f>K32/HLOOKUP(F32,Team_Composition_23[[#All],[Yellow]:[Red]],8,FALSE)</f>
        <v>3.9975938940437744E-2</v>
      </c>
      <c r="P32" s="38">
        <f>L32/HLOOKUP(F32,Team_Composition_23[[#All],[Yellow]:[Red]],7,FALSE)</f>
        <v>5.4101292150793824E-2</v>
      </c>
      <c r="Q32" s="31"/>
      <c r="R32" s="45" t="s">
        <v>470</v>
      </c>
      <c r="S32" s="46">
        <f>SUMIFS(Scoreboard_43[Amount Healed],Scoreboard_43[Role],"Ranged DPS",Scoreboard_43[Team],"Yellow")</f>
        <v>65007</v>
      </c>
      <c r="T32" s="47">
        <f>SUMIFS(Scoreboard_43[Amount Healed],Scoreboard_43[Role],"Ranged DPS",Scoreboard_43[Team],"Red")</f>
        <v>167566</v>
      </c>
      <c r="U32" s="31"/>
      <c r="V32" s="31"/>
      <c r="W32" s="31"/>
      <c r="X32" s="31"/>
      <c r="Y32" s="31"/>
      <c r="Z32" s="31"/>
      <c r="AA32" s="31"/>
      <c r="AB32" s="45" t="s">
        <v>470</v>
      </c>
      <c r="AC32" s="50">
        <f>SUMIFS(Scoreboard_43[Amount Healed],Scoreboard_43[Role],"Ranged DPS",Scoreboard_43[Guild],"House Regard")</f>
        <v>191289</v>
      </c>
      <c r="AD32" s="51">
        <f>SUMIFS(Scoreboard_43[Amount Healed],Scoreboard_43[Role],"Ranged DPS",Scoreboard_43[Guild],"Undercooked")</f>
        <v>41284</v>
      </c>
    </row>
    <row r="33" spans="1:30" ht="22.5" customHeight="1" thickBot="1">
      <c r="A33" s="32">
        <v>52</v>
      </c>
      <c r="B33" s="52" t="str">
        <f>VLOOKUP(C33,Lists!I:J,2,FALSE)</f>
        <v>Healer</v>
      </c>
      <c r="C33" s="34" t="str">
        <f>VLOOKUP(E33&amp;D33,Lists!C:E,3,FALSE)</f>
        <v>Wand/Longbow</v>
      </c>
      <c r="D33" s="35" t="s">
        <v>40</v>
      </c>
      <c r="E33" s="36" t="s">
        <v>180</v>
      </c>
      <c r="F33" s="35" t="s">
        <v>476</v>
      </c>
      <c r="G33" s="32">
        <v>0</v>
      </c>
      <c r="H33" s="32">
        <v>33</v>
      </c>
      <c r="I33" s="235">
        <v>33</v>
      </c>
      <c r="J33" s="37">
        <v>137358</v>
      </c>
      <c r="K33" s="37">
        <v>875952</v>
      </c>
      <c r="L33" s="37">
        <v>875952</v>
      </c>
      <c r="M33" s="38">
        <f>I33/(HLOOKUP(F33,Team_Composition_23[[#All],[Yellow]:[Red]],10,FALSE)+HLOOKUP(F33,Team_Composition_23[[#All],[Yellow]:[Red]],11,FALSE))</f>
        <v>8.2479380154961267E-3</v>
      </c>
      <c r="N33" s="38">
        <f>J33/HLOOKUP(F33,Team_Composition_23[[#All],[Yellow]:[Red]],6,FALSE)</f>
        <v>3.0961875922082141E-3</v>
      </c>
      <c r="O33" s="38">
        <f>K33/HLOOKUP(F33,Team_Composition_23[[#All],[Yellow]:[Red]],8,FALSE)</f>
        <v>5.0000790580933138E-2</v>
      </c>
      <c r="P33" s="38">
        <f>L33/HLOOKUP(F33,Team_Composition_23[[#All],[Yellow]:[Red]],7,FALSE)</f>
        <v>6.7668388803079918E-2</v>
      </c>
      <c r="Q33" s="31"/>
      <c r="R33" s="45" t="s">
        <v>465</v>
      </c>
      <c r="S33" s="46">
        <f>SUMIFS(Scoreboard_43[Kills],Scoreboard_43[Role],"Ranged DPS",Scoreboard_43[Team],"Yellow")</f>
        <v>56</v>
      </c>
      <c r="T33" s="47">
        <f>SUMIFS(Scoreboard_43[Kills],Scoreboard_43[Role],"Ranged DPS",Scoreboard_43[Team],"Red")</f>
        <v>115</v>
      </c>
      <c r="U33" s="31"/>
      <c r="V33" s="31"/>
      <c r="W33" s="31"/>
      <c r="X33" s="31"/>
      <c r="Y33" s="31"/>
      <c r="Z33" s="31"/>
      <c r="AA33" s="31"/>
      <c r="AB33" s="45" t="s">
        <v>465</v>
      </c>
      <c r="AC33" s="50">
        <f>SUMIFS(Scoreboard_43[Kills],Scoreboard_43[Role],"Ranged DPS",Scoreboard_43[Guild],"House Regard")</f>
        <v>113</v>
      </c>
      <c r="AD33" s="51">
        <f>SUMIFS(Scoreboard_43[Kills],Scoreboard_43[Role],"Ranged DPS",Scoreboard_43[Guild],"Undercooked")</f>
        <v>58</v>
      </c>
    </row>
    <row r="34" spans="1:30" ht="22.5" customHeight="1" thickBot="1">
      <c r="A34" s="32">
        <v>53</v>
      </c>
      <c r="B34" s="62" t="str">
        <f>VLOOKUP(C34,Lists!I:J,2,FALSE)</f>
        <v>Healer</v>
      </c>
      <c r="C34" s="34" t="str">
        <f>VLOOKUP(E34&amp;D34,Lists!C:E,3,FALSE)</f>
        <v>Wand/Longbow</v>
      </c>
      <c r="D34" s="35" t="s">
        <v>40</v>
      </c>
      <c r="E34" s="36" t="s">
        <v>17</v>
      </c>
      <c r="F34" s="35" t="s">
        <v>476</v>
      </c>
      <c r="G34" s="32">
        <v>0</v>
      </c>
      <c r="H34" s="32">
        <v>32</v>
      </c>
      <c r="I34" s="236">
        <v>32</v>
      </c>
      <c r="J34" s="37">
        <v>383130</v>
      </c>
      <c r="K34" s="37">
        <v>2498131</v>
      </c>
      <c r="L34" s="37">
        <v>2498131</v>
      </c>
      <c r="M34" s="38">
        <f>I34/(HLOOKUP(F34,Team_Composition_23[[#All],[Yellow]:[Red]],10,FALSE)+HLOOKUP(F34,Team_Composition_23[[#All],[Yellow]:[Red]],11,FALSE))</f>
        <v>7.9980004998750319E-3</v>
      </c>
      <c r="N34" s="38">
        <f>J34/HLOOKUP(F34,Team_Composition_23[[#All],[Yellow]:[Red]],6,FALSE)</f>
        <v>8.6361358799832057E-3</v>
      </c>
      <c r="O34" s="38">
        <f>K34/HLOOKUP(F34,Team_Composition_23[[#All],[Yellow]:[Red]],8,FALSE)</f>
        <v>0.14259745394124002</v>
      </c>
      <c r="P34" s="38">
        <f>L34/HLOOKUP(F34,Team_Composition_23[[#All],[Yellow]:[Red]],7,FALSE)</f>
        <v>0.19298374772707502</v>
      </c>
      <c r="Q34" s="31"/>
      <c r="R34" s="45" t="s">
        <v>466</v>
      </c>
      <c r="S34" s="46">
        <f>SUMIFS(Scoreboard_43[Assists],Scoreboard_43[Role],"Ranged DPS",Scoreboard_43[Team],"Yellow")</f>
        <v>147</v>
      </c>
      <c r="T34" s="47">
        <f>SUMIFS(Scoreboard_43[Assists],Scoreboard_43[Role],"Ranged DPS",Scoreboard_43[Team],"Red")</f>
        <v>234</v>
      </c>
      <c r="U34" s="31"/>
      <c r="V34" s="31"/>
      <c r="W34" s="31"/>
      <c r="X34" s="31"/>
      <c r="Y34" s="31"/>
      <c r="Z34" s="31"/>
      <c r="AA34" s="31"/>
      <c r="AB34" s="45" t="s">
        <v>466</v>
      </c>
      <c r="AC34" s="50">
        <f>SUMIFS(Scoreboard_43[Assists],Scoreboard_43[Role],"Ranged DPS",Scoreboard_43[Guild],"House Regard")</f>
        <v>161</v>
      </c>
      <c r="AD34" s="51">
        <f>SUMIFS(Scoreboard_43[Assists],Scoreboard_43[Role],"Ranged DPS",Scoreboard_43[Guild],"Undercooked")</f>
        <v>220</v>
      </c>
    </row>
    <row r="35" spans="1:30" ht="22.5" customHeight="1" thickBot="1">
      <c r="A35" s="32">
        <v>54</v>
      </c>
      <c r="B35" s="52" t="str">
        <f>VLOOKUP(C35,Lists!I:J,2,FALSE)</f>
        <v>Healer</v>
      </c>
      <c r="C35" s="34" t="str">
        <f>VLOOKUP(E35&amp;D35,Lists!C:E,3,FALSE)</f>
        <v>Wand/Longbow</v>
      </c>
      <c r="D35" s="35" t="s">
        <v>40</v>
      </c>
      <c r="E35" s="36" t="s">
        <v>165</v>
      </c>
      <c r="F35" s="35" t="s">
        <v>483</v>
      </c>
      <c r="G35" s="32">
        <v>0</v>
      </c>
      <c r="H35" s="32">
        <v>32</v>
      </c>
      <c r="I35" s="235">
        <v>32</v>
      </c>
      <c r="J35" s="37">
        <v>313879</v>
      </c>
      <c r="K35" s="37">
        <v>1189910</v>
      </c>
      <c r="L35" s="37">
        <v>1189910</v>
      </c>
      <c r="M35" s="38">
        <f>I35/(HLOOKUP(F35,Team_Composition_23[[#All],[Yellow]:[Red]],10,FALSE)+HLOOKUP(F35,Team_Composition_23[[#All],[Yellow]:[Red]],11,FALSE))</f>
        <v>3.8976857490864797E-2</v>
      </c>
      <c r="N35" s="38">
        <f>J35/HLOOKUP(F35,Team_Composition_23[[#All],[Yellow]:[Red]],6,FALSE)</f>
        <v>1.7788143712201561E-2</v>
      </c>
      <c r="O35" s="38">
        <f>K35/HLOOKUP(F35,Team_Composition_23[[#All],[Yellow]:[Red]],8,FALSE)</f>
        <v>2.7033616777631775E-2</v>
      </c>
      <c r="P35" s="38">
        <f>L35/HLOOKUP(F35,Team_Composition_23[[#All],[Yellow]:[Red]],7,FALSE)</f>
        <v>4.9031232331711569E-2</v>
      </c>
      <c r="Q35" s="31"/>
      <c r="R35" s="45" t="s">
        <v>54</v>
      </c>
      <c r="S35" s="46">
        <f t="shared" ref="S35:S46" si="5">COUNTIFS(C:C,R35,F:F,"Yellow")</f>
        <v>3</v>
      </c>
      <c r="T35" s="47">
        <f t="shared" ref="T35:T46" si="6">COUNTIFS(C:C,R35,F:F,"Red")</f>
        <v>2</v>
      </c>
      <c r="U35" s="31"/>
      <c r="V35" s="31"/>
      <c r="W35" s="31"/>
      <c r="X35" s="31"/>
      <c r="Y35" s="31"/>
      <c r="Z35" s="31"/>
      <c r="AA35" s="31"/>
      <c r="AB35" s="45" t="s">
        <v>54</v>
      </c>
      <c r="AC35" s="50">
        <f t="shared" ref="AC35:AC46" si="7">COUNTIFS(C:C,AB35,D:D,"House Regard")</f>
        <v>3</v>
      </c>
      <c r="AD35" s="51">
        <f t="shared" ref="AD35:AD46" si="8">COUNTIFS(C:C,AB35,D:D,"Undercooked")</f>
        <v>2</v>
      </c>
    </row>
    <row r="36" spans="1:30" ht="22.5" customHeight="1" thickBot="1">
      <c r="A36" s="32">
        <v>57</v>
      </c>
      <c r="B36" s="62" t="str">
        <f>VLOOKUP(C36,Lists!I:J,2,FALSE)</f>
        <v>Healer</v>
      </c>
      <c r="C36" s="34" t="str">
        <f>VLOOKUP(E36&amp;D36,Lists!C:E,3,FALSE)</f>
        <v>Wand/Longbow</v>
      </c>
      <c r="D36" s="35" t="s">
        <v>28</v>
      </c>
      <c r="E36" s="36" t="s">
        <v>379</v>
      </c>
      <c r="F36" s="35" t="s">
        <v>483</v>
      </c>
      <c r="G36" s="32">
        <v>0</v>
      </c>
      <c r="H36" s="32">
        <v>30</v>
      </c>
      <c r="I36" s="236">
        <v>30</v>
      </c>
      <c r="J36" s="37">
        <v>370854</v>
      </c>
      <c r="K36" s="37">
        <v>1066213</v>
      </c>
      <c r="L36" s="37">
        <v>1066213</v>
      </c>
      <c r="M36" s="38">
        <f>I36/(HLOOKUP(F36,Team_Composition_23[[#All],[Yellow]:[Red]],10,FALSE)+HLOOKUP(F36,Team_Composition_23[[#All],[Yellow]:[Red]],11,FALSE))</f>
        <v>3.6540803897685749E-2</v>
      </c>
      <c r="N36" s="38">
        <f>J36/HLOOKUP(F36,Team_Composition_23[[#All],[Yellow]:[Red]],6,FALSE)</f>
        <v>2.1017029645961655E-2</v>
      </c>
      <c r="O36" s="38">
        <f>K36/HLOOKUP(F36,Team_Composition_23[[#All],[Yellow]:[Red]],8,FALSE)</f>
        <v>2.4223339282239083E-2</v>
      </c>
      <c r="P36" s="38">
        <f>L36/HLOOKUP(F36,Team_Composition_23[[#All],[Yellow]:[Red]],7,FALSE)</f>
        <v>4.3934194450077055E-2</v>
      </c>
      <c r="Q36" s="31"/>
      <c r="R36" s="45" t="s">
        <v>43</v>
      </c>
      <c r="S36" s="46">
        <f t="shared" si="5"/>
        <v>0</v>
      </c>
      <c r="T36" s="47">
        <f t="shared" si="6"/>
        <v>0</v>
      </c>
      <c r="U36" s="31"/>
      <c r="V36" s="31"/>
      <c r="W36" s="31"/>
      <c r="X36" s="31"/>
      <c r="Y36" s="31"/>
      <c r="Z36" s="31"/>
      <c r="AA36" s="31"/>
      <c r="AB36" s="45" t="s">
        <v>43</v>
      </c>
      <c r="AC36" s="50">
        <f t="shared" si="7"/>
        <v>0</v>
      </c>
      <c r="AD36" s="51">
        <f t="shared" si="8"/>
        <v>0</v>
      </c>
    </row>
    <row r="37" spans="1:30" ht="22.5" customHeight="1" thickBot="1">
      <c r="A37" s="32">
        <v>62</v>
      </c>
      <c r="B37" s="52" t="str">
        <f>VLOOKUP(C37,Lists!I:J,2,FALSE)</f>
        <v>Healer</v>
      </c>
      <c r="C37" s="34" t="str">
        <f>VLOOKUP(E37&amp;D37,Lists!C:E,3,FALSE)</f>
        <v>Wand/Longbow</v>
      </c>
      <c r="D37" s="35" t="s">
        <v>28</v>
      </c>
      <c r="E37" s="36" t="s">
        <v>500</v>
      </c>
      <c r="F37" s="35" t="s">
        <v>476</v>
      </c>
      <c r="G37" s="32">
        <v>0</v>
      </c>
      <c r="H37" s="32">
        <v>26</v>
      </c>
      <c r="I37" s="235">
        <v>26</v>
      </c>
      <c r="J37" s="37">
        <v>451452</v>
      </c>
      <c r="K37" s="37">
        <v>1396898</v>
      </c>
      <c r="L37" s="37">
        <v>1396898</v>
      </c>
      <c r="M37" s="38">
        <f>I37/(HLOOKUP(F37,Team_Composition_23[[#All],[Yellow]:[Red]],10,FALSE)+HLOOKUP(F37,Team_Composition_23[[#All],[Yellow]:[Red]],11,FALSE))</f>
        <v>6.4983754061484628E-3</v>
      </c>
      <c r="N37" s="38">
        <f>J37/HLOOKUP(F37,Team_Composition_23[[#All],[Yellow]:[Red]],6,FALSE)</f>
        <v>1.0176182536711242E-2</v>
      </c>
      <c r="O37" s="38">
        <f>K37/HLOOKUP(F37,Team_Composition_23[[#All],[Yellow]:[Red]],8,FALSE)</f>
        <v>7.9737250854983316E-2</v>
      </c>
      <c r="P37" s="38">
        <f>L37/HLOOKUP(F37,Team_Composition_23[[#All],[Yellow]:[Red]],7,FALSE)</f>
        <v>0.10791211959359043</v>
      </c>
      <c r="Q37" s="31"/>
      <c r="R37" s="45" t="s">
        <v>45</v>
      </c>
      <c r="S37" s="46">
        <f t="shared" si="5"/>
        <v>2</v>
      </c>
      <c r="T37" s="47">
        <f t="shared" si="6"/>
        <v>3</v>
      </c>
      <c r="U37" s="31"/>
      <c r="V37" s="31"/>
      <c r="W37" s="31"/>
      <c r="X37" s="31"/>
      <c r="Y37" s="31"/>
      <c r="Z37" s="31"/>
      <c r="AA37" s="31"/>
      <c r="AB37" s="45" t="s">
        <v>45</v>
      </c>
      <c r="AC37" s="50">
        <f t="shared" si="7"/>
        <v>3</v>
      </c>
      <c r="AD37" s="51">
        <f t="shared" si="8"/>
        <v>2</v>
      </c>
    </row>
    <row r="38" spans="1:30" ht="22.5" customHeight="1" thickBot="1">
      <c r="A38" s="32">
        <v>65</v>
      </c>
      <c r="B38" s="62" t="str">
        <f>VLOOKUP(C38,Lists!I:J,2,FALSE)</f>
        <v>Healer</v>
      </c>
      <c r="C38" s="34" t="str">
        <f>VLOOKUP(E38&amp;D38,Lists!C:E,3,FALSE)</f>
        <v>Wand/Longbow</v>
      </c>
      <c r="D38" s="35" t="s">
        <v>40</v>
      </c>
      <c r="E38" s="36" t="s">
        <v>157</v>
      </c>
      <c r="F38" s="35" t="s">
        <v>476</v>
      </c>
      <c r="G38" s="32">
        <v>0</v>
      </c>
      <c r="H38" s="32">
        <v>24</v>
      </c>
      <c r="I38" s="236">
        <v>24</v>
      </c>
      <c r="J38" s="37">
        <v>411115</v>
      </c>
      <c r="K38" s="37">
        <v>1384441</v>
      </c>
      <c r="L38" s="37">
        <v>1384441</v>
      </c>
      <c r="M38" s="38">
        <f>I38/(HLOOKUP(F38,Team_Composition_23[[#All],[Yellow]:[Red]],10,FALSE)+HLOOKUP(F38,Team_Composition_23[[#All],[Yellow]:[Red]],11,FALSE))</f>
        <v>5.9985003749062731E-3</v>
      </c>
      <c r="N38" s="38">
        <f>J38/HLOOKUP(F38,Team_Composition_23[[#All],[Yellow]:[Red]],6,FALSE)</f>
        <v>9.2669459512418634E-3</v>
      </c>
      <c r="O38" s="38">
        <f>K38/HLOOKUP(F38,Team_Composition_23[[#All],[Yellow]:[Red]],8,FALSE)</f>
        <v>7.9026184668403818E-2</v>
      </c>
      <c r="P38" s="38">
        <f>L38/HLOOKUP(F38,Team_Composition_23[[#All],[Yellow]:[Red]],7,FALSE)</f>
        <v>0.10694980074584538</v>
      </c>
      <c r="Q38" s="31"/>
      <c r="R38" s="45" t="s">
        <v>81</v>
      </c>
      <c r="S38" s="46">
        <f t="shared" si="5"/>
        <v>0</v>
      </c>
      <c r="T38" s="47">
        <f t="shared" si="6"/>
        <v>0</v>
      </c>
      <c r="U38" s="31"/>
      <c r="V38" s="31"/>
      <c r="W38" s="31"/>
      <c r="X38" s="31"/>
      <c r="Y38" s="31"/>
      <c r="Z38" s="31"/>
      <c r="AA38" s="31"/>
      <c r="AB38" s="45" t="s">
        <v>81</v>
      </c>
      <c r="AC38" s="50">
        <f t="shared" si="7"/>
        <v>0</v>
      </c>
      <c r="AD38" s="51">
        <f t="shared" si="8"/>
        <v>0</v>
      </c>
    </row>
    <row r="39" spans="1:30" ht="22.5" customHeight="1" thickBot="1">
      <c r="A39" s="32">
        <v>68</v>
      </c>
      <c r="B39" s="40" t="s">
        <v>11</v>
      </c>
      <c r="C39" s="34" t="str">
        <f>VLOOKUP(E39&amp;D39,Lists!C:E,3,FALSE)</f>
        <v>Wand/Longbow</v>
      </c>
      <c r="D39" s="35" t="s">
        <v>28</v>
      </c>
      <c r="E39" s="36" t="s">
        <v>342</v>
      </c>
      <c r="F39" s="35" t="s">
        <v>483</v>
      </c>
      <c r="G39" s="32">
        <v>0</v>
      </c>
      <c r="H39" s="32">
        <v>21</v>
      </c>
      <c r="I39" s="235">
        <v>21</v>
      </c>
      <c r="J39" s="37">
        <v>232773</v>
      </c>
      <c r="K39" s="37">
        <v>1015117</v>
      </c>
      <c r="L39" s="37">
        <v>1015117</v>
      </c>
      <c r="M39" s="38">
        <f>I39/(HLOOKUP(F39,Team_Composition_23[[#All],[Yellow]:[Red]],10,FALSE)+HLOOKUP(F39,Team_Composition_23[[#All],[Yellow]:[Red]],11,FALSE))</f>
        <v>2.5578562728380026E-2</v>
      </c>
      <c r="N39" s="38">
        <f>J39/HLOOKUP(F39,Team_Composition_23[[#All],[Yellow]:[Red]],6,FALSE)</f>
        <v>1.3191706282740464E-2</v>
      </c>
      <c r="O39" s="38">
        <f>K39/HLOOKUP(F39,Team_Composition_23[[#All],[Yellow]:[Red]],8,FALSE)</f>
        <v>2.3062487047305454E-2</v>
      </c>
      <c r="P39" s="38">
        <f>L39/HLOOKUP(F39,Team_Composition_23[[#All],[Yellow]:[Red]],7,FALSE)</f>
        <v>4.1828741224857385E-2</v>
      </c>
      <c r="Q39" s="31"/>
      <c r="R39" s="45" t="s">
        <v>48</v>
      </c>
      <c r="S39" s="46">
        <f t="shared" si="5"/>
        <v>0</v>
      </c>
      <c r="T39" s="47">
        <f t="shared" si="6"/>
        <v>0</v>
      </c>
      <c r="U39" s="31"/>
      <c r="V39" s="31"/>
      <c r="W39" s="31"/>
      <c r="X39" s="31"/>
      <c r="Y39" s="31"/>
      <c r="Z39" s="31"/>
      <c r="AA39" s="31"/>
      <c r="AB39" s="45" t="s">
        <v>48</v>
      </c>
      <c r="AC39" s="50">
        <f t="shared" si="7"/>
        <v>0</v>
      </c>
      <c r="AD39" s="51">
        <f t="shared" si="8"/>
        <v>0</v>
      </c>
    </row>
    <row r="40" spans="1:30" ht="22.5" customHeight="1" thickBot="1">
      <c r="A40" s="32">
        <v>82</v>
      </c>
      <c r="B40" s="33" t="str">
        <f>VLOOKUP(C40,Lists!I:J,2,FALSE)</f>
        <v>Healer</v>
      </c>
      <c r="C40" s="34" t="str">
        <f>VLOOKUP(E40&amp;D40,Lists!C:E,3,FALSE)</f>
        <v>Wand/Longbow</v>
      </c>
      <c r="D40" s="35" t="s">
        <v>28</v>
      </c>
      <c r="E40" s="36" t="s">
        <v>339</v>
      </c>
      <c r="F40" s="35" t="s">
        <v>483</v>
      </c>
      <c r="G40" s="32">
        <v>0</v>
      </c>
      <c r="H40" s="32">
        <v>13</v>
      </c>
      <c r="I40" s="236">
        <v>13</v>
      </c>
      <c r="J40" s="37">
        <v>433866</v>
      </c>
      <c r="K40" s="37">
        <v>1618583</v>
      </c>
      <c r="L40" s="37">
        <v>1618583</v>
      </c>
      <c r="M40" s="38">
        <f>I40/(HLOOKUP(F40,Team_Composition_23[[#All],[Yellow]:[Red]],10,FALSE)+HLOOKUP(F40,Team_Composition_23[[#All],[Yellow]:[Red]],11,FALSE))</f>
        <v>1.5834348355663823E-2</v>
      </c>
      <c r="N40" s="38">
        <f>J40/HLOOKUP(F40,Team_Composition_23[[#All],[Yellow]:[Red]],6,FALSE)</f>
        <v>2.4588044309552543E-2</v>
      </c>
      <c r="O40" s="38">
        <f>K40/HLOOKUP(F40,Team_Composition_23[[#All],[Yellow]:[Red]],8,FALSE)</f>
        <v>3.6772657213393928E-2</v>
      </c>
      <c r="P40" s="38">
        <f>L40/HLOOKUP(F40,Team_Composition_23[[#All],[Yellow]:[Red]],7,FALSE)</f>
        <v>6.6695060232419848E-2</v>
      </c>
      <c r="Q40" s="31"/>
      <c r="R40" s="45" t="s">
        <v>50</v>
      </c>
      <c r="S40" s="46">
        <f t="shared" si="5"/>
        <v>0</v>
      </c>
      <c r="T40" s="47">
        <f t="shared" si="6"/>
        <v>0</v>
      </c>
      <c r="U40" s="31"/>
      <c r="V40" s="31"/>
      <c r="W40" s="31"/>
      <c r="X40" s="31"/>
      <c r="Y40" s="31"/>
      <c r="Z40" s="31"/>
      <c r="AA40" s="31"/>
      <c r="AB40" s="45" t="s">
        <v>50</v>
      </c>
      <c r="AC40" s="50">
        <f t="shared" si="7"/>
        <v>0</v>
      </c>
      <c r="AD40" s="51">
        <f t="shared" si="8"/>
        <v>0</v>
      </c>
    </row>
    <row r="41" spans="1:30" ht="22.5" customHeight="1" thickBot="1">
      <c r="A41" s="32">
        <v>88</v>
      </c>
      <c r="B41" s="59" t="str">
        <f>VLOOKUP(C41,Lists!I:J,2,FALSE)</f>
        <v>Healer</v>
      </c>
      <c r="C41" s="34" t="str">
        <f>VLOOKUP(E41&amp;D41,Lists!C:E,3,FALSE)</f>
        <v>Wand/Longbow</v>
      </c>
      <c r="D41" s="35" t="s">
        <v>28</v>
      </c>
      <c r="E41" s="36" t="s">
        <v>381</v>
      </c>
      <c r="F41" s="35" t="s">
        <v>476</v>
      </c>
      <c r="G41" s="32">
        <v>0</v>
      </c>
      <c r="H41" s="32">
        <v>8</v>
      </c>
      <c r="I41" s="235">
        <v>8</v>
      </c>
      <c r="J41" s="37">
        <v>529255</v>
      </c>
      <c r="K41" s="37">
        <v>864428</v>
      </c>
      <c r="L41" s="37">
        <v>864428</v>
      </c>
      <c r="M41" s="38">
        <f>I41/(HLOOKUP(F41,Team_Composition_23[[#All],[Yellow]:[Red]],10,FALSE)+HLOOKUP(F41,Team_Composition_23[[#All],[Yellow]:[Red]],11,FALSE))</f>
        <v>1.999500124968758E-3</v>
      </c>
      <c r="N41" s="38">
        <f>J41/HLOOKUP(F41,Team_Composition_23[[#All],[Yellow]:[Red]],6,FALSE)</f>
        <v>1.1929940477541595E-2</v>
      </c>
      <c r="O41" s="38">
        <f>K41/HLOOKUP(F41,Team_Composition_23[[#All],[Yellow]:[Red]],8,FALSE)</f>
        <v>4.9342981579235931E-2</v>
      </c>
      <c r="P41" s="38">
        <f>L41/HLOOKUP(F41,Team_Composition_23[[#All],[Yellow]:[Red]],7,FALSE)</f>
        <v>6.6778145373569284E-2</v>
      </c>
      <c r="Q41" s="31"/>
      <c r="R41" s="45" t="s">
        <v>52</v>
      </c>
      <c r="S41" s="46">
        <f t="shared" si="5"/>
        <v>0</v>
      </c>
      <c r="T41" s="47">
        <f t="shared" si="6"/>
        <v>0</v>
      </c>
      <c r="U41" s="31"/>
      <c r="V41" s="31"/>
      <c r="W41" s="31"/>
      <c r="X41" s="31"/>
      <c r="Y41" s="31"/>
      <c r="Z41" s="31"/>
      <c r="AA41" s="31"/>
      <c r="AB41" s="45" t="s">
        <v>52</v>
      </c>
      <c r="AC41" s="50">
        <f t="shared" si="7"/>
        <v>0</v>
      </c>
      <c r="AD41" s="51">
        <f t="shared" si="8"/>
        <v>0</v>
      </c>
    </row>
    <row r="42" spans="1:30" ht="22.5" customHeight="1" thickBot="1">
      <c r="A42" s="32">
        <v>95</v>
      </c>
      <c r="B42" s="60" t="str">
        <f>VLOOKUP(C42,Lists!I:J,2,FALSE)</f>
        <v>Healer</v>
      </c>
      <c r="C42" s="34" t="str">
        <f>VLOOKUP(E42&amp;D42,Lists!C:E,3,FALSE)</f>
        <v>Wand/Longbow</v>
      </c>
      <c r="D42" s="35" t="s">
        <v>40</v>
      </c>
      <c r="E42" s="36" t="s">
        <v>44</v>
      </c>
      <c r="F42" s="35" t="s">
        <v>483</v>
      </c>
      <c r="G42" s="32">
        <v>0</v>
      </c>
      <c r="H42" s="32">
        <v>3</v>
      </c>
      <c r="I42" s="236">
        <v>3</v>
      </c>
      <c r="J42" s="37">
        <v>467391</v>
      </c>
      <c r="K42" s="37">
        <v>1024031</v>
      </c>
      <c r="L42" s="37">
        <v>1024031</v>
      </c>
      <c r="M42" s="38">
        <f>I42/(HLOOKUP(F42,Team_Composition_23[[#All],[Yellow]:[Red]],10,FALSE)+HLOOKUP(F42,Team_Composition_23[[#All],[Yellow]:[Red]],11,FALSE))</f>
        <v>3.6540803897685747E-3</v>
      </c>
      <c r="N42" s="38">
        <f>J42/HLOOKUP(F42,Team_Composition_23[[#All],[Yellow]:[Red]],6,FALSE)</f>
        <v>2.6487972364476756E-2</v>
      </c>
      <c r="O42" s="38">
        <f>K42/HLOOKUP(F42,Team_Composition_23[[#All],[Yellow]:[Red]],8,FALSE)</f>
        <v>2.3265004599015929E-2</v>
      </c>
      <c r="P42" s="38">
        <f>L42/HLOOKUP(F42,Team_Composition_23[[#All],[Yellow]:[Red]],7,FALSE)</f>
        <v>4.2196050017123087E-2</v>
      </c>
      <c r="Q42" s="31"/>
      <c r="R42" s="45" t="s">
        <v>32</v>
      </c>
      <c r="S42" s="46">
        <f t="shared" si="5"/>
        <v>2</v>
      </c>
      <c r="T42" s="47">
        <f t="shared" si="6"/>
        <v>2</v>
      </c>
      <c r="U42" s="31"/>
      <c r="V42" s="31"/>
      <c r="W42" s="31"/>
      <c r="X42" s="31"/>
      <c r="Y42" s="31"/>
      <c r="Z42" s="31"/>
      <c r="AA42" s="31"/>
      <c r="AB42" s="45" t="s">
        <v>32</v>
      </c>
      <c r="AC42" s="50">
        <f t="shared" si="7"/>
        <v>2</v>
      </c>
      <c r="AD42" s="51">
        <f t="shared" si="8"/>
        <v>2</v>
      </c>
    </row>
    <row r="43" spans="1:30" ht="22.5" customHeight="1" thickBot="1">
      <c r="A43" s="32">
        <v>3</v>
      </c>
      <c r="B43" s="52" t="str">
        <f>VLOOKUP(C43,Lists!I:J,2,FALSE)</f>
        <v>Ranged DPS</v>
      </c>
      <c r="C43" s="34" t="str">
        <f>VLOOKUP(E43&amp;D43,Lists!C:E,3,FALSE)</f>
        <v>Staff/Orb</v>
      </c>
      <c r="D43" s="35" t="s">
        <v>40</v>
      </c>
      <c r="E43" s="35" t="s">
        <v>156</v>
      </c>
      <c r="F43" s="35" t="s">
        <v>483</v>
      </c>
      <c r="G43" s="32">
        <v>34</v>
      </c>
      <c r="H43" s="32">
        <v>33</v>
      </c>
      <c r="I43" s="235">
        <v>67</v>
      </c>
      <c r="J43" s="37">
        <v>566406</v>
      </c>
      <c r="K43" s="37">
        <v>8914</v>
      </c>
      <c r="L43" s="37">
        <v>8914</v>
      </c>
      <c r="M43" s="38">
        <f>I43/(HLOOKUP(F43,Team_Composition_23[[#All],[Yellow]:[Red]],10,FALSE)+HLOOKUP(F43,Team_Composition_23[[#All],[Yellow]:[Red]],11,FALSE))</f>
        <v>8.1607795371498176E-2</v>
      </c>
      <c r="N43" s="38">
        <f>J43/HLOOKUP(F43,Team_Composition_23[[#All],[Yellow]:[Red]],6,FALSE)</f>
        <v>3.2099348243919593E-2</v>
      </c>
      <c r="O43" s="38">
        <f>K43/HLOOKUP(F43,Team_Composition_23[[#All],[Yellow]:[Red]],8,FALSE)</f>
        <v>2.025175517104736E-4</v>
      </c>
      <c r="P43" s="38">
        <f>L43/HLOOKUP(F43,Team_Composition_23[[#All],[Yellow]:[Red]],7,FALSE)</f>
        <v>3.673087922656982E-4</v>
      </c>
      <c r="Q43" s="31"/>
      <c r="R43" s="45" t="s">
        <v>56</v>
      </c>
      <c r="S43" s="46">
        <f t="shared" si="5"/>
        <v>0</v>
      </c>
      <c r="T43" s="47">
        <f t="shared" si="6"/>
        <v>0</v>
      </c>
      <c r="U43" s="31"/>
      <c r="V43" s="31"/>
      <c r="W43" s="31"/>
      <c r="X43" s="31"/>
      <c r="Y43" s="31"/>
      <c r="Z43" s="31"/>
      <c r="AA43" s="31"/>
      <c r="AB43" s="45" t="s">
        <v>56</v>
      </c>
      <c r="AC43" s="50">
        <f t="shared" si="7"/>
        <v>0</v>
      </c>
      <c r="AD43" s="51">
        <f t="shared" si="8"/>
        <v>0</v>
      </c>
    </row>
    <row r="44" spans="1:30" ht="22.5" customHeight="1" thickBot="1">
      <c r="A44" s="32">
        <v>17</v>
      </c>
      <c r="B44" s="66" t="str">
        <f>VLOOKUP(C44,Lists!I:J,2,FALSE)</f>
        <v>Ranged DPS</v>
      </c>
      <c r="C44" s="34" t="str">
        <f>VLOOKUP(E44&amp;D44,Lists!C:E,3,FALSE)</f>
        <v>Staff/Orb</v>
      </c>
      <c r="D44" s="35" t="s">
        <v>28</v>
      </c>
      <c r="E44" s="36" t="s">
        <v>501</v>
      </c>
      <c r="F44" s="35" t="s">
        <v>483</v>
      </c>
      <c r="G44" s="32">
        <v>16</v>
      </c>
      <c r="H44" s="32">
        <v>55</v>
      </c>
      <c r="I44" s="236">
        <v>71</v>
      </c>
      <c r="J44" s="37">
        <v>653461</v>
      </c>
      <c r="K44" s="37">
        <v>229</v>
      </c>
      <c r="L44" s="37">
        <v>229</v>
      </c>
      <c r="M44" s="38">
        <f>I44/(HLOOKUP(F44,Team_Composition_23[[#All],[Yellow]:[Red]],10,FALSE)+HLOOKUP(F44,Team_Composition_23[[#All],[Yellow]:[Red]],11,FALSE))</f>
        <v>8.6479902557856272E-2</v>
      </c>
      <c r="N44" s="38">
        <f>J44/HLOOKUP(F44,Team_Composition_23[[#All],[Yellow]:[Red]],6,FALSE)</f>
        <v>3.7032927269167244E-2</v>
      </c>
      <c r="O44" s="38">
        <f>K44/HLOOKUP(F44,Team_Composition_23[[#All],[Yellow]:[Red]],8,FALSE)</f>
        <v>5.2026609088735089E-6</v>
      </c>
      <c r="P44" s="38">
        <f>L44/HLOOKUP(F44,Team_Composition_23[[#All],[Yellow]:[Red]],7,FALSE)</f>
        <v>9.4361356774562347E-6</v>
      </c>
      <c r="Q44" s="31"/>
      <c r="R44" s="45" t="s">
        <v>58</v>
      </c>
      <c r="S44" s="46">
        <f t="shared" si="5"/>
        <v>2</v>
      </c>
      <c r="T44" s="47">
        <f t="shared" si="6"/>
        <v>2</v>
      </c>
      <c r="U44" s="31"/>
      <c r="V44" s="31"/>
      <c r="W44" s="31"/>
      <c r="X44" s="31"/>
      <c r="Y44" s="31"/>
      <c r="Z44" s="31"/>
      <c r="AA44" s="31"/>
      <c r="AB44" s="45" t="s">
        <v>58</v>
      </c>
      <c r="AC44" s="50">
        <f t="shared" si="7"/>
        <v>2</v>
      </c>
      <c r="AD44" s="51">
        <f t="shared" si="8"/>
        <v>2</v>
      </c>
    </row>
    <row r="45" spans="1:30" ht="22.5" customHeight="1" thickBot="1">
      <c r="A45" s="32">
        <v>19</v>
      </c>
      <c r="B45" s="67" t="str">
        <f>VLOOKUP(C45,Lists!I:J,2,FALSE)</f>
        <v>Ranged DPS</v>
      </c>
      <c r="C45" s="34" t="str">
        <f>VLOOKUP(E45&amp;D45,Lists!C:E,3,FALSE)</f>
        <v>Staff/Orb</v>
      </c>
      <c r="D45" s="35" t="s">
        <v>40</v>
      </c>
      <c r="E45" s="35" t="s">
        <v>160</v>
      </c>
      <c r="F45" s="35" t="s">
        <v>476</v>
      </c>
      <c r="G45" s="32">
        <v>15</v>
      </c>
      <c r="H45" s="32">
        <v>36</v>
      </c>
      <c r="I45" s="235">
        <v>51</v>
      </c>
      <c r="J45" s="37">
        <v>622563</v>
      </c>
      <c r="K45" s="37">
        <v>0</v>
      </c>
      <c r="L45" s="37">
        <v>0</v>
      </c>
      <c r="M45" s="38">
        <f>I45/(HLOOKUP(F45,Team_Composition_23[[#All],[Yellow]:[Red]],10,FALSE)+HLOOKUP(F45,Team_Composition_23[[#All],[Yellow]:[Red]],11,FALSE))</f>
        <v>1.2746813296675831E-2</v>
      </c>
      <c r="N45" s="38">
        <f>J45/HLOOKUP(F45,Team_Composition_23[[#All],[Yellow]:[Red]],6,FALSE)</f>
        <v>1.4033196726567965E-2</v>
      </c>
      <c r="O45" s="38">
        <f>K45/HLOOKUP(F45,Team_Composition_23[[#All],[Yellow]:[Red]],8,FALSE)</f>
        <v>0</v>
      </c>
      <c r="P45" s="38">
        <f>L45/HLOOKUP(F45,Team_Composition_23[[#All],[Yellow]:[Red]],7,FALSE)</f>
        <v>0</v>
      </c>
      <c r="Q45" s="31"/>
      <c r="R45" s="45" t="s">
        <v>60</v>
      </c>
      <c r="S45" s="46">
        <f t="shared" si="5"/>
        <v>0</v>
      </c>
      <c r="T45" s="47">
        <f t="shared" si="6"/>
        <v>0</v>
      </c>
      <c r="U45" s="31"/>
      <c r="V45" s="31"/>
      <c r="W45" s="31"/>
      <c r="X45" s="31"/>
      <c r="Y45" s="31"/>
      <c r="Z45" s="31"/>
      <c r="AA45" s="31"/>
      <c r="AB45" s="45" t="s">
        <v>60</v>
      </c>
      <c r="AC45" s="50">
        <f t="shared" si="7"/>
        <v>0</v>
      </c>
      <c r="AD45" s="51">
        <f t="shared" si="8"/>
        <v>0</v>
      </c>
    </row>
    <row r="46" spans="1:30" ht="22.5" customHeight="1" thickBot="1">
      <c r="A46" s="32">
        <v>74</v>
      </c>
      <c r="B46" s="57" t="str">
        <f>VLOOKUP(C46,Lists!I:J,2,FALSE)</f>
        <v>Ranged DPS</v>
      </c>
      <c r="C46" s="34" t="str">
        <f>VLOOKUP(E46&amp;D46,Lists!C:E,3,FALSE)</f>
        <v>Staff/Orb</v>
      </c>
      <c r="D46" s="35" t="s">
        <v>28</v>
      </c>
      <c r="E46" s="36" t="s">
        <v>391</v>
      </c>
      <c r="F46" s="35" t="s">
        <v>476</v>
      </c>
      <c r="G46" s="32">
        <v>0</v>
      </c>
      <c r="H46" s="32">
        <v>14</v>
      </c>
      <c r="I46" s="236">
        <v>14</v>
      </c>
      <c r="J46" s="37">
        <v>349214</v>
      </c>
      <c r="K46" s="37">
        <v>13289</v>
      </c>
      <c r="L46" s="37">
        <v>13289</v>
      </c>
      <c r="M46" s="38">
        <f>I46/(HLOOKUP(F46,Team_Composition_23[[#All],[Yellow]:[Red]],10,FALSE)+HLOOKUP(F46,Team_Composition_23[[#All],[Yellow]:[Red]],11,FALSE))</f>
        <v>3.4991252186953262E-3</v>
      </c>
      <c r="N46" s="38">
        <f>J46/HLOOKUP(F46,Team_Composition_23[[#All],[Yellow]:[Red]],6,FALSE)</f>
        <v>7.8716350982498233E-3</v>
      </c>
      <c r="O46" s="38">
        <f>K46/HLOOKUP(F46,Team_Composition_23[[#All],[Yellow]:[Red]],8,FALSE)</f>
        <v>7.5855812422372516E-4</v>
      </c>
      <c r="P46" s="38">
        <f>L46/HLOOKUP(F46,Team_Composition_23[[#All],[Yellow]:[Red]],7,FALSE)</f>
        <v>1.0265918895146413E-3</v>
      </c>
      <c r="Q46" s="31"/>
      <c r="R46" s="45" t="s">
        <v>63</v>
      </c>
      <c r="S46" s="46">
        <f t="shared" si="5"/>
        <v>0</v>
      </c>
      <c r="T46" s="47">
        <f t="shared" si="6"/>
        <v>0</v>
      </c>
      <c r="U46" s="31"/>
      <c r="V46" s="31"/>
      <c r="W46" s="31"/>
      <c r="X46" s="31"/>
      <c r="Y46" s="31"/>
      <c r="Z46" s="31"/>
      <c r="AA46" s="31"/>
      <c r="AB46" s="45" t="s">
        <v>63</v>
      </c>
      <c r="AC46" s="50">
        <f t="shared" si="7"/>
        <v>0</v>
      </c>
      <c r="AD46" s="51">
        <f t="shared" si="8"/>
        <v>0</v>
      </c>
    </row>
    <row r="47" spans="1:30" ht="22.5" customHeight="1" thickBot="1">
      <c r="A47" s="32">
        <v>5</v>
      </c>
      <c r="B47" s="52" t="str">
        <f>VLOOKUP(C47,Lists!I:J,2,FALSE)</f>
        <v>Ranged DPS</v>
      </c>
      <c r="C47" s="34" t="str">
        <f>VLOOKUP(E47&amp;D47,Lists!C:E,3,FALSE)</f>
        <v>Staff/Dagger</v>
      </c>
      <c r="D47" s="35" t="s">
        <v>40</v>
      </c>
      <c r="E47" s="36" t="s">
        <v>158</v>
      </c>
      <c r="F47" s="35" t="s">
        <v>483</v>
      </c>
      <c r="G47" s="32">
        <v>29</v>
      </c>
      <c r="H47" s="32">
        <v>35</v>
      </c>
      <c r="I47" s="235">
        <v>64</v>
      </c>
      <c r="J47" s="37">
        <v>797231</v>
      </c>
      <c r="K47" s="37">
        <v>15033</v>
      </c>
      <c r="L47" s="37">
        <v>15033</v>
      </c>
      <c r="M47" s="38">
        <f>I47/(HLOOKUP(F47,Team_Composition_23[[#All],[Yellow]:[Red]],10,FALSE)+HLOOKUP(F47,Team_Composition_23[[#All],[Yellow]:[Red]],11,FALSE))</f>
        <v>7.7953714981729594E-2</v>
      </c>
      <c r="N47" s="38">
        <f>J47/HLOOKUP(F47,Team_Composition_23[[#All],[Yellow]:[Red]],6,FALSE)</f>
        <v>4.5180657513953351E-2</v>
      </c>
      <c r="O47" s="38">
        <f>K47/HLOOKUP(F47,Team_Composition_23[[#All],[Yellow]:[Red]],8,FALSE)</f>
        <v>3.4153537748076617E-4</v>
      </c>
      <c r="P47" s="38">
        <f>L47/HLOOKUP(F47,Team_Composition_23[[#All],[Yellow]:[Red]],7,FALSE)</f>
        <v>6.1944728226724709E-4</v>
      </c>
      <c r="Q47" s="31"/>
      <c r="R47" s="48"/>
      <c r="S47" s="63"/>
      <c r="T47" s="63"/>
      <c r="U47" s="31"/>
      <c r="V47" s="31"/>
      <c r="W47" s="31"/>
      <c r="X47" s="31"/>
      <c r="Y47" s="31"/>
      <c r="Z47" s="31"/>
      <c r="AA47" s="31"/>
      <c r="AB47" s="48"/>
      <c r="AC47" s="63"/>
      <c r="AD47" s="63"/>
    </row>
    <row r="48" spans="1:30" ht="22.5" customHeight="1" thickBot="1">
      <c r="A48" s="32">
        <v>18</v>
      </c>
      <c r="B48" s="55" t="str">
        <f>VLOOKUP(C48,Lists!I:J,2,FALSE)</f>
        <v>Ranged DPS</v>
      </c>
      <c r="C48" s="34" t="str">
        <f>VLOOKUP(E48&amp;D48,Lists!C:E,3,FALSE)</f>
        <v>Staff/Dagger</v>
      </c>
      <c r="D48" s="35" t="s">
        <v>28</v>
      </c>
      <c r="E48" s="36" t="s">
        <v>351</v>
      </c>
      <c r="F48" s="35" t="s">
        <v>483</v>
      </c>
      <c r="G48" s="32">
        <v>15</v>
      </c>
      <c r="H48" s="32">
        <v>41</v>
      </c>
      <c r="I48" s="236">
        <v>56</v>
      </c>
      <c r="J48" s="37">
        <v>738684</v>
      </c>
      <c r="K48" s="37">
        <v>0</v>
      </c>
      <c r="L48" s="37">
        <v>0</v>
      </c>
      <c r="M48" s="38">
        <f>I48/(HLOOKUP(F48,Team_Composition_23[[#All],[Yellow]:[Red]],10,FALSE)+HLOOKUP(F48,Team_Composition_23[[#All],[Yellow]:[Red]],11,FALSE))</f>
        <v>6.8209500609013402E-2</v>
      </c>
      <c r="N48" s="38">
        <f>J48/HLOOKUP(F48,Team_Composition_23[[#All],[Yellow]:[Red]],6,FALSE)</f>
        <v>4.1862683231130147E-2</v>
      </c>
      <c r="O48" s="38">
        <f>K48/HLOOKUP(F48,Team_Composition_23[[#All],[Yellow]:[Red]],8,FALSE)</f>
        <v>0</v>
      </c>
      <c r="P48" s="38">
        <f>L48/HLOOKUP(F48,Team_Composition_23[[#All],[Yellow]:[Red]],7,FALSE)</f>
        <v>0</v>
      </c>
      <c r="Q48" s="31"/>
      <c r="R48" s="31"/>
      <c r="S48" s="64"/>
      <c r="T48" s="64"/>
      <c r="U48" s="31"/>
      <c r="V48" s="31"/>
      <c r="W48" s="31"/>
      <c r="X48" s="31"/>
      <c r="Y48" s="31"/>
      <c r="Z48" s="31"/>
      <c r="AA48" s="31"/>
      <c r="AB48" s="31"/>
      <c r="AC48" s="64"/>
      <c r="AD48" s="64"/>
    </row>
    <row r="49" spans="1:30" ht="22.5" customHeight="1" thickBot="1">
      <c r="A49" s="32">
        <v>25</v>
      </c>
      <c r="B49" s="56" t="str">
        <f>VLOOKUP(C49,Lists!I:J,2,FALSE)</f>
        <v>Ranged DPS</v>
      </c>
      <c r="C49" s="34" t="str">
        <f>VLOOKUP(E49&amp;D49,Lists!C:E,3,FALSE)</f>
        <v>Staff/Dagger</v>
      </c>
      <c r="D49" s="35" t="s">
        <v>40</v>
      </c>
      <c r="E49" s="36" t="s">
        <v>172</v>
      </c>
      <c r="F49" s="35" t="s">
        <v>476</v>
      </c>
      <c r="G49" s="32">
        <v>10</v>
      </c>
      <c r="H49" s="32">
        <v>23</v>
      </c>
      <c r="I49" s="235">
        <v>33</v>
      </c>
      <c r="J49" s="37">
        <v>950751</v>
      </c>
      <c r="K49" s="37">
        <v>10614</v>
      </c>
      <c r="L49" s="37">
        <v>10614</v>
      </c>
      <c r="M49" s="38">
        <f>I49/(HLOOKUP(F49,Team_Composition_23[[#All],[Yellow]:[Red]],10,FALSE)+HLOOKUP(F49,Team_Composition_23[[#All],[Yellow]:[Red]],11,FALSE))</f>
        <v>8.2479380154961267E-3</v>
      </c>
      <c r="N49" s="38">
        <f>J49/HLOOKUP(F49,Team_Composition_23[[#All],[Yellow]:[Red]],6,FALSE)</f>
        <v>2.1430884618875871E-2</v>
      </c>
      <c r="O49" s="38">
        <f>K49/HLOOKUP(F49,Team_Composition_23[[#All],[Yellow]:[Red]],8,FALSE)</f>
        <v>6.0586469489883499E-4</v>
      </c>
      <c r="P49" s="38">
        <f>L49/HLOOKUP(F49,Team_Composition_23[[#All],[Yellow]:[Red]],7,FALSE)</f>
        <v>8.1994479007512996E-4</v>
      </c>
      <c r="Q49" s="31"/>
      <c r="R49" s="227" t="s">
        <v>67</v>
      </c>
      <c r="S49" s="228"/>
      <c r="T49" s="228"/>
      <c r="U49" s="31"/>
      <c r="V49" s="31"/>
      <c r="W49" s="31"/>
      <c r="X49" s="31"/>
      <c r="Y49" s="31"/>
      <c r="Z49" s="31"/>
      <c r="AA49" s="31"/>
      <c r="AB49" s="227" t="s">
        <v>67</v>
      </c>
      <c r="AC49" s="228"/>
      <c r="AD49" s="228"/>
    </row>
    <row r="50" spans="1:30" ht="22.5" customHeight="1" thickBot="1">
      <c r="A50" s="32">
        <v>31</v>
      </c>
      <c r="B50" s="68" t="str">
        <f>VLOOKUP(C50,Lists!I:J,2,FALSE)</f>
        <v>Ranged DPS</v>
      </c>
      <c r="C50" s="34" t="str">
        <f>VLOOKUP(E50&amp;D50,Lists!C:E,3,FALSE)</f>
        <v>Staff/Dagger</v>
      </c>
      <c r="D50" s="35" t="s">
        <v>28</v>
      </c>
      <c r="E50" s="36" t="s">
        <v>371</v>
      </c>
      <c r="F50" s="35" t="s">
        <v>476</v>
      </c>
      <c r="G50" s="32">
        <v>6</v>
      </c>
      <c r="H50" s="32">
        <v>48</v>
      </c>
      <c r="I50" s="236">
        <v>54</v>
      </c>
      <c r="J50" s="37">
        <v>511676</v>
      </c>
      <c r="K50" s="37">
        <v>0</v>
      </c>
      <c r="L50" s="37">
        <v>0</v>
      </c>
      <c r="M50" s="38">
        <f>I50/(HLOOKUP(F50,Team_Composition_23[[#All],[Yellow]:[Red]],10,FALSE)+HLOOKUP(F50,Team_Composition_23[[#All],[Yellow]:[Red]],11,FALSE))</f>
        <v>1.3496625843539115E-2</v>
      </c>
      <c r="N50" s="38">
        <f>J50/HLOOKUP(F50,Team_Composition_23[[#All],[Yellow]:[Red]],6,FALSE)</f>
        <v>1.1533692121541738E-2</v>
      </c>
      <c r="O50" s="38">
        <f>K50/HLOOKUP(F50,Team_Composition_23[[#All],[Yellow]:[Red]],8,FALSE)</f>
        <v>0</v>
      </c>
      <c r="P50" s="38">
        <f>L50/HLOOKUP(F50,Team_Composition_23[[#All],[Yellow]:[Red]],7,FALSE)</f>
        <v>0</v>
      </c>
      <c r="Q50" s="31"/>
      <c r="R50" s="41" t="s">
        <v>482</v>
      </c>
      <c r="S50" s="42" t="s">
        <v>476</v>
      </c>
      <c r="T50" s="42" t="s">
        <v>483</v>
      </c>
      <c r="U50" s="31"/>
      <c r="V50" s="31"/>
      <c r="W50" s="31"/>
      <c r="X50" s="31"/>
      <c r="Y50" s="31"/>
      <c r="Z50" s="31"/>
      <c r="AA50" s="31"/>
      <c r="AB50" s="41" t="s">
        <v>482</v>
      </c>
      <c r="AC50" s="42" t="s">
        <v>485</v>
      </c>
      <c r="AD50" s="42" t="s">
        <v>28</v>
      </c>
    </row>
    <row r="51" spans="1:30" ht="22.5" customHeight="1" thickBot="1">
      <c r="A51" s="32">
        <v>10</v>
      </c>
      <c r="B51" s="56" t="str">
        <f>VLOOKUP(C51,Lists!I:J,2,FALSE)</f>
        <v>Melee DPS</v>
      </c>
      <c r="C51" s="34" t="str">
        <f>VLOOKUP(E51&amp;D51,Lists!C:E,3,FALSE)</f>
        <v>Spear/Dagger</v>
      </c>
      <c r="D51" s="35" t="s">
        <v>40</v>
      </c>
      <c r="E51" s="36" t="s">
        <v>169</v>
      </c>
      <c r="F51" s="35" t="s">
        <v>483</v>
      </c>
      <c r="G51" s="32">
        <v>22</v>
      </c>
      <c r="H51" s="32">
        <v>43</v>
      </c>
      <c r="I51" s="235">
        <v>65</v>
      </c>
      <c r="J51" s="37">
        <v>969144</v>
      </c>
      <c r="K51" s="37">
        <v>23663</v>
      </c>
      <c r="L51" s="37">
        <v>23663</v>
      </c>
      <c r="M51" s="38">
        <f>I51/(HLOOKUP(F51,Team_Composition_23[[#All],[Yellow]:[Red]],10,FALSE)+HLOOKUP(F51,Team_Composition_23[[#All],[Yellow]:[Red]],11,FALSE))</f>
        <v>7.9171741778319121E-2</v>
      </c>
      <c r="N51" s="38">
        <f>J51/HLOOKUP(F51,Team_Composition_23[[#All],[Yellow]:[Red]],6,FALSE)</f>
        <v>5.4923307229275839E-2</v>
      </c>
      <c r="O51" s="38">
        <f>K51/HLOOKUP(F51,Team_Composition_23[[#All],[Yellow]:[Red]],8,FALSE)</f>
        <v>5.3760072090250583E-4</v>
      </c>
      <c r="P51" s="38">
        <f>L51/HLOOKUP(F51,Team_Composition_23[[#All],[Yellow]:[Red]],7,FALSE)</f>
        <v>9.7505361805959344E-4</v>
      </c>
      <c r="Q51" s="31"/>
      <c r="R51" s="45" t="s">
        <v>468</v>
      </c>
      <c r="S51" s="46">
        <f>SUMIFS(Scoreboard_43[Damage Dealt],Scoreboard_43[Role],"Tank",Scoreboard_43[Team],"Yellow")</f>
        <v>4894526</v>
      </c>
      <c r="T51" s="47">
        <f>SUMIFS(Scoreboard_43[Damage Dealt],Scoreboard_43[Role],"Tank",Scoreboard_43[Team],"Red")</f>
        <v>2901839</v>
      </c>
      <c r="U51" s="31"/>
      <c r="V51" s="31"/>
      <c r="W51" s="31"/>
      <c r="X51" s="31"/>
      <c r="Y51" s="31"/>
      <c r="Z51" s="31"/>
      <c r="AA51" s="31"/>
      <c r="AB51" s="45" t="s">
        <v>468</v>
      </c>
      <c r="AC51" s="50">
        <f>SUMIFS(Scoreboard_43[Damage Dealt],Scoreboard_43[Role],"Tank",Scoreboard_43[Guild],"House Regard")</f>
        <v>5318031</v>
      </c>
      <c r="AD51" s="51">
        <f>SUMIFS(Scoreboard_43[Damage Dealt],Scoreboard_43[Role],"Tank",Scoreboard_43[Guild],"Undercooked")</f>
        <v>2478334</v>
      </c>
    </row>
    <row r="52" spans="1:30" ht="22.5" customHeight="1" thickBot="1">
      <c r="A52" s="32">
        <v>27</v>
      </c>
      <c r="B52" s="66" t="str">
        <f>VLOOKUP(C52,Lists!I:J,2,FALSE)</f>
        <v>Melee DPS</v>
      </c>
      <c r="C52" s="34" t="str">
        <f>VLOOKUP(E52&amp;D52,Lists!C:E,3,FALSE)</f>
        <v>Spear/Dagger</v>
      </c>
      <c r="D52" s="35" t="s">
        <v>28</v>
      </c>
      <c r="E52" s="36" t="s">
        <v>350</v>
      </c>
      <c r="F52" s="35" t="s">
        <v>483</v>
      </c>
      <c r="G52" s="32">
        <v>9</v>
      </c>
      <c r="H52" s="32">
        <v>55</v>
      </c>
      <c r="I52" s="236">
        <v>64</v>
      </c>
      <c r="J52" s="37">
        <v>830135</v>
      </c>
      <c r="K52" s="37">
        <v>1036</v>
      </c>
      <c r="L52" s="37">
        <v>1036</v>
      </c>
      <c r="M52" s="38">
        <f>I52/(HLOOKUP(F52,Team_Composition_23[[#All],[Yellow]:[Red]],10,FALSE)+HLOOKUP(F52,Team_Composition_23[[#All],[Yellow]:[Red]],11,FALSE))</f>
        <v>7.7953714981729594E-2</v>
      </c>
      <c r="N52" s="38">
        <f>J52/HLOOKUP(F52,Team_Composition_23[[#All],[Yellow]:[Red]],6,FALSE)</f>
        <v>4.7045392270678964E-2</v>
      </c>
      <c r="O52" s="38">
        <f>K52/HLOOKUP(F52,Team_Composition_23[[#All],[Yellow]:[Red]],8,FALSE)</f>
        <v>2.3536928827916835E-5</v>
      </c>
      <c r="P52" s="38">
        <f>L52/HLOOKUP(F52,Team_Composition_23[[#All],[Yellow]:[Red]],7,FALSE)</f>
        <v>4.2689242628142618E-5</v>
      </c>
      <c r="Q52" s="31"/>
      <c r="R52" s="45" t="s">
        <v>469</v>
      </c>
      <c r="S52" s="46">
        <f>SUMIFS(Scoreboard_43[Damage Taken],Scoreboard_43[Role],"Tank",Scoreboard_43[Team],"Yellow")</f>
        <v>568046</v>
      </c>
      <c r="T52" s="47">
        <f>SUMIFS(Scoreboard_43[Damage Taken],Scoreboard_43[Role],"Tank",Scoreboard_43[Team],"Red")</f>
        <v>371932</v>
      </c>
      <c r="U52" s="31"/>
      <c r="V52" s="31"/>
      <c r="W52" s="31"/>
      <c r="X52" s="31"/>
      <c r="Y52" s="31"/>
      <c r="Z52" s="31"/>
      <c r="AA52" s="31"/>
      <c r="AB52" s="45" t="s">
        <v>469</v>
      </c>
      <c r="AC52" s="50">
        <f>SUMIFS(Scoreboard_43[Damage Taken],Scoreboard_43[Role],"Tank",Scoreboard_43[Guild],"House Regard")</f>
        <v>328892</v>
      </c>
      <c r="AD52" s="51">
        <f>SUMIFS(Scoreboard_43[Damage Taken],Scoreboard_43[Role],"Tank",Scoreboard_43[Guild],"Undercooked")</f>
        <v>611086</v>
      </c>
    </row>
    <row r="53" spans="1:30" ht="22.5" customHeight="1" thickBot="1">
      <c r="A53" s="32">
        <v>63</v>
      </c>
      <c r="B53" s="56" t="str">
        <f>VLOOKUP(C53,Lists!I:J,2,FALSE)</f>
        <v>Tank</v>
      </c>
      <c r="C53" s="34" t="str">
        <f>VLOOKUP(E53&amp;D53,Lists!C:E,3,FALSE)</f>
        <v>SnS/Spear</v>
      </c>
      <c r="D53" s="35" t="s">
        <v>40</v>
      </c>
      <c r="E53" s="36" t="s">
        <v>61</v>
      </c>
      <c r="F53" s="35" t="s">
        <v>483</v>
      </c>
      <c r="G53" s="32">
        <v>0</v>
      </c>
      <c r="H53" s="32">
        <v>25</v>
      </c>
      <c r="I53" s="235">
        <v>25</v>
      </c>
      <c r="J53" s="37">
        <v>205206</v>
      </c>
      <c r="K53" s="37">
        <v>8408</v>
      </c>
      <c r="L53" s="37">
        <v>8408</v>
      </c>
      <c r="M53" s="38">
        <f>I53/(HLOOKUP(F53,Team_Composition_23[[#All],[Yellow]:[Red]],10,FALSE)+HLOOKUP(F53,Team_Composition_23[[#All],[Yellow]:[Red]],11,FALSE))</f>
        <v>3.0450669914738125E-2</v>
      </c>
      <c r="N53" s="38">
        <f>J53/HLOOKUP(F53,Team_Composition_23[[#All],[Yellow]:[Red]],6,FALSE)</f>
        <v>1.1629429871402782E-2</v>
      </c>
      <c r="O53" s="38">
        <f>K53/HLOOKUP(F53,Team_Composition_23[[#All],[Yellow]:[Red]],8,FALSE)</f>
        <v>1.9102171581575746E-4</v>
      </c>
      <c r="P53" s="38">
        <f>L53/HLOOKUP(F53,Team_Composition_23[[#All],[Yellow]:[Red]],7,FALSE)</f>
        <v>3.4645864094345864E-4</v>
      </c>
      <c r="Q53" s="31"/>
      <c r="R53" s="45" t="s">
        <v>470</v>
      </c>
      <c r="S53" s="46">
        <f>SUMIFS(Scoreboard_43[Amount Healed],Scoreboard_43[Role],"Tank",Scoreboard_43[Team],"Yellow")</f>
        <v>568046</v>
      </c>
      <c r="T53" s="47">
        <f>SUMIFS(Scoreboard_43[Amount Healed],Scoreboard_43[Role],"Tank",Scoreboard_43[Team],"Red")</f>
        <v>371932</v>
      </c>
      <c r="U53" s="31"/>
      <c r="V53" s="31"/>
      <c r="W53" s="31"/>
      <c r="X53" s="31"/>
      <c r="Y53" s="31"/>
      <c r="Z53" s="31"/>
      <c r="AA53" s="31"/>
      <c r="AB53" s="45" t="s">
        <v>470</v>
      </c>
      <c r="AC53" s="50">
        <f>SUMIFS(Scoreboard_43[Amount Healed],Scoreboard_43[Role],"Tank",Scoreboard_43[Guild],"House Regard")</f>
        <v>328892</v>
      </c>
      <c r="AD53" s="51">
        <f>SUMIFS(Scoreboard_43[Amount Healed],Scoreboard_43[Role],"Tank",Scoreboard_43[Guild],"Undercooked")</f>
        <v>611086</v>
      </c>
    </row>
    <row r="54" spans="1:30" ht="22.5" customHeight="1" thickBot="1">
      <c r="A54" s="32">
        <v>69</v>
      </c>
      <c r="B54" s="62" t="str">
        <f>VLOOKUP(C54,Lists!I:J,2,FALSE)</f>
        <v>Tank</v>
      </c>
      <c r="C54" s="34" t="str">
        <f>VLOOKUP(E54&amp;D54,Lists!C:E,3,FALSE)</f>
        <v>SnS/Spear</v>
      </c>
      <c r="D54" s="35" t="s">
        <v>40</v>
      </c>
      <c r="E54" s="36" t="s">
        <v>79</v>
      </c>
      <c r="F54" s="35" t="s">
        <v>483</v>
      </c>
      <c r="G54" s="32">
        <v>0</v>
      </c>
      <c r="H54" s="32">
        <v>20</v>
      </c>
      <c r="I54" s="236">
        <v>20</v>
      </c>
      <c r="J54" s="37">
        <v>206085</v>
      </c>
      <c r="K54" s="37">
        <v>17391</v>
      </c>
      <c r="L54" s="37">
        <v>17391</v>
      </c>
      <c r="M54" s="38">
        <f>I54/(HLOOKUP(F54,Team_Composition_23[[#All],[Yellow]:[Red]],10,FALSE)+HLOOKUP(F54,Team_Composition_23[[#All],[Yellow]:[Red]],11,FALSE))</f>
        <v>2.4360535931790498E-2</v>
      </c>
      <c r="N54" s="38">
        <f>J54/HLOOKUP(F54,Team_Composition_23[[#All],[Yellow]:[Red]],6,FALSE)</f>
        <v>1.1679244539867462E-2</v>
      </c>
      <c r="O54" s="38">
        <f>K54/HLOOKUP(F54,Team_Composition_23[[#All],[Yellow]:[Red]],8,FALSE)</f>
        <v>3.9510688151187418E-4</v>
      </c>
      <c r="P54" s="38">
        <f>L54/HLOOKUP(F54,Team_Composition_23[[#All],[Yellow]:[Red]],7,FALSE)</f>
        <v>7.1661063566218946E-4</v>
      </c>
      <c r="Q54" s="31"/>
      <c r="R54" s="45" t="s">
        <v>465</v>
      </c>
      <c r="S54" s="46">
        <f>SUMIFS(Scoreboard_43[Kills],Scoreboard_43[Role],"Tank",Scoreboard_43[Team],"Yellow")</f>
        <v>4</v>
      </c>
      <c r="T54" s="47">
        <f>SUMIFS(Scoreboard_43[Kills],Scoreboard_43[Role],"Tank",Scoreboard_43[Team],"Red")</f>
        <v>3</v>
      </c>
      <c r="U54" s="31"/>
      <c r="V54" s="31"/>
      <c r="W54" s="31"/>
      <c r="X54" s="31"/>
      <c r="Y54" s="31"/>
      <c r="Z54" s="31"/>
      <c r="AA54" s="31"/>
      <c r="AB54" s="45" t="s">
        <v>465</v>
      </c>
      <c r="AC54" s="50">
        <f>SUMIFS(Scoreboard_43[Kills],Scoreboard_43[Role],"Tank",Scoreboard_43[Guild],"House Regard")</f>
        <v>7</v>
      </c>
      <c r="AD54" s="51">
        <f>SUMIFS(Scoreboard_43[Kills],Scoreboard_43[Role],"Tank",Scoreboard_43[Guild],"Undercooked")</f>
        <v>0</v>
      </c>
    </row>
    <row r="55" spans="1:30" ht="22.5" customHeight="1" thickBot="1">
      <c r="A55" s="32">
        <v>71</v>
      </c>
      <c r="B55" s="40" t="str">
        <f>VLOOKUP(C55,Lists!I:J,2,FALSE)</f>
        <v>Tank</v>
      </c>
      <c r="C55" s="34" t="str">
        <f>VLOOKUP(E55&amp;D55,Lists!C:E,3,FALSE)</f>
        <v>SnS/Spear</v>
      </c>
      <c r="D55" s="35" t="s">
        <v>28</v>
      </c>
      <c r="E55" s="36" t="s">
        <v>375</v>
      </c>
      <c r="F55" s="35" t="s">
        <v>476</v>
      </c>
      <c r="G55" s="32">
        <v>0</v>
      </c>
      <c r="H55" s="32">
        <v>17</v>
      </c>
      <c r="I55" s="235">
        <v>17</v>
      </c>
      <c r="J55" s="37">
        <v>265462</v>
      </c>
      <c r="K55" s="37">
        <v>8477</v>
      </c>
      <c r="L55" s="37">
        <v>8477</v>
      </c>
      <c r="M55" s="38">
        <f>I55/(HLOOKUP(F55,Team_Composition_23[[#All],[Yellow]:[Red]],10,FALSE)+HLOOKUP(F55,Team_Composition_23[[#All],[Yellow]:[Red]],11,FALSE))</f>
        <v>4.2489377655586099E-3</v>
      </c>
      <c r="N55" s="38">
        <f>J55/HLOOKUP(F55,Team_Composition_23[[#All],[Yellow]:[Red]],6,FALSE)</f>
        <v>5.983780708824946E-3</v>
      </c>
      <c r="O55" s="38">
        <f>K55/HLOOKUP(F55,Team_Composition_23[[#All],[Yellow]:[Red]],8,FALSE)</f>
        <v>4.8388119640639009E-4</v>
      </c>
      <c r="P55" s="38">
        <f>L55/HLOOKUP(F55,Team_Composition_23[[#All],[Yellow]:[Red]],7,FALSE)</f>
        <v>6.5485886427990169E-4</v>
      </c>
      <c r="Q55" s="31"/>
      <c r="R55" s="45" t="s">
        <v>466</v>
      </c>
      <c r="S55" s="46">
        <f>SUMIFS(Scoreboard_43[Assists],Scoreboard_43[Role],"Tank",Scoreboard_43[Team],"Yellow")</f>
        <v>187</v>
      </c>
      <c r="T55" s="47">
        <f>SUMIFS(Scoreboard_43[Assists],Scoreboard_43[Role],"Tank",Scoreboard_43[Team],"Red")</f>
        <v>168</v>
      </c>
      <c r="U55" s="31"/>
      <c r="V55" s="31"/>
      <c r="W55" s="31"/>
      <c r="X55" s="31"/>
      <c r="Y55" s="31"/>
      <c r="Z55" s="31"/>
      <c r="AA55" s="31"/>
      <c r="AB55" s="45" t="s">
        <v>466</v>
      </c>
      <c r="AC55" s="50">
        <f>SUMIFS(Scoreboard_43[Assists],Scoreboard_43[Role],"Tank",Scoreboard_43[Guild],"House Regard")</f>
        <v>229</v>
      </c>
      <c r="AD55" s="51">
        <f>SUMIFS(Scoreboard_43[Assists],Scoreboard_43[Role],"Tank",Scoreboard_43[Guild],"Undercooked")</f>
        <v>126</v>
      </c>
    </row>
    <row r="56" spans="1:30" ht="22.5" customHeight="1" thickBot="1">
      <c r="A56" s="32">
        <v>50</v>
      </c>
      <c r="B56" s="33" t="str">
        <f>VLOOKUP(C56,Lists!I:J,2,FALSE)</f>
        <v>Tank</v>
      </c>
      <c r="C56" s="34" t="s">
        <v>73</v>
      </c>
      <c r="D56" s="35" t="s">
        <v>28</v>
      </c>
      <c r="E56" s="36" t="s">
        <v>384</v>
      </c>
      <c r="F56" s="35" t="s">
        <v>483</v>
      </c>
      <c r="G56" s="32">
        <v>0</v>
      </c>
      <c r="H56" s="32">
        <v>37</v>
      </c>
      <c r="I56" s="236">
        <v>37</v>
      </c>
      <c r="J56" s="37">
        <v>311852</v>
      </c>
      <c r="K56" s="37">
        <v>205398</v>
      </c>
      <c r="L56" s="37">
        <v>205398</v>
      </c>
      <c r="M56" s="38">
        <f>I56/(HLOOKUP(F56,Team_Composition_23[[#All],[Yellow]:[Red]],10,FALSE)+HLOOKUP(F56,Team_Composition_23[[#All],[Yellow]:[Red]],11,FALSE))</f>
        <v>4.5066991473812421E-2</v>
      </c>
      <c r="N56" s="38">
        <f>J56/HLOOKUP(F56,Team_Composition_23[[#All],[Yellow]:[Red]],6,FALSE)</f>
        <v>1.7673269613250588E-2</v>
      </c>
      <c r="O56" s="38">
        <f>K56/HLOOKUP(F56,Team_Composition_23[[#All],[Yellow]:[Red]],8,FALSE)</f>
        <v>4.6664460496104844E-3</v>
      </c>
      <c r="P56" s="38">
        <f>L56/HLOOKUP(F56,Team_Composition_23[[#All],[Yellow]:[Red]],7,FALSE)</f>
        <v>8.4635956151884531E-3</v>
      </c>
      <c r="Q56" s="31"/>
      <c r="R56" s="45" t="s">
        <v>62</v>
      </c>
      <c r="S56" s="46">
        <f t="shared" ref="S56:S60" si="9">COUNTIFS(C:C,R56,F:F,"Yellow")</f>
        <v>1</v>
      </c>
      <c r="T56" s="47">
        <f t="shared" ref="T56:T60" si="10">COUNTIFS(C:C,R56,F:F,"Red")</f>
        <v>2</v>
      </c>
      <c r="U56" s="31"/>
      <c r="V56" s="31"/>
      <c r="W56" s="31"/>
      <c r="X56" s="31"/>
      <c r="Y56" s="31"/>
      <c r="Z56" s="31"/>
      <c r="AA56" s="31"/>
      <c r="AB56" s="45" t="s">
        <v>62</v>
      </c>
      <c r="AC56" s="50">
        <f t="shared" ref="AC56:AC60" si="11">COUNTIFS(C:C,AB56,D:D,"House Regard")</f>
        <v>2</v>
      </c>
      <c r="AD56" s="51">
        <f t="shared" ref="AD56:AD60" si="12">COUNTIFS(C:C,AB56,D:D,"Undercooked")</f>
        <v>1</v>
      </c>
    </row>
    <row r="57" spans="1:30" ht="22.5" customHeight="1" thickBot="1">
      <c r="A57" s="32">
        <v>87</v>
      </c>
      <c r="B57" s="56" t="str">
        <f>VLOOKUP(C57,Lists!I:J,2,FALSE)</f>
        <v>Tank</v>
      </c>
      <c r="C57" s="34" t="str">
        <f>VLOOKUP(E57&amp;D57,Lists!C:E,3,FALSE)</f>
        <v>SnS/Longbow</v>
      </c>
      <c r="D57" s="35" t="s">
        <v>28</v>
      </c>
      <c r="E57" s="36" t="s">
        <v>390</v>
      </c>
      <c r="F57" s="35" t="s">
        <v>476</v>
      </c>
      <c r="G57" s="32">
        <v>0</v>
      </c>
      <c r="H57" s="32">
        <v>9</v>
      </c>
      <c r="I57" s="235">
        <v>9</v>
      </c>
      <c r="J57" s="37">
        <v>476086</v>
      </c>
      <c r="K57" s="37">
        <v>216752</v>
      </c>
      <c r="L57" s="37">
        <v>216752</v>
      </c>
      <c r="M57" s="38">
        <f>I57/(HLOOKUP(F57,Team_Composition_23[[#All],[Yellow]:[Red]],10,FALSE)+HLOOKUP(F57,Team_Composition_23[[#All],[Yellow]:[Red]],11,FALSE))</f>
        <v>2.2494376405898524E-3</v>
      </c>
      <c r="N57" s="38">
        <f>J57/HLOOKUP(F57,Team_Composition_23[[#All],[Yellow]:[Red]],6,FALSE)</f>
        <v>1.0731457694666782E-2</v>
      </c>
      <c r="O57" s="38">
        <f>K57/HLOOKUP(F57,Team_Composition_23[[#All],[Yellow]:[Red]],8,FALSE)</f>
        <v>1.2372563062814423E-2</v>
      </c>
      <c r="P57" s="38">
        <f>L57/HLOOKUP(F57,Team_Composition_23[[#All],[Yellow]:[Red]],7,FALSE)</f>
        <v>1.6744363401014185E-2</v>
      </c>
      <c r="Q57" s="31"/>
      <c r="R57" s="45" t="s">
        <v>70</v>
      </c>
      <c r="S57" s="46">
        <f t="shared" si="9"/>
        <v>1</v>
      </c>
      <c r="T57" s="47">
        <f t="shared" si="10"/>
        <v>0</v>
      </c>
      <c r="U57" s="31"/>
      <c r="V57" s="31"/>
      <c r="W57" s="31"/>
      <c r="X57" s="31"/>
      <c r="Y57" s="31"/>
      <c r="Z57" s="31"/>
      <c r="AA57" s="31"/>
      <c r="AB57" s="45" t="s">
        <v>70</v>
      </c>
      <c r="AC57" s="50">
        <f t="shared" si="11"/>
        <v>1</v>
      </c>
      <c r="AD57" s="51">
        <f t="shared" si="12"/>
        <v>0</v>
      </c>
    </row>
    <row r="58" spans="1:30" ht="22.5" customHeight="1" thickBot="1">
      <c r="A58" s="32">
        <v>94</v>
      </c>
      <c r="B58" s="57" t="str">
        <f>VLOOKUP(C58,Lists!I:J,2,FALSE)</f>
        <v>Tank</v>
      </c>
      <c r="C58" s="34" t="str">
        <f>VLOOKUP(E58&amp;D58,Lists!C:E,3,FALSE)</f>
        <v>SnS/Longbow</v>
      </c>
      <c r="D58" s="35" t="s">
        <v>28</v>
      </c>
      <c r="E58" s="36" t="s">
        <v>363</v>
      </c>
      <c r="F58" s="35" t="s">
        <v>476</v>
      </c>
      <c r="G58" s="32">
        <v>0</v>
      </c>
      <c r="H58" s="32">
        <v>3</v>
      </c>
      <c r="I58" s="236">
        <v>3</v>
      </c>
      <c r="J58" s="37">
        <v>207016</v>
      </c>
      <c r="K58" s="37">
        <v>72892</v>
      </c>
      <c r="L58" s="37">
        <v>72892</v>
      </c>
      <c r="M58" s="38">
        <f>I58/(HLOOKUP(F58,Team_Composition_23[[#All],[Yellow]:[Red]],10,FALSE)+HLOOKUP(F58,Team_Composition_23[[#All],[Yellow]:[Red]],11,FALSE))</f>
        <v>7.4981254686328413E-4</v>
      </c>
      <c r="N58" s="38">
        <f>J58/HLOOKUP(F58,Team_Composition_23[[#All],[Yellow]:[Red]],6,FALSE)</f>
        <v>4.666349033828213E-3</v>
      </c>
      <c r="O58" s="38">
        <f>K58/HLOOKUP(F58,Team_Composition_23[[#All],[Yellow]:[Red]],8,FALSE)</f>
        <v>4.1607960562055667E-3</v>
      </c>
      <c r="P58" s="38">
        <f>L58/HLOOKUP(F58,Team_Composition_23[[#All],[Yellow]:[Red]],7,FALSE)</f>
        <v>5.63099827003546E-3</v>
      </c>
      <c r="Q58" s="31"/>
      <c r="R58" s="45" t="s">
        <v>14</v>
      </c>
      <c r="S58" s="46">
        <f t="shared" si="9"/>
        <v>9</v>
      </c>
      <c r="T58" s="47">
        <f t="shared" si="10"/>
        <v>7</v>
      </c>
      <c r="U58" s="31"/>
      <c r="V58" s="31"/>
      <c r="W58" s="31"/>
      <c r="X58" s="31"/>
      <c r="Y58" s="31"/>
      <c r="Z58" s="31"/>
      <c r="AA58" s="31"/>
      <c r="AB58" s="45" t="s">
        <v>14</v>
      </c>
      <c r="AC58" s="50">
        <f t="shared" si="11"/>
        <v>12</v>
      </c>
      <c r="AD58" s="51">
        <f t="shared" si="12"/>
        <v>4</v>
      </c>
    </row>
    <row r="59" spans="1:30" ht="22.5" customHeight="1" thickBot="1">
      <c r="A59" s="32">
        <v>33</v>
      </c>
      <c r="B59" s="54" t="str">
        <f>VLOOKUP(C59,Lists!I:J,2,FALSE)</f>
        <v>Tank</v>
      </c>
      <c r="C59" s="34" t="str">
        <f>VLOOKUP(E59&amp;D59,Lists!C:E,3,FALSE)</f>
        <v>SnS/Greatsword</v>
      </c>
      <c r="D59" s="35" t="s">
        <v>40</v>
      </c>
      <c r="E59" s="36" t="s">
        <v>55</v>
      </c>
      <c r="F59" s="35" t="s">
        <v>476</v>
      </c>
      <c r="G59" s="32">
        <v>2</v>
      </c>
      <c r="H59" s="32">
        <v>19</v>
      </c>
      <c r="I59" s="235">
        <v>21</v>
      </c>
      <c r="J59" s="37">
        <v>417310</v>
      </c>
      <c r="K59" s="37">
        <v>64186</v>
      </c>
      <c r="L59" s="37">
        <v>64186</v>
      </c>
      <c r="M59" s="38">
        <f>I59/(HLOOKUP(F59,Team_Composition_23[[#All],[Yellow]:[Red]],10,FALSE)+HLOOKUP(F59,Team_Composition_23[[#All],[Yellow]:[Red]],11,FALSE))</f>
        <v>5.2486878280429894E-3</v>
      </c>
      <c r="N59" s="38">
        <f>J59/HLOOKUP(F59,Team_Composition_23[[#All],[Yellow]:[Red]],6,FALSE)</f>
        <v>9.4065874874736805E-3</v>
      </c>
      <c r="O59" s="38">
        <f>K59/HLOOKUP(F59,Team_Composition_23[[#All],[Yellow]:[Red]],8,FALSE)</f>
        <v>3.6638431606158496E-3</v>
      </c>
      <c r="P59" s="38">
        <f>L59/HLOOKUP(F59,Team_Composition_23[[#All],[Yellow]:[Red]],7,FALSE)</f>
        <v>4.9584488690184933E-3</v>
      </c>
      <c r="Q59" s="31"/>
      <c r="R59" s="45" t="s">
        <v>73</v>
      </c>
      <c r="S59" s="46">
        <f t="shared" si="9"/>
        <v>2</v>
      </c>
      <c r="T59" s="47">
        <f t="shared" si="10"/>
        <v>1</v>
      </c>
      <c r="U59" s="31"/>
      <c r="V59" s="31"/>
      <c r="W59" s="31"/>
      <c r="X59" s="31"/>
      <c r="Y59" s="31"/>
      <c r="Z59" s="31"/>
      <c r="AA59" s="31"/>
      <c r="AB59" s="45" t="s">
        <v>73</v>
      </c>
      <c r="AC59" s="50">
        <f t="shared" si="11"/>
        <v>0</v>
      </c>
      <c r="AD59" s="51">
        <f t="shared" si="12"/>
        <v>3</v>
      </c>
    </row>
    <row r="60" spans="1:30" ht="22.5" customHeight="1" thickBot="1">
      <c r="A60" s="32">
        <v>34</v>
      </c>
      <c r="B60" s="69" t="str">
        <f>VLOOKUP(C60,Lists!I:J,2,FALSE)</f>
        <v>Tank</v>
      </c>
      <c r="C60" s="34" t="str">
        <f>VLOOKUP(E60&amp;D60,Lists!C:E,3,FALSE)</f>
        <v>SnS/Greatsword</v>
      </c>
      <c r="D60" s="35" t="s">
        <v>40</v>
      </c>
      <c r="E60" s="36" t="s">
        <v>93</v>
      </c>
      <c r="F60" s="35" t="s">
        <v>476</v>
      </c>
      <c r="G60" s="32">
        <v>2</v>
      </c>
      <c r="H60" s="32">
        <v>16</v>
      </c>
      <c r="I60" s="236">
        <v>18</v>
      </c>
      <c r="J60" s="37">
        <v>247814</v>
      </c>
      <c r="K60" s="37">
        <v>13634</v>
      </c>
      <c r="L60" s="37">
        <v>13634</v>
      </c>
      <c r="M60" s="38">
        <f>I60/(HLOOKUP(F60,Team_Composition_23[[#All],[Yellow]:[Red]],10,FALSE)+HLOOKUP(F60,Team_Composition_23[[#All],[Yellow]:[Red]],11,FALSE))</f>
        <v>4.4988752811797048E-3</v>
      </c>
      <c r="N60" s="38">
        <f>J60/HLOOKUP(F60,Team_Composition_23[[#All],[Yellow]:[Red]],6,FALSE)</f>
        <v>5.5859770233658498E-3</v>
      </c>
      <c r="O60" s="38">
        <f>K60/HLOOKUP(F60,Team_Composition_23[[#All],[Yellow]:[Red]],8,FALSE)</f>
        <v>7.7825129548244926E-4</v>
      </c>
      <c r="P60" s="38">
        <f>L60/HLOOKUP(F60,Team_Composition_23[[#All],[Yellow]:[Red]],7,FALSE)</f>
        <v>1.0532435714984286E-3</v>
      </c>
      <c r="Q60" s="31"/>
      <c r="R60" s="45" t="s">
        <v>75</v>
      </c>
      <c r="S60" s="46">
        <f t="shared" si="9"/>
        <v>0</v>
      </c>
      <c r="T60" s="47">
        <f t="shared" si="10"/>
        <v>0</v>
      </c>
      <c r="U60" s="31"/>
      <c r="V60" s="31"/>
      <c r="W60" s="31"/>
      <c r="X60" s="31"/>
      <c r="Y60" s="31"/>
      <c r="Z60" s="31"/>
      <c r="AA60" s="31"/>
      <c r="AB60" s="45" t="s">
        <v>75</v>
      </c>
      <c r="AC60" s="50">
        <f t="shared" si="11"/>
        <v>0</v>
      </c>
      <c r="AD60" s="51">
        <f t="shared" si="12"/>
        <v>0</v>
      </c>
    </row>
    <row r="61" spans="1:30" ht="22.5" customHeight="1" thickBot="1">
      <c r="A61" s="32">
        <v>35</v>
      </c>
      <c r="B61" s="40" t="str">
        <f>VLOOKUP(C61,Lists!I:J,2,FALSE)</f>
        <v>Tank</v>
      </c>
      <c r="C61" s="34" t="str">
        <f>VLOOKUP(E61&amp;D61,Lists!C:E,3,FALSE)</f>
        <v>SnS/Greatsword</v>
      </c>
      <c r="D61" s="35" t="s">
        <v>40</v>
      </c>
      <c r="E61" s="36" t="s">
        <v>123</v>
      </c>
      <c r="F61" s="35" t="s">
        <v>483</v>
      </c>
      <c r="G61" s="32">
        <v>1</v>
      </c>
      <c r="H61" s="32">
        <v>17</v>
      </c>
      <c r="I61" s="235">
        <v>18</v>
      </c>
      <c r="J61" s="37">
        <v>337122</v>
      </c>
      <c r="K61" s="37">
        <v>11568</v>
      </c>
      <c r="L61" s="37">
        <v>11568</v>
      </c>
      <c r="M61" s="38">
        <f>I61/(HLOOKUP(F61,Team_Composition_23[[#All],[Yellow]:[Red]],10,FALSE)+HLOOKUP(F61,Team_Composition_23[[#All],[Yellow]:[Red]],11,FALSE))</f>
        <v>2.192448233861145E-2</v>
      </c>
      <c r="N61" s="38">
        <f>J61/HLOOKUP(F61,Team_Composition_23[[#All],[Yellow]:[Red]],6,FALSE)</f>
        <v>1.9105370491637907E-2</v>
      </c>
      <c r="O61" s="38">
        <f>K61/HLOOKUP(F61,Team_Composition_23[[#All],[Yellow]:[Red]],8,FALSE)</f>
        <v>2.6281389254955784E-4</v>
      </c>
      <c r="P61" s="38">
        <f>L61/HLOOKUP(F61,Team_Composition_23[[#All],[Yellow]:[Red]],7,FALSE)</f>
        <v>4.7666907212582418E-4</v>
      </c>
      <c r="Q61" s="31"/>
      <c r="R61" s="48"/>
      <c r="S61" s="63"/>
      <c r="T61" s="63"/>
      <c r="U61" s="31"/>
      <c r="V61" s="31"/>
      <c r="W61" s="31"/>
      <c r="X61" s="31"/>
      <c r="Y61" s="31"/>
      <c r="Z61" s="31"/>
      <c r="AA61" s="31"/>
      <c r="AB61" s="48"/>
      <c r="AC61" s="63"/>
      <c r="AD61" s="63"/>
    </row>
    <row r="62" spans="1:30" ht="22.5" customHeight="1" thickBot="1">
      <c r="A62" s="32">
        <v>37</v>
      </c>
      <c r="B62" s="69" t="str">
        <f>VLOOKUP(C62,Lists!I:J,2,FALSE)</f>
        <v>Tank</v>
      </c>
      <c r="C62" s="34" t="str">
        <f>VLOOKUP(E62&amp;D62,Lists!C:E,3,FALSE)</f>
        <v>SnS/Greatsword</v>
      </c>
      <c r="D62" s="35" t="s">
        <v>40</v>
      </c>
      <c r="E62" s="36" t="s">
        <v>109</v>
      </c>
      <c r="F62" s="35" t="s">
        <v>483</v>
      </c>
      <c r="G62" s="32">
        <v>1</v>
      </c>
      <c r="H62" s="32">
        <v>15</v>
      </c>
      <c r="I62" s="236">
        <v>16</v>
      </c>
      <c r="J62" s="37">
        <v>166684</v>
      </c>
      <c r="K62" s="37">
        <v>4608</v>
      </c>
      <c r="L62" s="37">
        <v>4608</v>
      </c>
      <c r="M62" s="38">
        <f>I62/(HLOOKUP(F62,Team_Composition_23[[#All],[Yellow]:[Red]],10,FALSE)+HLOOKUP(F62,Team_Composition_23[[#All],[Yellow]:[Red]],11,FALSE))</f>
        <v>1.9488428745432398E-2</v>
      </c>
      <c r="N62" s="38">
        <f>J62/HLOOKUP(F62,Team_Composition_23[[#All],[Yellow]:[Red]],6,FALSE)</f>
        <v>9.4463119435343086E-3</v>
      </c>
      <c r="O62" s="38">
        <f>K62/HLOOKUP(F62,Team_Composition_23[[#All],[Yellow]:[Red]],8,FALSE)</f>
        <v>1.0468935138903549E-4</v>
      </c>
      <c r="P62" s="38">
        <f>L62/HLOOKUP(F62,Team_Composition_23[[#All],[Yellow]:[Red]],7,FALSE)</f>
        <v>1.8987647686339882E-4</v>
      </c>
      <c r="Q62" s="31"/>
      <c r="R62" s="31"/>
      <c r="S62" s="64"/>
      <c r="T62" s="64"/>
      <c r="U62" s="31"/>
      <c r="V62" s="31"/>
      <c r="W62" s="31"/>
      <c r="X62" s="31"/>
      <c r="Y62" s="31"/>
      <c r="Z62" s="31"/>
      <c r="AA62" s="31"/>
      <c r="AB62" s="31"/>
      <c r="AC62" s="64"/>
      <c r="AD62" s="64"/>
    </row>
    <row r="63" spans="1:30" ht="22.5" customHeight="1" thickBot="1">
      <c r="A63" s="32">
        <v>38</v>
      </c>
      <c r="B63" s="40" t="str">
        <f>VLOOKUP(C63,Lists!I:J,2,FALSE)</f>
        <v>Tank</v>
      </c>
      <c r="C63" s="34" t="str">
        <f>VLOOKUP(E63&amp;D63,Lists!C:E,3,FALSE)</f>
        <v>SnS/Greatsword</v>
      </c>
      <c r="D63" s="35" t="s">
        <v>40</v>
      </c>
      <c r="E63" s="36" t="s">
        <v>148</v>
      </c>
      <c r="F63" s="35" t="s">
        <v>483</v>
      </c>
      <c r="G63" s="32">
        <v>1</v>
      </c>
      <c r="H63" s="32">
        <v>11</v>
      </c>
      <c r="I63" s="235">
        <v>12</v>
      </c>
      <c r="J63" s="37">
        <v>284576</v>
      </c>
      <c r="K63" s="37">
        <v>8090</v>
      </c>
      <c r="L63" s="37">
        <v>8090</v>
      </c>
      <c r="M63" s="38">
        <f>I63/(HLOOKUP(F63,Team_Composition_23[[#All],[Yellow]:[Red]],10,FALSE)+HLOOKUP(F63,Team_Composition_23[[#All],[Yellow]:[Red]],11,FALSE))</f>
        <v>1.4616321559074299E-2</v>
      </c>
      <c r="N63" s="38">
        <f>J63/HLOOKUP(F63,Team_Composition_23[[#All],[Yellow]:[Red]],6,FALSE)</f>
        <v>1.6127484747445582E-2</v>
      </c>
      <c r="O63" s="38">
        <f>K63/HLOOKUP(F63,Team_Composition_23[[#All],[Yellow]:[Red]],8,FALSE)</f>
        <v>1.8379706005583704E-4</v>
      </c>
      <c r="P63" s="38">
        <f>L63/HLOOKUP(F63,Team_Composition_23[[#All],[Yellow]:[Red]],7,FALSE)</f>
        <v>3.3335518615991677E-4</v>
      </c>
      <c r="Q63" s="31"/>
      <c r="R63" s="227" t="s">
        <v>11</v>
      </c>
      <c r="S63" s="228"/>
      <c r="T63" s="228"/>
      <c r="U63" s="31"/>
      <c r="V63" s="31"/>
      <c r="W63" s="31"/>
      <c r="X63" s="31"/>
      <c r="Y63" s="31"/>
      <c r="Z63" s="31"/>
      <c r="AA63" s="31"/>
      <c r="AB63" s="227" t="s">
        <v>11</v>
      </c>
      <c r="AC63" s="228"/>
      <c r="AD63" s="228"/>
    </row>
    <row r="64" spans="1:30" ht="22.5" customHeight="1" thickBot="1">
      <c r="A64" s="32">
        <v>61</v>
      </c>
      <c r="B64" s="60" t="str">
        <f>VLOOKUP(C64,Lists!I:J,2,FALSE)</f>
        <v>Tank</v>
      </c>
      <c r="C64" s="34" t="str">
        <f>VLOOKUP(E64&amp;D64,Lists!C:E,3,FALSE)</f>
        <v>SnS/Greatsword</v>
      </c>
      <c r="D64" s="35" t="s">
        <v>28</v>
      </c>
      <c r="E64" s="36" t="s">
        <v>344</v>
      </c>
      <c r="F64" s="35" t="s">
        <v>476</v>
      </c>
      <c r="G64" s="32">
        <v>0</v>
      </c>
      <c r="H64" s="32">
        <v>27</v>
      </c>
      <c r="I64" s="236">
        <v>27</v>
      </c>
      <c r="J64" s="37">
        <v>73565</v>
      </c>
      <c r="K64" s="37">
        <v>5193</v>
      </c>
      <c r="L64" s="37">
        <v>5193</v>
      </c>
      <c r="M64" s="38">
        <f>I64/(HLOOKUP(F64,Team_Composition_23[[#All],[Yellow]:[Red]],10,FALSE)+HLOOKUP(F64,Team_Composition_23[[#All],[Yellow]:[Red]],11,FALSE))</f>
        <v>6.7483129217695576E-3</v>
      </c>
      <c r="N64" s="38">
        <f>J64/HLOOKUP(F64,Team_Composition_23[[#All],[Yellow]:[Red]],6,FALSE)</f>
        <v>1.6582291546236643E-3</v>
      </c>
      <c r="O64" s="38">
        <f>K64/HLOOKUP(F64,Team_Composition_23[[#All],[Yellow]:[Red]],8,FALSE)</f>
        <v>2.9642503868566519E-4</v>
      </c>
      <c r="P64" s="38">
        <f>L64/HLOOKUP(F64,Team_Composition_23[[#All],[Yellow]:[Red]],7,FALSE)</f>
        <v>4.0116575229509605E-4</v>
      </c>
      <c r="Q64" s="31"/>
      <c r="R64" s="41" t="s">
        <v>482</v>
      </c>
      <c r="S64" s="42" t="s">
        <v>476</v>
      </c>
      <c r="T64" s="42" t="s">
        <v>483</v>
      </c>
      <c r="U64" s="31"/>
      <c r="V64" s="31"/>
      <c r="W64" s="31"/>
      <c r="X64" s="31"/>
      <c r="Y64" s="31"/>
      <c r="Z64" s="31"/>
      <c r="AA64" s="31"/>
      <c r="AB64" s="41" t="s">
        <v>482</v>
      </c>
      <c r="AC64" s="42" t="s">
        <v>485</v>
      </c>
      <c r="AD64" s="42" t="s">
        <v>28</v>
      </c>
    </row>
    <row r="65" spans="1:30" ht="22.5" customHeight="1" thickBot="1">
      <c r="A65" s="32">
        <v>64</v>
      </c>
      <c r="B65" s="59" t="str">
        <f>VLOOKUP(C65,Lists!I:J,2,FALSE)</f>
        <v>Tank</v>
      </c>
      <c r="C65" s="34" t="str">
        <f>VLOOKUP(E65&amp;D65,Lists!C:E,3,FALSE)</f>
        <v>SnS/Greatsword</v>
      </c>
      <c r="D65" s="35" t="s">
        <v>40</v>
      </c>
      <c r="E65" s="36" t="s">
        <v>184</v>
      </c>
      <c r="F65" s="35" t="s">
        <v>476</v>
      </c>
      <c r="G65" s="32">
        <v>0</v>
      </c>
      <c r="H65" s="32">
        <v>24</v>
      </c>
      <c r="I65" s="235">
        <v>24</v>
      </c>
      <c r="J65" s="37">
        <v>612478</v>
      </c>
      <c r="K65" s="37">
        <v>17741</v>
      </c>
      <c r="L65" s="37">
        <v>17741</v>
      </c>
      <c r="M65" s="38">
        <f>I65/(HLOOKUP(F65,Team_Composition_23[[#All],[Yellow]:[Red]],10,FALSE)+HLOOKUP(F65,Team_Composition_23[[#All],[Yellow]:[Red]],11,FALSE))</f>
        <v>5.9985003749062731E-3</v>
      </c>
      <c r="N65" s="38">
        <f>J65/HLOOKUP(F65,Team_Composition_23[[#All],[Yellow]:[Red]],6,FALSE)</f>
        <v>1.3805870674445627E-2</v>
      </c>
      <c r="O65" s="38">
        <f>K65/HLOOKUP(F65,Team_Composition_23[[#All],[Yellow]:[Red]],8,FALSE)</f>
        <v>1.0126856559450003E-3</v>
      </c>
      <c r="P65" s="38">
        <f>L65/HLOOKUP(F65,Team_Composition_23[[#All],[Yellow]:[Red]],7,FALSE)</f>
        <v>1.3705144639836896E-3</v>
      </c>
      <c r="Q65" s="31"/>
      <c r="R65" s="45" t="s">
        <v>468</v>
      </c>
      <c r="S65" s="46">
        <f>SUMIFS(Scoreboard_43[Damage Dealt],Scoreboard_43[Role],"Healer",Scoreboard_43[Team],"Yellow")</f>
        <v>4236191</v>
      </c>
      <c r="T65" s="47">
        <f>SUMIFS(Scoreboard_43[Damage Dealt],Scoreboard_43[Role],"Healer",Scoreboard_43[Team],"Red")</f>
        <v>5274184</v>
      </c>
      <c r="U65" s="31"/>
      <c r="V65" s="31"/>
      <c r="W65" s="31"/>
      <c r="X65" s="31"/>
      <c r="Y65" s="31"/>
      <c r="Z65" s="31"/>
      <c r="AA65" s="31"/>
      <c r="AB65" s="45" t="s">
        <v>468</v>
      </c>
      <c r="AC65" s="50">
        <f>SUMIFS(Scoreboard_43[Damage Dealt],Scoreboard_43[Role],"Healer",Scoreboard_43[Guild],"House Regard")</f>
        <v>5083069</v>
      </c>
      <c r="AD65" s="51">
        <f>SUMIFS(Scoreboard_43[Damage Dealt],Scoreboard_43[Role],"Healer",Scoreboard_43[Guild],"Undercooked")</f>
        <v>4427306</v>
      </c>
    </row>
    <row r="66" spans="1:30" ht="22.5" customHeight="1" thickBot="1">
      <c r="A66" s="32">
        <v>67</v>
      </c>
      <c r="B66" s="55" t="str">
        <f>VLOOKUP(C66,Lists!I:J,2,FALSE)</f>
        <v>Tank</v>
      </c>
      <c r="C66" s="34" t="str">
        <f>VLOOKUP(E66&amp;D66,Lists!C:E,3,FALSE)</f>
        <v>SnS/Greatsword</v>
      </c>
      <c r="D66" s="35" t="s">
        <v>40</v>
      </c>
      <c r="E66" s="36" t="s">
        <v>150</v>
      </c>
      <c r="F66" s="35" t="s">
        <v>476</v>
      </c>
      <c r="G66" s="32">
        <v>0</v>
      </c>
      <c r="H66" s="32">
        <v>21</v>
      </c>
      <c r="I66" s="236">
        <v>21</v>
      </c>
      <c r="J66" s="37">
        <v>713762</v>
      </c>
      <c r="K66" s="37">
        <v>23197</v>
      </c>
      <c r="L66" s="37">
        <v>23197</v>
      </c>
      <c r="M66" s="38">
        <f>I66/(HLOOKUP(F66,Team_Composition_23[[#All],[Yellow]:[Red]],10,FALSE)+HLOOKUP(F66,Team_Composition_23[[#All],[Yellow]:[Red]],11,FALSE))</f>
        <v>5.2486878280429894E-3</v>
      </c>
      <c r="N66" s="38">
        <f>J66/HLOOKUP(F66,Team_Composition_23[[#All],[Yellow]:[Red]],6,FALSE)</f>
        <v>1.6088913992557546E-2</v>
      </c>
      <c r="O66" s="38">
        <f>K66/HLOOKUP(F66,Team_Composition_23[[#All],[Yellow]:[Red]],8,FALSE)</f>
        <v>1.3241231701119538E-3</v>
      </c>
      <c r="P66" s="38">
        <f>L66/HLOOKUP(F66,Team_Composition_23[[#All],[Yellow]:[Red]],7,FALSE)</f>
        <v>1.7919972955881655E-3</v>
      </c>
      <c r="Q66" s="31"/>
      <c r="R66" s="45" t="s">
        <v>469</v>
      </c>
      <c r="S66" s="46">
        <f>SUMIFS(Scoreboard_43[Damage Taken],Scoreboard_43[Role],"Healer",Scoreboard_43[Team],"Yellow")</f>
        <v>13107114</v>
      </c>
      <c r="T66" s="47">
        <f>SUMIFS(Scoreboard_43[Damage Taken],Scoreboard_43[Role],"Healer",Scoreboard_43[Team],"Red")</f>
        <v>13629905</v>
      </c>
      <c r="U66" s="31"/>
      <c r="V66" s="31"/>
      <c r="W66" s="31"/>
      <c r="X66" s="31"/>
      <c r="Y66" s="31"/>
      <c r="Z66" s="31"/>
      <c r="AA66" s="31"/>
      <c r="AB66" s="45" t="s">
        <v>469</v>
      </c>
      <c r="AC66" s="50">
        <f>SUMIFS(Scoreboard_43[Damage Taken],Scoreboard_43[Role],"Healer",Scoreboard_43[Guild],"House Regard")</f>
        <v>15317191</v>
      </c>
      <c r="AD66" s="51">
        <f>SUMIFS(Scoreboard_43[Damage Taken],Scoreboard_43[Role],"Healer",Scoreboard_43[Guild],"Undercooked")</f>
        <v>11419828</v>
      </c>
    </row>
    <row r="67" spans="1:30" ht="22.5" customHeight="1" thickBot="1">
      <c r="A67" s="32">
        <v>75</v>
      </c>
      <c r="B67" s="56" t="str">
        <f>VLOOKUP(C67,Lists!I:J,2,FALSE)</f>
        <v>Tank</v>
      </c>
      <c r="C67" s="34" t="str">
        <f>VLOOKUP(E67&amp;D67,Lists!C:E,3,FALSE)</f>
        <v>SnS/Greatsword</v>
      </c>
      <c r="D67" s="35" t="s">
        <v>40</v>
      </c>
      <c r="E67" s="36" t="s">
        <v>185</v>
      </c>
      <c r="F67" s="35" t="s">
        <v>476</v>
      </c>
      <c r="G67" s="32">
        <v>0</v>
      </c>
      <c r="H67" s="32">
        <v>14</v>
      </c>
      <c r="I67" s="235">
        <v>14</v>
      </c>
      <c r="J67" s="37">
        <v>295917</v>
      </c>
      <c r="K67" s="37">
        <v>43480</v>
      </c>
      <c r="L67" s="37">
        <v>43480</v>
      </c>
      <c r="M67" s="38">
        <f>I67/(HLOOKUP(F67,Team_Composition_23[[#All],[Yellow]:[Red]],10,FALSE)+HLOOKUP(F67,Team_Composition_23[[#All],[Yellow]:[Red]],11,FALSE))</f>
        <v>3.4991252186953262E-3</v>
      </c>
      <c r="N67" s="38">
        <f>J67/HLOOKUP(F67,Team_Composition_23[[#All],[Yellow]:[Red]],6,FALSE)</f>
        <v>6.6702670665230862E-3</v>
      </c>
      <c r="O67" s="38">
        <f>K67/HLOOKUP(F67,Team_Composition_23[[#All],[Yellow]:[Red]],8,FALSE)</f>
        <v>2.4819103951574661E-3</v>
      </c>
      <c r="P67" s="38">
        <f>L67/HLOOKUP(F67,Team_Composition_23[[#All],[Yellow]:[Red]],7,FALSE)</f>
        <v>3.3588844424784861E-3</v>
      </c>
      <c r="Q67" s="31"/>
      <c r="R67" s="45" t="s">
        <v>470</v>
      </c>
      <c r="S67" s="46">
        <f>SUMIFS(Scoreboard_43[Amount Healed],Scoreboard_43[Role],"Healer",Scoreboard_43[Team],"Yellow")</f>
        <v>13107114</v>
      </c>
      <c r="T67" s="47">
        <f>SUMIFS(Scoreboard_43[Amount Healed],Scoreboard_43[Role],"Healer",Scoreboard_43[Team],"Red")</f>
        <v>13629905</v>
      </c>
      <c r="U67" s="31"/>
      <c r="V67" s="31"/>
      <c r="W67" s="31"/>
      <c r="X67" s="31"/>
      <c r="Y67" s="31"/>
      <c r="Z67" s="31"/>
      <c r="AA67" s="31"/>
      <c r="AB67" s="45" t="s">
        <v>470</v>
      </c>
      <c r="AC67" s="50">
        <f>SUMIFS(Scoreboard_43[Amount Healed],Scoreboard_43[Role],"Healer",Scoreboard_43[Guild],"House Regard")</f>
        <v>15317191</v>
      </c>
      <c r="AD67" s="51">
        <f>SUMIFS(Scoreboard_43[Amount Healed],Scoreboard_43[Role],"Healer",Scoreboard_43[Guild],"Undercooked")</f>
        <v>11419828</v>
      </c>
    </row>
    <row r="68" spans="1:30" ht="22.5" customHeight="1" thickBot="1">
      <c r="A68" s="32">
        <v>78</v>
      </c>
      <c r="B68" s="34" t="str">
        <f>VLOOKUP(C68,Lists!I:J,2,FALSE)</f>
        <v>Tank</v>
      </c>
      <c r="C68" s="34" t="s">
        <v>14</v>
      </c>
      <c r="D68" s="35" t="s">
        <v>40</v>
      </c>
      <c r="E68" s="36" t="s">
        <v>163</v>
      </c>
      <c r="F68" s="35" t="s">
        <v>483</v>
      </c>
      <c r="G68" s="32">
        <v>0</v>
      </c>
      <c r="H68" s="32">
        <v>13</v>
      </c>
      <c r="I68" s="236">
        <v>13</v>
      </c>
      <c r="J68" s="37">
        <v>471200</v>
      </c>
      <c r="K68" s="37">
        <v>21851</v>
      </c>
      <c r="L68" s="37">
        <v>21851</v>
      </c>
      <c r="M68" s="38">
        <f>I68/(HLOOKUP(F68,Team_Composition_23[[#All],[Yellow]:[Red]],10,FALSE)+HLOOKUP(F68,Team_Composition_23[[#All],[Yellow]:[Red]],11,FALSE))</f>
        <v>1.5834348355663823E-2</v>
      </c>
      <c r="N68" s="38">
        <f>J68/HLOOKUP(F68,Team_Composition_23[[#All],[Yellow]:[Red]],6,FALSE)</f>
        <v>2.6703835927823702E-2</v>
      </c>
      <c r="O68" s="38">
        <f>K68/HLOOKUP(F68,Team_Composition_23[[#All],[Yellow]:[Red]],8,FALSE)</f>
        <v>4.9643381449692152E-4</v>
      </c>
      <c r="P68" s="38">
        <f>L68/HLOOKUP(F68,Team_Composition_23[[#All],[Yellow]:[Red]],7,FALSE)</f>
        <v>9.0038864929299655E-4</v>
      </c>
      <c r="Q68" s="31"/>
      <c r="R68" s="45" t="s">
        <v>465</v>
      </c>
      <c r="S68" s="46">
        <f>SUMIFS(Scoreboard_43[Kills],Scoreboard_43[Role],"Healer",Scoreboard_43[Team],"Yellow")</f>
        <v>0</v>
      </c>
      <c r="T68" s="47">
        <f>SUMIFS(Scoreboard_43[Kills],Scoreboard_43[Role],"Healer",Scoreboard_43[Team],"Red")</f>
        <v>1</v>
      </c>
      <c r="U68" s="31"/>
      <c r="V68" s="31"/>
      <c r="W68" s="31"/>
      <c r="X68" s="31"/>
      <c r="Y68" s="31"/>
      <c r="Z68" s="31"/>
      <c r="AA68" s="31"/>
      <c r="AB68" s="45" t="s">
        <v>465</v>
      </c>
      <c r="AC68" s="50">
        <f>SUMIFS(Scoreboard_43[Kills],Scoreboard_43[Role],"Healer",Scoreboard_43[Guild],"House Regard")</f>
        <v>1</v>
      </c>
      <c r="AD68" s="51">
        <f>SUMIFS(Scoreboard_43[Kills],Scoreboard_43[Role],"Healer",Scoreboard_43[Guild],"Undercooked")</f>
        <v>0</v>
      </c>
    </row>
    <row r="69" spans="1:30" ht="22.5" customHeight="1" thickBot="1">
      <c r="A69" s="32">
        <v>79</v>
      </c>
      <c r="B69" s="56" t="str">
        <f>VLOOKUP(C69,Lists!I:J,2,FALSE)</f>
        <v>Tank</v>
      </c>
      <c r="C69" s="34" t="str">
        <f>VLOOKUP(E69&amp;D69,Lists!C:E,3,FALSE)</f>
        <v>SnS/Greatsword</v>
      </c>
      <c r="D69" s="35" t="s">
        <v>28</v>
      </c>
      <c r="E69" s="36" t="s">
        <v>385</v>
      </c>
      <c r="F69" s="35" t="s">
        <v>483</v>
      </c>
      <c r="G69" s="32">
        <v>0</v>
      </c>
      <c r="H69" s="32">
        <v>13</v>
      </c>
      <c r="I69" s="235">
        <v>13</v>
      </c>
      <c r="J69" s="37">
        <v>267034</v>
      </c>
      <c r="K69" s="37">
        <v>34034</v>
      </c>
      <c r="L69" s="37">
        <v>34034</v>
      </c>
      <c r="M69" s="38">
        <f>I69/(HLOOKUP(F69,Team_Composition_23[[#All],[Yellow]:[Red]],10,FALSE)+HLOOKUP(F69,Team_Composition_23[[#All],[Yellow]:[Red]],11,FALSE))</f>
        <v>1.5834348355663823E-2</v>
      </c>
      <c r="N69" s="38">
        <f>J69/HLOOKUP(F69,Team_Composition_23[[#All],[Yellow]:[Red]],6,FALSE)</f>
        <v>1.5133344913307459E-2</v>
      </c>
      <c r="O69" s="38">
        <f>K69/HLOOKUP(F69,Team_Composition_23[[#All],[Yellow]:[Red]],8,FALSE)</f>
        <v>7.7321991865764628E-4</v>
      </c>
      <c r="P69" s="38">
        <f>L69/HLOOKUP(F69,Team_Composition_23[[#All],[Yellow]:[Red]],7,FALSE)</f>
        <v>1.4023993085001988E-3</v>
      </c>
      <c r="Q69" s="31"/>
      <c r="R69" s="45" t="s">
        <v>466</v>
      </c>
      <c r="S69" s="46">
        <f>SUMIFS(Scoreboard_43[Assists],Scoreboard_43[Role],"Healer",Scoreboard_43[Team],"Yellow")</f>
        <v>476</v>
      </c>
      <c r="T69" s="47">
        <f>SUMIFS(Scoreboard_43[Assists],Scoreboard_43[Role],"Healer",Scoreboard_43[Team],"Red")</f>
        <v>480</v>
      </c>
      <c r="U69" s="31"/>
      <c r="V69" s="31"/>
      <c r="W69" s="31"/>
      <c r="X69" s="31"/>
      <c r="Y69" s="31"/>
      <c r="Z69" s="31"/>
      <c r="AA69" s="31"/>
      <c r="AB69" s="45" t="s">
        <v>466</v>
      </c>
      <c r="AC69" s="50">
        <f>SUMIFS(Scoreboard_43[Assists],Scoreboard_43[Role],"Healer",Scoreboard_43[Guild],"House Regard")</f>
        <v>532</v>
      </c>
      <c r="AD69" s="51">
        <f>SUMIFS(Scoreboard_43[Kills],Scoreboard_43[Role],"Healer",Scoreboard_43[Guild],"Undercooked")</f>
        <v>0</v>
      </c>
    </row>
    <row r="70" spans="1:30" ht="22.5" customHeight="1" thickBot="1">
      <c r="A70" s="32">
        <v>80</v>
      </c>
      <c r="B70" s="60" t="str">
        <f>VLOOKUP(C70,Lists!I:J,2,FALSE)</f>
        <v>Tank</v>
      </c>
      <c r="C70" s="34" t="str">
        <f>VLOOKUP(E70&amp;D70,Lists!C:E,3,FALSE)</f>
        <v>SnS/Greatsword</v>
      </c>
      <c r="D70" s="35" t="s">
        <v>28</v>
      </c>
      <c r="E70" s="36" t="s">
        <v>388</v>
      </c>
      <c r="F70" s="35" t="s">
        <v>476</v>
      </c>
      <c r="G70" s="32">
        <v>0</v>
      </c>
      <c r="H70" s="32">
        <v>13</v>
      </c>
      <c r="I70" s="236">
        <v>13</v>
      </c>
      <c r="J70" s="37">
        <v>588243</v>
      </c>
      <c r="K70" s="37">
        <v>44101</v>
      </c>
      <c r="L70" s="37">
        <v>44101</v>
      </c>
      <c r="M70" s="38">
        <f>I70/(HLOOKUP(F70,Team_Composition_23[[#All],[Yellow]:[Red]],10,FALSE)+HLOOKUP(F70,Team_Composition_23[[#All],[Yellow]:[Red]],11,FALSE))</f>
        <v>3.2491877030742314E-3</v>
      </c>
      <c r="N70" s="38">
        <f>J70/HLOOKUP(F70,Team_Composition_23[[#All],[Yellow]:[Red]],6,FALSE)</f>
        <v>1.3259589378145696E-2</v>
      </c>
      <c r="O70" s="38">
        <f>K70/HLOOKUP(F70,Team_Composition_23[[#All],[Yellow]:[Red]],8,FALSE)</f>
        <v>2.5173581034231697E-3</v>
      </c>
      <c r="P70" s="38">
        <f>L70/HLOOKUP(F70,Team_Composition_23[[#All],[Yellow]:[Red]],7,FALSE)</f>
        <v>3.4068574700493034E-3</v>
      </c>
      <c r="Q70" s="31"/>
      <c r="R70" s="45" t="s">
        <v>10</v>
      </c>
      <c r="S70" s="46">
        <f t="shared" ref="S70:S72" si="13">COUNTIFS(C:C,R70,F:F,"Yellow")</f>
        <v>7</v>
      </c>
      <c r="T70" s="47">
        <f t="shared" ref="T70:T72" si="14">COUNTIFS(C:C,R70,F:F,"Red")</f>
        <v>6</v>
      </c>
      <c r="U70" s="31"/>
      <c r="V70" s="31"/>
      <c r="W70" s="31"/>
      <c r="X70" s="31"/>
      <c r="Y70" s="31"/>
      <c r="Z70" s="31"/>
      <c r="AA70" s="31"/>
      <c r="AB70" s="45" t="s">
        <v>10</v>
      </c>
      <c r="AC70" s="50">
        <f t="shared" ref="AC70:AC72" si="15">COUNTIFS(C:C,AB70,D:D,"House Regard")</f>
        <v>7</v>
      </c>
      <c r="AD70" s="70">
        <f t="shared" ref="AD70:AD72" si="16">COUNTIFS(D:D,AC70,D:D,"Undercooked")</f>
        <v>0</v>
      </c>
    </row>
    <row r="71" spans="1:30" ht="22.5" customHeight="1" thickBot="1">
      <c r="A71" s="32">
        <v>86</v>
      </c>
      <c r="B71" s="59" t="str">
        <f>VLOOKUP(C71,Lists!I:J,2,FALSE)</f>
        <v>Tank</v>
      </c>
      <c r="C71" s="34" t="str">
        <f>VLOOKUP(E71&amp;D71,Lists!C:E,3,FALSE)</f>
        <v>SnS/Greatsword</v>
      </c>
      <c r="D71" s="35" t="s">
        <v>40</v>
      </c>
      <c r="E71" s="36" t="s">
        <v>178</v>
      </c>
      <c r="F71" s="35" t="s">
        <v>483</v>
      </c>
      <c r="G71" s="32">
        <v>0</v>
      </c>
      <c r="H71" s="32">
        <v>10</v>
      </c>
      <c r="I71" s="235">
        <v>10</v>
      </c>
      <c r="J71" s="37">
        <v>227802</v>
      </c>
      <c r="K71" s="37">
        <v>30586</v>
      </c>
      <c r="L71" s="37">
        <v>30586</v>
      </c>
      <c r="M71" s="38">
        <f>I71/(HLOOKUP(F71,Team_Composition_23[[#All],[Yellow]:[Red]],10,FALSE)+HLOOKUP(F71,Team_Composition_23[[#All],[Yellow]:[Red]],11,FALSE))</f>
        <v>1.2180267965895249E-2</v>
      </c>
      <c r="N71" s="38">
        <f>J71/HLOOKUP(F71,Team_Composition_23[[#All],[Yellow]:[Red]],6,FALSE)</f>
        <v>1.2909989881218368E-2</v>
      </c>
      <c r="O71" s="38">
        <f>K71/HLOOKUP(F71,Team_Composition_23[[#All],[Yellow]:[Red]],8,FALSE)</f>
        <v>6.948846574620311E-4</v>
      </c>
      <c r="P71" s="38">
        <f>L71/HLOOKUP(F71,Team_Composition_23[[#All],[Yellow]:[Red]],7,FALSE)</f>
        <v>1.2603215975138709E-3</v>
      </c>
      <c r="Q71" s="31"/>
      <c r="R71" s="45" t="s">
        <v>9</v>
      </c>
      <c r="S71" s="46">
        <f t="shared" si="13"/>
        <v>7</v>
      </c>
      <c r="T71" s="47">
        <f t="shared" si="14"/>
        <v>11</v>
      </c>
      <c r="U71" s="31"/>
      <c r="V71" s="31"/>
      <c r="W71" s="31"/>
      <c r="X71" s="31"/>
      <c r="Y71" s="31"/>
      <c r="Z71" s="31"/>
      <c r="AA71" s="31"/>
      <c r="AB71" s="45" t="s">
        <v>9</v>
      </c>
      <c r="AC71" s="50">
        <f t="shared" si="15"/>
        <v>9</v>
      </c>
      <c r="AD71" s="70">
        <f t="shared" si="16"/>
        <v>0</v>
      </c>
    </row>
    <row r="72" spans="1:30" ht="22.5" customHeight="1" thickBot="1">
      <c r="A72" s="32">
        <v>91</v>
      </c>
      <c r="B72" s="71" t="str">
        <f>VLOOKUP(C72,Lists!I:J,2,FALSE)</f>
        <v>Tank</v>
      </c>
      <c r="C72" s="34" t="str">
        <f>VLOOKUP(E72&amp;D72,Lists!C:E,3,FALSE)</f>
        <v>SnS/Greatsword</v>
      </c>
      <c r="D72" s="35" t="s">
        <v>28</v>
      </c>
      <c r="E72" s="36" t="s">
        <v>302</v>
      </c>
      <c r="F72" s="35" t="s">
        <v>476</v>
      </c>
      <c r="G72" s="32">
        <v>0</v>
      </c>
      <c r="H72" s="32">
        <v>7</v>
      </c>
      <c r="I72" s="236">
        <v>7</v>
      </c>
      <c r="J72" s="37">
        <v>289076</v>
      </c>
      <c r="K72" s="37">
        <v>24239</v>
      </c>
      <c r="L72" s="37">
        <v>24239</v>
      </c>
      <c r="M72" s="38">
        <f>I72/(HLOOKUP(F72,Team_Composition_23[[#All],[Yellow]:[Red]],10,FALSE)+HLOOKUP(F72,Team_Composition_23[[#All],[Yellow]:[Red]],11,FALSE))</f>
        <v>1.7495626093476631E-3</v>
      </c>
      <c r="N72" s="38">
        <f>J72/HLOOKUP(F72,Team_Composition_23[[#All],[Yellow]:[Red]],6,FALSE)</f>
        <v>6.5160640399917133E-3</v>
      </c>
      <c r="O72" s="38">
        <f>K72/HLOOKUP(F72,Team_Composition_23[[#All],[Yellow]:[Red]],8,FALSE)</f>
        <v>1.3836022554788829E-3</v>
      </c>
      <c r="P72" s="38">
        <f>L72/HLOOKUP(F72,Team_Composition_23[[#All],[Yellow]:[Red]],7,FALSE)</f>
        <v>1.8724931003044163E-3</v>
      </c>
      <c r="Q72" s="31"/>
      <c r="R72" s="45" t="s">
        <v>18</v>
      </c>
      <c r="S72" s="46">
        <f t="shared" si="13"/>
        <v>0</v>
      </c>
      <c r="T72" s="47">
        <f t="shared" si="14"/>
        <v>0</v>
      </c>
      <c r="U72" s="31"/>
      <c r="V72" s="31"/>
      <c r="W72" s="31"/>
      <c r="X72" s="31"/>
      <c r="Y72" s="31"/>
      <c r="Z72" s="31"/>
      <c r="AA72" s="31"/>
      <c r="AB72" s="45" t="s">
        <v>18</v>
      </c>
      <c r="AC72" s="50">
        <f t="shared" si="15"/>
        <v>0</v>
      </c>
      <c r="AD72" s="70">
        <f t="shared" si="16"/>
        <v>0</v>
      </c>
    </row>
    <row r="73" spans="1:30" ht="22.5" customHeight="1" thickBot="1">
      <c r="A73" s="32">
        <v>92</v>
      </c>
      <c r="B73" s="52" t="str">
        <f>VLOOKUP(C73,Lists!I:J,2,FALSE)</f>
        <v>Tank</v>
      </c>
      <c r="C73" s="34" t="str">
        <f>VLOOKUP(E73&amp;D73,Lists!C:E,3,FALSE)</f>
        <v>SnS/Greatsword</v>
      </c>
      <c r="D73" s="35" t="s">
        <v>40</v>
      </c>
      <c r="E73" s="36" t="s">
        <v>118</v>
      </c>
      <c r="F73" s="35" t="s">
        <v>483</v>
      </c>
      <c r="G73" s="32">
        <v>0</v>
      </c>
      <c r="H73" s="32">
        <v>7</v>
      </c>
      <c r="I73" s="235">
        <v>7</v>
      </c>
      <c r="J73" s="37">
        <v>424278</v>
      </c>
      <c r="K73" s="37">
        <v>29998</v>
      </c>
      <c r="L73" s="37">
        <v>29998</v>
      </c>
      <c r="M73" s="38">
        <f>I73/(HLOOKUP(F73,Team_Composition_23[[#All],[Yellow]:[Red]],10,FALSE)+HLOOKUP(F73,Team_Composition_23[[#All],[Yellow]:[Red]],11,FALSE))</f>
        <v>8.5261875761266752E-3</v>
      </c>
      <c r="N73" s="38">
        <f>J73/HLOOKUP(F73,Team_Composition_23[[#All],[Yellow]:[Red]],6,FALSE)</f>
        <v>2.4044673386640885E-2</v>
      </c>
      <c r="O73" s="38">
        <f>K73/HLOOKUP(F73,Team_Composition_23[[#All],[Yellow]:[Red]],8,FALSE)</f>
        <v>6.8152586001915939E-4</v>
      </c>
      <c r="P73" s="38">
        <f>L73/HLOOKUP(F73,Team_Composition_23[[#All],[Yellow]:[Red]],7,FALSE)</f>
        <v>1.2360925679141142E-3</v>
      </c>
      <c r="Q73" s="31"/>
      <c r="R73" s="31"/>
      <c r="S73" s="31"/>
      <c r="T73" s="31"/>
      <c r="U73" s="31"/>
      <c r="V73" s="31"/>
      <c r="W73" s="31"/>
      <c r="X73" s="31"/>
      <c r="Y73" s="31"/>
      <c r="Z73" s="31"/>
      <c r="AA73" s="31"/>
      <c r="AB73" s="31"/>
      <c r="AC73" s="31"/>
      <c r="AD73" s="31"/>
    </row>
    <row r="74" spans="1:30" ht="22.5" customHeight="1" thickBot="1">
      <c r="A74" s="32">
        <v>93</v>
      </c>
      <c r="B74" s="57" t="str">
        <f>VLOOKUP(C74,Lists!I:J,2,FALSE)</f>
        <v>Tank</v>
      </c>
      <c r="C74" s="34" t="str">
        <f>VLOOKUP(E74&amp;D74,Lists!C:E,3,FALSE)</f>
        <v>SnS/Greatsword</v>
      </c>
      <c r="D74" s="35" t="s">
        <v>40</v>
      </c>
      <c r="E74" s="36" t="s">
        <v>166</v>
      </c>
      <c r="F74" s="35" t="s">
        <v>476</v>
      </c>
      <c r="G74" s="32">
        <v>0</v>
      </c>
      <c r="H74" s="32">
        <v>4</v>
      </c>
      <c r="I74" s="236">
        <v>4</v>
      </c>
      <c r="J74" s="37">
        <v>602984</v>
      </c>
      <c r="K74" s="37">
        <v>29736</v>
      </c>
      <c r="L74" s="37">
        <v>29736</v>
      </c>
      <c r="M74" s="38">
        <f>I74/(HLOOKUP(F74,Team_Composition_23[[#All],[Yellow]:[Red]],10,FALSE)+HLOOKUP(F74,Team_Composition_23[[#All],[Yellow]:[Red]],11,FALSE))</f>
        <v>9.9975006248437899E-4</v>
      </c>
      <c r="N74" s="38">
        <f>J74/HLOOKUP(F74,Team_Composition_23[[#All],[Yellow]:[Red]],6,FALSE)</f>
        <v>1.3591866357256788E-2</v>
      </c>
      <c r="O74" s="38">
        <f>K74/HLOOKUP(F74,Team_Composition_23[[#All],[Yellow]:[Red]],8,FALSE)</f>
        <v>1.6973801175345542E-3</v>
      </c>
      <c r="P74" s="38">
        <f>L74/HLOOKUP(F74,Team_Composition_23[[#All],[Yellow]:[Red]],7,FALSE)</f>
        <v>2.2971432332460962E-3</v>
      </c>
      <c r="Q74" s="31"/>
    </row>
    <row r="75" spans="1:30" ht="22.5" customHeight="1" thickBot="1">
      <c r="A75" s="32">
        <v>81</v>
      </c>
      <c r="B75" s="53" t="str">
        <f>VLOOKUP(C75,Lists!I:J,2,FALSE)</f>
        <v>Tank</v>
      </c>
      <c r="C75" s="34" t="str">
        <f>VLOOKUP(E75&amp;D75,Lists!C:E,3,FALSE)</f>
        <v>SnS/Dagger</v>
      </c>
      <c r="D75" s="35" t="s">
        <v>40</v>
      </c>
      <c r="E75" s="36" t="s">
        <v>177</v>
      </c>
      <c r="F75" s="35" t="s">
        <v>476</v>
      </c>
      <c r="G75" s="32">
        <v>0</v>
      </c>
      <c r="H75" s="32">
        <v>13</v>
      </c>
      <c r="I75" s="235">
        <v>13</v>
      </c>
      <c r="J75" s="37">
        <v>104813</v>
      </c>
      <c r="K75" s="37">
        <v>4418</v>
      </c>
      <c r="L75" s="37">
        <v>4418</v>
      </c>
      <c r="M75" s="38">
        <f>I75/(HLOOKUP(F75,Team_Composition_23[[#All],[Yellow]:[Red]],10,FALSE)+HLOOKUP(F75,Team_Composition_23[[#All],[Yellow]:[Red]],11,FALSE))</f>
        <v>3.2491877030742314E-3</v>
      </c>
      <c r="N75" s="38">
        <f>J75/HLOOKUP(F75,Team_Composition_23[[#All],[Yellow]:[Red]],6,FALSE)</f>
        <v>2.3625905305997433E-3</v>
      </c>
      <c r="O75" s="38">
        <f>K75/HLOOKUP(F75,Team_Composition_23[[#All],[Yellow]:[Red]],8,FALSE)</f>
        <v>2.5218675542331386E-4</v>
      </c>
      <c r="P75" s="38">
        <f>L75/HLOOKUP(F75,Team_Composition_23[[#All],[Yellow]:[Red]],7,FALSE)</f>
        <v>3.4129603189673302E-4</v>
      </c>
      <c r="Q75" s="31"/>
      <c r="R75" s="227" t="s">
        <v>78</v>
      </c>
      <c r="S75" s="228"/>
      <c r="T75" s="228"/>
      <c r="U75" s="31"/>
      <c r="V75" s="31"/>
      <c r="W75" s="31"/>
      <c r="X75" s="31"/>
      <c r="Y75" s="31"/>
      <c r="Z75" s="31"/>
      <c r="AA75" s="31"/>
      <c r="AB75" s="227" t="s">
        <v>78</v>
      </c>
      <c r="AC75" s="228"/>
      <c r="AD75" s="228"/>
    </row>
    <row r="76" spans="1:30" ht="22.5" customHeight="1" thickBot="1">
      <c r="A76" s="32">
        <v>1</v>
      </c>
      <c r="B76" s="68" t="str">
        <f>VLOOKUP(C76,Lists!I:J,2,FALSE)</f>
        <v>Melee DPS</v>
      </c>
      <c r="C76" s="34" t="str">
        <f>VLOOKUP(E76&amp;D76,Lists!C:E,3,FALSE)</f>
        <v>Greatsword/Spear</v>
      </c>
      <c r="D76" s="35" t="s">
        <v>40</v>
      </c>
      <c r="E76" s="36" t="s">
        <v>147</v>
      </c>
      <c r="F76" s="35" t="s">
        <v>483</v>
      </c>
      <c r="G76" s="32">
        <v>45</v>
      </c>
      <c r="H76" s="32">
        <v>72</v>
      </c>
      <c r="I76" s="236">
        <v>117</v>
      </c>
      <c r="J76" s="37">
        <v>877506</v>
      </c>
      <c r="K76" s="37">
        <v>15904</v>
      </c>
      <c r="L76" s="37">
        <v>15904</v>
      </c>
      <c r="M76" s="38">
        <f>I76/(HLOOKUP(F76,Team_Composition_23[[#All],[Yellow]:[Red]],10,FALSE)+HLOOKUP(F76,Team_Composition_23[[#All],[Yellow]:[Red]],11,FALSE))</f>
        <v>0.14250913520097441</v>
      </c>
      <c r="N76" s="38">
        <f>J76/HLOOKUP(F76,Team_Composition_23[[#All],[Yellow]:[Red]],6,FALSE)</f>
        <v>4.9730000529882995E-2</v>
      </c>
      <c r="O76" s="38">
        <f>K76/HLOOKUP(F76,Team_Composition_23[[#All],[Yellow]:[Red]],8,FALSE)</f>
        <v>3.6132366416910164E-4</v>
      </c>
      <c r="P76" s="38">
        <f>L76/HLOOKUP(F76,Team_Composition_23[[#All],[Yellow]:[Red]],7,FALSE)</f>
        <v>6.5533756250770294E-4</v>
      </c>
      <c r="Q76" s="31"/>
      <c r="R76" s="27" t="s">
        <v>482</v>
      </c>
      <c r="S76" s="72" t="s">
        <v>476</v>
      </c>
      <c r="T76" s="72" t="s">
        <v>483</v>
      </c>
      <c r="U76" s="31"/>
      <c r="V76" s="31"/>
      <c r="W76" s="31"/>
      <c r="X76" s="31"/>
      <c r="Y76" s="31"/>
      <c r="Z76" s="31"/>
      <c r="AA76" s="31"/>
      <c r="AB76" s="27" t="s">
        <v>482</v>
      </c>
      <c r="AC76" s="72" t="s">
        <v>485</v>
      </c>
      <c r="AD76" s="72" t="s">
        <v>28</v>
      </c>
    </row>
    <row r="77" spans="1:30" ht="22.5" customHeight="1" thickBot="1">
      <c r="A77" s="32">
        <v>13</v>
      </c>
      <c r="B77" s="73" t="str">
        <f>VLOOKUP(C77,Lists!I:J,2,FALSE)</f>
        <v>Melee DPS</v>
      </c>
      <c r="C77" s="34" t="str">
        <f>VLOOKUP(E77&amp;D77,Lists!C:E,3,FALSE)</f>
        <v>Greatsword/Spear</v>
      </c>
      <c r="D77" s="35" t="s">
        <v>40</v>
      </c>
      <c r="E77" s="36" t="s">
        <v>145</v>
      </c>
      <c r="F77" s="35" t="s">
        <v>476</v>
      </c>
      <c r="G77" s="32">
        <v>20</v>
      </c>
      <c r="H77" s="32">
        <v>35</v>
      </c>
      <c r="I77" s="235">
        <v>55</v>
      </c>
      <c r="J77" s="37">
        <v>1504747</v>
      </c>
      <c r="K77" s="37">
        <v>17652</v>
      </c>
      <c r="L77" s="37">
        <v>17652</v>
      </c>
      <c r="M77" s="38">
        <f>I77/(HLOOKUP(F77,Team_Composition_23[[#All],[Yellow]:[Red]],10,FALSE)+HLOOKUP(F77,Team_Composition_23[[#All],[Yellow]:[Red]],11,FALSE))</f>
        <v>1.374656335916021E-2</v>
      </c>
      <c r="N77" s="38">
        <f>J77/HLOOKUP(F77,Team_Composition_23[[#All],[Yellow]:[Red]],6,FALSE)</f>
        <v>3.3918512142085161E-2</v>
      </c>
      <c r="O77" s="38">
        <f>K77/HLOOKUP(F77,Team_Composition_23[[#All],[Yellow]:[Red]],8,FALSE)</f>
        <v>1.0076053885768076E-3</v>
      </c>
      <c r="P77" s="38">
        <f>L77/HLOOKUP(F77,Team_Composition_23[[#All],[Yellow]:[Red]],7,FALSE)</f>
        <v>1.3636391025443936E-3</v>
      </c>
      <c r="Q77" s="31"/>
      <c r="R77" s="74" t="s">
        <v>468</v>
      </c>
      <c r="S77" s="75">
        <f>SUMIFS('House R m UC 2 Aelon 2242026'!$J$2:$J$163,'House R m UC 2 Aelon 2242026'!$B$2:$B$163,"KS",'House R m UC 2 Aelon 2242026'!$F$2:$F$163,"Yellow")</f>
        <v>2531122</v>
      </c>
      <c r="T77" s="76">
        <f>SUMIFS('House R m UC 2 Aelon 2242026'!$J$2:$J$163,'House R m UC 2 Aelon 2242026'!$B$2:$B$163,"KS",'House R m UC 2 Aelon 2242026'!$F$2:$F$163,"Red")</f>
        <v>3723163</v>
      </c>
      <c r="U77" s="31"/>
      <c r="V77" s="31"/>
      <c r="W77" s="31"/>
      <c r="X77" s="31"/>
      <c r="Y77" s="31"/>
      <c r="Z77" s="31"/>
      <c r="AA77" s="31"/>
      <c r="AB77" s="74" t="s">
        <v>468</v>
      </c>
      <c r="AC77" s="75">
        <f>SUMIFS('House R m UC 2 Aelon 2242026'!$J$2:$J$163,'House R m UC 2 Aelon 2242026'!$B$2:$B$163,"KS",'House R m UC 2 Aelon 2242026'!$D$2:$D$163,"House Regard")</f>
        <v>3013506</v>
      </c>
      <c r="AD77" s="76">
        <f>SUMIFS('House R m UC 2 Aelon 2242026'!$J$2:$J$163,'House R m UC 2 Aelon 2242026'!$B$2:$B$163,"KS",'House R m UC 2 Aelon 2242026'!$D$2:$D$163,"Undercooked")</f>
        <v>3240779</v>
      </c>
    </row>
    <row r="78" spans="1:30" ht="22.5" customHeight="1" thickBot="1">
      <c r="A78" s="32">
        <v>14</v>
      </c>
      <c r="B78" s="69" t="str">
        <f>VLOOKUP(C78,Lists!I:J,2,FALSE)</f>
        <v>Melee DPS</v>
      </c>
      <c r="C78" s="34" t="str">
        <f>VLOOKUP(E78&amp;D78,Lists!C:E,3,FALSE)</f>
        <v>Greatsword/Spear</v>
      </c>
      <c r="D78" s="35" t="s">
        <v>28</v>
      </c>
      <c r="E78" s="77" t="s">
        <v>347</v>
      </c>
      <c r="F78" s="35" t="s">
        <v>476</v>
      </c>
      <c r="G78" s="32">
        <v>18</v>
      </c>
      <c r="H78" s="32">
        <v>37</v>
      </c>
      <c r="I78" s="236">
        <v>55</v>
      </c>
      <c r="J78" s="37">
        <v>832655</v>
      </c>
      <c r="K78" s="37">
        <v>43577</v>
      </c>
      <c r="L78" s="37">
        <v>43577</v>
      </c>
      <c r="M78" s="38">
        <f>I78/(HLOOKUP(F78,Team_Composition_23[[#All],[Yellow]:[Red]],10,FALSE)+HLOOKUP(F78,Team_Composition_23[[#All],[Yellow]:[Red]],11,FALSE))</f>
        <v>1.374656335916021E-2</v>
      </c>
      <c r="N78" s="38">
        <f>J78/HLOOKUP(F78,Team_Composition_23[[#All],[Yellow]:[Red]],6,FALSE)</f>
        <v>1.876888189686899E-2</v>
      </c>
      <c r="O78" s="38">
        <f>K78/HLOOKUP(F78,Team_Composition_23[[#All],[Yellow]:[Red]],8,FALSE)</f>
        <v>2.4874473157722381E-3</v>
      </c>
      <c r="P78" s="38">
        <f>L78/HLOOKUP(F78,Team_Composition_23[[#All],[Yellow]:[Red]],7,FALSE)</f>
        <v>3.366377813934797E-3</v>
      </c>
      <c r="Q78" s="31"/>
      <c r="R78" s="78" t="s">
        <v>469</v>
      </c>
      <c r="S78" s="75">
        <f>SUMIFS('House R m UC 2 Aelon 2242026'!$K$2:$K$163,'House R m UC 2 Aelon 2242026'!$B$2:$B$163,"KS",'House R m UC 2 Aelon 2242026'!$F$2:$F$163,"Yellow")</f>
        <v>100118</v>
      </c>
      <c r="T78" s="76">
        <f>SUMIFS('House R m UC 2 Aelon 2242026'!$K$2:$K$163,'House R m UC 2 Aelon 2242026'!$B$2:$B$163,"KS",'House R m UC 2 Aelon 2242026'!$F$2:$F$163,"Red")</f>
        <v>48771</v>
      </c>
      <c r="U78" s="31"/>
      <c r="V78" s="31"/>
      <c r="W78" s="31"/>
      <c r="X78" s="31"/>
      <c r="Y78" s="31"/>
      <c r="Z78" s="31"/>
      <c r="AA78" s="31"/>
      <c r="AB78" s="78" t="s">
        <v>469</v>
      </c>
      <c r="AC78" s="75">
        <f>SUMIFS('House R m UC 2 Aelon 2242026'!$K$2:$K$163,'House R m UC 2 Aelon 2242026'!$B$2:$B$163,"KS",'House R m UC 2 Aelon 2242026'!$D$2:$D$163,"House Regard")</f>
        <v>70429</v>
      </c>
      <c r="AD78" s="76">
        <f>SUMIFS('House R m UC 2 Aelon 2242026'!$K$2:$K$163,'House R m UC 2 Aelon 2242026'!$B$2:$B$163,"KS",'House R m UC 2 Aelon 2242026'!$D$2:$D$163,"Undercooked")</f>
        <v>78460</v>
      </c>
    </row>
    <row r="79" spans="1:30" ht="22.5" customHeight="1" thickBot="1">
      <c r="A79" s="32">
        <v>20</v>
      </c>
      <c r="B79" s="73" t="str">
        <f>VLOOKUP(C79,Lists!I:J,2,FALSE)</f>
        <v>Melee DPS</v>
      </c>
      <c r="C79" s="34" t="str">
        <f>VLOOKUP(E79&amp;D79,Lists!C:E,3,FALSE)</f>
        <v>Greatsword/Spear</v>
      </c>
      <c r="D79" s="35" t="s">
        <v>40</v>
      </c>
      <c r="E79" s="36" t="s">
        <v>22</v>
      </c>
      <c r="F79" s="35" t="s">
        <v>476</v>
      </c>
      <c r="G79" s="32">
        <v>14</v>
      </c>
      <c r="H79" s="32">
        <v>47</v>
      </c>
      <c r="I79" s="235">
        <v>61</v>
      </c>
      <c r="J79" s="37">
        <v>1463082</v>
      </c>
      <c r="K79" s="37">
        <v>42224</v>
      </c>
      <c r="L79" s="37">
        <v>42224</v>
      </c>
      <c r="M79" s="38">
        <f>I79/(HLOOKUP(F79,Team_Composition_23[[#All],[Yellow]:[Red]],10,FALSE)+HLOOKUP(F79,Team_Composition_23[[#All],[Yellow]:[Red]],11,FALSE))</f>
        <v>1.5246188452886777E-2</v>
      </c>
      <c r="N79" s="38">
        <f>J79/HLOOKUP(F79,Team_Composition_23[[#All],[Yellow]:[Red]],6,FALSE)</f>
        <v>3.2979341099777064E-2</v>
      </c>
      <c r="O79" s="38">
        <f>K79/HLOOKUP(F79,Team_Composition_23[[#All],[Yellow]:[Red]],8,FALSE)</f>
        <v>2.4102158354445458E-3</v>
      </c>
      <c r="P79" s="38">
        <f>L79/HLOOKUP(F79,Team_Composition_23[[#All],[Yellow]:[Red]],7,FALSE)</f>
        <v>3.2618568698070741E-3</v>
      </c>
      <c r="Q79" s="31"/>
      <c r="R79" s="74" t="s">
        <v>470</v>
      </c>
      <c r="S79" s="75">
        <f>SUMIFS('House R m UC 2 Aelon 2242026'!$L$2:$L$163,'House R m UC 2 Aelon 2242026'!$B$2:$B$163,"KS",'House R m UC 2 Aelon 2242026'!$F$2:$F$163,"Yellow")</f>
        <v>100118</v>
      </c>
      <c r="T79" s="76">
        <f>SUMIFS('House R m UC 2 Aelon 2242026'!$L$2:$L$163,'House R m UC 2 Aelon 2242026'!$B$2:$B$163,"KS",'House R m UC 2 Aelon 2242026'!$F$2:$F$163,"Red")</f>
        <v>48771</v>
      </c>
      <c r="U79" s="31"/>
      <c r="V79" s="31"/>
      <c r="W79" s="31"/>
      <c r="X79" s="31"/>
      <c r="Y79" s="31"/>
      <c r="Z79" s="31"/>
      <c r="AA79" s="31"/>
      <c r="AB79" s="74" t="s">
        <v>470</v>
      </c>
      <c r="AC79" s="75">
        <f>SUMIFS('House R m UC 2 Aelon 2242026'!$L$2:$L$163,'House R m UC 2 Aelon 2242026'!$B$2:$B$163,"KS",'House R m UC 2 Aelon 2242026'!$D$2:$D$163,"House Regard")</f>
        <v>70429</v>
      </c>
      <c r="AD79" s="76">
        <f>SUMIFS('House R m UC 2 Aelon 2242026'!$L$2:$L$163,'House R m UC 2 Aelon 2242026'!$B$2:$B$163,"KS",'House R m UC 2 Aelon 2242026'!$D$2:$D$163,"Undercooked")</f>
        <v>78460</v>
      </c>
    </row>
    <row r="80" spans="1:30" ht="22.5" customHeight="1" thickBot="1">
      <c r="A80" s="32">
        <v>26</v>
      </c>
      <c r="B80" s="68" t="s">
        <v>25</v>
      </c>
      <c r="C80" s="34" t="str">
        <f>VLOOKUP(E80&amp;D80,Lists!C:E,3,FALSE)</f>
        <v>Greatsword/Spear</v>
      </c>
      <c r="D80" s="35" t="s">
        <v>40</v>
      </c>
      <c r="E80" s="36" t="s">
        <v>179</v>
      </c>
      <c r="F80" s="35" t="s">
        <v>483</v>
      </c>
      <c r="G80" s="32">
        <v>10</v>
      </c>
      <c r="H80" s="32">
        <v>20</v>
      </c>
      <c r="I80" s="236">
        <v>30</v>
      </c>
      <c r="J80" s="37">
        <v>737645</v>
      </c>
      <c r="K80" s="37">
        <v>35493</v>
      </c>
      <c r="L80" s="37">
        <v>35493</v>
      </c>
      <c r="M80" s="38">
        <f>I80/(HLOOKUP(F80,Team_Composition_23[[#All],[Yellow]:[Red]],10,FALSE)+HLOOKUP(F80,Team_Composition_23[[#All],[Yellow]:[Red]],11,FALSE))</f>
        <v>3.6540803897685749E-2</v>
      </c>
      <c r="N80" s="38">
        <f>J80/HLOOKUP(F80,Team_Composition_23[[#All],[Yellow]:[Red]],6,FALSE)</f>
        <v>4.1803801046221382E-2</v>
      </c>
      <c r="O80" s="38">
        <f>K80/HLOOKUP(F80,Team_Composition_23[[#All],[Yellow]:[Red]],8,FALSE)</f>
        <v>8.0636700278885346E-4</v>
      </c>
      <c r="P80" s="38">
        <f>L80/HLOOKUP(F80,Team_Composition_23[[#All],[Yellow]:[Red]],7,FALSE)</f>
        <v>1.4625186183404111E-3</v>
      </c>
      <c r="Q80" s="31"/>
      <c r="R80" s="78" t="s">
        <v>465</v>
      </c>
      <c r="S80" s="75">
        <f>SUMIFS('House R m UC 2 Aelon 2242026'!$G$2:$G$163,'House R m UC 2 Aelon 2242026'!$B$2:$B$163,"KS",'House R m UC 2 Aelon 2242026'!$F$2:$F$163,"Yellow")</f>
        <v>105</v>
      </c>
      <c r="T80" s="76">
        <f>SUMIFS('House R m UC 2 Aelon 2242026'!$G$2:$G$163,'House R m UC 2 Aelon 2242026'!$B$2:$B$163,"KS",'House R m UC 2 Aelon 2242026'!$F$2:$F$163,"Red")</f>
        <v>56</v>
      </c>
      <c r="U80" s="31"/>
      <c r="V80" s="31"/>
      <c r="W80" s="31"/>
      <c r="X80" s="31"/>
      <c r="Y80" s="31"/>
      <c r="Z80" s="31"/>
      <c r="AA80" s="31"/>
      <c r="AB80" s="78" t="s">
        <v>465</v>
      </c>
      <c r="AC80" s="75">
        <f>SUMIFS('House R m UC 2 Aelon 2242026'!$G$2:$G$163,'House R m UC 2 Aelon 2242026'!$B$2:$B$163,"KS",'House R m UC 2 Aelon 2242026'!$D$2:$D$163,"House Regard")</f>
        <v>75</v>
      </c>
      <c r="AD80" s="76">
        <f>SUMIFS('House R m UC 2 Aelon 2242026'!$G$2:$G$163,'House R m UC 2 Aelon 2242026'!$B$2:$B$163,"KS",'House R m UC 2 Aelon 2242026'!$D$2:$D$163,"Undercooked")</f>
        <v>86</v>
      </c>
    </row>
    <row r="81" spans="1:30" ht="22.5" customHeight="1" thickBot="1">
      <c r="A81" s="32">
        <v>84</v>
      </c>
      <c r="B81" s="56" t="str">
        <f>VLOOKUP(C81,Lists!I:J,2,FALSE)</f>
        <v>Melee DPS</v>
      </c>
      <c r="C81" s="34" t="str">
        <f>VLOOKUP(E81&amp;D81,Lists!C:E,3,FALSE)</f>
        <v>Greatsword/Spear</v>
      </c>
      <c r="D81" s="35" t="s">
        <v>28</v>
      </c>
      <c r="E81" s="36" t="s">
        <v>331</v>
      </c>
      <c r="F81" s="35" t="s">
        <v>476</v>
      </c>
      <c r="G81" s="32">
        <v>0</v>
      </c>
      <c r="H81" s="32">
        <v>11</v>
      </c>
      <c r="I81" s="235">
        <v>11</v>
      </c>
      <c r="J81" s="37">
        <v>452821</v>
      </c>
      <c r="K81" s="37">
        <v>909684</v>
      </c>
      <c r="L81" s="37">
        <v>909684</v>
      </c>
      <c r="M81" s="38">
        <f>I81/(HLOOKUP(F81,Team_Composition_23[[#All],[Yellow]:[Red]],10,FALSE)+HLOOKUP(F81,Team_Composition_23[[#All],[Yellow]:[Red]],11,FALSE))</f>
        <v>2.7493126718320421E-3</v>
      </c>
      <c r="N81" s="38">
        <f>J81/HLOOKUP(F81,Team_Composition_23[[#All],[Yellow]:[Red]],6,FALSE)</f>
        <v>1.020704117482284E-2</v>
      </c>
      <c r="O81" s="38">
        <f>K81/HLOOKUP(F81,Team_Composition_23[[#All],[Yellow]:[Red]],8,FALSE)</f>
        <v>5.1926268995133959E-2</v>
      </c>
      <c r="P81" s="38">
        <f>L81/HLOOKUP(F81,Team_Composition_23[[#All],[Yellow]:[Red]],7,FALSE)</f>
        <v>7.0274228039825179E-2</v>
      </c>
      <c r="Q81" s="31"/>
      <c r="R81" s="79" t="s">
        <v>466</v>
      </c>
      <c r="S81" s="80">
        <f>SUMIFS('House R m UC 2 Aelon 2242026'!$H$2:$H$163,'House R m UC 2 Aelon 2242026'!$B$2:$B$163,"KS",'House R m UC 2 Aelon 2242026'!$F$2:$F$163,"Yellow")</f>
        <v>173</v>
      </c>
      <c r="T81" s="81">
        <f>SUMIFS('House R m UC 2 Aelon 2242026'!$H$2:$H$163,'House R m UC 2 Aelon 2242026'!$B$2:$B$163,"KS",'House R m UC 2 Aelon 2242026'!$F$2:$F$163,"Red")</f>
        <v>108</v>
      </c>
      <c r="U81" s="31"/>
      <c r="V81" s="31"/>
      <c r="W81" s="31"/>
      <c r="X81" s="31"/>
      <c r="Y81" s="31"/>
      <c r="Z81" s="31"/>
      <c r="AA81" s="31"/>
      <c r="AB81" s="79" t="s">
        <v>466</v>
      </c>
      <c r="AC81" s="80">
        <f>SUMIFS('House R m UC 2 Aelon 2242026'!$H$2:$H$163,'House R m UC 2 Aelon 2242026'!$B$2:$B$163,"KS",'House R m UC 2 Aelon 2242026'!$D$2:$D$163,"House Regard")</f>
        <v>134</v>
      </c>
      <c r="AD81" s="81">
        <f>SUMIFS('House R m UC 2 Aelon 2242026'!$H$2:$H$163,'House R m UC 2 Aelon 2242026'!$B$2:$B$163,"KS",'House R m UC 2 Aelon 2242026'!$D$2:$D$163,"Undercooked")</f>
        <v>147</v>
      </c>
    </row>
    <row r="82" spans="1:30" ht="22.5" customHeight="1" thickBot="1">
      <c r="A82" s="32">
        <v>85</v>
      </c>
      <c r="B82" s="33" t="str">
        <f>VLOOKUP(C82,Lists!I:J,2,FALSE)</f>
        <v>Melee DPS</v>
      </c>
      <c r="C82" s="34" t="str">
        <f>VLOOKUP(E82&amp;D82,Lists!C:E,3,FALSE)</f>
        <v>Greatsword/Spear</v>
      </c>
      <c r="D82" s="35" t="s">
        <v>28</v>
      </c>
      <c r="E82" s="36" t="s">
        <v>333</v>
      </c>
      <c r="F82" s="35" t="s">
        <v>483</v>
      </c>
      <c r="G82" s="32">
        <v>0</v>
      </c>
      <c r="H82" s="32">
        <v>10</v>
      </c>
      <c r="I82" s="236">
        <v>10</v>
      </c>
      <c r="J82" s="37">
        <v>240069</v>
      </c>
      <c r="K82" s="37">
        <v>9811</v>
      </c>
      <c r="L82" s="37">
        <v>9811</v>
      </c>
      <c r="M82" s="38">
        <f>I82/(HLOOKUP(F82,Team_Composition_23[[#All],[Yellow]:[Red]],10,FALSE)+HLOOKUP(F82,Team_Composition_23[[#All],[Yellow]:[Red]],11,FALSE))</f>
        <v>1.2180267965895249E-2</v>
      </c>
      <c r="N82" s="38">
        <f>J82/HLOOKUP(F82,Team_Composition_23[[#All],[Yellow]:[Red]],6,FALSE)</f>
        <v>1.3605185032590637E-2</v>
      </c>
      <c r="O82" s="38">
        <f>K82/HLOOKUP(F82,Team_Composition_23[[#All],[Yellow]:[Red]],8,FALSE)</f>
        <v>2.2289653352383401E-4</v>
      </c>
      <c r="P82" s="38">
        <f>L82/HLOOKUP(F82,Team_Composition_23[[#All],[Yellow]:[Red]],7,FALSE)</f>
        <v>4.0427042415512284E-4</v>
      </c>
      <c r="Q82" s="31"/>
      <c r="R82" s="78" t="s">
        <v>54</v>
      </c>
      <c r="S82" s="75">
        <f t="shared" ref="S82:S84" si="17">COUNTIFS(C:C,R82,F:F,"Yellow")</f>
        <v>3</v>
      </c>
      <c r="T82" s="76">
        <f t="shared" ref="T82:T84" si="18">COUNTIFS(C:C,R82,F:F,"Red")</f>
        <v>2</v>
      </c>
      <c r="U82" s="31"/>
      <c r="V82" s="31"/>
      <c r="W82" s="31"/>
      <c r="X82" s="31"/>
      <c r="Y82" s="31"/>
      <c r="Z82" s="31"/>
      <c r="AA82" s="31"/>
      <c r="AB82" s="78" t="s">
        <v>54</v>
      </c>
      <c r="AC82" s="75">
        <f t="shared" ref="AC82:AC84" si="19">COUNTIFS(C:C,AB82,D:D,"House Regard")</f>
        <v>3</v>
      </c>
      <c r="AD82" s="76">
        <f t="shared" ref="AD82:AD84" si="20">COUNTIFS(C:C,AB82,D:D,"Undercooked")</f>
        <v>2</v>
      </c>
    </row>
    <row r="83" spans="1:30" ht="22.5" customHeight="1" thickBot="1">
      <c r="A83" s="32">
        <v>4</v>
      </c>
      <c r="B83" s="67" t="str">
        <f>VLOOKUP(C83,Lists!I:J,2,FALSE)</f>
        <v>KS</v>
      </c>
      <c r="C83" s="34" t="str">
        <f>VLOOKUP(E83&amp;D83,Lists!C:E,3,FALSE)</f>
        <v>Greatsword/Dagger</v>
      </c>
      <c r="D83" s="35" t="s">
        <v>28</v>
      </c>
      <c r="E83" s="36" t="s">
        <v>334</v>
      </c>
      <c r="F83" s="35" t="s">
        <v>476</v>
      </c>
      <c r="G83" s="32">
        <v>32</v>
      </c>
      <c r="H83" s="32">
        <v>52</v>
      </c>
      <c r="I83" s="235">
        <v>84</v>
      </c>
      <c r="J83" s="37">
        <v>649745</v>
      </c>
      <c r="K83" s="37">
        <v>33431</v>
      </c>
      <c r="L83" s="37">
        <v>33431</v>
      </c>
      <c r="M83" s="38">
        <f>I83/(HLOOKUP(F83,Team_Composition_23[[#All],[Yellow]:[Red]],10,FALSE)+HLOOKUP(F83,Team_Composition_23[[#All],[Yellow]:[Red]],11,FALSE))</f>
        <v>2.0994751312171957E-2</v>
      </c>
      <c r="N83" s="38">
        <f>J83/HLOOKUP(F83,Team_Composition_23[[#All],[Yellow]:[Red]],6,FALSE)</f>
        <v>1.4645906369482127E-2</v>
      </c>
      <c r="O83" s="38">
        <f>K83/HLOOKUP(F83,Team_Composition_23[[#All],[Yellow]:[Red]],8,FALSE)</f>
        <v>1.9082968357982809E-3</v>
      </c>
      <c r="P83" s="38">
        <f>L83/HLOOKUP(F83,Team_Composition_23[[#All],[Yellow]:[Red]],7,FALSE)</f>
        <v>2.5825866098550657E-3</v>
      </c>
      <c r="Q83" s="31"/>
      <c r="R83" s="74" t="s">
        <v>69</v>
      </c>
      <c r="S83" s="75">
        <f t="shared" si="17"/>
        <v>2</v>
      </c>
      <c r="T83" s="76">
        <f t="shared" si="18"/>
        <v>3</v>
      </c>
      <c r="U83" s="31"/>
      <c r="V83" s="31"/>
      <c r="W83" s="31"/>
      <c r="X83" s="31"/>
      <c r="Y83" s="31"/>
      <c r="Z83" s="31"/>
      <c r="AA83" s="31"/>
      <c r="AB83" s="74" t="s">
        <v>69</v>
      </c>
      <c r="AC83" s="75">
        <f t="shared" si="19"/>
        <v>2</v>
      </c>
      <c r="AD83" s="76">
        <f t="shared" si="20"/>
        <v>3</v>
      </c>
    </row>
    <row r="84" spans="1:30" ht="22.5" customHeight="1" thickBot="1">
      <c r="A84" s="32">
        <v>21</v>
      </c>
      <c r="B84" s="60" t="str">
        <f>VLOOKUP(C84,Lists!I:J,2,FALSE)</f>
        <v>KS</v>
      </c>
      <c r="C84" s="34" t="str">
        <f>VLOOKUP(E84&amp;D84,Lists!C:E,3,FALSE)</f>
        <v>Greatsword/Dagger</v>
      </c>
      <c r="D84" s="35" t="s">
        <v>40</v>
      </c>
      <c r="E84" s="36" t="s">
        <v>502</v>
      </c>
      <c r="F84" s="35" t="s">
        <v>476</v>
      </c>
      <c r="G84" s="32">
        <v>13</v>
      </c>
      <c r="H84" s="32">
        <v>31</v>
      </c>
      <c r="I84" s="236">
        <v>44</v>
      </c>
      <c r="J84" s="37">
        <v>516973</v>
      </c>
      <c r="K84" s="37">
        <v>31421</v>
      </c>
      <c r="L84" s="37">
        <v>31421</v>
      </c>
      <c r="M84" s="38">
        <f>I84/(HLOOKUP(F84,Team_Composition_23[[#All],[Yellow]:[Red]],10,FALSE)+HLOOKUP(F84,Team_Composition_23[[#All],[Yellow]:[Red]],11,FALSE))</f>
        <v>1.0997250687328168E-2</v>
      </c>
      <c r="N84" s="38">
        <f>J84/HLOOKUP(F84,Team_Composition_23[[#All],[Yellow]:[Red]],6,FALSE)</f>
        <v>1.1653091833796772E-2</v>
      </c>
      <c r="O84" s="38">
        <f>K84/HLOOKUP(F84,Team_Composition_23[[#All],[Yellow]:[Red]],8,FALSE)</f>
        <v>1.7935627075952793E-3</v>
      </c>
      <c r="P84" s="38">
        <f>L84/HLOOKUP(F84,Team_Composition_23[[#All],[Yellow]:[Red]],7,FALSE)</f>
        <v>2.4273115930799564E-3</v>
      </c>
      <c r="Q84" s="31"/>
      <c r="R84" s="78" t="s">
        <v>81</v>
      </c>
      <c r="S84" s="75">
        <f t="shared" si="17"/>
        <v>0</v>
      </c>
      <c r="T84" s="76">
        <f t="shared" si="18"/>
        <v>0</v>
      </c>
      <c r="U84" s="31"/>
      <c r="V84" s="31"/>
      <c r="W84" s="31"/>
      <c r="X84" s="31"/>
      <c r="Y84" s="31"/>
      <c r="Z84" s="31"/>
      <c r="AA84" s="31"/>
      <c r="AB84" s="78" t="s">
        <v>81</v>
      </c>
      <c r="AC84" s="75">
        <f t="shared" si="19"/>
        <v>0</v>
      </c>
      <c r="AD84" s="76">
        <f t="shared" si="20"/>
        <v>0</v>
      </c>
    </row>
    <row r="85" spans="1:30" ht="22.5" customHeight="1" thickBot="1">
      <c r="A85" s="32">
        <v>22</v>
      </c>
      <c r="B85" s="40" t="str">
        <f>VLOOKUP(C85,Lists!I:J,2,FALSE)</f>
        <v>KS</v>
      </c>
      <c r="C85" s="34" t="str">
        <f>VLOOKUP(E85&amp;D85,Lists!C:E,3,FALSE)</f>
        <v>Greatsword/Dagger</v>
      </c>
      <c r="D85" s="35" t="s">
        <v>40</v>
      </c>
      <c r="E85" s="36" t="s">
        <v>182</v>
      </c>
      <c r="F85" s="35" t="s">
        <v>483</v>
      </c>
      <c r="G85" s="32">
        <v>13</v>
      </c>
      <c r="H85" s="32">
        <v>26</v>
      </c>
      <c r="I85" s="235">
        <v>39</v>
      </c>
      <c r="J85" s="37">
        <v>969970</v>
      </c>
      <c r="K85" s="37">
        <v>3742</v>
      </c>
      <c r="L85" s="37">
        <v>3742</v>
      </c>
      <c r="M85" s="38">
        <f>I85/(HLOOKUP(F85,Team_Composition_23[[#All],[Yellow]:[Red]],10,FALSE)+HLOOKUP(F85,Team_Composition_23[[#All],[Yellow]:[Red]],11,FALSE))</f>
        <v>4.7503045066991476E-2</v>
      </c>
      <c r="N85" s="38">
        <f>J85/HLOOKUP(F85,Team_Composition_23[[#All],[Yellow]:[Red]],6,FALSE)</f>
        <v>5.4970118282918416E-2</v>
      </c>
      <c r="O85" s="38">
        <f>K85/HLOOKUP(F85,Team_Composition_23[[#All],[Yellow]:[Red]],8,FALSE)</f>
        <v>8.501465991705096E-5</v>
      </c>
      <c r="P85" s="38">
        <f>L85/HLOOKUP(F85,Team_Composition_23[[#All],[Yellow]:[Red]],7,FALSE)</f>
        <v>1.5419222578620626E-4</v>
      </c>
      <c r="Q85" s="31"/>
      <c r="R85" s="31"/>
      <c r="S85" s="31"/>
      <c r="T85" s="31"/>
      <c r="U85" s="31"/>
      <c r="V85" s="31"/>
      <c r="W85" s="31"/>
      <c r="X85" s="31"/>
      <c r="Y85" s="31"/>
      <c r="Z85" s="31"/>
      <c r="AA85" s="31"/>
      <c r="AB85" s="31"/>
      <c r="AC85" s="31"/>
      <c r="AD85" s="31"/>
    </row>
    <row r="86" spans="1:30" ht="22.5" customHeight="1" thickBot="1">
      <c r="A86" s="32">
        <v>28</v>
      </c>
      <c r="B86" s="69" t="str">
        <f>VLOOKUP(C86,Lists!I:J,2,FALSE)</f>
        <v>KS</v>
      </c>
      <c r="C86" s="34" t="str">
        <f>VLOOKUP(E86&amp;D86,Lists!C:E,3,FALSE)</f>
        <v>Greatsword/Dagger</v>
      </c>
      <c r="D86" s="35" t="s">
        <v>28</v>
      </c>
      <c r="E86" s="36" t="s">
        <v>373</v>
      </c>
      <c r="F86" s="35" t="s">
        <v>483</v>
      </c>
      <c r="G86" s="32">
        <v>9</v>
      </c>
      <c r="H86" s="32">
        <v>18</v>
      </c>
      <c r="I86" s="236">
        <v>27</v>
      </c>
      <c r="J86" s="37">
        <v>917832</v>
      </c>
      <c r="K86" s="37">
        <v>17181</v>
      </c>
      <c r="L86" s="37">
        <v>17181</v>
      </c>
      <c r="M86" s="38">
        <f>I86/(HLOOKUP(F86,Team_Composition_23[[#All],[Yellow]:[Red]],10,FALSE)+HLOOKUP(F86,Team_Composition_23[[#All],[Yellow]:[Red]],11,FALSE))</f>
        <v>3.2886723507917173E-2</v>
      </c>
      <c r="N86" s="38">
        <f>J86/HLOOKUP(F86,Team_Composition_23[[#All],[Yellow]:[Red]],6,FALSE)</f>
        <v>5.2015354705658497E-2</v>
      </c>
      <c r="O86" s="38">
        <f>K86/HLOOKUP(F86,Team_Composition_23[[#All],[Yellow]:[Red]],8,FALSE)</f>
        <v>3.9033588242513427E-4</v>
      </c>
      <c r="P86" s="38">
        <f>L86/HLOOKUP(F86,Team_Composition_23[[#All],[Yellow]:[Red]],7,FALSE)</f>
        <v>7.0795741080513356E-4</v>
      </c>
      <c r="Q86" s="31"/>
      <c r="R86" s="31"/>
      <c r="S86" s="31"/>
      <c r="T86" s="31"/>
      <c r="U86" s="31"/>
      <c r="V86" s="31"/>
      <c r="W86" s="31"/>
      <c r="X86" s="31"/>
      <c r="Y86" s="31"/>
      <c r="Z86" s="31"/>
      <c r="AA86" s="31"/>
      <c r="AB86" s="31"/>
      <c r="AC86" s="31"/>
      <c r="AD86" s="31"/>
    </row>
    <row r="87" spans="1:30" ht="22.5" customHeight="1" thickBot="1">
      <c r="A87" s="32">
        <v>29</v>
      </c>
      <c r="B87" s="54" t="str">
        <f>VLOOKUP(C87,Lists!I:J,2,FALSE)</f>
        <v>KS</v>
      </c>
      <c r="C87" s="34" t="str">
        <f>VLOOKUP(E87&amp;D87,Lists!C:E,3,FALSE)</f>
        <v>Greatsword/Dagger</v>
      </c>
      <c r="D87" s="35" t="s">
        <v>28</v>
      </c>
      <c r="E87" s="36" t="s">
        <v>372</v>
      </c>
      <c r="F87" s="35" t="s">
        <v>483</v>
      </c>
      <c r="G87" s="32">
        <v>8</v>
      </c>
      <c r="H87" s="32">
        <v>24</v>
      </c>
      <c r="I87" s="235">
        <v>32</v>
      </c>
      <c r="J87" s="37">
        <v>536251</v>
      </c>
      <c r="K87" s="37">
        <v>21545</v>
      </c>
      <c r="L87" s="37">
        <v>21545</v>
      </c>
      <c r="M87" s="38">
        <f>I87/(HLOOKUP(F87,Team_Composition_23[[#All],[Yellow]:[Red]],10,FALSE)+HLOOKUP(F87,Team_Composition_23[[#All],[Yellow]:[Red]],11,FALSE))</f>
        <v>3.8976857490864797E-2</v>
      </c>
      <c r="N87" s="38">
        <f>J87/HLOOKUP(F87,Team_Composition_23[[#All],[Yellow]:[Red]],6,FALSE)</f>
        <v>3.0390404754098873E-2</v>
      </c>
      <c r="O87" s="38">
        <f>K87/HLOOKUP(F87,Team_Composition_23[[#All],[Yellow]:[Red]],8,FALSE)</f>
        <v>4.8948178725624343E-4</v>
      </c>
      <c r="P87" s="38">
        <f>L87/HLOOKUP(F87,Team_Composition_23[[#All],[Yellow]:[Red]],7,FALSE)</f>
        <v>8.8777966450128646E-4</v>
      </c>
      <c r="Q87" s="31"/>
      <c r="R87" s="31"/>
      <c r="S87" s="31"/>
      <c r="T87" s="31"/>
      <c r="U87" s="31"/>
      <c r="V87" s="31"/>
      <c r="W87" s="31"/>
      <c r="X87" s="31"/>
      <c r="Y87" s="31"/>
      <c r="Z87" s="31"/>
      <c r="AA87" s="31"/>
      <c r="AB87" s="31"/>
      <c r="AC87" s="31"/>
      <c r="AD87" s="31"/>
    </row>
    <row r="88" spans="1:30" ht="22.5" customHeight="1" thickBot="1">
      <c r="A88" s="32">
        <v>2</v>
      </c>
      <c r="B88" s="71" t="s">
        <v>25</v>
      </c>
      <c r="C88" s="34" t="str">
        <f>VLOOKUP(E88&amp;D88,Lists!C:E,3,FALSE)</f>
        <v>Crossbow/SnS</v>
      </c>
      <c r="D88" s="35" t="s">
        <v>28</v>
      </c>
      <c r="E88" s="36" t="s">
        <v>374</v>
      </c>
      <c r="F88" s="35" t="s">
        <v>483</v>
      </c>
      <c r="G88" s="32">
        <v>39</v>
      </c>
      <c r="H88" s="32">
        <v>57</v>
      </c>
      <c r="I88" s="236">
        <v>96</v>
      </c>
      <c r="J88" s="37">
        <v>425799</v>
      </c>
      <c r="K88" s="37">
        <v>31122</v>
      </c>
      <c r="L88" s="37">
        <v>31122</v>
      </c>
      <c r="M88" s="38">
        <f>I88/(HLOOKUP(F88,Team_Composition_23[[#All],[Yellow]:[Red]],10,FALSE)+HLOOKUP(F88,Team_Composition_23[[#All],[Yellow]:[Red]],11,FALSE))</f>
        <v>0.11693057247259439</v>
      </c>
      <c r="N88" s="38">
        <f>J88/HLOOKUP(F88,Team_Composition_23[[#All],[Yellow]:[Red]],6,FALSE)</f>
        <v>2.4130871464837448E-2</v>
      </c>
      <c r="O88" s="38">
        <f>K88/HLOOKUP(F88,Team_Composition_23[[#All],[Yellow]:[Red]],8,FALSE)</f>
        <v>7.0706206465485292E-4</v>
      </c>
      <c r="P88" s="38">
        <f>L88/HLOOKUP(F88,Team_Composition_23[[#All],[Yellow]:[Red]],7,FALSE)</f>
        <v>1.2824079238156897E-3</v>
      </c>
      <c r="Q88" s="31"/>
      <c r="R88" s="31"/>
      <c r="S88" s="31"/>
      <c r="T88" s="31"/>
      <c r="U88" s="31"/>
      <c r="V88" s="31"/>
      <c r="W88" s="31"/>
      <c r="X88" s="31"/>
      <c r="Y88" s="31"/>
      <c r="Z88" s="31"/>
      <c r="AA88" s="31"/>
      <c r="AB88" s="31"/>
      <c r="AC88" s="31"/>
      <c r="AD88" s="31"/>
    </row>
    <row r="89" spans="1:30" ht="22.5" customHeight="1" thickBot="1">
      <c r="A89" s="32">
        <v>6</v>
      </c>
      <c r="B89" s="61" t="s">
        <v>25</v>
      </c>
      <c r="C89" s="34" t="str">
        <f>VLOOKUP(E89&amp;D89,Lists!C:E,3,FALSE)</f>
        <v>Crossbow/SnS</v>
      </c>
      <c r="D89" s="35" t="s">
        <v>40</v>
      </c>
      <c r="E89" s="36" t="s">
        <v>167</v>
      </c>
      <c r="F89" s="35" t="s">
        <v>476</v>
      </c>
      <c r="G89" s="32">
        <v>28</v>
      </c>
      <c r="H89" s="32">
        <v>32</v>
      </c>
      <c r="I89" s="235">
        <v>60</v>
      </c>
      <c r="J89" s="37">
        <v>548081</v>
      </c>
      <c r="K89" s="37">
        <v>10032</v>
      </c>
      <c r="L89" s="37">
        <v>10032</v>
      </c>
      <c r="M89" s="38">
        <f>I89/(HLOOKUP(F89,Team_Composition_23[[#All],[Yellow]:[Red]],10,FALSE)+HLOOKUP(F89,Team_Composition_23[[#All],[Yellow]:[Red]],11,FALSE))</f>
        <v>1.4996250937265684E-2</v>
      </c>
      <c r="N89" s="38">
        <f>J89/HLOOKUP(F89,Team_Composition_23[[#All],[Yellow]:[Red]],6,FALSE)</f>
        <v>1.235429746884106E-2</v>
      </c>
      <c r="O89" s="38">
        <f>K89/HLOOKUP(F89,Team_Composition_23[[#All],[Yellow]:[Red]],8,FALSE)</f>
        <v>5.7264317121020472E-4</v>
      </c>
      <c r="P89" s="38">
        <f>L89/HLOOKUP(F89,Team_Composition_23[[#All],[Yellow]:[Red]],7,FALSE)</f>
        <v>7.7498456133726242E-4</v>
      </c>
      <c r="Q89" s="31"/>
      <c r="R89" s="31"/>
      <c r="S89" s="31"/>
      <c r="T89" s="31"/>
      <c r="U89" s="31"/>
      <c r="V89" s="31"/>
      <c r="W89" s="31"/>
      <c r="X89" s="31"/>
      <c r="Y89" s="31"/>
      <c r="Z89" s="31"/>
      <c r="AA89" s="31"/>
      <c r="AB89" s="31"/>
      <c r="AC89" s="31"/>
      <c r="AD89" s="31"/>
    </row>
    <row r="90" spans="1:30" ht="22.5" customHeight="1" thickBot="1">
      <c r="A90" s="32">
        <v>7</v>
      </c>
      <c r="B90" s="60" t="str">
        <f>VLOOKUP(C90,Lists!I:J,2,FALSE)</f>
        <v>Ranged DPS</v>
      </c>
      <c r="C90" s="34" t="str">
        <f>VLOOKUP(E90&amp;D90,Lists!C:E,3,FALSE)</f>
        <v>Crossbow/SnS</v>
      </c>
      <c r="D90" s="35" t="s">
        <v>40</v>
      </c>
      <c r="E90" s="36" t="s">
        <v>141</v>
      </c>
      <c r="F90" s="35" t="s">
        <v>476</v>
      </c>
      <c r="G90" s="32">
        <v>25</v>
      </c>
      <c r="H90" s="32">
        <v>26</v>
      </c>
      <c r="I90" s="236">
        <v>51</v>
      </c>
      <c r="J90" s="37">
        <v>514663</v>
      </c>
      <c r="K90" s="37">
        <v>41104</v>
      </c>
      <c r="L90" s="37">
        <v>41104</v>
      </c>
      <c r="M90" s="38">
        <f>I90/(HLOOKUP(F90,Team_Composition_23[[#All],[Yellow]:[Red]],10,FALSE)+HLOOKUP(F90,Team_Composition_23[[#All],[Yellow]:[Red]],11,FALSE))</f>
        <v>1.2746813296675831E-2</v>
      </c>
      <c r="N90" s="38">
        <f>J90/HLOOKUP(F90,Team_Composition_23[[#All],[Yellow]:[Red]],6,FALSE)</f>
        <v>1.1601022108422197E-2</v>
      </c>
      <c r="O90" s="38">
        <f>K90/HLOOKUP(F90,Team_Composition_23[[#All],[Yellow]:[Red]],8,FALSE)</f>
        <v>2.3462843809234704E-3</v>
      </c>
      <c r="P90" s="38">
        <f>L90/HLOOKUP(F90,Team_Composition_23[[#All],[Yellow]:[Red]],7,FALSE)</f>
        <v>3.1753354674249239E-3</v>
      </c>
      <c r="Q90" s="31"/>
      <c r="R90" s="31"/>
      <c r="S90" s="31"/>
      <c r="T90" s="31"/>
      <c r="U90" s="31"/>
      <c r="V90" s="31"/>
      <c r="W90" s="31"/>
      <c r="X90" s="31"/>
      <c r="Y90" s="31"/>
      <c r="Z90" s="31"/>
      <c r="AA90" s="31"/>
      <c r="AB90" s="31"/>
      <c r="AC90" s="31"/>
      <c r="AD90" s="31"/>
    </row>
    <row r="91" spans="1:30" ht="22.5" customHeight="1" thickBot="1">
      <c r="A91" s="32">
        <v>12</v>
      </c>
      <c r="B91" s="52" t="str">
        <f>VLOOKUP(C91,Lists!I:J,2,FALSE)</f>
        <v>Ranged DPS</v>
      </c>
      <c r="C91" s="34" t="str">
        <f>VLOOKUP(E91&amp;D91,Lists!C:E,3,FALSE)</f>
        <v>Crossbow/SnS</v>
      </c>
      <c r="D91" s="35" t="s">
        <v>28</v>
      </c>
      <c r="E91" s="36" t="s">
        <v>369</v>
      </c>
      <c r="F91" s="35" t="s">
        <v>483</v>
      </c>
      <c r="G91" s="32">
        <v>21</v>
      </c>
      <c r="H91" s="32">
        <v>62</v>
      </c>
      <c r="I91" s="235">
        <v>83</v>
      </c>
      <c r="J91" s="37">
        <v>214507</v>
      </c>
      <c r="K91" s="37">
        <v>27766</v>
      </c>
      <c r="L91" s="37">
        <v>27766</v>
      </c>
      <c r="M91" s="38">
        <f>I91/(HLOOKUP(F91,Team_Composition_23[[#All],[Yellow]:[Red]],10,FALSE)+HLOOKUP(F91,Team_Composition_23[[#All],[Yellow]:[Red]],11,FALSE))</f>
        <v>0.10109622411693057</v>
      </c>
      <c r="N91" s="38">
        <f>J91/HLOOKUP(F91,Team_Composition_23[[#All],[Yellow]:[Red]],6,FALSE)</f>
        <v>1.2156535936692867E-2</v>
      </c>
      <c r="O91" s="38">
        <f>K91/HLOOKUP(F91,Team_Composition_23[[#All],[Yellow]:[Red]],8,FALSE)</f>
        <v>6.3081695544009539E-4</v>
      </c>
      <c r="P91" s="38">
        <f>L91/HLOOKUP(F91,Team_Composition_23[[#All],[Yellow]:[Red]],7,FALSE)</f>
        <v>1.1441211494334054E-3</v>
      </c>
      <c r="Q91" s="31"/>
      <c r="R91" s="31"/>
      <c r="S91" s="31"/>
      <c r="T91" s="31"/>
      <c r="U91" s="31"/>
      <c r="V91" s="31"/>
      <c r="W91" s="31"/>
      <c r="X91" s="31"/>
      <c r="Y91" s="31"/>
      <c r="Z91" s="31"/>
      <c r="AA91" s="31"/>
      <c r="AB91" s="31"/>
      <c r="AC91" s="31"/>
      <c r="AD91" s="31"/>
    </row>
    <row r="92" spans="1:30" ht="22.5" customHeight="1" thickBot="1">
      <c r="A92" s="32">
        <v>89</v>
      </c>
      <c r="B92" s="62" t="str">
        <f>VLOOKUP(C92,Lists!I:J,2,FALSE)</f>
        <v>Ranged DPS</v>
      </c>
      <c r="C92" s="34" t="str">
        <f>VLOOKUP(E92&amp;D92,Lists!C:E,3,FALSE)</f>
        <v>Crossbow/SnS</v>
      </c>
      <c r="D92" s="35" t="s">
        <v>40</v>
      </c>
      <c r="E92" s="36" t="s">
        <v>83</v>
      </c>
      <c r="F92" s="35" t="s">
        <v>483</v>
      </c>
      <c r="G92" s="32">
        <v>0</v>
      </c>
      <c r="H92" s="32">
        <v>8</v>
      </c>
      <c r="I92" s="236">
        <v>8</v>
      </c>
      <c r="J92" s="37">
        <v>220899</v>
      </c>
      <c r="K92" s="37">
        <v>115624</v>
      </c>
      <c r="L92" s="37">
        <v>115624</v>
      </c>
      <c r="M92" s="38">
        <f>I92/(HLOOKUP(F92,Team_Composition_23[[#All],[Yellow]:[Red]],10,FALSE)+HLOOKUP(F92,Team_Composition_23[[#All],[Yellow]:[Red]],11,FALSE))</f>
        <v>9.7442143727161992E-3</v>
      </c>
      <c r="N92" s="38">
        <f>J92/HLOOKUP(F92,Team_Composition_23[[#All],[Yellow]:[Red]],6,FALSE)</f>
        <v>1.2518783218633972E-2</v>
      </c>
      <c r="O92" s="38">
        <f>K92/HLOOKUP(F92,Team_Composition_23[[#All],[Yellow]:[Red]],8,FALSE)</f>
        <v>2.6268666590724479E-3</v>
      </c>
      <c r="P92" s="38">
        <f>L92/HLOOKUP(F92,Team_Composition_23[[#All],[Yellow]:[Red]],7,FALSE)</f>
        <v>4.7643831946296931E-3</v>
      </c>
      <c r="Q92" s="31"/>
      <c r="R92" s="31"/>
      <c r="S92" s="31"/>
      <c r="T92" s="31"/>
      <c r="U92" s="31"/>
      <c r="V92" s="31"/>
      <c r="W92" s="31"/>
      <c r="X92" s="31"/>
      <c r="Y92" s="31"/>
      <c r="Z92" s="31"/>
      <c r="AA92" s="31"/>
      <c r="AB92" s="31"/>
      <c r="AC92" s="31"/>
      <c r="AD92" s="31"/>
    </row>
    <row r="93" spans="1:30" ht="22.5" customHeight="1" thickBot="1">
      <c r="A93" s="32">
        <v>8</v>
      </c>
      <c r="B93" s="65" t="str">
        <f>VLOOKUP(C93,Lists!I:J,2,FALSE)</f>
        <v>KS</v>
      </c>
      <c r="C93" s="34" t="str">
        <f>VLOOKUP(E93&amp;D93,Lists!C:E,3,FALSE)</f>
        <v>Crossbow/Dagger</v>
      </c>
      <c r="D93" s="35" t="s">
        <v>28</v>
      </c>
      <c r="E93" s="36" t="s">
        <v>330</v>
      </c>
      <c r="F93" s="35" t="s">
        <v>476</v>
      </c>
      <c r="G93" s="32">
        <v>24</v>
      </c>
      <c r="H93" s="32">
        <v>36</v>
      </c>
      <c r="I93" s="235">
        <v>60</v>
      </c>
      <c r="J93" s="37">
        <v>460254</v>
      </c>
      <c r="K93" s="37">
        <v>0</v>
      </c>
      <c r="L93" s="37">
        <v>0</v>
      </c>
      <c r="M93" s="38">
        <f>I93/(HLOOKUP(F93,Team_Composition_23[[#All],[Yellow]:[Red]],10,FALSE)+HLOOKUP(F93,Team_Composition_23[[#All],[Yellow]:[Red]],11,FALSE))</f>
        <v>1.4996250937265684E-2</v>
      </c>
      <c r="N93" s="38">
        <f>J93/HLOOKUP(F93,Team_Composition_23[[#All],[Yellow]:[Red]],6,FALSE)</f>
        <v>1.0374588477294364E-2</v>
      </c>
      <c r="O93" s="38">
        <f>K93/HLOOKUP(F93,Team_Composition_23[[#All],[Yellow]:[Red]],8,FALSE)</f>
        <v>0</v>
      </c>
      <c r="P93" s="38">
        <f>L93/HLOOKUP(F93,Team_Composition_23[[#All],[Yellow]:[Red]],7,FALSE)</f>
        <v>0</v>
      </c>
      <c r="Q93" s="31"/>
      <c r="R93" s="31"/>
      <c r="S93" s="31"/>
      <c r="T93" s="31"/>
      <c r="U93" s="31"/>
      <c r="V93" s="31"/>
      <c r="W93" s="31"/>
      <c r="X93" s="31"/>
      <c r="Y93" s="31"/>
      <c r="Z93" s="31"/>
      <c r="AA93" s="31"/>
      <c r="AB93" s="31"/>
      <c r="AC93" s="31"/>
      <c r="AD93" s="31"/>
    </row>
    <row r="94" spans="1:30" ht="22.5" customHeight="1" thickBot="1">
      <c r="A94" s="32">
        <v>15</v>
      </c>
      <c r="B94" s="60" t="str">
        <f>VLOOKUP(C94,Lists!I:J,2,FALSE)</f>
        <v>KS</v>
      </c>
      <c r="C94" s="34" t="str">
        <f>VLOOKUP(E94&amp;D94,Lists!C:E,3,FALSE)</f>
        <v>Crossbow/Dagger</v>
      </c>
      <c r="D94" s="35" t="s">
        <v>40</v>
      </c>
      <c r="E94" s="36" t="s">
        <v>161</v>
      </c>
      <c r="F94" s="35" t="s">
        <v>476</v>
      </c>
      <c r="G94" s="32">
        <v>18</v>
      </c>
      <c r="H94" s="32">
        <v>30</v>
      </c>
      <c r="I94" s="236">
        <v>48</v>
      </c>
      <c r="J94" s="37">
        <v>380887</v>
      </c>
      <c r="K94" s="37">
        <v>9246</v>
      </c>
      <c r="L94" s="37">
        <v>9246</v>
      </c>
      <c r="M94" s="38">
        <f>I94/(HLOOKUP(F94,Team_Composition_23[[#All],[Yellow]:[Red]],10,FALSE)+HLOOKUP(F94,Team_Composition_23[[#All],[Yellow]:[Red]],11,FALSE))</f>
        <v>1.1997000749812546E-2</v>
      </c>
      <c r="N94" s="38">
        <f>J94/HLOOKUP(F94,Team_Composition_23[[#All],[Yellow]:[Red]],6,FALSE)</f>
        <v>8.5855764020545591E-3</v>
      </c>
      <c r="O94" s="38">
        <f>K94/HLOOKUP(F94,Team_Composition_23[[#All],[Yellow]:[Red]],8,FALSE)</f>
        <v>5.2777698973380715E-4</v>
      </c>
      <c r="P94" s="38">
        <f>L94/HLOOKUP(F94,Team_Composition_23[[#All],[Yellow]:[Red]],7,FALSE)</f>
        <v>7.1426507716550321E-4</v>
      </c>
      <c r="Q94" s="31"/>
      <c r="R94" s="31"/>
      <c r="S94" s="31"/>
      <c r="T94" s="31"/>
      <c r="U94" s="31"/>
      <c r="V94" s="31"/>
      <c r="W94" s="31"/>
      <c r="X94" s="31"/>
      <c r="Y94" s="31"/>
      <c r="Z94" s="31"/>
      <c r="AA94" s="31"/>
      <c r="AB94" s="31"/>
      <c r="AC94" s="31"/>
      <c r="AD94" s="31"/>
    </row>
    <row r="95" spans="1:30" ht="22.5" customHeight="1" thickBot="1">
      <c r="A95" s="32">
        <v>16</v>
      </c>
      <c r="B95" s="67" t="str">
        <f>VLOOKUP(C95,Lists!I:J,2,FALSE)</f>
        <v>KS</v>
      </c>
      <c r="C95" s="34" t="str">
        <f>VLOOKUP(E95&amp;D95,Lists!C:E,3,FALSE)</f>
        <v>Crossbow/Dagger</v>
      </c>
      <c r="D95" s="35" t="s">
        <v>40</v>
      </c>
      <c r="E95" s="36" t="s">
        <v>159</v>
      </c>
      <c r="F95" s="35" t="s">
        <v>476</v>
      </c>
      <c r="G95" s="32">
        <v>18</v>
      </c>
      <c r="H95" s="32">
        <v>24</v>
      </c>
      <c r="I95" s="235">
        <v>42</v>
      </c>
      <c r="J95" s="37">
        <v>523263</v>
      </c>
      <c r="K95" s="37">
        <v>26020</v>
      </c>
      <c r="L95" s="37">
        <v>26020</v>
      </c>
      <c r="M95" s="38">
        <f>I95/(HLOOKUP(F95,Team_Composition_23[[#All],[Yellow]:[Red]],10,FALSE)+HLOOKUP(F95,Team_Composition_23[[#All],[Yellow]:[Red]],11,FALSE))</f>
        <v>1.0497375656085979E-2</v>
      </c>
      <c r="N95" s="38">
        <f>J95/HLOOKUP(F95,Team_Composition_23[[#All],[Yellow]:[Red]],6,FALSE)</f>
        <v>1.1794874765660877E-2</v>
      </c>
      <c r="O95" s="38">
        <f>K95/HLOOKUP(F95,Team_Composition_23[[#All],[Yellow]:[Red]],8,FALSE)</f>
        <v>1.4852646844985573E-3</v>
      </c>
      <c r="P95" s="38">
        <f>L95/HLOOKUP(F95,Team_Composition_23[[#All],[Yellow]:[Red]],7,FALSE)</f>
        <v>2.010077580342461E-3</v>
      </c>
      <c r="Q95" s="31"/>
      <c r="R95" s="31"/>
      <c r="S95" s="31"/>
      <c r="T95" s="31"/>
      <c r="U95" s="31"/>
      <c r="V95" s="31"/>
      <c r="W95" s="31"/>
      <c r="X95" s="31"/>
      <c r="Y95" s="31"/>
      <c r="Z95" s="31"/>
      <c r="AA95" s="31"/>
      <c r="AB95" s="31"/>
      <c r="AC95" s="31"/>
      <c r="AD95" s="31"/>
    </row>
    <row r="96" spans="1:30" ht="22.5" customHeight="1" thickBot="1">
      <c r="A96" s="32">
        <v>23</v>
      </c>
      <c r="B96" s="34" t="str">
        <f>VLOOKUP(C96,Lists!I:J,2,FALSE)</f>
        <v>KS</v>
      </c>
      <c r="C96" s="34" t="str">
        <f>VLOOKUP(E96&amp;D96,Lists!C:E,3,FALSE)</f>
        <v>Crossbow/Dagger</v>
      </c>
      <c r="D96" s="35" t="s">
        <v>40</v>
      </c>
      <c r="E96" s="36" t="s">
        <v>152</v>
      </c>
      <c r="F96" s="35" t="s">
        <v>483</v>
      </c>
      <c r="G96" s="32">
        <v>13</v>
      </c>
      <c r="H96" s="32">
        <v>23</v>
      </c>
      <c r="I96" s="236">
        <v>36</v>
      </c>
      <c r="J96" s="37">
        <v>622413</v>
      </c>
      <c r="K96" s="37">
        <v>0</v>
      </c>
      <c r="L96" s="37">
        <v>0</v>
      </c>
      <c r="M96" s="38">
        <f>I96/(HLOOKUP(F96,Team_Composition_23[[#All],[Yellow]:[Red]],10,FALSE)+HLOOKUP(F96,Team_Composition_23[[#All],[Yellow]:[Red]],11,FALSE))</f>
        <v>4.38489646772229E-2</v>
      </c>
      <c r="N96" s="38">
        <f>J96/HLOOKUP(F96,Team_Composition_23[[#All],[Yellow]:[Red]],6,FALSE)</f>
        <v>3.5273375703192986E-2</v>
      </c>
      <c r="O96" s="38">
        <f>K96/HLOOKUP(F96,Team_Composition_23[[#All],[Yellow]:[Red]],8,FALSE)</f>
        <v>0</v>
      </c>
      <c r="P96" s="38">
        <f>L96/HLOOKUP(F96,Team_Composition_23[[#All],[Yellow]:[Red]],7,FALSE)</f>
        <v>0</v>
      </c>
      <c r="Q96" s="31"/>
      <c r="R96" s="31"/>
      <c r="S96" s="31"/>
      <c r="T96" s="31"/>
      <c r="U96" s="31"/>
      <c r="V96" s="31"/>
      <c r="W96" s="31"/>
      <c r="X96" s="31"/>
      <c r="Y96" s="31"/>
      <c r="Z96" s="31"/>
      <c r="AA96" s="31"/>
      <c r="AB96" s="31"/>
      <c r="AC96" s="31"/>
      <c r="AD96" s="31"/>
    </row>
    <row r="97" spans="1:30" ht="22.5" customHeight="1" thickBot="1">
      <c r="A97" s="32">
        <v>24</v>
      </c>
      <c r="B97" s="67" t="str">
        <f>VLOOKUP(C97,Lists!I:J,2,FALSE)</f>
        <v>KS</v>
      </c>
      <c r="C97" s="34" t="str">
        <f>VLOOKUP(E97&amp;D97,Lists!C:E,3,FALSE)</f>
        <v>Crossbow/Dagger</v>
      </c>
      <c r="D97" s="35" t="s">
        <v>28</v>
      </c>
      <c r="E97" s="36" t="s">
        <v>370</v>
      </c>
      <c r="F97" s="35" t="s">
        <v>483</v>
      </c>
      <c r="G97" s="32">
        <v>13</v>
      </c>
      <c r="H97" s="32">
        <v>17</v>
      </c>
      <c r="I97" s="235">
        <v>30</v>
      </c>
      <c r="J97" s="37">
        <v>676697</v>
      </c>
      <c r="K97" s="37">
        <v>6303</v>
      </c>
      <c r="L97" s="37">
        <v>6303</v>
      </c>
      <c r="M97" s="38">
        <f>I97/(HLOOKUP(F97,Team_Composition_23[[#All],[Yellow]:[Red]],10,FALSE)+HLOOKUP(F97,Team_Composition_23[[#All],[Yellow]:[Red]],11,FALSE))</f>
        <v>3.6540803897685749E-2</v>
      </c>
      <c r="N97" s="38">
        <f>J97/HLOOKUP(F97,Team_Composition_23[[#All],[Yellow]:[Red]],6,FALSE)</f>
        <v>3.8349757344759157E-2</v>
      </c>
      <c r="O97" s="38">
        <f>K97/HLOOKUP(F97,Team_Composition_23[[#All],[Yellow]:[Red]],8,FALSE)</f>
        <v>1.4319812973200753E-4</v>
      </c>
      <c r="P97" s="38">
        <f>L97/HLOOKUP(F97,Team_Composition_23[[#All],[Yellow]:[Red]],7,FALSE)</f>
        <v>2.5972036320963605E-4</v>
      </c>
      <c r="Q97" s="31"/>
      <c r="R97" s="31"/>
      <c r="S97" s="31"/>
      <c r="T97" s="31"/>
      <c r="U97" s="31"/>
      <c r="V97" s="31"/>
      <c r="W97" s="31"/>
      <c r="X97" s="31"/>
      <c r="Y97" s="31"/>
      <c r="Z97" s="31"/>
      <c r="AA97" s="31"/>
      <c r="AB97" s="31"/>
      <c r="AC97" s="31"/>
      <c r="AD97" s="31"/>
    </row>
    <row r="98" spans="1:30" ht="22.5" customHeight="1">
      <c r="A98" s="82"/>
      <c r="B98" s="57"/>
      <c r="C98" s="34"/>
      <c r="D98" s="13"/>
      <c r="E98" s="83"/>
      <c r="F98" s="13"/>
      <c r="G98" s="82"/>
      <c r="H98" s="82"/>
      <c r="I98" s="84"/>
      <c r="J98" s="85"/>
      <c r="K98" s="85"/>
      <c r="L98" s="85"/>
      <c r="M98" s="38"/>
      <c r="N98" s="38"/>
      <c r="O98" s="38"/>
      <c r="P98" s="38"/>
      <c r="Q98" s="31"/>
      <c r="R98" s="31"/>
      <c r="S98" s="31"/>
      <c r="T98" s="31"/>
      <c r="U98" s="31"/>
      <c r="V98" s="31"/>
      <c r="W98" s="31"/>
      <c r="X98" s="31"/>
      <c r="Y98" s="31"/>
      <c r="Z98" s="31"/>
      <c r="AA98" s="31"/>
      <c r="AB98" s="31"/>
      <c r="AC98" s="31"/>
      <c r="AD98" s="31"/>
    </row>
    <row r="99" spans="1:30" ht="22.5" customHeight="1">
      <c r="A99" s="82"/>
      <c r="B99" s="53"/>
      <c r="C99" s="34"/>
      <c r="D99" s="13"/>
      <c r="E99" s="83"/>
      <c r="F99" s="13"/>
      <c r="G99" s="82"/>
      <c r="H99" s="82"/>
      <c r="I99" s="84"/>
      <c r="J99" s="85"/>
      <c r="K99" s="85"/>
      <c r="L99" s="85"/>
      <c r="M99" s="38"/>
      <c r="N99" s="38"/>
      <c r="O99" s="38"/>
      <c r="P99" s="38"/>
      <c r="Q99" s="31"/>
      <c r="R99" s="31"/>
      <c r="S99" s="31"/>
      <c r="T99" s="31"/>
      <c r="U99" s="31"/>
      <c r="V99" s="31"/>
      <c r="W99" s="31"/>
      <c r="X99" s="31"/>
      <c r="Y99" s="31"/>
      <c r="Z99" s="31"/>
      <c r="AA99" s="31"/>
      <c r="AB99" s="31"/>
      <c r="AC99" s="31"/>
      <c r="AD99" s="31"/>
    </row>
    <row r="100" spans="1:30" ht="22.5" customHeight="1">
      <c r="A100" s="82"/>
      <c r="B100" s="34"/>
      <c r="C100" s="34"/>
      <c r="D100" s="13"/>
      <c r="E100" s="83"/>
      <c r="F100" s="13"/>
      <c r="G100" s="82"/>
      <c r="H100" s="82"/>
      <c r="I100" s="84"/>
      <c r="J100" s="85"/>
      <c r="K100" s="85"/>
      <c r="L100" s="85"/>
      <c r="M100" s="38"/>
      <c r="N100" s="38"/>
      <c r="O100" s="38"/>
      <c r="P100" s="38"/>
      <c r="Q100" s="31"/>
      <c r="R100" s="31"/>
      <c r="S100" s="31"/>
      <c r="T100" s="31"/>
      <c r="U100" s="31"/>
      <c r="V100" s="31"/>
      <c r="W100" s="31"/>
      <c r="X100" s="31"/>
      <c r="Y100" s="31"/>
      <c r="Z100" s="31"/>
      <c r="AA100" s="31"/>
      <c r="AB100" s="31"/>
      <c r="AC100" s="31"/>
      <c r="AD100" s="31"/>
    </row>
    <row r="101" spans="1:30" ht="22.5" customHeight="1">
      <c r="A101" s="82"/>
      <c r="B101" s="65"/>
      <c r="C101" s="34"/>
      <c r="D101" s="13"/>
      <c r="E101" s="83"/>
      <c r="F101" s="13"/>
      <c r="G101" s="82"/>
      <c r="H101" s="82"/>
      <c r="I101" s="84"/>
      <c r="J101" s="85"/>
      <c r="K101" s="85"/>
      <c r="L101" s="85"/>
      <c r="M101" s="38"/>
      <c r="N101" s="38"/>
      <c r="O101" s="38"/>
      <c r="P101" s="38"/>
      <c r="Q101" s="31"/>
      <c r="R101" s="31"/>
      <c r="S101" s="31"/>
      <c r="T101" s="31"/>
      <c r="U101" s="31"/>
      <c r="V101" s="31"/>
      <c r="W101" s="31"/>
      <c r="X101" s="31"/>
      <c r="Y101" s="31"/>
      <c r="Z101" s="31"/>
      <c r="AA101" s="31"/>
      <c r="AB101" s="31"/>
      <c r="AC101" s="31"/>
      <c r="AD101" s="31"/>
    </row>
    <row r="102" spans="1:30" ht="22.5" customHeight="1">
      <c r="A102" s="82"/>
      <c r="B102" s="34"/>
      <c r="C102" s="34"/>
      <c r="D102" s="13"/>
      <c r="E102" s="83"/>
      <c r="F102" s="13"/>
      <c r="G102" s="82"/>
      <c r="H102" s="82"/>
      <c r="I102" s="84"/>
      <c r="J102" s="85"/>
      <c r="K102" s="85"/>
      <c r="L102" s="85"/>
      <c r="M102" s="38"/>
      <c r="N102" s="38"/>
      <c r="O102" s="38"/>
      <c r="P102" s="38"/>
      <c r="Q102" s="31"/>
      <c r="R102" s="31"/>
      <c r="S102" s="31"/>
      <c r="T102" s="31"/>
      <c r="U102" s="31"/>
      <c r="V102" s="31"/>
      <c r="W102" s="31"/>
      <c r="X102" s="31"/>
      <c r="Y102" s="31"/>
      <c r="Z102" s="31"/>
      <c r="AA102" s="31"/>
      <c r="AB102" s="31"/>
      <c r="AC102" s="31"/>
      <c r="AD102" s="31"/>
    </row>
    <row r="103" spans="1:30" ht="22.5" customHeight="1">
      <c r="A103" s="82"/>
      <c r="B103" s="53"/>
      <c r="C103" s="34"/>
      <c r="D103" s="13"/>
      <c r="E103" s="83"/>
      <c r="F103" s="13"/>
      <c r="G103" s="82"/>
      <c r="H103" s="82"/>
      <c r="I103" s="84"/>
      <c r="J103" s="85"/>
      <c r="K103" s="85"/>
      <c r="L103" s="85"/>
      <c r="M103" s="38"/>
      <c r="N103" s="38"/>
      <c r="O103" s="38"/>
      <c r="P103" s="38"/>
      <c r="Q103" s="31"/>
      <c r="R103" s="31"/>
      <c r="S103" s="31"/>
      <c r="T103" s="31"/>
      <c r="U103" s="31"/>
      <c r="V103" s="31"/>
      <c r="W103" s="31"/>
      <c r="X103" s="31"/>
      <c r="Y103" s="31"/>
      <c r="Z103" s="31"/>
      <c r="AA103" s="31"/>
      <c r="AB103" s="31"/>
      <c r="AC103" s="31"/>
      <c r="AD103" s="31"/>
    </row>
    <row r="104" spans="1:30" ht="22.5" customHeight="1">
      <c r="A104" s="82"/>
      <c r="B104" s="66"/>
      <c r="C104" s="34"/>
      <c r="D104" s="13"/>
      <c r="E104" s="83"/>
      <c r="F104" s="13"/>
      <c r="G104" s="82"/>
      <c r="H104" s="82"/>
      <c r="I104" s="84"/>
      <c r="J104" s="85"/>
      <c r="K104" s="85"/>
      <c r="L104" s="85"/>
      <c r="M104" s="38"/>
      <c r="N104" s="38"/>
      <c r="O104" s="38"/>
      <c r="P104" s="38"/>
      <c r="Q104" s="31"/>
      <c r="R104" s="31"/>
      <c r="S104" s="31"/>
      <c r="T104" s="31"/>
      <c r="U104" s="31"/>
      <c r="V104" s="31"/>
      <c r="W104" s="31"/>
      <c r="X104" s="31"/>
      <c r="Y104" s="31"/>
      <c r="Z104" s="31"/>
      <c r="AA104" s="31"/>
      <c r="AB104" s="31"/>
      <c r="AC104" s="31"/>
      <c r="AD104" s="31"/>
    </row>
    <row r="105" spans="1:30" ht="22.5" customHeight="1">
      <c r="A105" s="82"/>
      <c r="B105" s="53"/>
      <c r="C105" s="34"/>
      <c r="D105" s="13"/>
      <c r="E105" s="83"/>
      <c r="F105" s="13"/>
      <c r="G105" s="82"/>
      <c r="H105" s="82"/>
      <c r="I105" s="84"/>
      <c r="J105" s="85"/>
      <c r="K105" s="85"/>
      <c r="L105" s="85"/>
      <c r="M105" s="38"/>
      <c r="N105" s="38"/>
      <c r="O105" s="38"/>
      <c r="P105" s="38"/>
      <c r="Q105" s="31"/>
      <c r="R105" s="31"/>
      <c r="S105" s="31"/>
      <c r="T105" s="31"/>
      <c r="U105" s="31"/>
      <c r="V105" s="31"/>
      <c r="W105" s="31"/>
      <c r="X105" s="31"/>
      <c r="Y105" s="31"/>
      <c r="Z105" s="31"/>
      <c r="AA105" s="31"/>
      <c r="AB105" s="31"/>
      <c r="AC105" s="31"/>
      <c r="AD105" s="31"/>
    </row>
    <row r="106" spans="1:30" ht="22.5" customHeight="1">
      <c r="A106" s="82"/>
      <c r="B106" s="34"/>
      <c r="C106" s="34"/>
      <c r="D106" s="13"/>
      <c r="E106" s="83"/>
      <c r="F106" s="13"/>
      <c r="G106" s="82"/>
      <c r="H106" s="82"/>
      <c r="I106" s="84"/>
      <c r="J106" s="85"/>
      <c r="K106" s="85"/>
      <c r="L106" s="85"/>
      <c r="M106" s="38"/>
      <c r="N106" s="38"/>
      <c r="O106" s="38"/>
      <c r="P106" s="38"/>
      <c r="Q106" s="31"/>
      <c r="R106" s="31"/>
      <c r="S106" s="31"/>
      <c r="T106" s="31"/>
      <c r="U106" s="31"/>
      <c r="V106" s="31"/>
      <c r="W106" s="31"/>
      <c r="X106" s="31"/>
      <c r="Y106" s="31"/>
      <c r="Z106" s="31"/>
      <c r="AA106" s="31"/>
      <c r="AB106" s="31"/>
      <c r="AC106" s="31"/>
      <c r="AD106" s="31"/>
    </row>
    <row r="107" spans="1:30" ht="22.5" customHeight="1">
      <c r="A107" s="82"/>
      <c r="B107" s="53"/>
      <c r="C107" s="34"/>
      <c r="D107" s="13"/>
      <c r="E107" s="83"/>
      <c r="F107" s="13"/>
      <c r="G107" s="82"/>
      <c r="H107" s="82"/>
      <c r="I107" s="84"/>
      <c r="J107" s="85"/>
      <c r="K107" s="85"/>
      <c r="L107" s="85"/>
      <c r="M107" s="38"/>
      <c r="N107" s="38"/>
      <c r="O107" s="38"/>
      <c r="P107" s="38"/>
      <c r="Q107" s="31"/>
      <c r="R107" s="31"/>
      <c r="S107" s="31"/>
      <c r="T107" s="31"/>
      <c r="U107" s="31"/>
      <c r="V107" s="31"/>
      <c r="W107" s="31"/>
      <c r="X107" s="31"/>
      <c r="Y107" s="31"/>
      <c r="Z107" s="31"/>
      <c r="AA107" s="31"/>
      <c r="AB107" s="31"/>
      <c r="AC107" s="31"/>
      <c r="AD107" s="31"/>
    </row>
    <row r="108" spans="1:30" ht="22.5" customHeight="1">
      <c r="A108" s="82"/>
      <c r="B108" s="34"/>
      <c r="C108" s="34"/>
      <c r="D108" s="13"/>
      <c r="E108" s="83"/>
      <c r="F108" s="13"/>
      <c r="G108" s="82"/>
      <c r="H108" s="82"/>
      <c r="I108" s="84"/>
      <c r="J108" s="85"/>
      <c r="K108" s="85"/>
      <c r="L108" s="85"/>
      <c r="M108" s="38"/>
      <c r="N108" s="38"/>
      <c r="O108" s="38"/>
      <c r="P108" s="38"/>
      <c r="Q108" s="31"/>
      <c r="R108" s="31"/>
      <c r="S108" s="31"/>
      <c r="T108" s="31"/>
      <c r="U108" s="31"/>
      <c r="V108" s="31"/>
      <c r="W108" s="31"/>
      <c r="X108" s="31"/>
      <c r="Y108" s="31"/>
      <c r="Z108" s="31"/>
      <c r="AA108" s="31"/>
      <c r="AB108" s="31"/>
      <c r="AC108" s="31"/>
      <c r="AD108" s="31"/>
    </row>
    <row r="109" spans="1:30" ht="22.5" customHeight="1">
      <c r="A109" s="82"/>
      <c r="B109" s="53" t="e">
        <f>VLOOKUP(C109,Lists!I:J,2,FALSE)</f>
        <v>#N/A</v>
      </c>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100-000000000000}">
      <formula1>#REF!</formula1>
    </dataValidation>
    <dataValidation type="list" allowBlank="1" sqref="F2:F163" xr:uid="{00000000-0002-0000-0100-000002000000}">
      <formula1>"Yellow,Red"</formula1>
    </dataValidation>
    <dataValidation type="custom" allowBlank="1" showDropDown="1" sqref="AC4:AD14 S4:T14 AC17:AD25 S17:T25 S30:T46 AC30:AD46 AC51:AD60 S51:T60 AC65:AD72 S65:T72 S77:T84 AC77:AD84 A2:A163 G2:H163 J2:L163 I98:I163" xr:uid="{00000000-0002-0000-0100-000003000000}">
      <formula1>AND(ISNUMBER(A2),(NOT(OR(NOT(ISERROR(DATEVALUE(A2))), AND(ISNUMBER(A2), LEFT(CELL("format", A2))="D")))))</formula1>
    </dataValidation>
    <dataValidation allowBlank="1" showDropDown="1" sqref="E2:E163" xr:uid="{00000000-0002-0000-01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75</v>
      </c>
      <c r="B2" s="60" t="e">
        <f>VLOOKUP(C2,Lists!I:J,2,FALSE)</f>
        <v>#N/A</v>
      </c>
      <c r="C2" s="34" t="e">
        <f>VLOOKUP(E2&amp;D2,Lists!C:E,3,FALSE)</f>
        <v>#N/A</v>
      </c>
      <c r="D2" s="35" t="s">
        <v>28</v>
      </c>
      <c r="E2" s="36" t="s">
        <v>493</v>
      </c>
      <c r="F2" s="35" t="s">
        <v>476</v>
      </c>
      <c r="G2" s="32">
        <v>0</v>
      </c>
      <c r="H2" s="32">
        <v>14</v>
      </c>
      <c r="I2" s="84">
        <f t="shared" ref="I2:I97" si="0">SUM(G2:H2)</f>
        <v>14</v>
      </c>
      <c r="J2" s="37">
        <v>8979</v>
      </c>
      <c r="K2" s="37">
        <v>336381</v>
      </c>
      <c r="L2" s="37">
        <v>413532</v>
      </c>
      <c r="M2" s="38">
        <f>I2/(HLOOKUP(F2,Team_Composition_23[[#All],[Yellow]:[Red]],10,FALSE)+HLOOKUP(F2,Team_Composition_23[[#All],[Yellow]:[Red]],11,FALSE))</f>
        <v>3.4991252186953262E-3</v>
      </c>
      <c r="N2" s="38">
        <f>J2/HLOOKUP(F2,Team_Composition_23[[#All],[Yellow]:[Red]],6,FALSE)</f>
        <v>2.0239569876117557E-4</v>
      </c>
      <c r="O2" s="38">
        <f>K2/HLOOKUP(F2,Team_Composition_23[[#All],[Yellow]:[Red]],8,FALSE)</f>
        <v>1.9201184467190976E-2</v>
      </c>
      <c r="P2" s="38">
        <f>L2/HLOOKUP(F2,Team_Composition_23[[#All],[Yellow]:[Red]],7,FALSE)</f>
        <v>3.1945864794549521E-2</v>
      </c>
      <c r="Q2" s="31"/>
      <c r="R2" s="227" t="s">
        <v>477</v>
      </c>
      <c r="S2" s="228"/>
      <c r="T2" s="228"/>
      <c r="U2" s="31"/>
      <c r="V2" s="229" t="s">
        <v>478</v>
      </c>
      <c r="W2" s="228"/>
      <c r="X2" s="39"/>
      <c r="Y2" s="229" t="s">
        <v>479</v>
      </c>
      <c r="Z2" s="228"/>
      <c r="AA2" s="31"/>
      <c r="AB2" s="227" t="s">
        <v>480</v>
      </c>
      <c r="AC2" s="228"/>
      <c r="AD2" s="228"/>
    </row>
    <row r="3" spans="1:30" ht="22.5" customHeight="1">
      <c r="A3" s="32">
        <v>92</v>
      </c>
      <c r="B3" s="60" t="e">
        <f>VLOOKUP(C3,Lists!I:J,2,FALSE)</f>
        <v>#N/A</v>
      </c>
      <c r="C3" s="34" t="e">
        <f>VLOOKUP(E3&amp;D3,Lists!C:E,3,FALSE)</f>
        <v>#N/A</v>
      </c>
      <c r="D3" s="35" t="s">
        <v>28</v>
      </c>
      <c r="E3" s="36" t="s">
        <v>494</v>
      </c>
      <c r="F3" s="35" t="s">
        <v>483</v>
      </c>
      <c r="G3" s="32">
        <v>0</v>
      </c>
      <c r="H3" s="32">
        <v>5</v>
      </c>
      <c r="I3" s="84">
        <f t="shared" si="0"/>
        <v>5</v>
      </c>
      <c r="J3" s="37">
        <v>31741</v>
      </c>
      <c r="K3" s="37">
        <v>256207</v>
      </c>
      <c r="L3" s="37">
        <v>49225</v>
      </c>
      <c r="M3" s="38">
        <f>I3/(HLOOKUP(F3,Team_Composition_23[[#All],[Yellow]:[Red]],10,FALSE)+HLOOKUP(F3,Team_Composition_23[[#All],[Yellow]:[Red]],11,FALSE))</f>
        <v>6.0901339829476245E-3</v>
      </c>
      <c r="N3" s="38">
        <f>J3/HLOOKUP(F3,Team_Composition_23[[#All],[Yellow]:[Red]],6,FALSE)</f>
        <v>1.7988252465726913E-3</v>
      </c>
      <c r="O3" s="38">
        <f>K3/HLOOKUP(F3,Team_Composition_23[[#All],[Yellow]:[Red]],8,FALSE)</f>
        <v>5.8207779191255674E-3</v>
      </c>
      <c r="P3" s="38">
        <f>L3/HLOOKUP(F3,Team_Composition_23[[#All],[Yellow]:[Red]],7,FALSE)</f>
        <v>2.028357112326564E-3</v>
      </c>
      <c r="Q3" s="31"/>
      <c r="R3" s="41" t="s">
        <v>482</v>
      </c>
      <c r="S3" s="42" t="s">
        <v>476</v>
      </c>
      <c r="T3" s="42" t="s">
        <v>483</v>
      </c>
      <c r="U3" s="31"/>
      <c r="V3" s="43" t="s">
        <v>1</v>
      </c>
      <c r="W3" s="44" t="s">
        <v>467</v>
      </c>
      <c r="X3" s="31"/>
      <c r="Y3" s="43" t="s">
        <v>1</v>
      </c>
      <c r="Z3" s="44" t="s">
        <v>484</v>
      </c>
      <c r="AA3" s="31"/>
      <c r="AB3" s="41" t="s">
        <v>482</v>
      </c>
      <c r="AC3" s="42" t="s">
        <v>485</v>
      </c>
      <c r="AD3" s="42" t="s">
        <v>28</v>
      </c>
    </row>
    <row r="4" spans="1:30" ht="22.5" customHeight="1">
      <c r="A4" s="32">
        <v>76</v>
      </c>
      <c r="B4" s="60" t="e">
        <f>VLOOKUP(C4,Lists!I:J,2,FALSE)</f>
        <v>#N/A</v>
      </c>
      <c r="C4" s="34" t="e">
        <f>VLOOKUP(E4&amp;D4,Lists!C:E,3,FALSE)</f>
        <v>#N/A</v>
      </c>
      <c r="D4" s="35" t="s">
        <v>28</v>
      </c>
      <c r="E4" s="36" t="s">
        <v>492</v>
      </c>
      <c r="F4" s="35" t="s">
        <v>476</v>
      </c>
      <c r="G4" s="32">
        <v>0</v>
      </c>
      <c r="H4" s="32">
        <v>14</v>
      </c>
      <c r="I4" s="84">
        <f t="shared" si="0"/>
        <v>14</v>
      </c>
      <c r="J4" s="37">
        <v>3141</v>
      </c>
      <c r="K4" s="37">
        <v>167019</v>
      </c>
      <c r="L4" s="37">
        <v>298390</v>
      </c>
      <c r="M4" s="38">
        <f>I4/(HLOOKUP(F4,Team_Composition_23[[#All],[Yellow]:[Red]],10,FALSE)+HLOOKUP(F4,Team_Composition_23[[#All],[Yellow]:[Red]],11,FALSE))</f>
        <v>3.4991252186953262E-3</v>
      </c>
      <c r="N4" s="38">
        <f>J4/HLOOKUP(F4,Team_Composition_23[[#All],[Yellow]:[Red]],6,FALSE)</f>
        <v>7.0801301905429613E-5</v>
      </c>
      <c r="O4" s="38">
        <f>K4/HLOOKUP(F4,Team_Composition_23[[#All],[Yellow]:[Red]],8,FALSE)</f>
        <v>9.5337210737995604E-3</v>
      </c>
      <c r="P4" s="38">
        <f>L4/HLOOKUP(F4,Team_Composition_23[[#All],[Yellow]:[Red]],7,FALSE)</f>
        <v>2.305100112215169E-2</v>
      </c>
      <c r="Q4" s="31"/>
      <c r="R4" s="45" t="s">
        <v>25</v>
      </c>
      <c r="S4" s="46">
        <f>COUNTIFS(Scoreboard_44[Role],R4,Scoreboard_44[Team],"Yellow")</f>
        <v>3</v>
      </c>
      <c r="T4" s="47">
        <f>COUNTIFS(Scoreboard_44[Role],R4,Scoreboard_44[Team],"Red")</f>
        <v>4</v>
      </c>
      <c r="U4" s="31"/>
      <c r="V4" s="48" t="str">
        <f ca="1">IFERROR(__xludf.DUMMYFUNCTION("query(A1:P238, ""Select E,I where B!='Healer' Order by I Desc Limit 10"", 0)"),"Baozer")</f>
        <v>Baozer</v>
      </c>
      <c r="W4" s="49">
        <f ca="1">IFERROR(__xludf.DUMMYFUNCTION("""COMPUTED_VALUE"""),127)</f>
        <v>127</v>
      </c>
      <c r="X4" s="31"/>
      <c r="Y4" s="48" t="str">
        <f ca="1">IFERROR(__xludf.DUMMYFUNCTION("query(A1:P238, ""Select E,J Order by J Desc Limit 10"", 0)"),"Ceviche")</f>
        <v>Ceviche</v>
      </c>
      <c r="Z4" s="49">
        <f ca="1">IFERROR(__xludf.DUMMYFUNCTION("""COMPUTED_VALUE"""),2957408)</f>
        <v>2957408</v>
      </c>
      <c r="AA4" s="31"/>
      <c r="AB4" s="45" t="s">
        <v>25</v>
      </c>
      <c r="AC4" s="50">
        <f>COUNTIFS(Scoreboard_44[Role],AB4,Scoreboard_44[Guild],"House Regard")</f>
        <v>3</v>
      </c>
      <c r="AD4" s="51">
        <f>COUNTIFS(Scoreboard_44[Role],AB4,Scoreboard_44[Guild],"Undercooked")</f>
        <v>4</v>
      </c>
    </row>
    <row r="5" spans="1:30" ht="22.5" customHeight="1">
      <c r="A5" s="32">
        <v>41</v>
      </c>
      <c r="B5" s="60" t="e">
        <f>VLOOKUP(C5,Lists!I:J,2,FALSE)</f>
        <v>#N/A</v>
      </c>
      <c r="C5" s="34" t="e">
        <f>VLOOKUP(E5&amp;D5,Lists!C:E,3,FALSE)</f>
        <v>#N/A</v>
      </c>
      <c r="D5" s="35" t="s">
        <v>490</v>
      </c>
      <c r="E5" s="36" t="s">
        <v>491</v>
      </c>
      <c r="F5" s="35" t="s">
        <v>483</v>
      </c>
      <c r="G5" s="32">
        <v>1</v>
      </c>
      <c r="H5" s="32">
        <v>10</v>
      </c>
      <c r="I5" s="84">
        <f t="shared" si="0"/>
        <v>11</v>
      </c>
      <c r="J5" s="37">
        <v>91259</v>
      </c>
      <c r="K5" s="37">
        <v>163796</v>
      </c>
      <c r="L5" s="37">
        <v>31628</v>
      </c>
      <c r="M5" s="38">
        <f>I5/(HLOOKUP(F5,Team_Composition_23[[#All],[Yellow]:[Red]],10,FALSE)+HLOOKUP(F5,Team_Composition_23[[#All],[Yellow]:[Red]],11,FALSE))</f>
        <v>1.3398294762484775E-2</v>
      </c>
      <c r="N5" s="38">
        <f>J5/HLOOKUP(F5,Team_Composition_23[[#All],[Yellow]:[Red]],6,FALSE)</f>
        <v>5.1718280198159239E-3</v>
      </c>
      <c r="O5" s="38">
        <f>K5/HLOOKUP(F5,Team_Composition_23[[#All],[Yellow]:[Red]],8,FALSE)</f>
        <v>3.7212884114840401E-3</v>
      </c>
      <c r="P5" s="38">
        <f>L5/HLOOKUP(F5,Team_Composition_23[[#All],[Yellow]:[Red]],7,FALSE)</f>
        <v>1.3032580751379294E-3</v>
      </c>
      <c r="Q5" s="31"/>
      <c r="R5" s="45" t="s">
        <v>39</v>
      </c>
      <c r="S5" s="46">
        <f>COUNTIFS(Scoreboard_44[Role],R5,Scoreboard_44[Team],"Yellow")</f>
        <v>8</v>
      </c>
      <c r="T5" s="47">
        <f>COUNTIFS(Scoreboard_44[Role],R5,Scoreboard_44[Team],"Red")</f>
        <v>7</v>
      </c>
      <c r="U5" s="31"/>
      <c r="V5" s="48" t="str">
        <f ca="1">IFERROR(__xludf.DUMMYFUNCTION("""COMPUTED_VALUE"""),"Ceviche")</f>
        <v>Ceviche</v>
      </c>
      <c r="W5" s="49">
        <f ca="1">IFERROR(__xludf.DUMMYFUNCTION("""COMPUTED_VALUE"""),120)</f>
        <v>120</v>
      </c>
      <c r="X5" s="31"/>
      <c r="Y5" s="48" t="str">
        <f ca="1">IFERROR(__xludf.DUMMYFUNCTION("""COMPUTED_VALUE"""),"Gelato")</f>
        <v>Gelato</v>
      </c>
      <c r="Z5" s="49">
        <f ca="1">IFERROR(__xludf.DUMMYFUNCTION("""COMPUTED_VALUE"""),2345202)</f>
        <v>2345202</v>
      </c>
      <c r="AA5" s="31"/>
      <c r="AB5" s="45" t="s">
        <v>39</v>
      </c>
      <c r="AC5" s="50">
        <f>COUNTIFS(Scoreboard_44[Role],AB5,Scoreboard_44[Guild],"House Regard")</f>
        <v>9</v>
      </c>
      <c r="AD5" s="51">
        <f>COUNTIFS(Scoreboard_44[Role],AB5,Scoreboard_44[Guild],"Undercooked")</f>
        <v>6</v>
      </c>
    </row>
    <row r="6" spans="1:30" ht="22.5" customHeight="1">
      <c r="A6" s="32">
        <v>96</v>
      </c>
      <c r="B6" s="60" t="str">
        <f>VLOOKUP(C6,Lists!I:J,2,FALSE)</f>
        <v>Healer</v>
      </c>
      <c r="C6" s="34" t="str">
        <f>VLOOKUP(E6&amp;D6,Lists!C:E,3,FALSE)</f>
        <v>Wand/Orb</v>
      </c>
      <c r="D6" s="35" t="s">
        <v>28</v>
      </c>
      <c r="E6" s="36" t="s">
        <v>392</v>
      </c>
      <c r="F6" s="35" t="s">
        <v>476</v>
      </c>
      <c r="G6" s="32">
        <v>0</v>
      </c>
      <c r="H6" s="32">
        <v>3</v>
      </c>
      <c r="I6" s="84">
        <f t="shared" si="0"/>
        <v>3</v>
      </c>
      <c r="J6" s="37">
        <v>6905</v>
      </c>
      <c r="K6" s="37">
        <v>272304</v>
      </c>
      <c r="L6" s="37">
        <v>500480</v>
      </c>
      <c r="M6" s="38">
        <f>I6/(HLOOKUP(F6,Team_Composition_23[[#All],[Yellow]:[Red]],10,FALSE)+HLOOKUP(F6,Team_Composition_23[[#All],[Yellow]:[Red]],11,FALSE))</f>
        <v>7.4981254686328413E-4</v>
      </c>
      <c r="N6" s="38">
        <f>J6/HLOOKUP(F6,Team_Composition_23[[#All],[Yellow]:[Red]],6,FALSE)</f>
        <v>1.5564565095733572E-4</v>
      </c>
      <c r="O6" s="38">
        <f>K6/HLOOKUP(F6,Team_Composition_23[[#All],[Yellow]:[Red]],8,FALSE)</f>
        <v>1.5543563207059768E-2</v>
      </c>
      <c r="P6" s="38">
        <f>L6/HLOOKUP(F6,Team_Composition_23[[#All],[Yellow]:[Red]],7,FALSE)</f>
        <v>3.8662706664480968E-2</v>
      </c>
      <c r="Q6" s="31"/>
      <c r="R6" s="45" t="s">
        <v>67</v>
      </c>
      <c r="S6" s="46">
        <f>COUNTIFS(Scoreboard_44[Role],R6,Scoreboard_44[Team],"Yellow")</f>
        <v>11</v>
      </c>
      <c r="T6" s="47">
        <f>COUNTIFS(Scoreboard_44[Role],R6,Scoreboard_44[Team],"Red")</f>
        <v>11</v>
      </c>
      <c r="U6" s="31"/>
      <c r="V6" s="48" t="str">
        <f ca="1">IFERROR(__xludf.DUMMYFUNCTION("""COMPUTED_VALUE"""),"B")</f>
        <v>B</v>
      </c>
      <c r="W6" s="49">
        <f ca="1">IFERROR(__xludf.DUMMYFUNCTION("""COMPUTED_VALUE"""),100)</f>
        <v>100</v>
      </c>
      <c r="X6" s="31"/>
      <c r="Y6" s="48" t="str">
        <f ca="1">IFERROR(__xludf.DUMMYFUNCTION("""COMPUTED_VALUE"""),"Slushy")</f>
        <v>Slushy</v>
      </c>
      <c r="Z6" s="49">
        <f ca="1">IFERROR(__xludf.DUMMYFUNCTION("""COMPUTED_VALUE"""),2262523)</f>
        <v>2262523</v>
      </c>
      <c r="AA6" s="31"/>
      <c r="AB6" s="45" t="s">
        <v>67</v>
      </c>
      <c r="AC6" s="50">
        <f>COUNTIFS(Scoreboard_44[Role],AB6,Scoreboard_44[Guild],"House Regard")</f>
        <v>14</v>
      </c>
      <c r="AD6" s="51">
        <f>COUNTIFS(Scoreboard_44[Role],AB6,Scoreboard_44[Guild],"Undercooked")</f>
        <v>8</v>
      </c>
    </row>
    <row r="7" spans="1:30" ht="22.5" customHeight="1">
      <c r="A7" s="32">
        <v>26</v>
      </c>
      <c r="B7" s="60" t="e">
        <f>VLOOKUP(C7,Lists!I:J,2,FALSE)</f>
        <v>#N/A</v>
      </c>
      <c r="C7" s="34" t="e">
        <f>VLOOKUP(E7&amp;D7,Lists!C:E,3,FALSE)</f>
        <v>#N/A</v>
      </c>
      <c r="D7" s="35" t="s">
        <v>28</v>
      </c>
      <c r="E7" s="36" t="s">
        <v>475</v>
      </c>
      <c r="F7" s="35" t="s">
        <v>476</v>
      </c>
      <c r="G7" s="32">
        <v>11</v>
      </c>
      <c r="H7" s="32">
        <v>21</v>
      </c>
      <c r="I7" s="84">
        <f t="shared" si="0"/>
        <v>32</v>
      </c>
      <c r="J7" s="37">
        <v>768654</v>
      </c>
      <c r="K7" s="37">
        <v>362925</v>
      </c>
      <c r="L7" s="37">
        <v>0</v>
      </c>
      <c r="M7" s="38">
        <f>I7/(HLOOKUP(F7,Team_Composition_23[[#All],[Yellow]:[Red]],10,FALSE)+HLOOKUP(F7,Team_Composition_23[[#All],[Yellow]:[Red]],11,FALSE))</f>
        <v>7.9980004998750319E-3</v>
      </c>
      <c r="N7" s="38">
        <f>J7/HLOOKUP(F7,Team_Composition_23[[#All],[Yellow]:[Red]],6,FALSE)</f>
        <v>1.7326234929900063E-2</v>
      </c>
      <c r="O7" s="38">
        <f>K7/HLOOKUP(F7,Team_Composition_23[[#All],[Yellow]:[Red]],8,FALSE)</f>
        <v>2.0716359939340467E-2</v>
      </c>
      <c r="P7" s="38">
        <f>L7/HLOOKUP(F7,Team_Composition_23[[#All],[Yellow]:[Red]],7,FALSE)</f>
        <v>0</v>
      </c>
      <c r="Q7" s="31"/>
      <c r="R7" s="45" t="s">
        <v>11</v>
      </c>
      <c r="S7" s="46">
        <f>COUNTIFS(Scoreboard_44[Role],R7,Scoreboard_44[Team],"Yellow")</f>
        <v>14</v>
      </c>
      <c r="T7" s="47">
        <f>COUNTIFS(Scoreboard_44[Role],R7,Scoreboard_44[Team],"Red")</f>
        <v>17</v>
      </c>
      <c r="U7" s="31"/>
      <c r="V7" s="48" t="str">
        <f ca="1">IFERROR(__xludf.DUMMYFUNCTION("""COMPUTED_VALUE"""),"charigueya")</f>
        <v>charigueya</v>
      </c>
      <c r="W7" s="49">
        <f ca="1">IFERROR(__xludf.DUMMYFUNCTION("""COMPUTED_VALUE"""),97)</f>
        <v>97</v>
      </c>
      <c r="X7" s="31"/>
      <c r="Y7" s="48" t="str">
        <f ca="1">IFERROR(__xludf.DUMMYFUNCTION("""COMPUTED_VALUE"""),"Thundercats")</f>
        <v>Thundercats</v>
      </c>
      <c r="Z7" s="49">
        <f ca="1">IFERROR(__xludf.DUMMYFUNCTION("""COMPUTED_VALUE"""),2177840)</f>
        <v>2177840</v>
      </c>
      <c r="AA7" s="31"/>
      <c r="AB7" s="45" t="s">
        <v>11</v>
      </c>
      <c r="AC7" s="50">
        <f>COUNTIFS(Scoreboard_44[Role],AB7,Scoreboard_44[Guild],"House Regard")</f>
        <v>16</v>
      </c>
      <c r="AD7" s="51">
        <f>COUNTIFS(Scoreboard_44[Role],AB7,Scoreboard_44[Guild],"Undercooked")</f>
        <v>15</v>
      </c>
    </row>
    <row r="8" spans="1:30" ht="22.5" customHeight="1">
      <c r="A8" s="32">
        <v>20</v>
      </c>
      <c r="B8" s="60" t="e">
        <f>VLOOKUP(C8,Lists!I:J,2,FALSE)</f>
        <v>#N/A</v>
      </c>
      <c r="C8" s="34" t="e">
        <f>VLOOKUP(E8&amp;D8,Lists!C:E,3,FALSE)</f>
        <v>#N/A</v>
      </c>
      <c r="D8" s="35" t="s">
        <v>28</v>
      </c>
      <c r="E8" s="36" t="s">
        <v>486</v>
      </c>
      <c r="F8" s="35" t="s">
        <v>483</v>
      </c>
      <c r="G8" s="32">
        <v>14</v>
      </c>
      <c r="H8" s="32">
        <v>50</v>
      </c>
      <c r="I8" s="84">
        <f t="shared" si="0"/>
        <v>64</v>
      </c>
      <c r="J8" s="37">
        <v>965427</v>
      </c>
      <c r="K8" s="37">
        <v>1011235</v>
      </c>
      <c r="L8" s="37">
        <v>2662</v>
      </c>
      <c r="M8" s="38">
        <f>I8/(HLOOKUP(F8,Team_Composition_23[[#All],[Yellow]:[Red]],10,FALSE)+HLOOKUP(F8,Team_Composition_23[[#All],[Yellow]:[Red]],11,FALSE))</f>
        <v>7.7953714981729594E-2</v>
      </c>
      <c r="N8" s="38">
        <f>J8/HLOOKUP(F8,Team_Composition_23[[#All],[Yellow]:[Red]],6,FALSE)</f>
        <v>5.4712657487884238E-2</v>
      </c>
      <c r="O8" s="38">
        <f>K8/HLOOKUP(F8,Team_Composition_23[[#All],[Yellow]:[Red]],8,FALSE)</f>
        <v>2.2974291721330579E-2</v>
      </c>
      <c r="P8" s="38">
        <f>L8/HLOOKUP(F8,Team_Composition_23[[#All],[Yellow]:[Red]],7,FALSE)</f>
        <v>1.0968992652134715E-4</v>
      </c>
      <c r="Q8" s="31"/>
      <c r="R8" s="45" t="s">
        <v>468</v>
      </c>
      <c r="S8" s="46">
        <f>SUMIFS(Scoreboard_44[Damage Dealt],Scoreboard_44[Team],"Yellow")</f>
        <v>21064583</v>
      </c>
      <c r="T8" s="47">
        <f>SUMIFS(Scoreboard_44[Damage Dealt],Scoreboard_44[Team],"Red")</f>
        <v>26502592</v>
      </c>
      <c r="U8" s="31"/>
      <c r="V8" s="48" t="str">
        <f ca="1">IFERROR(__xludf.DUMMYFUNCTION("""COMPUTED_VALUE"""),"Gelato")</f>
        <v>Gelato</v>
      </c>
      <c r="W8" s="49">
        <f ca="1">IFERROR(__xludf.DUMMYFUNCTION("""COMPUTED_VALUE"""),93)</f>
        <v>93</v>
      </c>
      <c r="X8" s="31"/>
      <c r="Y8" s="48" t="str">
        <f ca="1">IFERROR(__xludf.DUMMYFUNCTION("""COMPUTED_VALUE"""),"CruMpet")</f>
        <v>CruMpet</v>
      </c>
      <c r="Z8" s="49">
        <f ca="1">IFERROR(__xludf.DUMMYFUNCTION("""COMPUTED_VALUE"""),2097283)</f>
        <v>2097283</v>
      </c>
      <c r="AA8" s="31"/>
      <c r="AB8" s="45" t="s">
        <v>468</v>
      </c>
      <c r="AC8" s="50">
        <f>SUMIFS(Scoreboard_44[Damage Dealt],Scoreboard_44[Guild],"House Regard")</f>
        <v>25834020</v>
      </c>
      <c r="AD8" s="51">
        <f>SUMIFS(Scoreboard_44[Damage Dealt],Scoreboard_44[Guild],"Undercooked")</f>
        <v>21641896</v>
      </c>
    </row>
    <row r="9" spans="1:30" ht="22.5" customHeight="1">
      <c r="A9" s="32">
        <v>86</v>
      </c>
      <c r="B9" s="60" t="str">
        <f>VLOOKUP(C9,Lists!I:J,2,FALSE)</f>
        <v>Ranged DPS</v>
      </c>
      <c r="C9" s="34" t="str">
        <f>VLOOKUP(E9&amp;D9,Lists!C:E,3,FALSE)</f>
        <v>Staff/Orb</v>
      </c>
      <c r="D9" s="35" t="s">
        <v>28</v>
      </c>
      <c r="E9" s="36" t="s">
        <v>391</v>
      </c>
      <c r="F9" s="35" t="s">
        <v>476</v>
      </c>
      <c r="G9" s="32">
        <v>0</v>
      </c>
      <c r="H9" s="32">
        <v>7</v>
      </c>
      <c r="I9" s="84">
        <f t="shared" si="0"/>
        <v>7</v>
      </c>
      <c r="J9" s="37">
        <v>51073</v>
      </c>
      <c r="K9" s="37">
        <v>372985</v>
      </c>
      <c r="L9" s="37">
        <v>14181</v>
      </c>
      <c r="M9" s="38">
        <f>I9/(HLOOKUP(F9,Team_Composition_23[[#All],[Yellow]:[Red]],10,FALSE)+HLOOKUP(F9,Team_Composition_23[[#All],[Yellow]:[Red]],11,FALSE))</f>
        <v>1.7495626093476631E-3</v>
      </c>
      <c r="N9" s="38">
        <f>J9/HLOOKUP(F9,Team_Composition_23[[#All],[Yellow]:[Red]],6,FALSE)</f>
        <v>1.1512368329245485E-3</v>
      </c>
      <c r="O9" s="38">
        <f>K9/HLOOKUP(F9,Team_Composition_23[[#All],[Yellow]:[Red]],8,FALSE)</f>
        <v>2.1290601396913699E-2</v>
      </c>
      <c r="P9" s="38">
        <f>L9/HLOOKUP(F9,Team_Composition_23[[#All],[Yellow]:[Red]],7,FALSE)</f>
        <v>1.095500006411854E-3</v>
      </c>
      <c r="Q9" s="31"/>
      <c r="R9" s="45" t="s">
        <v>470</v>
      </c>
      <c r="S9" s="46">
        <f>SUMIFS(Scoreboard_44[Amount Healed],Scoreboard_44[Team],"Yellow")</f>
        <v>17691424</v>
      </c>
      <c r="T9" s="47">
        <f>SUMIFS(Scoreboard_44[Amount Healed],Scoreboard_44[Team],"Red")</f>
        <v>15286566</v>
      </c>
      <c r="U9" s="31"/>
      <c r="V9" s="48" t="str">
        <f ca="1">IFERROR(__xludf.DUMMYFUNCTION("""COMPUTED_VALUE"""),"Thundercats")</f>
        <v>Thundercats</v>
      </c>
      <c r="W9" s="49">
        <f ca="1">IFERROR(__xludf.DUMMYFUNCTION("""COMPUTED_VALUE"""),89)</f>
        <v>89</v>
      </c>
      <c r="X9" s="31"/>
      <c r="Y9" s="48" t="str">
        <f ca="1">IFERROR(__xludf.DUMMYFUNCTION("""COMPUTED_VALUE"""),"B")</f>
        <v>B</v>
      </c>
      <c r="Z9" s="49">
        <f ca="1">IFERROR(__xludf.DUMMYFUNCTION("""COMPUTED_VALUE"""),2002415)</f>
        <v>2002415</v>
      </c>
      <c r="AA9" s="31"/>
      <c r="AB9" s="45" t="s">
        <v>470</v>
      </c>
      <c r="AC9" s="50">
        <f>SUMIFS(Scoreboard_44[Amount Healed],Scoreboard_44[Guild],"House Regard")</f>
        <v>17087460</v>
      </c>
      <c r="AD9" s="51">
        <f>SUMIFS(Scoreboard_44[Amount Healed],Scoreboard_44[Guild],"Undercooked")</f>
        <v>15858902</v>
      </c>
    </row>
    <row r="10" spans="1:30" ht="22.5" customHeight="1">
      <c r="A10" s="32">
        <v>10</v>
      </c>
      <c r="B10" s="60" t="e">
        <f>VLOOKUP(C10,Lists!I:J,2,FALSE)</f>
        <v>#N/A</v>
      </c>
      <c r="C10" s="34" t="e">
        <f>VLOOKUP(E10&amp;D10,Lists!C:E,3,FALSE)</f>
        <v>#N/A</v>
      </c>
      <c r="D10" s="35" t="s">
        <v>28</v>
      </c>
      <c r="E10" s="36" t="s">
        <v>481</v>
      </c>
      <c r="F10" s="35" t="s">
        <v>476</v>
      </c>
      <c r="G10" s="32">
        <v>23</v>
      </c>
      <c r="H10" s="32">
        <v>30</v>
      </c>
      <c r="I10" s="84">
        <f t="shared" si="0"/>
        <v>53</v>
      </c>
      <c r="J10" s="37">
        <v>1256032</v>
      </c>
      <c r="K10" s="37">
        <v>1368335</v>
      </c>
      <c r="L10" s="37">
        <v>34325</v>
      </c>
      <c r="M10" s="38">
        <f>I10/(HLOOKUP(F10,Team_Composition_23[[#All],[Yellow]:[Red]],10,FALSE)+HLOOKUP(F10,Team_Composition_23[[#All],[Yellow]:[Red]],11,FALSE))</f>
        <v>1.324668832791802E-2</v>
      </c>
      <c r="N10" s="38">
        <f>J10/HLOOKUP(F10,Team_Composition_23[[#All],[Yellow]:[Red]],6,FALSE)</f>
        <v>2.8312225671722563E-2</v>
      </c>
      <c r="O10" s="38">
        <f>K10/HLOOKUP(F10,Team_Composition_23[[#All],[Yellow]:[Red]],8,FALSE)</f>
        <v>7.8106827519728417E-2</v>
      </c>
      <c r="P10" s="38">
        <f>L10/HLOOKUP(F10,Team_Composition_23[[#All],[Yellow]:[Red]],7,FALSE)</f>
        <v>2.6516492292565324E-3</v>
      </c>
      <c r="Q10" s="31"/>
      <c r="R10" s="45" t="s">
        <v>469</v>
      </c>
      <c r="S10" s="46">
        <f>SUMIFS(Scoreboard_44[Damage Taken],Scoreboard_44[Team],"Yellow")</f>
        <v>26492165</v>
      </c>
      <c r="T10" s="47">
        <f>SUMIFS(Scoreboard_44[Damage Taken],Scoreboard_44[Team],"Red")</f>
        <v>21080010</v>
      </c>
      <c r="U10" s="31"/>
      <c r="V10" s="48" t="str">
        <f ca="1">IFERROR(__xludf.DUMMYFUNCTION("""COMPUTED_VALUE"""),"Ratatouille")</f>
        <v>Ratatouille</v>
      </c>
      <c r="W10" s="49">
        <f ca="1">IFERROR(__xludf.DUMMYFUNCTION("""COMPUTED_VALUE"""),77)</f>
        <v>77</v>
      </c>
      <c r="X10" s="31"/>
      <c r="Y10" s="48" t="str">
        <f ca="1">IFERROR(__xludf.DUMMYFUNCTION("""COMPUTED_VALUE"""),"Ryujin")</f>
        <v>Ryujin</v>
      </c>
      <c r="Z10" s="49">
        <f ca="1">IFERROR(__xludf.DUMMYFUNCTION("""COMPUTED_VALUE"""),1979246)</f>
        <v>1979246</v>
      </c>
      <c r="AA10" s="31"/>
      <c r="AB10" s="45" t="s">
        <v>469</v>
      </c>
      <c r="AC10" s="50">
        <f>SUMIFS(Scoreboard_44[Damage Taken],Scoreboard_44[Guild],"House Regard")</f>
        <v>23841056</v>
      </c>
      <c r="AD10" s="51">
        <f>SUMIFS(Scoreboard_44[Damage Taken],Scoreboard_44[Guild],"Undercooked")</f>
        <v>23567323</v>
      </c>
    </row>
    <row r="11" spans="1:30" ht="22.5" customHeight="1">
      <c r="A11" s="32">
        <v>31</v>
      </c>
      <c r="B11" s="60" t="e">
        <f>VLOOKUP(C11,Lists!I:J,2,FALSE)</f>
        <v>#N/A</v>
      </c>
      <c r="C11" s="34" t="e">
        <f>VLOOKUP(E11&amp;D11,Lists!C:E,3,FALSE)</f>
        <v>#N/A</v>
      </c>
      <c r="D11" s="35" t="s">
        <v>28</v>
      </c>
      <c r="E11" s="36" t="s">
        <v>487</v>
      </c>
      <c r="F11" s="35" t="s">
        <v>476</v>
      </c>
      <c r="G11" s="32">
        <v>4</v>
      </c>
      <c r="H11" s="32">
        <v>17</v>
      </c>
      <c r="I11" s="84">
        <f t="shared" si="0"/>
        <v>21</v>
      </c>
      <c r="J11" s="37">
        <v>626151</v>
      </c>
      <c r="K11" s="37">
        <v>711632</v>
      </c>
      <c r="L11" s="37">
        <v>0</v>
      </c>
      <c r="M11" s="38">
        <f>I11/(HLOOKUP(F11,Team_Composition_23[[#All],[Yellow]:[Red]],10,FALSE)+HLOOKUP(F11,Team_Composition_23[[#All],[Yellow]:[Red]],11,FALSE))</f>
        <v>5.2486878280429894E-3</v>
      </c>
      <c r="N11" s="38">
        <f>J11/HLOOKUP(F11,Team_Composition_23[[#All],[Yellow]:[Red]],6,FALSE)</f>
        <v>1.4114073858448473E-2</v>
      </c>
      <c r="O11" s="38">
        <f>K11/HLOOKUP(F11,Team_Composition_23[[#All],[Yellow]:[Red]],8,FALSE)</f>
        <v>4.062113289619821E-2</v>
      </c>
      <c r="P11" s="38">
        <f>L11/HLOOKUP(F11,Team_Composition_23[[#All],[Yellow]:[Red]],7,FALSE)</f>
        <v>0</v>
      </c>
      <c r="Q11" s="31"/>
      <c r="R11" s="45" t="s">
        <v>495</v>
      </c>
      <c r="S11" s="46">
        <f ca="1">IFERROR(DIVIDE(SUMIFS(Scoreboard_44[Amount Healed],Scoreboard_44[Team],"Yellow"), SUMIFS(Scoreboard_44[Damage Taken],Scoreboard_44[Team],"Yellow"))*(100),0)</f>
        <v>0</v>
      </c>
      <c r="T11" s="47">
        <f ca="1">IFERROR(DIVIDE(SUMIFS(Scoreboard_44[Amount Healed],Scoreboard_44[Team],"Red"), SUMIFS(Scoreboard_44[Damage Taken],Scoreboard_44[Team],"Red"))*(100),0)</f>
        <v>0</v>
      </c>
      <c r="U11" s="31"/>
      <c r="V11" s="48" t="str">
        <f ca="1">IFERROR(__xludf.DUMMYFUNCTION("""COMPUTED_VALUE"""),"Ryujin")</f>
        <v>Ryujin</v>
      </c>
      <c r="W11" s="49">
        <f ca="1">IFERROR(__xludf.DUMMYFUNCTION("""COMPUTED_VALUE"""),74)</f>
        <v>74</v>
      </c>
      <c r="X11" s="31"/>
      <c r="Y11" s="48" t="str">
        <f ca="1">IFERROR(__xludf.DUMMYFUNCTION("""COMPUTED_VALUE"""),"charigueya")</f>
        <v>charigueya</v>
      </c>
      <c r="Z11" s="49">
        <f ca="1">IFERROR(__xludf.DUMMYFUNCTION("""COMPUTED_VALUE"""),1960189)</f>
        <v>1960189</v>
      </c>
      <c r="AA11" s="31"/>
      <c r="AB11" s="45" t="s">
        <v>495</v>
      </c>
      <c r="AC11" s="50">
        <f ca="1">IFERROR(DIVIDE(SUMIFS(Scoreboard_44[Amount Healed],Scoreboard_44[Guild],"House Regard"), SUMIFS(Scoreboard_44[Damage Taken],Scoreboard_44[Guild],"House Regard"))*(100),0)</f>
        <v>0</v>
      </c>
      <c r="AD11" s="51">
        <f ca="1">IFERROR(DIVIDE(SUMIFS(Scoreboard_44[Amount Healed],Scoreboard_44[Guild],"Undercooked"), SUMIFS(Scoreboard_44[Damage Taken],Scoreboard_44[Guild],"Undercooked"))*(100),0)</f>
        <v>0</v>
      </c>
    </row>
    <row r="12" spans="1:30" ht="22.5" customHeight="1">
      <c r="A12" s="32">
        <v>94</v>
      </c>
      <c r="B12" s="60" t="e">
        <f>VLOOKUP(C12,Lists!I:J,2,FALSE)</f>
        <v>#N/A</v>
      </c>
      <c r="C12" s="34" t="e">
        <f>VLOOKUP(E12&amp;D12,Lists!C:E,3,FALSE)</f>
        <v>#N/A</v>
      </c>
      <c r="D12" s="35" t="s">
        <v>28</v>
      </c>
      <c r="E12" s="36" t="s">
        <v>489</v>
      </c>
      <c r="F12" s="35" t="s">
        <v>476</v>
      </c>
      <c r="G12" s="32">
        <v>0</v>
      </c>
      <c r="H12" s="32">
        <v>4</v>
      </c>
      <c r="I12" s="84">
        <f t="shared" si="0"/>
        <v>4</v>
      </c>
      <c r="J12" s="37">
        <v>56347</v>
      </c>
      <c r="K12" s="37">
        <v>825916</v>
      </c>
      <c r="L12" s="37">
        <v>96174</v>
      </c>
      <c r="M12" s="38">
        <f>I12/(HLOOKUP(F12,Team_Composition_23[[#All],[Yellow]:[Red]],10,FALSE)+HLOOKUP(F12,Team_Composition_23[[#All],[Yellow]:[Red]],11,FALSE))</f>
        <v>9.9975006248437899E-4</v>
      </c>
      <c r="N12" s="38">
        <f>J12/HLOOKUP(F12,Team_Composition_23[[#All],[Yellow]:[Red]],6,FALSE)</f>
        <v>1.2701181020265018E-3</v>
      </c>
      <c r="O12" s="38">
        <f>K12/HLOOKUP(F12,Team_Composition_23[[#All],[Yellow]:[Red]],8,FALSE)</f>
        <v>4.714465285020409E-2</v>
      </c>
      <c r="P12" s="38">
        <f>L12/HLOOKUP(F12,Team_Composition_23[[#All],[Yellow]:[Red]],7,FALSE)</f>
        <v>7.429561922054414E-3</v>
      </c>
      <c r="Q12" s="31"/>
      <c r="R12" s="45" t="s">
        <v>465</v>
      </c>
      <c r="S12" s="46">
        <f>SUMIFS(Scoreboard_44[Kills],Scoreboard_44[Team],"Yellow")</f>
        <v>220</v>
      </c>
      <c r="T12" s="47">
        <f>SUMIFS(Scoreboard_44[Kills],Scoreboard_44[Team],"Red")</f>
        <v>375</v>
      </c>
      <c r="U12" s="31"/>
      <c r="V12" s="48" t="str">
        <f ca="1">IFERROR(__xludf.DUMMYFUNCTION("""COMPUTED_VALUE"""),"CruMpet")</f>
        <v>CruMpet</v>
      </c>
      <c r="W12" s="49">
        <f ca="1">IFERROR(__xludf.DUMMYFUNCTION("""COMPUTED_VALUE"""),65)</f>
        <v>65</v>
      </c>
      <c r="X12" s="31"/>
      <c r="Y12" s="48" t="str">
        <f ca="1">IFERROR(__xludf.DUMMYFUNCTION("""COMPUTED_VALUE"""),"Snoop")</f>
        <v>Snoop</v>
      </c>
      <c r="Z12" s="49">
        <f ca="1">IFERROR(__xludf.DUMMYFUNCTION("""COMPUTED_VALUE"""),1950298)</f>
        <v>1950298</v>
      </c>
      <c r="AA12" s="31"/>
      <c r="AB12" s="45" t="s">
        <v>465</v>
      </c>
      <c r="AC12" s="50">
        <f>SUMIFS(Scoreboard_44[Kills],Scoreboard_44[Guild],"House Regard")</f>
        <v>346</v>
      </c>
      <c r="AD12" s="51">
        <f>SUMIFS(Scoreboard_44[Kills],Scoreboard_44[Guild],"Undercooked")</f>
        <v>248</v>
      </c>
    </row>
    <row r="13" spans="1:30" ht="22.5" customHeight="1">
      <c r="A13" s="32">
        <v>73</v>
      </c>
      <c r="B13" s="60" t="e">
        <f>VLOOKUP(C13,Lists!I:J,2,FALSE)</f>
        <v>#N/A</v>
      </c>
      <c r="C13" s="34" t="e">
        <f>VLOOKUP(E13&amp;D13,Lists!C:E,3,FALSE)</f>
        <v>#N/A</v>
      </c>
      <c r="D13" s="35" t="s">
        <v>28</v>
      </c>
      <c r="E13" s="36" t="s">
        <v>488</v>
      </c>
      <c r="F13" s="35" t="s">
        <v>476</v>
      </c>
      <c r="G13" s="32">
        <v>0</v>
      </c>
      <c r="H13" s="32">
        <v>16</v>
      </c>
      <c r="I13" s="84">
        <f t="shared" si="0"/>
        <v>16</v>
      </c>
      <c r="J13" s="37">
        <v>62041</v>
      </c>
      <c r="K13" s="37">
        <v>741331</v>
      </c>
      <c r="L13" s="37">
        <v>25174</v>
      </c>
      <c r="M13" s="38">
        <f>I13/(HLOOKUP(F13,Team_Composition_23[[#All],[Yellow]:[Red]],10,FALSE)+HLOOKUP(F13,Team_Composition_23[[#All],[Yellow]:[Red]],11,FALSE))</f>
        <v>3.9990002499375159E-3</v>
      </c>
      <c r="N13" s="38">
        <f>J13/HLOOKUP(F13,Team_Composition_23[[#All],[Yellow]:[Red]],6,FALSE)</f>
        <v>1.3984665939238328E-3</v>
      </c>
      <c r="O13" s="38">
        <f>K13/HLOOKUP(F13,Team_Composition_23[[#All],[Yellow]:[Red]],8,FALSE)</f>
        <v>4.2316400992467335E-2</v>
      </c>
      <c r="P13" s="38">
        <f>L13/HLOOKUP(F13,Team_Composition_23[[#All],[Yellow]:[Red]],7,FALSE)</f>
        <v>1.9447230210430865E-3</v>
      </c>
      <c r="Q13" s="31"/>
      <c r="R13" s="45" t="s">
        <v>466</v>
      </c>
      <c r="S13" s="46">
        <f>SUMIFS(Scoreboard_44[Assists],Scoreboard_44[Team],"Yellow")</f>
        <v>1010</v>
      </c>
      <c r="T13" s="47">
        <f>SUMIFS(Scoreboard_44[Assists],Scoreboard_44[Team],"Red")</f>
        <v>1644</v>
      </c>
      <c r="U13" s="31"/>
      <c r="V13" s="48" t="str">
        <f ca="1">IFERROR(__xludf.DUMMYFUNCTION("""COMPUTED_VALUE"""),"ohMnMs")</f>
        <v>ohMnMs</v>
      </c>
      <c r="W13" s="49">
        <f ca="1">IFERROR(__xludf.DUMMYFUNCTION("""COMPUTED_VALUE"""),64)</f>
        <v>64</v>
      </c>
      <c r="X13" s="31"/>
      <c r="Y13" s="48" t="str">
        <f ca="1">IFERROR(__xludf.DUMMYFUNCTION("""COMPUTED_VALUE"""),"K")</f>
        <v>K</v>
      </c>
      <c r="Z13" s="49">
        <f ca="1">IFERROR(__xludf.DUMMYFUNCTION("""COMPUTED_VALUE"""),1834123)</f>
        <v>1834123</v>
      </c>
      <c r="AA13" s="31"/>
      <c r="AB13" s="45" t="s">
        <v>466</v>
      </c>
      <c r="AC13" s="50">
        <f>SUMIFS(Scoreboard_44[Kills],Scoreboard_44[Guild],"House Regard")</f>
        <v>346</v>
      </c>
      <c r="AD13" s="51">
        <f>SUMIFS(Scoreboard_44[Assists],Scoreboard_44[Guild],"Undercooked")</f>
        <v>1137</v>
      </c>
    </row>
    <row r="14" spans="1:30" ht="22.5" customHeight="1">
      <c r="A14" s="32">
        <v>42</v>
      </c>
      <c r="B14" s="60" t="str">
        <f>VLOOKUP(C14,Lists!I:J,2,FALSE)</f>
        <v>Healer</v>
      </c>
      <c r="C14" s="34" t="str">
        <f>VLOOKUP(E14&amp;D14,Lists!C:E,3,FALSE)</f>
        <v>Wand/Orb</v>
      </c>
      <c r="D14" s="35" t="s">
        <v>40</v>
      </c>
      <c r="E14" s="36" t="s">
        <v>136</v>
      </c>
      <c r="F14" s="35" t="s">
        <v>483</v>
      </c>
      <c r="G14" s="32">
        <v>1</v>
      </c>
      <c r="H14" s="32">
        <v>10</v>
      </c>
      <c r="I14" s="84">
        <f t="shared" si="0"/>
        <v>11</v>
      </c>
      <c r="J14" s="37">
        <v>54881</v>
      </c>
      <c r="K14" s="37">
        <v>396406</v>
      </c>
      <c r="L14" s="37">
        <v>521577</v>
      </c>
      <c r="M14" s="38">
        <f>I14/(HLOOKUP(F14,Team_Composition_23[[#All],[Yellow]:[Red]],10,FALSE)+HLOOKUP(F14,Team_Composition_23[[#All],[Yellow]:[Red]],11,FALSE))</f>
        <v>1.3398294762484775E-2</v>
      </c>
      <c r="N14" s="38">
        <f>J14/HLOOKUP(F14,Team_Composition_23[[#All],[Yellow]:[Red]],6,FALSE)</f>
        <v>3.1102148122981593E-3</v>
      </c>
      <c r="O14" s="38">
        <f>K14/HLOOKUP(F14,Team_Composition_23[[#All],[Yellow]:[Red]],8,FALSE)</f>
        <v>9.0059650665629352E-3</v>
      </c>
      <c r="P14" s="38">
        <f>L14/HLOOKUP(F14,Team_Composition_23[[#All],[Yellow]:[Red]],7,FALSE)</f>
        <v>2.1492014577469829E-2</v>
      </c>
      <c r="Q14" s="31"/>
      <c r="R14" s="48"/>
      <c r="S14" s="58">
        <f t="shared" ref="S14:T14" si="1">SUM(S4:S7)</f>
        <v>36</v>
      </c>
      <c r="T14" s="58">
        <f t="shared" si="1"/>
        <v>39</v>
      </c>
      <c r="U14" s="31"/>
      <c r="V14" s="31"/>
      <c r="W14" s="31"/>
      <c r="X14" s="31"/>
      <c r="Y14" s="31"/>
      <c r="Z14" s="31"/>
      <c r="AA14" s="31"/>
      <c r="AB14" s="48"/>
      <c r="AC14" s="58"/>
      <c r="AD14" s="58"/>
    </row>
    <row r="15" spans="1:30" ht="22.5" customHeight="1">
      <c r="A15" s="32">
        <v>64</v>
      </c>
      <c r="B15" s="60" t="str">
        <f>VLOOKUP(C15,Lists!I:J,2,FALSE)</f>
        <v>Healer</v>
      </c>
      <c r="C15" s="34" t="str">
        <f>VLOOKUP(E15&amp;D15,Lists!C:E,3,FALSE)</f>
        <v>Wand/Orb</v>
      </c>
      <c r="D15" s="35" t="s">
        <v>28</v>
      </c>
      <c r="E15" s="36" t="s">
        <v>343</v>
      </c>
      <c r="F15" s="35" t="s">
        <v>483</v>
      </c>
      <c r="G15" s="32">
        <v>0</v>
      </c>
      <c r="H15" s="32">
        <v>26</v>
      </c>
      <c r="I15" s="84">
        <f t="shared" si="0"/>
        <v>26</v>
      </c>
      <c r="J15" s="37">
        <v>31827</v>
      </c>
      <c r="K15" s="37">
        <v>262626</v>
      </c>
      <c r="L15" s="37">
        <v>271155</v>
      </c>
      <c r="M15" s="38">
        <f>I15/(HLOOKUP(F15,Team_Composition_23[[#All],[Yellow]:[Red]],10,FALSE)+HLOOKUP(F15,Team_Composition_23[[#All],[Yellow]:[Red]],11,FALSE))</f>
        <v>3.1668696711327646E-2</v>
      </c>
      <c r="N15" s="38">
        <f>J15/HLOOKUP(F15,Team_Composition_23[[#All],[Yellow]:[Red]],6,FALSE)</f>
        <v>1.8036990366613857E-3</v>
      </c>
      <c r="O15" s="38">
        <f>K15/HLOOKUP(F15,Team_Composition_23[[#All],[Yellow]:[Red]],8,FALSE)</f>
        <v>5.9666114578769171E-3</v>
      </c>
      <c r="P15" s="38">
        <f>L15/HLOOKUP(F15,Team_Composition_23[[#All],[Yellow]:[Red]],7,FALSE)</f>
        <v>1.1173167552928583E-2</v>
      </c>
      <c r="Q15" s="31"/>
      <c r="R15" s="227" t="s">
        <v>25</v>
      </c>
      <c r="S15" s="228"/>
      <c r="T15" s="228"/>
      <c r="U15" s="31"/>
      <c r="V15" s="229" t="s">
        <v>496</v>
      </c>
      <c r="W15" s="228"/>
      <c r="X15" s="31"/>
      <c r="Y15" s="229" t="s">
        <v>497</v>
      </c>
      <c r="Z15" s="228"/>
      <c r="AA15" s="31"/>
      <c r="AB15" s="227" t="s">
        <v>25</v>
      </c>
      <c r="AC15" s="228"/>
      <c r="AD15" s="228"/>
    </row>
    <row r="16" spans="1:30" ht="22.5" customHeight="1">
      <c r="A16" s="32">
        <v>49</v>
      </c>
      <c r="B16" s="60" t="str">
        <f>VLOOKUP(C16,Lists!I:J,2,FALSE)</f>
        <v>Healer</v>
      </c>
      <c r="C16" s="34" t="str">
        <f>VLOOKUP(E16&amp;D16,Lists!C:E,3,FALSE)</f>
        <v>Wand/Orb</v>
      </c>
      <c r="D16" s="35" t="s">
        <v>40</v>
      </c>
      <c r="E16" s="36" t="s">
        <v>144</v>
      </c>
      <c r="F16" s="35" t="s">
        <v>483</v>
      </c>
      <c r="G16" s="32">
        <v>0</v>
      </c>
      <c r="H16" s="32">
        <v>48</v>
      </c>
      <c r="I16" s="84">
        <f t="shared" si="0"/>
        <v>48</v>
      </c>
      <c r="J16" s="37">
        <v>67376</v>
      </c>
      <c r="K16" s="37">
        <v>399391</v>
      </c>
      <c r="L16" s="37">
        <v>1108148</v>
      </c>
      <c r="M16" s="38">
        <f>I16/(HLOOKUP(F16,Team_Composition_23[[#All],[Yellow]:[Red]],10,FALSE)+HLOOKUP(F16,Team_Composition_23[[#All],[Yellow]:[Red]],11,FALSE))</f>
        <v>5.8465286236297195E-2</v>
      </c>
      <c r="N16" s="38">
        <f>J16/HLOOKUP(F16,Team_Composition_23[[#All],[Yellow]:[Red]],6,FALSE)</f>
        <v>3.8183311746032467E-3</v>
      </c>
      <c r="O16" s="38">
        <f>K16/HLOOKUP(F16,Team_Composition_23[[#All],[Yellow]:[Red]],8,FALSE)</f>
        <v>9.0737814107244522E-3</v>
      </c>
      <c r="P16" s="38">
        <f>L16/HLOOKUP(F16,Team_Composition_23[[#All],[Yellow]:[Red]],7,FALSE)</f>
        <v>4.5662161042365819E-2</v>
      </c>
      <c r="Q16" s="31"/>
      <c r="R16" s="41" t="s">
        <v>482</v>
      </c>
      <c r="S16" s="42" t="s">
        <v>476</v>
      </c>
      <c r="T16" s="42" t="s">
        <v>483</v>
      </c>
      <c r="U16" s="31"/>
      <c r="V16" s="43" t="s">
        <v>1</v>
      </c>
      <c r="W16" s="44" t="s">
        <v>498</v>
      </c>
      <c r="X16" s="31"/>
      <c r="Y16" s="43" t="s">
        <v>1</v>
      </c>
      <c r="Z16" s="44" t="s">
        <v>499</v>
      </c>
      <c r="AA16" s="31"/>
      <c r="AB16" s="41" t="s">
        <v>482</v>
      </c>
      <c r="AC16" s="42" t="s">
        <v>485</v>
      </c>
      <c r="AD16" s="42" t="s">
        <v>28</v>
      </c>
    </row>
    <row r="17" spans="1:30" ht="22.5" customHeight="1">
      <c r="A17" s="32">
        <v>56</v>
      </c>
      <c r="B17" s="60" t="str">
        <f>VLOOKUP(C17,Lists!I:J,2,FALSE)</f>
        <v>Healer</v>
      </c>
      <c r="C17" s="34" t="str">
        <f>VLOOKUP(E17&amp;D17,Lists!C:E,3,FALSE)</f>
        <v>Wand/Orb</v>
      </c>
      <c r="D17" s="35" t="s">
        <v>28</v>
      </c>
      <c r="E17" s="36" t="s">
        <v>389</v>
      </c>
      <c r="F17" s="35" t="s">
        <v>476</v>
      </c>
      <c r="G17" s="32">
        <v>0</v>
      </c>
      <c r="H17" s="32">
        <v>35</v>
      </c>
      <c r="I17" s="84">
        <f t="shared" si="0"/>
        <v>35</v>
      </c>
      <c r="J17" s="37">
        <v>10232</v>
      </c>
      <c r="K17" s="37">
        <v>493869</v>
      </c>
      <c r="L17" s="37">
        <v>948191</v>
      </c>
      <c r="M17" s="38">
        <f>I17/(HLOOKUP(F17,Team_Composition_23[[#All],[Yellow]:[Red]],10,FALSE)+HLOOKUP(F17,Team_Composition_23[[#All],[Yellow]:[Red]],11,FALSE))</f>
        <v>8.7478130467383147E-3</v>
      </c>
      <c r="N17" s="38">
        <f>J17/HLOOKUP(F17,Team_Composition_23[[#All],[Yellow]:[Red]],6,FALSE)</f>
        <v>2.3063958010071818E-4</v>
      </c>
      <c r="O17" s="38">
        <f>K17/HLOOKUP(F17,Team_Composition_23[[#All],[Yellow]:[Red]],8,FALSE)</f>
        <v>2.8190860279347349E-2</v>
      </c>
      <c r="P17" s="38">
        <f>L17/HLOOKUP(F17,Team_Composition_23[[#All],[Yellow]:[Red]],7,FALSE)</f>
        <v>7.3248942005476492E-2</v>
      </c>
      <c r="Q17" s="31"/>
      <c r="R17" s="45" t="s">
        <v>468</v>
      </c>
      <c r="S17" s="46">
        <f>SUMIFS(Scoreboard_44[Damage Dealt],Scoreboard_44[Role],"Melee DPS",Scoreboard_44[Team],"Yellow")</f>
        <v>3288358</v>
      </c>
      <c r="T17" s="47">
        <f>SUMIFS(Scoreboard_44[Damage Dealt],Scoreboard_44[Role],"Melee DPS",Scoreboard_44[Team],"Red")</f>
        <v>5478011</v>
      </c>
      <c r="U17" s="31"/>
      <c r="V17" s="48" t="str">
        <f ca="1">IFERROR(__xludf.DUMMYFUNCTION("query(A1:P238, ""Select E,K Order by K Desc Limit 10"", 0)"),"B")</f>
        <v>B</v>
      </c>
      <c r="W17" s="49">
        <f ca="1">IFERROR(__xludf.DUMMYFUNCTION("""COMPUTED_VALUE"""),1796623)</f>
        <v>1796623</v>
      </c>
      <c r="X17" s="31"/>
      <c r="Y17" s="48" t="str">
        <f ca="1">IFERROR(__xludf.DUMMYFUNCTION("query(A1:P238, ""Select E,L Order by L Desc Limit 10"", 0)"),"apgonzo")</f>
        <v>apgonzo</v>
      </c>
      <c r="Z17" s="49">
        <f ca="1">IFERROR(__xludf.DUMMYFUNCTION("""COMPUTED_VALUE"""),2620072)</f>
        <v>2620072</v>
      </c>
      <c r="AA17" s="31"/>
      <c r="AB17" s="45" t="s">
        <v>468</v>
      </c>
      <c r="AC17" s="50">
        <f>SUMIFS(Scoreboard_44[Damage Dealt],Scoreboard_44[Role],"Melee DPS",Scoreboard_44[Guild],"House Regard")</f>
        <v>5630081</v>
      </c>
      <c r="AD17" s="51">
        <f>SUMIFS(Scoreboard_44[Damage Dealt],Scoreboard_44[Role],"Melee DPS",Scoreboard_44[Guild],"Undercooked")</f>
        <v>3136288</v>
      </c>
    </row>
    <row r="18" spans="1:30" ht="22.5" customHeight="1">
      <c r="A18" s="32">
        <v>65</v>
      </c>
      <c r="B18" s="60" t="str">
        <f>VLOOKUP(C18,Lists!I:J,2,FALSE)</f>
        <v>Healer</v>
      </c>
      <c r="C18" s="34" t="str">
        <f>VLOOKUP(E18&amp;D18,Lists!C:E,3,FALSE)</f>
        <v>Wand/Orb</v>
      </c>
      <c r="D18" s="35" t="s">
        <v>40</v>
      </c>
      <c r="E18" s="36" t="s">
        <v>146</v>
      </c>
      <c r="F18" s="35" t="s">
        <v>476</v>
      </c>
      <c r="G18" s="32">
        <v>0</v>
      </c>
      <c r="H18" s="32">
        <v>26</v>
      </c>
      <c r="I18" s="84">
        <f t="shared" si="0"/>
        <v>26</v>
      </c>
      <c r="J18" s="37">
        <v>14583</v>
      </c>
      <c r="K18" s="37">
        <v>410715</v>
      </c>
      <c r="L18" s="37">
        <v>1116170</v>
      </c>
      <c r="M18" s="38">
        <f>I18/(HLOOKUP(F18,Team_Composition_23[[#All],[Yellow]:[Red]],10,FALSE)+HLOOKUP(F18,Team_Composition_23[[#All],[Yellow]:[Red]],11,FALSE))</f>
        <v>6.4983754061484628E-3</v>
      </c>
      <c r="N18" s="38">
        <f>J18/HLOOKUP(F18,Team_Composition_23[[#All],[Yellow]:[Red]],6,FALSE)</f>
        <v>3.28715500059497E-4</v>
      </c>
      <c r="O18" s="38">
        <f>K18/HLOOKUP(F18,Team_Composition_23[[#All],[Yellow]:[Red]],8,FALSE)</f>
        <v>2.3444292271092428E-2</v>
      </c>
      <c r="P18" s="38">
        <f>L18/HLOOKUP(F18,Team_Composition_23[[#All],[Yellow]:[Red]],7,FALSE)</f>
        <v>8.6225530086504409E-2</v>
      </c>
      <c r="Q18" s="31"/>
      <c r="R18" s="45" t="s">
        <v>469</v>
      </c>
      <c r="S18" s="46">
        <f>SUMIFS(Scoreboard_44[Damage Taken],Scoreboard_44[Role],"Melee DPS",Scoreboard_44[Team],"Yellow")</f>
        <v>2678287</v>
      </c>
      <c r="T18" s="47">
        <f>SUMIFS(Scoreboard_44[Damage Taken],Scoreboard_44[Role],"Melee DPS",Scoreboard_44[Team],"Red")</f>
        <v>4577150</v>
      </c>
      <c r="U18" s="31"/>
      <c r="V18" s="48" t="str">
        <f ca="1">IFERROR(__xludf.DUMMYFUNCTION("""COMPUTED_VALUE"""),"Baozer")</f>
        <v>Baozer</v>
      </c>
      <c r="W18" s="49">
        <f ca="1">IFERROR(__xludf.DUMMYFUNCTION("""COMPUTED_VALUE"""),1479010)</f>
        <v>1479010</v>
      </c>
      <c r="X18" s="31"/>
      <c r="Y18" s="48" t="str">
        <f ca="1">IFERROR(__xludf.DUMMYFUNCTION("""COMPUTED_VALUE"""),"Z")</f>
        <v>Z</v>
      </c>
      <c r="Z18" s="49">
        <f ca="1">IFERROR(__xludf.DUMMYFUNCTION("""COMPUTED_VALUE"""),2159112)</f>
        <v>2159112</v>
      </c>
      <c r="AA18" s="31"/>
      <c r="AB18" s="45" t="s">
        <v>469</v>
      </c>
      <c r="AC18" s="50">
        <f>SUMIFS(Scoreboard_44[Damage Taken],Scoreboard_44[Role],"Melee DPS",Scoreboard_44[Guild],"House Regard")</f>
        <v>4616479</v>
      </c>
      <c r="AD18" s="51">
        <f>SUMIFS(Scoreboard_44[Damage Taken],Scoreboard_44[Role],"Melee DPS",Scoreboard_44[Guild],"Undercooked")</f>
        <v>2638958</v>
      </c>
    </row>
    <row r="19" spans="1:30" ht="22.5" customHeight="1">
      <c r="A19" s="32">
        <v>68</v>
      </c>
      <c r="B19" s="60" t="str">
        <f>VLOOKUP(C19,Lists!I:J,2,FALSE)</f>
        <v>Healer</v>
      </c>
      <c r="C19" s="34" t="str">
        <f>VLOOKUP(E19&amp;D19,Lists!C:E,3,FALSE)</f>
        <v>Wand/Orb</v>
      </c>
      <c r="D19" s="35" t="s">
        <v>28</v>
      </c>
      <c r="E19" s="36" t="s">
        <v>377</v>
      </c>
      <c r="F19" s="35" t="s">
        <v>483</v>
      </c>
      <c r="G19" s="32">
        <v>0</v>
      </c>
      <c r="H19" s="32">
        <v>24</v>
      </c>
      <c r="I19" s="84">
        <f t="shared" si="0"/>
        <v>24</v>
      </c>
      <c r="J19" s="37">
        <v>4346</v>
      </c>
      <c r="K19" s="37">
        <v>353631</v>
      </c>
      <c r="L19" s="37">
        <v>615734</v>
      </c>
      <c r="M19" s="38">
        <f>I19/(HLOOKUP(F19,Team_Composition_23[[#All],[Yellow]:[Red]],10,FALSE)+HLOOKUP(F19,Team_Composition_23[[#All],[Yellow]:[Red]],11,FALSE))</f>
        <v>2.9232643118148598E-2</v>
      </c>
      <c r="N19" s="38">
        <f>J19/HLOOKUP(F19,Team_Composition_23[[#All],[Yellow]:[Red]],6,FALSE)</f>
        <v>2.4629641541239775E-4</v>
      </c>
      <c r="O19" s="38">
        <f>K19/HLOOKUP(F19,Team_Composition_23[[#All],[Yellow]:[Red]],8,FALSE)</f>
        <v>8.0341579906805568E-3</v>
      </c>
      <c r="P19" s="38">
        <f>L19/HLOOKUP(F19,Team_Composition_23[[#All],[Yellow]:[Red]],7,FALSE)</f>
        <v>2.5371832162545141E-2</v>
      </c>
      <c r="Q19" s="31"/>
      <c r="R19" s="45" t="s">
        <v>470</v>
      </c>
      <c r="S19" s="46">
        <f>SUMIFS(Scoreboard_44[Amount Healed],Scoreboard_44[Role],"Melee DPS",Scoreboard_44[Team],"Yellow")</f>
        <v>1137881</v>
      </c>
      <c r="T19" s="47">
        <f>SUMIFS(Scoreboard_44[Amount Healed],Scoreboard_44[Role],"Melee DPS",Scoreboard_44[Team],"Red")</f>
        <v>66950</v>
      </c>
      <c r="U19" s="31"/>
      <c r="V19" s="48" t="str">
        <f ca="1">IFERROR(__xludf.DUMMYFUNCTION("""COMPUTED_VALUE"""),"Revioli")</f>
        <v>Revioli</v>
      </c>
      <c r="W19" s="49">
        <f ca="1">IFERROR(__xludf.DUMMYFUNCTION("""COMPUTED_VALUE"""),1368335)</f>
        <v>1368335</v>
      </c>
      <c r="X19" s="31"/>
      <c r="Y19" s="48" t="str">
        <f ca="1">IFERROR(__xludf.DUMMYFUNCTION("""COMPUTED_VALUE"""),"ShiFood")</f>
        <v>ShiFood</v>
      </c>
      <c r="Z19" s="49">
        <f ca="1">IFERROR(__xludf.DUMMYFUNCTION("""COMPUTED_VALUE"""),1761931)</f>
        <v>1761931</v>
      </c>
      <c r="AA19" s="31"/>
      <c r="AB19" s="45" t="s">
        <v>470</v>
      </c>
      <c r="AC19" s="50">
        <f>SUMIFS(Scoreboard_44[Amount Healed],Scoreboard_44[Role],"Melee DPS",Scoreboard_44[Guild],"House Regard")</f>
        <v>74705</v>
      </c>
      <c r="AD19" s="51">
        <f>SUMIFS(Scoreboard_44[Amount Healed],Scoreboard_44[Role],"Melee DPS",Scoreboard_44[Guild],"Undercooked")</f>
        <v>1130126</v>
      </c>
    </row>
    <row r="20" spans="1:30" ht="22.5" customHeight="1">
      <c r="A20" s="32">
        <v>70</v>
      </c>
      <c r="B20" s="60" t="str">
        <f>VLOOKUP(C20,Lists!I:J,2,FALSE)</f>
        <v>Healer</v>
      </c>
      <c r="C20" s="34" t="str">
        <f>VLOOKUP(E20&amp;D20,Lists!C:E,3,FALSE)</f>
        <v>Wand/Orb</v>
      </c>
      <c r="D20" s="35" t="s">
        <v>28</v>
      </c>
      <c r="E20" s="36" t="s">
        <v>387</v>
      </c>
      <c r="F20" s="35" t="s">
        <v>476</v>
      </c>
      <c r="G20" s="32">
        <v>0</v>
      </c>
      <c r="H20" s="32">
        <v>21</v>
      </c>
      <c r="I20" s="84">
        <f t="shared" si="0"/>
        <v>21</v>
      </c>
      <c r="J20" s="37">
        <v>5542</v>
      </c>
      <c r="K20" s="37">
        <v>332680</v>
      </c>
      <c r="L20" s="37">
        <v>855399</v>
      </c>
      <c r="M20" s="38">
        <f>I20/(HLOOKUP(F20,Team_Composition_23[[#All],[Yellow]:[Red]],10,FALSE)+HLOOKUP(F20,Team_Composition_23[[#All],[Yellow]:[Red]],11,FALSE))</f>
        <v>5.2486878280429894E-3</v>
      </c>
      <c r="N20" s="38">
        <f>J20/HLOOKUP(F20,Team_Composition_23[[#All],[Yellow]:[Red]],6,FALSE)</f>
        <v>1.2492225888567046E-4</v>
      </c>
      <c r="O20" s="38">
        <f>K20/HLOOKUP(F20,Team_Composition_23[[#All],[Yellow]:[Red]],8,FALSE)</f>
        <v>1.8989925258992315E-2</v>
      </c>
      <c r="P20" s="38">
        <f>L20/HLOOKUP(F20,Team_Composition_23[[#All],[Yellow]:[Red]],7,FALSE)</f>
        <v>6.608064381811532E-2</v>
      </c>
      <c r="Q20" s="31"/>
      <c r="R20" s="45" t="s">
        <v>465</v>
      </c>
      <c r="S20" s="46">
        <f>SUMIFS(Scoreboard_44[Kills],Scoreboard_44[Role],"Melee DPS",Scoreboard_44[Team],"Yellow")</f>
        <v>44</v>
      </c>
      <c r="T20" s="47">
        <f>SUMIFS(Scoreboard_44[Kills],Scoreboard_44[Role],"Melee DPS",Scoreboard_44[Team],"Red")</f>
        <v>70</v>
      </c>
      <c r="U20" s="31"/>
      <c r="V20" s="48" t="str">
        <f ca="1">IFERROR(__xludf.DUMMYFUNCTION("""COMPUTED_VALUE"""),"ELCHAMO")</f>
        <v>ELCHAMO</v>
      </c>
      <c r="W20" s="49">
        <f ca="1">IFERROR(__xludf.DUMMYFUNCTION("""COMPUTED_VALUE"""),1356355)</f>
        <v>1356355</v>
      </c>
      <c r="X20" s="31"/>
      <c r="Y20" s="48" t="str">
        <f ca="1">IFERROR(__xludf.DUMMYFUNCTION("""COMPUTED_VALUE"""),"Bunnie")</f>
        <v>Bunnie</v>
      </c>
      <c r="Z20" s="49">
        <f ca="1">IFERROR(__xludf.DUMMYFUNCTION("""COMPUTED_VALUE"""),1705757)</f>
        <v>1705757</v>
      </c>
      <c r="AA20" s="31"/>
      <c r="AB20" s="45" t="s">
        <v>465</v>
      </c>
      <c r="AC20" s="50">
        <f>SUMIFS(Scoreboard_44[Kills],Scoreboard_44[Role],"Melee DPS",Scoreboard_44[Guild],"House Regard")</f>
        <v>79</v>
      </c>
      <c r="AD20" s="51">
        <f>SUMIFS(Scoreboard_44[Kills],Scoreboard_44[Role],"Melee DPS",Scoreboard_44[Guild],"Undercooked")</f>
        <v>35</v>
      </c>
    </row>
    <row r="21" spans="1:30" ht="22.5" customHeight="1">
      <c r="A21" s="32">
        <v>47</v>
      </c>
      <c r="B21" s="60" t="str">
        <f>VLOOKUP(C21,Lists!I:J,2,FALSE)</f>
        <v>Healer</v>
      </c>
      <c r="C21" s="34" t="str">
        <f>VLOOKUP(E21&amp;D21,Lists!C:E,3,FALSE)</f>
        <v>Wand/Orb</v>
      </c>
      <c r="D21" s="35" t="s">
        <v>40</v>
      </c>
      <c r="E21" s="36" t="s">
        <v>151</v>
      </c>
      <c r="F21" s="35" t="s">
        <v>483</v>
      </c>
      <c r="G21" s="32">
        <v>0</v>
      </c>
      <c r="H21" s="32">
        <v>60</v>
      </c>
      <c r="I21" s="84">
        <f t="shared" si="0"/>
        <v>60</v>
      </c>
      <c r="J21" s="37">
        <v>1966</v>
      </c>
      <c r="K21" s="37">
        <v>232710</v>
      </c>
      <c r="L21" s="37">
        <v>618771</v>
      </c>
      <c r="M21" s="38">
        <f>I21/(HLOOKUP(F21,Team_Composition_23[[#All],[Yellow]:[Red]],10,FALSE)+HLOOKUP(F21,Team_Composition_23[[#All],[Yellow]:[Red]],11,FALSE))</f>
        <v>7.3081607795371498E-2</v>
      </c>
      <c r="N21" s="38">
        <f>J21/HLOOKUP(F21,Team_Composition_23[[#All],[Yellow]:[Red]],6,FALSE)</f>
        <v>1.1141710830666681E-4</v>
      </c>
      <c r="O21" s="38">
        <f>K21/HLOOKUP(F21,Team_Composition_23[[#All],[Yellow]:[Red]],8,FALSE)</f>
        <v>5.2869485594059136E-3</v>
      </c>
      <c r="P21" s="38">
        <f>L21/HLOOKUP(F21,Team_Composition_23[[#All],[Yellow]:[Red]],7,FALSE)</f>
        <v>2.5496974276311233E-2</v>
      </c>
      <c r="Q21" s="31"/>
      <c r="R21" s="45" t="s">
        <v>466</v>
      </c>
      <c r="S21" s="46">
        <f>SUMIFS(Scoreboard_44[Assists],Scoreboard_44[Role],"Melee DPS",Scoreboard_44[Team],"Yellow")</f>
        <v>93</v>
      </c>
      <c r="T21" s="47">
        <f>SUMIFS(Scoreboard_44[Assists],Scoreboard_44[Role],"Melee DPS",Scoreboard_44[Team],"Red")</f>
        <v>242</v>
      </c>
      <c r="U21" s="31"/>
      <c r="V21" s="48" t="str">
        <f ca="1">IFERROR(__xludf.DUMMYFUNCTION("""COMPUTED_VALUE"""),"K")</f>
        <v>K</v>
      </c>
      <c r="W21" s="49">
        <f ca="1">IFERROR(__xludf.DUMMYFUNCTION("""COMPUTED_VALUE"""),1340846)</f>
        <v>1340846</v>
      </c>
      <c r="X21" s="31"/>
      <c r="Y21" s="48" t="str">
        <f ca="1">IFERROR(__xludf.DUMMYFUNCTION("""COMPUTED_VALUE"""),"Biscuit")</f>
        <v>Biscuit</v>
      </c>
      <c r="Z21" s="49">
        <f ca="1">IFERROR(__xludf.DUMMYFUNCTION("""COMPUTED_VALUE"""),1593961)</f>
        <v>1593961</v>
      </c>
      <c r="AA21" s="31"/>
      <c r="AB21" s="45" t="s">
        <v>466</v>
      </c>
      <c r="AC21" s="50">
        <f>SUMIFS(Scoreboard_44[Assists],Scoreboard_44[Role],"Melee DPS",Scoreboard_44[Guild],"House Regard")</f>
        <v>212</v>
      </c>
      <c r="AD21" s="51">
        <f>SUMIFS(Scoreboard_44[Assists],Scoreboard_44[Role],"Melee DPS",Scoreboard_44[Guild],"Undercooked")</f>
        <v>123</v>
      </c>
    </row>
    <row r="22" spans="1:30" ht="22.5" customHeight="1">
      <c r="A22" s="32">
        <v>71</v>
      </c>
      <c r="B22" s="60" t="str">
        <f>VLOOKUP(C22,Lists!I:J,2,FALSE)</f>
        <v>Healer</v>
      </c>
      <c r="C22" s="34" t="str">
        <f>VLOOKUP(E22&amp;D22,Lists!C:E,3,FALSE)</f>
        <v>Wand/Orb</v>
      </c>
      <c r="D22" s="35" t="s">
        <v>40</v>
      </c>
      <c r="E22" s="36" t="s">
        <v>121</v>
      </c>
      <c r="F22" s="35" t="s">
        <v>476</v>
      </c>
      <c r="G22" s="32">
        <v>0</v>
      </c>
      <c r="H22" s="32">
        <v>19</v>
      </c>
      <c r="I22" s="84">
        <f t="shared" si="0"/>
        <v>19</v>
      </c>
      <c r="J22" s="37">
        <v>14008</v>
      </c>
      <c r="K22" s="37">
        <v>408704</v>
      </c>
      <c r="L22" s="37">
        <v>705901</v>
      </c>
      <c r="M22" s="38">
        <f>I22/(HLOOKUP(F22,Team_Composition_23[[#All],[Yellow]:[Red]],10,FALSE)+HLOOKUP(F22,Team_Composition_23[[#All],[Yellow]:[Red]],11,FALSE))</f>
        <v>4.7488127968007996E-3</v>
      </c>
      <c r="N22" s="38">
        <f>J22/HLOOKUP(F22,Team_Composition_23[[#All],[Yellow]:[Red]],6,FALSE)</f>
        <v>3.1575442123249221E-4</v>
      </c>
      <c r="O22" s="38">
        <f>K22/HLOOKUP(F22,Team_Composition_23[[#All],[Yellow]:[Red]],8,FALSE)</f>
        <v>2.3329501061233604E-2</v>
      </c>
      <c r="P22" s="38">
        <f>L22/HLOOKUP(F22,Team_Composition_23[[#All],[Yellow]:[Red]],7,FALSE)</f>
        <v>5.4531736127645024E-2</v>
      </c>
      <c r="Q22" s="31"/>
      <c r="R22" s="45" t="s">
        <v>24</v>
      </c>
      <c r="S22" s="46">
        <f t="shared" ref="S22:S25" si="2">COUNTIFS(C:C,R22,F:F,"Yellow")</f>
        <v>0</v>
      </c>
      <c r="T22" s="47">
        <f t="shared" ref="T22:T25" si="3">COUNTIFS(C:C,R22,F:F,"Red")</f>
        <v>1</v>
      </c>
      <c r="U22" s="31"/>
      <c r="V22" s="48" t="str">
        <f ca="1">IFERROR(__xludf.DUMMYFUNCTION("""COMPUTED_VALUE"""),"EnoughCrazy")</f>
        <v>EnoughCrazy</v>
      </c>
      <c r="W22" s="49">
        <f ca="1">IFERROR(__xludf.DUMMYFUNCTION("""COMPUTED_VALUE"""),1124504)</f>
        <v>1124504</v>
      </c>
      <c r="X22" s="31"/>
      <c r="Y22" s="48" t="str">
        <f ca="1">IFERROR(__xludf.DUMMYFUNCTION("""COMPUTED_VALUE"""),"Purple")</f>
        <v>Purple</v>
      </c>
      <c r="Z22" s="49">
        <f ca="1">IFERROR(__xludf.DUMMYFUNCTION("""COMPUTED_VALUE"""),1516772)</f>
        <v>1516772</v>
      </c>
      <c r="AA22" s="31"/>
      <c r="AB22" s="45" t="s">
        <v>24</v>
      </c>
      <c r="AC22" s="50">
        <f t="shared" ref="AC22:AC25" si="4">COUNTIFS(C:C,AB22,D:D,"House Regard")</f>
        <v>0</v>
      </c>
      <c r="AD22" s="51">
        <f t="shared" ref="AD22:AD25" si="5">COUNTIFS(C:C,AB22,D:D,"Undercooked")</f>
        <v>1</v>
      </c>
    </row>
    <row r="23" spans="1:30" ht="22.5" customHeight="1">
      <c r="A23" s="32">
        <v>66</v>
      </c>
      <c r="B23" s="60" t="str">
        <f>VLOOKUP(C23,Lists!I:J,2,FALSE)</f>
        <v>Healer</v>
      </c>
      <c r="C23" s="34" t="str">
        <f>VLOOKUP(E23&amp;D23,Lists!C:E,3,FALSE)</f>
        <v>Wand/Orb</v>
      </c>
      <c r="D23" s="35" t="s">
        <v>28</v>
      </c>
      <c r="E23" s="36" t="s">
        <v>357</v>
      </c>
      <c r="F23" s="35" t="s">
        <v>476</v>
      </c>
      <c r="G23" s="32">
        <v>0</v>
      </c>
      <c r="H23" s="32">
        <v>26</v>
      </c>
      <c r="I23" s="84">
        <f t="shared" si="0"/>
        <v>26</v>
      </c>
      <c r="J23" s="37">
        <v>13986</v>
      </c>
      <c r="K23" s="37">
        <v>222730</v>
      </c>
      <c r="L23" s="37">
        <v>537230</v>
      </c>
      <c r="M23" s="38">
        <f>I23/(HLOOKUP(F23,Team_Composition_23[[#All],[Yellow]:[Red]],10,FALSE)+HLOOKUP(F23,Team_Composition_23[[#All],[Yellow]:[Red]],11,FALSE))</f>
        <v>6.4983754061484628E-3</v>
      </c>
      <c r="N23" s="38">
        <f>J23/HLOOKUP(F23,Team_Composition_23[[#All],[Yellow]:[Red]],6,FALSE)</f>
        <v>3.1525851908606765E-4</v>
      </c>
      <c r="O23" s="38">
        <f>K23/HLOOKUP(F23,Team_Composition_23[[#All],[Yellow]:[Red]],8,FALSE)</f>
        <v>1.2713797201320664E-2</v>
      </c>
      <c r="P23" s="38">
        <f>L23/HLOOKUP(F23,Team_Composition_23[[#All],[Yellow]:[Red]],7,FALSE)</f>
        <v>4.1501690180145281E-2</v>
      </c>
      <c r="Q23" s="31"/>
      <c r="R23" s="45" t="s">
        <v>69</v>
      </c>
      <c r="S23" s="46">
        <f t="shared" si="2"/>
        <v>2</v>
      </c>
      <c r="T23" s="47">
        <f t="shared" si="3"/>
        <v>3</v>
      </c>
      <c r="U23" s="31"/>
      <c r="V23" s="48" t="str">
        <f ca="1">IFERROR(__xludf.DUMMYFUNCTION("""COMPUTED_VALUE"""),"ALilSnakes")</f>
        <v>ALilSnakes</v>
      </c>
      <c r="W23" s="49">
        <f ca="1">IFERROR(__xludf.DUMMYFUNCTION("""COMPUTED_VALUE"""),1062183)</f>
        <v>1062183</v>
      </c>
      <c r="X23" s="31"/>
      <c r="Y23" s="48" t="str">
        <f ca="1">IFERROR(__xludf.DUMMYFUNCTION("""COMPUTED_VALUE"""),"Boharding")</f>
        <v>Boharding</v>
      </c>
      <c r="Z23" s="49">
        <f ca="1">IFERROR(__xludf.DUMMYFUNCTION("""COMPUTED_VALUE"""),1299703)</f>
        <v>1299703</v>
      </c>
      <c r="AA23" s="31"/>
      <c r="AB23" s="45" t="s">
        <v>69</v>
      </c>
      <c r="AC23" s="50">
        <f t="shared" si="4"/>
        <v>2</v>
      </c>
      <c r="AD23" s="51">
        <f t="shared" si="5"/>
        <v>3</v>
      </c>
    </row>
    <row r="24" spans="1:30" ht="22.5" customHeight="1">
      <c r="A24" s="32">
        <v>67</v>
      </c>
      <c r="B24" s="60" t="str">
        <f>VLOOKUP(C24,Lists!I:J,2,FALSE)</f>
        <v>Healer</v>
      </c>
      <c r="C24" s="34" t="str">
        <f>VLOOKUP(E24&amp;D24,Lists!C:E,3,FALSE)</f>
        <v>Wand/Orb</v>
      </c>
      <c r="D24" s="35" t="s">
        <v>28</v>
      </c>
      <c r="E24" s="36" t="s">
        <v>382</v>
      </c>
      <c r="F24" s="35" t="s">
        <v>483</v>
      </c>
      <c r="G24" s="32">
        <v>0</v>
      </c>
      <c r="H24" s="32">
        <v>26</v>
      </c>
      <c r="I24" s="84">
        <f t="shared" si="0"/>
        <v>26</v>
      </c>
      <c r="J24" s="37">
        <v>8261</v>
      </c>
      <c r="K24" s="37">
        <v>382575</v>
      </c>
      <c r="L24" s="37">
        <v>440484</v>
      </c>
      <c r="M24" s="38">
        <f>I24/(HLOOKUP(F24,Team_Composition_23[[#All],[Yellow]:[Red]],10,FALSE)+HLOOKUP(F24,Team_Composition_23[[#All],[Yellow]:[Red]],11,FALSE))</f>
        <v>3.1668696711327646E-2</v>
      </c>
      <c r="N24" s="38">
        <f>J24/HLOOKUP(F24,Team_Composition_23[[#All],[Yellow]:[Red]],6,FALSE)</f>
        <v>4.6816720840354753E-4</v>
      </c>
      <c r="O24" s="38">
        <f>K24/HLOOKUP(F24,Team_Composition_23[[#All],[Yellow]:[Red]],8,FALSE)</f>
        <v>8.6917379790929367E-3</v>
      </c>
      <c r="P24" s="38">
        <f>L24/HLOOKUP(F24,Team_Composition_23[[#All],[Yellow]:[Red]],7,FALSE)</f>
        <v>1.8150509990168699E-2</v>
      </c>
      <c r="Q24" s="31"/>
      <c r="R24" s="45" t="s">
        <v>23</v>
      </c>
      <c r="S24" s="46">
        <f t="shared" si="2"/>
        <v>3</v>
      </c>
      <c r="T24" s="47">
        <f t="shared" si="3"/>
        <v>3</v>
      </c>
      <c r="U24" s="31"/>
      <c r="V24" s="48" t="str">
        <f ca="1">IFERROR(__xludf.DUMMYFUNCTION("""COMPUTED_VALUE"""),"ohMnMs")</f>
        <v>ohMnMs</v>
      </c>
      <c r="W24" s="49">
        <f ca="1">IFERROR(__xludf.DUMMYFUNCTION("""COMPUTED_VALUE"""),1011235)</f>
        <v>1011235</v>
      </c>
      <c r="X24" s="31"/>
      <c r="Y24" s="48" t="str">
        <f ca="1">IFERROR(__xludf.DUMMYFUNCTION("""COMPUTED_VALUE"""),"syrup")</f>
        <v>syrup</v>
      </c>
      <c r="Z24" s="49">
        <f ca="1">IFERROR(__xludf.DUMMYFUNCTION("""COMPUTED_VALUE"""),1232742)</f>
        <v>1232742</v>
      </c>
      <c r="AA24" s="31"/>
      <c r="AB24" s="45" t="s">
        <v>23</v>
      </c>
      <c r="AC24" s="50">
        <f t="shared" si="4"/>
        <v>3</v>
      </c>
      <c r="AD24" s="51">
        <f t="shared" si="5"/>
        <v>3</v>
      </c>
    </row>
    <row r="25" spans="1:30" ht="22.5" customHeight="1">
      <c r="A25" s="32">
        <v>60</v>
      </c>
      <c r="B25" s="60" t="str">
        <f>VLOOKUP(C25,Lists!I:J,2,FALSE)</f>
        <v>Healer</v>
      </c>
      <c r="C25" s="34" t="str">
        <f>VLOOKUP(E25&amp;D25,Lists!C:E,3,FALSE)</f>
        <v>Wand/Orb</v>
      </c>
      <c r="D25" s="35" t="s">
        <v>40</v>
      </c>
      <c r="E25" s="36" t="s">
        <v>153</v>
      </c>
      <c r="F25" s="35" t="s">
        <v>476</v>
      </c>
      <c r="G25" s="32">
        <v>0</v>
      </c>
      <c r="H25" s="32">
        <v>32</v>
      </c>
      <c r="I25" s="84">
        <f t="shared" si="0"/>
        <v>32</v>
      </c>
      <c r="J25" s="37">
        <v>6120</v>
      </c>
      <c r="K25" s="37">
        <v>209877</v>
      </c>
      <c r="L25" s="37">
        <v>618149</v>
      </c>
      <c r="M25" s="38">
        <f>I25/(HLOOKUP(F25,Team_Composition_23[[#All],[Yellow]:[Red]],10,FALSE)+HLOOKUP(F25,Team_Composition_23[[#All],[Yellow]:[Red]],11,FALSE))</f>
        <v>7.9980004998750319E-3</v>
      </c>
      <c r="N25" s="38">
        <f>J25/HLOOKUP(F25,Team_Composition_23[[#All],[Yellow]:[Red]],6,FALSE)</f>
        <v>1.3795096073264222E-4</v>
      </c>
      <c r="O25" s="38">
        <f>K25/HLOOKUP(F25,Team_Composition_23[[#All],[Yellow]:[Red]],8,FALSE)</f>
        <v>1.19801266790355E-2</v>
      </c>
      <c r="P25" s="38">
        <f>L25/HLOOKUP(F25,Team_Composition_23[[#All],[Yellow]:[Red]],7,FALSE)</f>
        <v>4.775278425100353E-2</v>
      </c>
      <c r="Q25" s="31"/>
      <c r="R25" s="45" t="s">
        <v>33</v>
      </c>
      <c r="S25" s="46">
        <f t="shared" si="2"/>
        <v>0</v>
      </c>
      <c r="T25" s="47">
        <f t="shared" si="3"/>
        <v>0</v>
      </c>
      <c r="U25" s="31"/>
      <c r="V25" s="48" t="str">
        <f ca="1">IFERROR(__xludf.DUMMYFUNCTION("""COMPUTED_VALUE"""),"Toro")</f>
        <v>Toro</v>
      </c>
      <c r="W25" s="49">
        <f ca="1">IFERROR(__xludf.DUMMYFUNCTION("""COMPUTED_VALUE"""),950879)</f>
        <v>950879</v>
      </c>
      <c r="X25" s="31"/>
      <c r="Y25" s="48" t="str">
        <f ca="1">IFERROR(__xludf.DUMMYFUNCTION("""COMPUTED_VALUE"""),"psi")</f>
        <v>psi</v>
      </c>
      <c r="Z25" s="49">
        <f ca="1">IFERROR(__xludf.DUMMYFUNCTION("""COMPUTED_VALUE"""),1133249)</f>
        <v>1133249</v>
      </c>
      <c r="AA25" s="31"/>
      <c r="AB25" s="45" t="s">
        <v>33</v>
      </c>
      <c r="AC25" s="50">
        <f t="shared" si="4"/>
        <v>0</v>
      </c>
      <c r="AD25" s="51">
        <f t="shared" si="5"/>
        <v>0</v>
      </c>
    </row>
    <row r="26" spans="1:30" ht="22.5" customHeight="1">
      <c r="A26" s="32">
        <v>50</v>
      </c>
      <c r="B26" s="60" t="str">
        <f>VLOOKUP(C26,Lists!I:J,2,FALSE)</f>
        <v>Healer</v>
      </c>
      <c r="C26" s="34" t="str">
        <f>VLOOKUP(E26&amp;D26,Lists!C:E,3,FALSE)</f>
        <v>Wand/Orb</v>
      </c>
      <c r="D26" s="35" t="s">
        <v>40</v>
      </c>
      <c r="E26" s="36" t="s">
        <v>91</v>
      </c>
      <c r="F26" s="35" t="s">
        <v>483</v>
      </c>
      <c r="G26" s="32">
        <v>0</v>
      </c>
      <c r="H26" s="32">
        <v>47</v>
      </c>
      <c r="I26" s="84">
        <f t="shared" si="0"/>
        <v>47</v>
      </c>
      <c r="J26" s="37">
        <v>2518</v>
      </c>
      <c r="K26" s="37">
        <v>415409</v>
      </c>
      <c r="L26" s="37">
        <v>1516772</v>
      </c>
      <c r="M26" s="38">
        <f>I26/(HLOOKUP(F26,Team_Composition_23[[#All],[Yellow]:[Red]],10,FALSE)+HLOOKUP(F26,Team_Composition_23[[#All],[Yellow]:[Red]],11,FALSE))</f>
        <v>5.7247259439707675E-2</v>
      </c>
      <c r="N26" s="38">
        <f>J26/HLOOKUP(F26,Team_Composition_23[[#All],[Yellow]:[Red]],6,FALSE)</f>
        <v>1.4270004003875229E-4</v>
      </c>
      <c r="O26" s="38">
        <f>K26/HLOOKUP(F26,Team_Composition_23[[#All],[Yellow]:[Red]],8,FALSE)</f>
        <v>9.4376950458263543E-3</v>
      </c>
      <c r="P26" s="38">
        <f>L26/HLOOKUP(F26,Team_Composition_23[[#All],[Yellow]:[Red]],7,FALSE)</f>
        <v>6.2499853204221176E-2</v>
      </c>
      <c r="Q26" s="31"/>
      <c r="R26" s="48"/>
      <c r="S26" s="63"/>
      <c r="T26" s="63"/>
      <c r="U26" s="31"/>
      <c r="V26" s="48" t="str">
        <f ca="1">IFERROR(__xludf.DUMMYFUNCTION("""COMPUTED_VALUE"""),"Ratatouille")</f>
        <v>Ratatouille</v>
      </c>
      <c r="W26" s="49">
        <f ca="1">IFERROR(__xludf.DUMMYFUNCTION("""COMPUTED_VALUE"""),947547)</f>
        <v>947547</v>
      </c>
      <c r="X26" s="31"/>
      <c r="Y26" s="48" t="str">
        <f ca="1">IFERROR(__xludf.DUMMYFUNCTION("""COMPUTED_VALUE"""),"Dusk")</f>
        <v>Dusk</v>
      </c>
      <c r="Z26" s="49">
        <f ca="1">IFERROR(__xludf.DUMMYFUNCTION("""COMPUTED_VALUE"""),1116170)</f>
        <v>1116170</v>
      </c>
      <c r="AA26" s="31"/>
      <c r="AB26" s="48"/>
      <c r="AC26" s="63"/>
      <c r="AD26" s="63"/>
    </row>
    <row r="27" spans="1:30" ht="22.5" customHeight="1">
      <c r="A27" s="32">
        <v>51</v>
      </c>
      <c r="B27" s="60" t="str">
        <f>VLOOKUP(C27,Lists!I:J,2,FALSE)</f>
        <v>Healer</v>
      </c>
      <c r="C27" s="34" t="str">
        <f>VLOOKUP(E27&amp;D27,Lists!C:E,3,FALSE)</f>
        <v>Wand/Orb</v>
      </c>
      <c r="D27" s="35" t="s">
        <v>40</v>
      </c>
      <c r="E27" s="36" t="s">
        <v>96</v>
      </c>
      <c r="F27" s="35" t="s">
        <v>483</v>
      </c>
      <c r="G27" s="32">
        <v>0</v>
      </c>
      <c r="H27" s="32">
        <v>44</v>
      </c>
      <c r="I27" s="84">
        <f t="shared" si="0"/>
        <v>44</v>
      </c>
      <c r="J27" s="37">
        <v>10106</v>
      </c>
      <c r="K27" s="37">
        <v>139439</v>
      </c>
      <c r="L27" s="37">
        <v>373807</v>
      </c>
      <c r="M27" s="38">
        <f>I27/(HLOOKUP(F27,Team_Composition_23[[#All],[Yellow]:[Red]],10,FALSE)+HLOOKUP(F27,Team_Composition_23[[#All],[Yellow]:[Red]],11,FALSE))</f>
        <v>5.3593179049939099E-2</v>
      </c>
      <c r="N27" s="38">
        <f>J27/HLOOKUP(F27,Team_Composition_23[[#All],[Yellow]:[Red]],6,FALSE)</f>
        <v>5.7272700739937677E-4</v>
      </c>
      <c r="O27" s="38">
        <f>K27/HLOOKUP(F27,Team_Composition_23[[#All],[Yellow]:[Red]],8,FALSE)</f>
        <v>3.1679206745520226E-3</v>
      </c>
      <c r="P27" s="38">
        <f>L27/HLOOKUP(F27,Team_Composition_23[[#All],[Yellow]:[Red]],7,FALSE)</f>
        <v>1.5403028686388135E-2</v>
      </c>
      <c r="Q27" s="31"/>
      <c r="R27" s="31"/>
      <c r="S27" s="64"/>
      <c r="T27" s="64"/>
      <c r="U27" s="31"/>
      <c r="V27" s="31"/>
      <c r="W27" s="31"/>
      <c r="X27" s="31"/>
      <c r="Y27" s="31"/>
      <c r="Z27" s="31"/>
      <c r="AA27" s="31"/>
      <c r="AB27" s="31"/>
      <c r="AC27" s="64"/>
      <c r="AD27" s="64"/>
    </row>
    <row r="28" spans="1:30" ht="22.5" customHeight="1">
      <c r="A28" s="32">
        <v>46</v>
      </c>
      <c r="B28" s="60" t="str">
        <f>VLOOKUP(C28,Lists!I:J,2,FALSE)</f>
        <v>Healer</v>
      </c>
      <c r="C28" s="34" t="str">
        <f>VLOOKUP(E28&amp;D28,Lists!C:E,3,FALSE)</f>
        <v>Wand/Orb</v>
      </c>
      <c r="D28" s="35" t="s">
        <v>40</v>
      </c>
      <c r="E28" s="36" t="s">
        <v>139</v>
      </c>
      <c r="F28" s="35" t="s">
        <v>483</v>
      </c>
      <c r="G28" s="32">
        <v>0</v>
      </c>
      <c r="H28" s="32">
        <v>60</v>
      </c>
      <c r="I28" s="84">
        <f t="shared" si="0"/>
        <v>60</v>
      </c>
      <c r="J28" s="37">
        <v>6508</v>
      </c>
      <c r="K28" s="37">
        <v>108055</v>
      </c>
      <c r="L28" s="37">
        <v>674731</v>
      </c>
      <c r="M28" s="38">
        <f>I28/(HLOOKUP(F28,Team_Composition_23[[#All],[Yellow]:[Red]],10,FALSE)+HLOOKUP(F28,Team_Composition_23[[#All],[Yellow]:[Red]],11,FALSE))</f>
        <v>7.3081607795371498E-2</v>
      </c>
      <c r="N28" s="38">
        <f>J28/HLOOKUP(F28,Team_Composition_23[[#All],[Yellow]:[Red]],6,FALSE)</f>
        <v>3.6882123136306588E-4</v>
      </c>
      <c r="O28" s="38">
        <f>K28/HLOOKUP(F28,Team_Composition_23[[#All],[Yellow]:[Red]],8,FALSE)</f>
        <v>2.4549062205603796E-3</v>
      </c>
      <c r="P28" s="38">
        <f>L28/HLOOKUP(F28,Team_Composition_23[[#All],[Yellow]:[Red]],7,FALSE)</f>
        <v>2.7802852671553375E-2</v>
      </c>
      <c r="Q28" s="31"/>
      <c r="R28" s="227" t="s">
        <v>39</v>
      </c>
      <c r="S28" s="228"/>
      <c r="T28" s="228"/>
      <c r="U28" s="31"/>
      <c r="V28" s="31"/>
      <c r="W28" s="31"/>
      <c r="X28" s="31"/>
      <c r="Y28" s="31"/>
      <c r="Z28" s="31"/>
      <c r="AA28" s="31"/>
      <c r="AB28" s="227" t="s">
        <v>39</v>
      </c>
      <c r="AC28" s="228"/>
      <c r="AD28" s="228"/>
    </row>
    <row r="29" spans="1:30" ht="22.5" customHeight="1">
      <c r="A29" s="32">
        <v>54</v>
      </c>
      <c r="B29" s="60" t="str">
        <f>VLOOKUP(C29,Lists!I:J,2,FALSE)</f>
        <v>Healer</v>
      </c>
      <c r="C29" s="34" t="str">
        <f>VLOOKUP(E29&amp;D29,Lists!C:E,3,FALSE)</f>
        <v>Wand/Orb</v>
      </c>
      <c r="D29" s="35" t="s">
        <v>28</v>
      </c>
      <c r="E29" s="36" t="s">
        <v>340</v>
      </c>
      <c r="F29" s="35" t="s">
        <v>476</v>
      </c>
      <c r="G29" s="32">
        <v>0</v>
      </c>
      <c r="H29" s="32">
        <v>36</v>
      </c>
      <c r="I29" s="84">
        <f t="shared" si="0"/>
        <v>36</v>
      </c>
      <c r="J29" s="37">
        <v>24346</v>
      </c>
      <c r="K29" s="37">
        <v>410441</v>
      </c>
      <c r="L29" s="37">
        <v>411656</v>
      </c>
      <c r="M29" s="38">
        <f>I29/(HLOOKUP(F29,Team_Composition_23[[#All],[Yellow]:[Red]],10,FALSE)+HLOOKUP(F29,Team_Composition_23[[#All],[Yellow]:[Red]],11,FALSE))</f>
        <v>8.9977505623594096E-3</v>
      </c>
      <c r="N29" s="38">
        <f>J29/HLOOKUP(F29,Team_Composition_23[[#All],[Yellow]:[Red]],6,FALSE)</f>
        <v>5.4878334803871043E-4</v>
      </c>
      <c r="O29" s="38">
        <f>K29/HLOOKUP(F29,Team_Composition_23[[#All],[Yellow]:[Red]],8,FALSE)</f>
        <v>2.3428651897397092E-2</v>
      </c>
      <c r="P29" s="38">
        <f>L29/HLOOKUP(F29,Team_Composition_23[[#All],[Yellow]:[Red]],7,FALSE)</f>
        <v>3.1800941445559422E-2</v>
      </c>
      <c r="Q29" s="31"/>
      <c r="R29" s="41" t="s">
        <v>482</v>
      </c>
      <c r="S29" s="42" t="s">
        <v>476</v>
      </c>
      <c r="T29" s="42" t="s">
        <v>483</v>
      </c>
      <c r="U29" s="31"/>
      <c r="V29" s="31"/>
      <c r="W29" s="31"/>
      <c r="X29" s="31"/>
      <c r="Y29" s="31"/>
      <c r="Z29" s="31"/>
      <c r="AA29" s="31"/>
      <c r="AB29" s="41" t="s">
        <v>482</v>
      </c>
      <c r="AC29" s="42" t="s">
        <v>485</v>
      </c>
      <c r="AD29" s="42" t="s">
        <v>28</v>
      </c>
    </row>
    <row r="30" spans="1:30" ht="22.5" customHeight="1">
      <c r="A30" s="32">
        <v>48</v>
      </c>
      <c r="B30" s="60" t="str">
        <f>VLOOKUP(C30,Lists!I:J,2,FALSE)</f>
        <v>Healer</v>
      </c>
      <c r="C30" s="34" t="str">
        <f>VLOOKUP(E30&amp;D30,Lists!C:E,3,FALSE)</f>
        <v>Wand/Orb</v>
      </c>
      <c r="D30" s="35" t="s">
        <v>40</v>
      </c>
      <c r="E30" s="36" t="s">
        <v>181</v>
      </c>
      <c r="F30" s="35" t="s">
        <v>483</v>
      </c>
      <c r="G30" s="32">
        <v>0</v>
      </c>
      <c r="H30" s="32">
        <v>57</v>
      </c>
      <c r="I30" s="84">
        <f t="shared" si="0"/>
        <v>57</v>
      </c>
      <c r="J30" s="37">
        <v>2754</v>
      </c>
      <c r="K30" s="37">
        <v>102544</v>
      </c>
      <c r="L30" s="37">
        <v>302807</v>
      </c>
      <c r="M30" s="38">
        <f>I30/(HLOOKUP(F30,Team_Composition_23[[#All],[Yellow]:[Red]],10,FALSE)+HLOOKUP(F30,Team_Composition_23[[#All],[Yellow]:[Red]],11,FALSE))</f>
        <v>6.9427527405602929E-2</v>
      </c>
      <c r="N30" s="38">
        <f>J30/HLOOKUP(F30,Team_Composition_23[[#All],[Yellow]:[Red]],6,FALSE)</f>
        <v>1.5607462679377435E-4</v>
      </c>
      <c r="O30" s="38">
        <f>K30/HLOOKUP(F30,Team_Composition_23[[#All],[Yellow]:[Red]],8,FALSE)</f>
        <v>2.3297015730983626E-3</v>
      </c>
      <c r="P30" s="38">
        <f>L30/HLOOKUP(F30,Team_Composition_23[[#All],[Yellow]:[Red]],7,FALSE)</f>
        <v>1.2477414568050176E-2</v>
      </c>
      <c r="Q30" s="31"/>
      <c r="R30" s="45" t="s">
        <v>468</v>
      </c>
      <c r="S30" s="46">
        <f>SUMIFS(Scoreboard_44[Damage Dealt],Scoreboard_44[Role],"Ranged DPS",Scoreboard_44[Team],"Yellow")</f>
        <v>9990202</v>
      </c>
      <c r="T30" s="47">
        <f>SUMIFS(Scoreboard_44[Damage Dealt],Scoreboard_44[Role],"Ranged DPS",Scoreboard_44[Team],"Red")</f>
        <v>13558165</v>
      </c>
      <c r="U30" s="31"/>
      <c r="V30" s="31"/>
      <c r="W30" s="31"/>
      <c r="X30" s="31"/>
      <c r="Y30" s="31"/>
      <c r="Z30" s="31"/>
      <c r="AA30" s="31"/>
      <c r="AB30" s="45" t="s">
        <v>468</v>
      </c>
      <c r="AC30" s="50">
        <f>SUMIFS(Scoreboard_44[Damage Dealt],Scoreboard_44[Role],"Ranged DPS",Scoreboard_44[Guild],"House Regard")</f>
        <v>13278451</v>
      </c>
      <c r="AD30" s="51">
        <f>SUMIFS(Scoreboard_44[Damage Dealt],Scoreboard_44[Role],"Ranged DPS",Scoreboard_44[Guild],"Undercooked")</f>
        <v>10269916</v>
      </c>
    </row>
    <row r="31" spans="1:30" ht="22.5" customHeight="1">
      <c r="A31" s="32">
        <v>57</v>
      </c>
      <c r="B31" s="60" t="str">
        <f>VLOOKUP(C31,Lists!I:J,2,FALSE)</f>
        <v>Healer</v>
      </c>
      <c r="C31" s="34" t="str">
        <f>VLOOKUP(E31&amp;D31,Lists!C:E,3,FALSE)</f>
        <v>Wand/Orb</v>
      </c>
      <c r="D31" s="35" t="s">
        <v>28</v>
      </c>
      <c r="E31" s="36" t="s">
        <v>386</v>
      </c>
      <c r="F31" s="35" t="s">
        <v>483</v>
      </c>
      <c r="G31" s="32">
        <v>0</v>
      </c>
      <c r="H31" s="32">
        <v>33</v>
      </c>
      <c r="I31" s="84">
        <f t="shared" si="0"/>
        <v>33</v>
      </c>
      <c r="J31" s="37">
        <v>3256</v>
      </c>
      <c r="K31" s="37">
        <v>201708</v>
      </c>
      <c r="L31" s="37">
        <v>204233</v>
      </c>
      <c r="M31" s="38">
        <f>I31/(HLOOKUP(F31,Team_Composition_23[[#All],[Yellow]:[Red]],10,FALSE)+HLOOKUP(F31,Team_Composition_23[[#All],[Yellow]:[Red]],11,FALSE))</f>
        <v>4.0194884287454324E-2</v>
      </c>
      <c r="N31" s="38">
        <f>J31/HLOOKUP(F31,Team_Composition_23[[#All],[Yellow]:[Red]],6,FALSE)</f>
        <v>1.8452395963708398E-4</v>
      </c>
      <c r="O31" s="38">
        <f>K31/HLOOKUP(F31,Team_Composition_23[[#All],[Yellow]:[Red]],8,FALSE)</f>
        <v>4.5826127799434829E-3</v>
      </c>
      <c r="P31" s="38">
        <f>L31/HLOOKUP(F31,Team_Composition_23[[#All],[Yellow]:[Red]],7,FALSE)</f>
        <v>8.4155908201481201E-3</v>
      </c>
      <c r="Q31" s="31"/>
      <c r="R31" s="45" t="s">
        <v>469</v>
      </c>
      <c r="S31" s="46">
        <f>SUMIFS(Scoreboard_44[Damage Taken],Scoreboard_44[Role],"Ranged DPS",Scoreboard_44[Team],"Yellow")</f>
        <v>5592516</v>
      </c>
      <c r="T31" s="47">
        <f>SUMIFS(Scoreboard_44[Damage Taken],Scoreboard_44[Role],"Ranged DPS",Scoreboard_44[Team],"Red")</f>
        <v>3216001</v>
      </c>
      <c r="U31" s="31"/>
      <c r="V31" s="31"/>
      <c r="W31" s="31"/>
      <c r="X31" s="31"/>
      <c r="Y31" s="31"/>
      <c r="Z31" s="31"/>
      <c r="AA31" s="31"/>
      <c r="AB31" s="45" t="s">
        <v>469</v>
      </c>
      <c r="AC31" s="50">
        <f>SUMIFS(Scoreboard_44[Damage Taken],Scoreboard_44[Role],"Ranged DPS",Scoreboard_44[Guild],"House Regard")</f>
        <v>5892163</v>
      </c>
      <c r="AD31" s="51">
        <f>SUMIFS(Scoreboard_44[Damage Taken],Scoreboard_44[Role],"Ranged DPS",Scoreboard_44[Guild],"Undercooked")</f>
        <v>2916354</v>
      </c>
    </row>
    <row r="32" spans="1:30" ht="22.5" customHeight="1">
      <c r="A32" s="32">
        <v>37</v>
      </c>
      <c r="B32" s="60" t="str">
        <f>VLOOKUP(C32,Lists!I:J,2,FALSE)</f>
        <v>Healer</v>
      </c>
      <c r="C32" s="34" t="str">
        <f>VLOOKUP(E32&amp;D32,Lists!C:E,3,FALSE)</f>
        <v>Wand/Longbow</v>
      </c>
      <c r="D32" s="35" t="s">
        <v>40</v>
      </c>
      <c r="E32" s="36" t="s">
        <v>17</v>
      </c>
      <c r="F32" s="35" t="s">
        <v>483</v>
      </c>
      <c r="G32" s="32">
        <v>1</v>
      </c>
      <c r="H32" s="32">
        <v>53</v>
      </c>
      <c r="I32" s="84">
        <f t="shared" si="0"/>
        <v>54</v>
      </c>
      <c r="J32" s="37">
        <v>67474</v>
      </c>
      <c r="K32" s="37">
        <v>373829</v>
      </c>
      <c r="L32" s="37">
        <v>2620072</v>
      </c>
      <c r="M32" s="38">
        <f>I32/(HLOOKUP(F32,Team_Composition_23[[#All],[Yellow]:[Red]],10,FALSE)+HLOOKUP(F32,Team_Composition_23[[#All],[Yellow]:[Red]],11,FALSE))</f>
        <v>6.5773447015834346E-2</v>
      </c>
      <c r="N32" s="38">
        <f>J32/HLOOKUP(F32,Team_Composition_23[[#All],[Yellow]:[Red]],6,FALSE)</f>
        <v>3.8238850284252474E-3</v>
      </c>
      <c r="O32" s="38">
        <f>K32/HLOOKUP(F32,Team_Composition_23[[#All],[Yellow]:[Red]],8,FALSE)</f>
        <v>8.4930372266518554E-3</v>
      </c>
      <c r="P32" s="38">
        <f>L32/HLOOKUP(F32,Team_Composition_23[[#All],[Yellow]:[Red]],7,FALSE)</f>
        <v>0.10796224836988697</v>
      </c>
      <c r="Q32" s="31"/>
      <c r="R32" s="45" t="s">
        <v>470</v>
      </c>
      <c r="S32" s="46">
        <f>SUMIFS(Scoreboard_44[Amount Healed],Scoreboard_44[Role],"Ranged DPS",Scoreboard_44[Team],"Yellow")</f>
        <v>590945</v>
      </c>
      <c r="T32" s="47">
        <f>SUMIFS(Scoreboard_44[Amount Healed],Scoreboard_44[Role],"Ranged DPS",Scoreboard_44[Team],"Red")</f>
        <v>154719</v>
      </c>
      <c r="U32" s="31"/>
      <c r="V32" s="31"/>
      <c r="W32" s="31"/>
      <c r="X32" s="31"/>
      <c r="Y32" s="31"/>
      <c r="Z32" s="31"/>
      <c r="AA32" s="31"/>
      <c r="AB32" s="45" t="s">
        <v>470</v>
      </c>
      <c r="AC32" s="50">
        <f>SUMIFS(Scoreboard_44[Amount Healed],Scoreboard_44[Role],"Ranged DPS",Scoreboard_44[Guild],"House Regard")</f>
        <v>650321</v>
      </c>
      <c r="AD32" s="51">
        <f>SUMIFS(Scoreboard_44[Amount Healed],Scoreboard_44[Role],"Ranged DPS",Scoreboard_44[Guild],"Undercooked")</f>
        <v>95343</v>
      </c>
    </row>
    <row r="33" spans="1:30" ht="22.5" customHeight="1">
      <c r="A33" s="32">
        <v>52</v>
      </c>
      <c r="B33" s="60" t="str">
        <f>VLOOKUP(C33,Lists!I:J,2,FALSE)</f>
        <v>Healer</v>
      </c>
      <c r="C33" s="34" t="str">
        <f>VLOOKUP(E33&amp;D33,Lists!C:E,3,FALSE)</f>
        <v>Wand/Longbow</v>
      </c>
      <c r="D33" s="35" t="s">
        <v>28</v>
      </c>
      <c r="E33" s="36" t="s">
        <v>338</v>
      </c>
      <c r="F33" s="35" t="s">
        <v>476</v>
      </c>
      <c r="G33" s="32">
        <v>0</v>
      </c>
      <c r="H33" s="32">
        <v>40</v>
      </c>
      <c r="I33" s="84">
        <f t="shared" si="0"/>
        <v>40</v>
      </c>
      <c r="J33" s="37">
        <v>42982</v>
      </c>
      <c r="K33" s="37">
        <v>297523</v>
      </c>
      <c r="L33" s="37">
        <v>1593961</v>
      </c>
      <c r="M33" s="38">
        <f>I33/(HLOOKUP(F33,Team_Composition_23[[#All],[Yellow]:[Red]],10,FALSE)+HLOOKUP(F33,Team_Composition_23[[#All],[Yellow]:[Red]],11,FALSE))</f>
        <v>9.997500624843789E-3</v>
      </c>
      <c r="N33" s="38">
        <f>J33/HLOOKUP(F33,Team_Composition_23[[#All],[Yellow]:[Red]],6,FALSE)</f>
        <v>9.6885754807359936E-4</v>
      </c>
      <c r="O33" s="38">
        <f>K33/HLOOKUP(F33,Team_Composition_23[[#All],[Yellow]:[Red]],8,FALSE)</f>
        <v>1.6983105485244593E-2</v>
      </c>
      <c r="P33" s="38">
        <f>L33/HLOOKUP(F33,Team_Composition_23[[#All],[Yellow]:[Red]],7,FALSE)</f>
        <v>0.12313548309147769</v>
      </c>
      <c r="Q33" s="31"/>
      <c r="R33" s="45" t="s">
        <v>465</v>
      </c>
      <c r="S33" s="46">
        <f>SUMIFS(Scoreboard_44[Kills],Scoreboard_44[Role],"Ranged DPS",Scoreboard_44[Team],"Yellow")</f>
        <v>68</v>
      </c>
      <c r="T33" s="47">
        <f>SUMIFS(Scoreboard_44[Kills],Scoreboard_44[Role],"Ranged DPS",Scoreboard_44[Team],"Red")</f>
        <v>182</v>
      </c>
      <c r="U33" s="31"/>
      <c r="V33" s="31"/>
      <c r="W33" s="31"/>
      <c r="X33" s="31"/>
      <c r="Y33" s="31"/>
      <c r="Z33" s="31"/>
      <c r="AA33" s="31"/>
      <c r="AB33" s="45" t="s">
        <v>465</v>
      </c>
      <c r="AC33" s="50">
        <f>SUMIFS(Scoreboard_44[Kills],Scoreboard_44[Role],"Ranged DPS",Scoreboard_44[Guild],"House Regard")</f>
        <v>149</v>
      </c>
      <c r="AD33" s="51">
        <f>SUMIFS(Scoreboard_44[Kills],Scoreboard_44[Role],"Ranged DPS",Scoreboard_44[Guild],"Undercooked")</f>
        <v>101</v>
      </c>
    </row>
    <row r="34" spans="1:30" ht="22.5" customHeight="1">
      <c r="A34" s="32">
        <v>72</v>
      </c>
      <c r="B34" s="60" t="str">
        <f>VLOOKUP(C34,Lists!I:J,2,FALSE)</f>
        <v>Healer</v>
      </c>
      <c r="C34" s="34" t="str">
        <f>VLOOKUP(E34&amp;D34,Lists!C:E,3,FALSE)</f>
        <v>Wand/Longbow</v>
      </c>
      <c r="D34" s="35" t="s">
        <v>40</v>
      </c>
      <c r="E34" s="36" t="s">
        <v>29</v>
      </c>
      <c r="F34" s="35" t="s">
        <v>476</v>
      </c>
      <c r="G34" s="32">
        <v>0</v>
      </c>
      <c r="H34" s="32">
        <v>18</v>
      </c>
      <c r="I34" s="84">
        <f t="shared" si="0"/>
        <v>18</v>
      </c>
      <c r="J34" s="37">
        <v>77532</v>
      </c>
      <c r="K34" s="37">
        <v>276868</v>
      </c>
      <c r="L34" s="37">
        <v>1299703</v>
      </c>
      <c r="M34" s="38">
        <f>I34/(HLOOKUP(F34,Team_Composition_23[[#All],[Yellow]:[Red]],10,FALSE)+HLOOKUP(F34,Team_Composition_23[[#All],[Yellow]:[Red]],11,FALSE))</f>
        <v>4.4988752811797048E-3</v>
      </c>
      <c r="N34" s="38">
        <f>J34/HLOOKUP(F34,Team_Composition_23[[#All],[Yellow]:[Red]],6,FALSE)</f>
        <v>1.7476493280266694E-3</v>
      </c>
      <c r="O34" s="38">
        <f>K34/HLOOKUP(F34,Team_Composition_23[[#All],[Yellow]:[Red]],8,FALSE)</f>
        <v>1.5804083884233152E-2</v>
      </c>
      <c r="P34" s="38">
        <f>L34/HLOOKUP(F34,Team_Composition_23[[#All],[Yellow]:[Red]],7,FALSE)</f>
        <v>0.10040368414311443</v>
      </c>
      <c r="Q34" s="31"/>
      <c r="R34" s="45" t="s">
        <v>466</v>
      </c>
      <c r="S34" s="46">
        <f>SUMIFS(Scoreboard_44[Assists],Scoreboard_44[Role],"Ranged DPS",Scoreboard_44[Team],"Yellow")</f>
        <v>230</v>
      </c>
      <c r="T34" s="47">
        <f>SUMIFS(Scoreboard_44[Assists],Scoreboard_44[Role],"Ranged DPS",Scoreboard_44[Team],"Red")</f>
        <v>371</v>
      </c>
      <c r="U34" s="31"/>
      <c r="V34" s="31"/>
      <c r="W34" s="31"/>
      <c r="X34" s="31"/>
      <c r="Y34" s="31"/>
      <c r="Z34" s="31"/>
      <c r="AA34" s="31"/>
      <c r="AB34" s="45" t="s">
        <v>466</v>
      </c>
      <c r="AC34" s="50">
        <f>SUMIFS(Scoreboard_44[Assists],Scoreboard_44[Role],"Ranged DPS",Scoreboard_44[Guild],"House Regard")</f>
        <v>374</v>
      </c>
      <c r="AD34" s="51">
        <f>SUMIFS(Scoreboard_44[Assists],Scoreboard_44[Role],"Ranged DPS",Scoreboard_44[Guild],"Undercooked")</f>
        <v>227</v>
      </c>
    </row>
    <row r="35" spans="1:30" ht="22.5" customHeight="1">
      <c r="A35" s="32">
        <v>58</v>
      </c>
      <c r="B35" s="60" t="str">
        <f>VLOOKUP(C35,Lists!I:J,2,FALSE)</f>
        <v>Healer</v>
      </c>
      <c r="C35" s="34" t="str">
        <f>VLOOKUP(E35&amp;D35,Lists!C:E,3,FALSE)</f>
        <v>Wand/Longbow</v>
      </c>
      <c r="D35" s="35" t="s">
        <v>40</v>
      </c>
      <c r="E35" s="36" t="s">
        <v>180</v>
      </c>
      <c r="F35" s="35" t="s">
        <v>483</v>
      </c>
      <c r="G35" s="32">
        <v>0</v>
      </c>
      <c r="H35" s="32">
        <v>32</v>
      </c>
      <c r="I35" s="84">
        <f t="shared" si="0"/>
        <v>32</v>
      </c>
      <c r="J35" s="37">
        <v>19712</v>
      </c>
      <c r="K35" s="37">
        <v>159121</v>
      </c>
      <c r="L35" s="37">
        <v>643679</v>
      </c>
      <c r="M35" s="38">
        <f>I35/(HLOOKUP(F35,Team_Composition_23[[#All],[Yellow]:[Red]],10,FALSE)+HLOOKUP(F35,Team_Composition_23[[#All],[Yellow]:[Red]],11,FALSE))</f>
        <v>3.8976857490864797E-2</v>
      </c>
      <c r="N35" s="38">
        <f>J35/HLOOKUP(F35,Team_Composition_23[[#All],[Yellow]:[Red]],6,FALSE)</f>
        <v>1.117118025910995E-3</v>
      </c>
      <c r="O35" s="38">
        <f>K35/HLOOKUP(F35,Team_Composition_23[[#All],[Yellow]:[Red]],8,FALSE)</f>
        <v>3.6150768841959019E-3</v>
      </c>
      <c r="P35" s="38">
        <f>L35/HLOOKUP(F35,Team_Composition_23[[#All],[Yellow]:[Red]],7,FALSE)</f>
        <v>2.6523329156023373E-2</v>
      </c>
      <c r="Q35" s="31"/>
      <c r="R35" s="45" t="s">
        <v>54</v>
      </c>
      <c r="S35" s="46">
        <f t="shared" ref="S35:S46" si="6">COUNTIFS(C:C,R35,F:F,"Yellow")</f>
        <v>3</v>
      </c>
      <c r="T35" s="47">
        <f t="shared" ref="T35:T46" si="7">COUNTIFS(C:C,R35,F:F,"Red")</f>
        <v>2</v>
      </c>
      <c r="U35" s="31"/>
      <c r="V35" s="31"/>
      <c r="W35" s="31"/>
      <c r="X35" s="31"/>
      <c r="Y35" s="31"/>
      <c r="Z35" s="31"/>
      <c r="AA35" s="31"/>
      <c r="AB35" s="45" t="s">
        <v>54</v>
      </c>
      <c r="AC35" s="50">
        <f t="shared" ref="AC35:AC46" si="8">COUNTIFS(C:C,AB35,D:D,"House Regard")</f>
        <v>3</v>
      </c>
      <c r="AD35" s="51">
        <f t="shared" ref="AD35:AD46" si="9">COUNTIFS(C:C,AB35,D:D,"Undercooked")</f>
        <v>2</v>
      </c>
    </row>
    <row r="36" spans="1:30" ht="22.5" customHeight="1">
      <c r="A36" s="32">
        <v>62</v>
      </c>
      <c r="B36" s="60" t="str">
        <f>VLOOKUP(C36,Lists!I:J,2,FALSE)</f>
        <v>Healer</v>
      </c>
      <c r="C36" s="34" t="str">
        <f>VLOOKUP(E36&amp;D36,Lists!C:E,3,FALSE)</f>
        <v>Wand/Longbow</v>
      </c>
      <c r="D36" s="35" t="s">
        <v>28</v>
      </c>
      <c r="E36" s="36" t="s">
        <v>500</v>
      </c>
      <c r="F36" s="35" t="s">
        <v>476</v>
      </c>
      <c r="G36" s="32">
        <v>0</v>
      </c>
      <c r="H36" s="32">
        <v>30</v>
      </c>
      <c r="I36" s="84">
        <f t="shared" si="0"/>
        <v>30</v>
      </c>
      <c r="J36" s="37">
        <v>37479</v>
      </c>
      <c r="K36" s="37">
        <v>551171</v>
      </c>
      <c r="L36" s="37">
        <v>1705757</v>
      </c>
      <c r="M36" s="38">
        <f>I36/(HLOOKUP(F36,Team_Composition_23[[#All],[Yellow]:[Red]],10,FALSE)+HLOOKUP(F36,Team_Composition_23[[#All],[Yellow]:[Red]],11,FALSE))</f>
        <v>7.4981254686328422E-3</v>
      </c>
      <c r="N36" s="38">
        <f>J36/HLOOKUP(F36,Team_Composition_23[[#All],[Yellow]:[Red]],6,FALSE)</f>
        <v>8.4481438844749969E-4</v>
      </c>
      <c r="O36" s="38">
        <f>K36/HLOOKUP(F36,Team_Composition_23[[#All],[Yellow]:[Red]],8,FALSE)</f>
        <v>3.1461753321281871E-2</v>
      </c>
      <c r="P36" s="38">
        <f>L36/HLOOKUP(F36,Team_Composition_23[[#All],[Yellow]:[Red]],7,FALSE)</f>
        <v>0.13177186407425884</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77</v>
      </c>
      <c r="B37" s="60" t="str">
        <f>VLOOKUP(C37,Lists!I:J,2,FALSE)</f>
        <v>Healer</v>
      </c>
      <c r="C37" s="34" t="str">
        <f>VLOOKUP(E37&amp;D37,Lists!C:E,3,FALSE)</f>
        <v>Wand/Longbow</v>
      </c>
      <c r="D37" s="35" t="s">
        <v>40</v>
      </c>
      <c r="E37" s="36" t="s">
        <v>44</v>
      </c>
      <c r="F37" s="35" t="s">
        <v>483</v>
      </c>
      <c r="G37" s="32">
        <v>0</v>
      </c>
      <c r="H37" s="32">
        <v>12</v>
      </c>
      <c r="I37" s="84">
        <f t="shared" si="0"/>
        <v>12</v>
      </c>
      <c r="J37" s="37">
        <v>44966</v>
      </c>
      <c r="K37" s="37">
        <v>399335</v>
      </c>
      <c r="L37" s="37">
        <v>1008514</v>
      </c>
      <c r="M37" s="38">
        <f>I37/(HLOOKUP(F37,Team_Composition_23[[#All],[Yellow]:[Red]],10,FALSE)+HLOOKUP(F37,Team_Composition_23[[#All],[Yellow]:[Red]],11,FALSE))</f>
        <v>1.4616321559074299E-2</v>
      </c>
      <c r="N37" s="38">
        <f>J37/HLOOKUP(F37,Team_Composition_23[[#All],[Yellow]:[Red]],6,FALSE)</f>
        <v>2.5483121526539061E-3</v>
      </c>
      <c r="O37" s="38">
        <f>K37/HLOOKUP(F37,Team_Composition_23[[#All],[Yellow]:[Red]],8,FALSE)</f>
        <v>9.0725091443013203E-3</v>
      </c>
      <c r="P37" s="38">
        <f>L37/HLOOKUP(F37,Team_Composition_23[[#All],[Yellow]:[Red]],7,FALSE)</f>
        <v>4.1556659111851954E-2</v>
      </c>
      <c r="Q37" s="31"/>
      <c r="R37" s="45" t="s">
        <v>45</v>
      </c>
      <c r="S37" s="46">
        <f t="shared" si="6"/>
        <v>2</v>
      </c>
      <c r="T37" s="47">
        <f t="shared" si="7"/>
        <v>3</v>
      </c>
      <c r="U37" s="31"/>
      <c r="V37" s="31"/>
      <c r="W37" s="31"/>
      <c r="X37" s="31"/>
      <c r="Y37" s="31"/>
      <c r="Z37" s="31"/>
      <c r="AA37" s="31"/>
      <c r="AB37" s="45" t="s">
        <v>45</v>
      </c>
      <c r="AC37" s="50">
        <f t="shared" si="8"/>
        <v>3</v>
      </c>
      <c r="AD37" s="51">
        <f t="shared" si="9"/>
        <v>2</v>
      </c>
    </row>
    <row r="38" spans="1:30" ht="22.5" customHeight="1">
      <c r="A38" s="32">
        <v>95</v>
      </c>
      <c r="B38" s="60" t="str">
        <f>VLOOKUP(C38,Lists!I:J,2,FALSE)</f>
        <v>Healer</v>
      </c>
      <c r="C38" s="34" t="str">
        <f>VLOOKUP(E38&amp;D38,Lists!C:E,3,FALSE)</f>
        <v>Wand/Longbow</v>
      </c>
      <c r="D38" s="35" t="s">
        <v>28</v>
      </c>
      <c r="E38" s="36" t="s">
        <v>381</v>
      </c>
      <c r="F38" s="35" t="s">
        <v>476</v>
      </c>
      <c r="G38" s="32">
        <v>0</v>
      </c>
      <c r="H38" s="32">
        <v>4</v>
      </c>
      <c r="I38" s="84">
        <f t="shared" si="0"/>
        <v>4</v>
      </c>
      <c r="J38" s="37">
        <v>56047</v>
      </c>
      <c r="K38" s="37">
        <v>502902</v>
      </c>
      <c r="L38" s="37">
        <v>1133249</v>
      </c>
      <c r="M38" s="38">
        <f>I38/(HLOOKUP(F38,Team_Composition_23[[#All],[Yellow]:[Red]],10,FALSE)+HLOOKUP(F38,Team_Composition_23[[#All],[Yellow]:[Red]],11,FALSE))</f>
        <v>9.9975006248437899E-4</v>
      </c>
      <c r="N38" s="38">
        <f>J38/HLOOKUP(F38,Team_Composition_23[[#All],[Yellow]:[Red]],6,FALSE)</f>
        <v>1.2633558000298038E-3</v>
      </c>
      <c r="O38" s="38">
        <f>K38/HLOOKUP(F38,Team_Composition_23[[#All],[Yellow]:[Red]],8,FALSE)</f>
        <v>2.8706478876390988E-2</v>
      </c>
      <c r="P38" s="38">
        <f>L38/HLOOKUP(F38,Team_Composition_23[[#All],[Yellow]:[Red]],7,FALSE)</f>
        <v>8.754490422158008E-2</v>
      </c>
      <c r="Q38" s="31"/>
      <c r="R38" s="45" t="s">
        <v>81</v>
      </c>
      <c r="S38" s="46">
        <f t="shared" si="6"/>
        <v>0</v>
      </c>
      <c r="T38" s="47">
        <f t="shared" si="7"/>
        <v>1</v>
      </c>
      <c r="U38" s="31"/>
      <c r="V38" s="31"/>
      <c r="W38" s="31"/>
      <c r="X38" s="31"/>
      <c r="Y38" s="31"/>
      <c r="Z38" s="31"/>
      <c r="AA38" s="31"/>
      <c r="AB38" s="45" t="s">
        <v>81</v>
      </c>
      <c r="AC38" s="50">
        <f t="shared" si="8"/>
        <v>1</v>
      </c>
      <c r="AD38" s="51">
        <f t="shared" si="9"/>
        <v>0</v>
      </c>
    </row>
    <row r="39" spans="1:30" ht="22.5" customHeight="1">
      <c r="A39" s="32">
        <v>36</v>
      </c>
      <c r="B39" s="60" t="str">
        <f>VLOOKUP(C39,Lists!I:J,2,FALSE)</f>
        <v>Tank</v>
      </c>
      <c r="C39" s="34" t="s">
        <v>73</v>
      </c>
      <c r="D39" s="35" t="s">
        <v>28</v>
      </c>
      <c r="E39" s="36" t="s">
        <v>384</v>
      </c>
      <c r="F39" s="35" t="s">
        <v>476</v>
      </c>
      <c r="G39" s="32">
        <v>2</v>
      </c>
      <c r="H39" s="32">
        <v>21</v>
      </c>
      <c r="I39" s="84">
        <f t="shared" si="0"/>
        <v>23</v>
      </c>
      <c r="J39" s="37">
        <v>66590</v>
      </c>
      <c r="K39" s="37">
        <v>429857</v>
      </c>
      <c r="L39" s="37">
        <v>253530</v>
      </c>
      <c r="M39" s="38">
        <f>I39/(HLOOKUP(F39,Team_Composition_23[[#All],[Yellow]:[Red]],10,FALSE)+HLOOKUP(F39,Team_Composition_23[[#All],[Yellow]:[Red]],11,FALSE))</f>
        <v>5.7485628592851791E-3</v>
      </c>
      <c r="N39" s="38">
        <f>J39/HLOOKUP(F39,Team_Composition_23[[#All],[Yellow]:[Red]],6,FALSE)</f>
        <v>1.5010056332004323E-3</v>
      </c>
      <c r="O39" s="38">
        <f>K39/HLOOKUP(F39,Team_Composition_23[[#All],[Yellow]:[Red]],8,FALSE)</f>
        <v>2.4536949326844595E-2</v>
      </c>
      <c r="P39" s="38">
        <f>L39/HLOOKUP(F39,Team_Composition_23[[#All],[Yellow]:[Red]],7,FALSE)</f>
        <v>1.9585509951738054E-2</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32">
        <v>90</v>
      </c>
      <c r="B40" s="60" t="str">
        <f>VLOOKUP(C40,Lists!I:J,2,FALSE)</f>
        <v>Tank</v>
      </c>
      <c r="C40" s="34" t="s">
        <v>73</v>
      </c>
      <c r="D40" s="35" t="s">
        <v>28</v>
      </c>
      <c r="E40" s="36" t="s">
        <v>363</v>
      </c>
      <c r="F40" s="35" t="s">
        <v>476</v>
      </c>
      <c r="G40" s="32">
        <v>0</v>
      </c>
      <c r="H40" s="32">
        <v>5</v>
      </c>
      <c r="I40" s="84">
        <f t="shared" si="0"/>
        <v>5</v>
      </c>
      <c r="J40" s="37">
        <v>35156</v>
      </c>
      <c r="K40" s="37">
        <v>241430</v>
      </c>
      <c r="L40" s="37">
        <v>65117</v>
      </c>
      <c r="M40" s="38">
        <f>I40/(HLOOKUP(F40,Team_Composition_23[[#All],[Yellow]:[Red]],10,FALSE)+HLOOKUP(F40,Team_Composition_23[[#All],[Yellow]:[Red]],11,FALSE))</f>
        <v>1.2496875781054736E-3</v>
      </c>
      <c r="N40" s="38">
        <f>J40/HLOOKUP(F40,Team_Composition_23[[#All],[Yellow]:[Red]],6,FALSE)</f>
        <v>7.9245162998640029E-4</v>
      </c>
      <c r="O40" s="38">
        <f>K40/HLOOKUP(F40,Team_Composition_23[[#All],[Yellow]:[Red]],8,FALSE)</f>
        <v>1.3781224165199335E-2</v>
      </c>
      <c r="P40" s="38">
        <f>L40/HLOOKUP(F40,Team_Composition_23[[#All],[Yellow]:[Red]],7,FALSE)</f>
        <v>5.0303697847486565E-3</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63</v>
      </c>
      <c r="B41" s="60" t="str">
        <f>VLOOKUP(C41,Lists!I:J,2,FALSE)</f>
        <v>Healer</v>
      </c>
      <c r="C41" s="34" t="str">
        <f>VLOOKUP(E41&amp;D41,Lists!C:E,3,FALSE)</f>
        <v>Wand/Longbow</v>
      </c>
      <c r="D41" s="35" t="s">
        <v>28</v>
      </c>
      <c r="E41" s="36" t="s">
        <v>339</v>
      </c>
      <c r="F41" s="35" t="s">
        <v>483</v>
      </c>
      <c r="G41" s="32">
        <v>0</v>
      </c>
      <c r="H41" s="32">
        <v>28</v>
      </c>
      <c r="I41" s="84">
        <f t="shared" si="0"/>
        <v>28</v>
      </c>
      <c r="J41" s="37">
        <v>23826</v>
      </c>
      <c r="K41" s="37">
        <v>399703</v>
      </c>
      <c r="L41" s="37">
        <v>1761931</v>
      </c>
      <c r="M41" s="38">
        <f>I41/(HLOOKUP(F41,Team_Composition_23[[#All],[Yellow]:[Red]],10,FALSE)+HLOOKUP(F41,Team_Composition_23[[#All],[Yellow]:[Red]],11,FALSE))</f>
        <v>3.4104750304506701E-2</v>
      </c>
      <c r="N41" s="38">
        <f>J41/HLOOKUP(F41,Team_Composition_23[[#All],[Yellow]:[Red]],6,FALSE)</f>
        <v>1.3502665424794727E-3</v>
      </c>
      <c r="O41" s="38">
        <f>K41/HLOOKUP(F41,Team_Composition_23[[#All],[Yellow]:[Red]],8,FALSE)</f>
        <v>9.0808697522247513E-3</v>
      </c>
      <c r="P41" s="38">
        <f>L41/HLOOKUP(F41,Team_Composition_23[[#All],[Yellow]:[Red]],7,FALSE)</f>
        <v>7.2601833931511539E-2</v>
      </c>
      <c r="Q41" s="31"/>
      <c r="R41" s="45" t="s">
        <v>52</v>
      </c>
      <c r="S41" s="46">
        <f t="shared" si="6"/>
        <v>1</v>
      </c>
      <c r="T41" s="47">
        <f t="shared" si="7"/>
        <v>0</v>
      </c>
      <c r="U41" s="31"/>
      <c r="V41" s="31"/>
      <c r="W41" s="31"/>
      <c r="X41" s="31"/>
      <c r="Y41" s="31"/>
      <c r="Z41" s="31"/>
      <c r="AA41" s="31"/>
      <c r="AB41" s="45" t="s">
        <v>52</v>
      </c>
      <c r="AC41" s="50">
        <f t="shared" si="8"/>
        <v>1</v>
      </c>
      <c r="AD41" s="51">
        <f t="shared" si="9"/>
        <v>0</v>
      </c>
    </row>
    <row r="42" spans="1:30" ht="22.5" customHeight="1">
      <c r="A42" s="32">
        <v>61</v>
      </c>
      <c r="B42" s="60" t="str">
        <f>VLOOKUP(C42,Lists!I:J,2,FALSE)</f>
        <v>Healer</v>
      </c>
      <c r="C42" s="34" t="str">
        <f>VLOOKUP(E42&amp;D42,Lists!C:E,3,FALSE)</f>
        <v>Wand/Longbow</v>
      </c>
      <c r="D42" s="35" t="s">
        <v>28</v>
      </c>
      <c r="E42" s="36" t="s">
        <v>379</v>
      </c>
      <c r="F42" s="35" t="s">
        <v>483</v>
      </c>
      <c r="G42" s="32">
        <v>0</v>
      </c>
      <c r="H42" s="32">
        <v>31</v>
      </c>
      <c r="I42" s="84">
        <f t="shared" si="0"/>
        <v>31</v>
      </c>
      <c r="J42" s="37">
        <v>42878</v>
      </c>
      <c r="K42" s="37">
        <v>233159</v>
      </c>
      <c r="L42" s="37">
        <v>1232742</v>
      </c>
      <c r="M42" s="38">
        <f>I42/(HLOOKUP(F42,Team_Composition_23[[#All],[Yellow]:[Red]],10,FALSE)+HLOOKUP(F42,Team_Composition_23[[#All],[Yellow]:[Red]],11,FALSE))</f>
        <v>3.7758830694275276E-2</v>
      </c>
      <c r="N42" s="38">
        <f>J42/HLOOKUP(F42,Team_Composition_23[[#All],[Yellow]:[Red]],6,FALSE)</f>
        <v>2.4299810630586264E-3</v>
      </c>
      <c r="O42" s="38">
        <f>K42/HLOOKUP(F42,Team_Composition_23[[#All],[Yellow]:[Red]],8,FALSE)</f>
        <v>5.2971494098342283E-3</v>
      </c>
      <c r="P42" s="38">
        <f>L42/HLOOKUP(F42,Team_Composition_23[[#All],[Yellow]:[Red]],7,FALSE)</f>
        <v>5.0796160555889758E-2</v>
      </c>
      <c r="Q42" s="31"/>
      <c r="R42" s="45" t="s">
        <v>32</v>
      </c>
      <c r="S42" s="46">
        <f t="shared" si="6"/>
        <v>3</v>
      </c>
      <c r="T42" s="47">
        <f t="shared" si="7"/>
        <v>2</v>
      </c>
      <c r="U42" s="31"/>
      <c r="V42" s="31"/>
      <c r="W42" s="31"/>
      <c r="X42" s="31"/>
      <c r="Y42" s="31"/>
      <c r="Z42" s="31"/>
      <c r="AA42" s="31"/>
      <c r="AB42" s="45" t="s">
        <v>32</v>
      </c>
      <c r="AC42" s="50">
        <f t="shared" si="8"/>
        <v>3</v>
      </c>
      <c r="AD42" s="51">
        <f t="shared" si="9"/>
        <v>2</v>
      </c>
    </row>
    <row r="43" spans="1:30" ht="22.5" customHeight="1">
      <c r="A43" s="32">
        <v>59</v>
      </c>
      <c r="B43" s="60" t="str">
        <f>VLOOKUP(C43,Lists!I:J,2,FALSE)</f>
        <v>Healer</v>
      </c>
      <c r="C43" s="34" t="str">
        <f>VLOOKUP(E43&amp;D43,Lists!C:E,3,FALSE)</f>
        <v>Wand/Longbow</v>
      </c>
      <c r="D43" s="35" t="s">
        <v>40</v>
      </c>
      <c r="E43" s="36" t="s">
        <v>106</v>
      </c>
      <c r="F43" s="35" t="s">
        <v>476</v>
      </c>
      <c r="G43" s="32">
        <v>0</v>
      </c>
      <c r="H43" s="32">
        <v>32</v>
      </c>
      <c r="I43" s="84">
        <f t="shared" si="0"/>
        <v>32</v>
      </c>
      <c r="J43" s="37">
        <v>7176</v>
      </c>
      <c r="K43" s="37">
        <v>239173</v>
      </c>
      <c r="L43" s="37">
        <v>728656</v>
      </c>
      <c r="M43" s="38">
        <f>I43/(HLOOKUP(F43,Team_Composition_23[[#All],[Yellow]:[Red]],10,FALSE)+HLOOKUP(F43,Team_Composition_23[[#All],[Yellow]:[Red]],11,FALSE))</f>
        <v>7.9980004998750319E-3</v>
      </c>
      <c r="N43" s="38">
        <f>J43/HLOOKUP(F43,Team_Composition_23[[#All],[Yellow]:[Red]],6,FALSE)</f>
        <v>1.6175426376101971E-4</v>
      </c>
      <c r="O43" s="38">
        <f>K43/HLOOKUP(F43,Team_Composition_23[[#All],[Yellow]:[Red]],8,FALSE)</f>
        <v>1.3652390868008204E-2</v>
      </c>
      <c r="P43" s="38">
        <f>L43/HLOOKUP(F43,Team_Composition_23[[#All],[Yellow]:[Red]],7,FALSE)</f>
        <v>5.6289588369793093E-2</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55</v>
      </c>
      <c r="B44" s="60" t="str">
        <f>VLOOKUP(C44,Lists!I:J,2,FALSE)</f>
        <v>Healer</v>
      </c>
      <c r="C44" s="34" t="str">
        <f>VLOOKUP(E44&amp;D44,Lists!C:E,3,FALSE)</f>
        <v>Wand/Longbow</v>
      </c>
      <c r="D44" s="35" t="s">
        <v>28</v>
      </c>
      <c r="E44" s="36" t="s">
        <v>342</v>
      </c>
      <c r="F44" s="35" t="s">
        <v>483</v>
      </c>
      <c r="G44" s="32">
        <v>0</v>
      </c>
      <c r="H44" s="32">
        <v>35</v>
      </c>
      <c r="I44" s="84">
        <f t="shared" si="0"/>
        <v>35</v>
      </c>
      <c r="J44" s="37">
        <v>53225</v>
      </c>
      <c r="K44" s="37">
        <v>176085</v>
      </c>
      <c r="L44" s="37">
        <v>734686</v>
      </c>
      <c r="M44" s="38">
        <f>I44/(HLOOKUP(F44,Team_Composition_23[[#All],[Yellow]:[Red]],10,FALSE)+HLOOKUP(F44,Team_Composition_23[[#All],[Yellow]:[Red]],11,FALSE))</f>
        <v>4.2630937880633372E-2</v>
      </c>
      <c r="N44" s="38">
        <f>J44/HLOOKUP(F44,Team_Composition_23[[#All],[Yellow]:[Red]],6,FALSE)</f>
        <v>3.0163660171019027E-3</v>
      </c>
      <c r="O44" s="38">
        <f>K44/HLOOKUP(F44,Team_Composition_23[[#All],[Yellow]:[Red]],8,FALSE)</f>
        <v>4.0004827342314054E-3</v>
      </c>
      <c r="P44" s="38">
        <f>L44/HLOOKUP(F44,Team_Composition_23[[#All],[Yellow]:[Red]],7,FALSE)</f>
        <v>3.0273348368242844E-2</v>
      </c>
      <c r="Q44" s="31"/>
      <c r="R44" s="45" t="s">
        <v>58</v>
      </c>
      <c r="S44" s="46">
        <f t="shared" si="6"/>
        <v>2</v>
      </c>
      <c r="T44" s="47">
        <f t="shared" si="7"/>
        <v>2</v>
      </c>
      <c r="U44" s="31"/>
      <c r="V44" s="31"/>
      <c r="W44" s="31"/>
      <c r="X44" s="31"/>
      <c r="Y44" s="31"/>
      <c r="Z44" s="31"/>
      <c r="AA44" s="31"/>
      <c r="AB44" s="45" t="s">
        <v>58</v>
      </c>
      <c r="AC44" s="50">
        <f t="shared" si="8"/>
        <v>2</v>
      </c>
      <c r="AD44" s="51">
        <f t="shared" si="9"/>
        <v>2</v>
      </c>
    </row>
    <row r="45" spans="1:30" ht="22.5" customHeight="1">
      <c r="A45" s="32">
        <v>53</v>
      </c>
      <c r="B45" s="60" t="str">
        <f>VLOOKUP(C45,Lists!I:J,2,FALSE)</f>
        <v>Healer</v>
      </c>
      <c r="C45" s="34" t="str">
        <f>VLOOKUP(E45&amp;D45,Lists!C:E,3,FALSE)</f>
        <v>Wand/Longbow</v>
      </c>
      <c r="D45" s="35" t="s">
        <v>40</v>
      </c>
      <c r="E45" s="36" t="s">
        <v>149</v>
      </c>
      <c r="F45" s="35" t="s">
        <v>476</v>
      </c>
      <c r="G45" s="32">
        <v>0</v>
      </c>
      <c r="H45" s="32">
        <v>36</v>
      </c>
      <c r="I45" s="84">
        <f t="shared" si="0"/>
        <v>36</v>
      </c>
      <c r="J45" s="37">
        <v>67860</v>
      </c>
      <c r="K45" s="37">
        <v>663389</v>
      </c>
      <c r="L45" s="37">
        <v>2159112</v>
      </c>
      <c r="M45" s="38">
        <f>I45/(HLOOKUP(F45,Team_Composition_23[[#All],[Yellow]:[Red]],10,FALSE)+HLOOKUP(F45,Team_Composition_23[[#All],[Yellow]:[Red]],11,FALSE))</f>
        <v>8.9977505623594096E-3</v>
      </c>
      <c r="N45" s="38">
        <f>J45/HLOOKUP(F45,Team_Composition_23[[#All],[Yellow]:[Red]],6,FALSE)</f>
        <v>1.5296327116531212E-3</v>
      </c>
      <c r="O45" s="38">
        <f>K45/HLOOKUP(F45,Team_Composition_23[[#All],[Yellow]:[Red]],8,FALSE)</f>
        <v>3.7867342574358705E-2</v>
      </c>
      <c r="P45" s="38">
        <f>L45/HLOOKUP(F45,Team_Composition_23[[#All],[Yellow]:[Red]],7,FALSE)</f>
        <v>0.1667941054822587</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6</v>
      </c>
      <c r="B46" s="60" t="str">
        <f>VLOOKUP(C46,Lists!I:J,2,FALSE)</f>
        <v>Ranged DPS</v>
      </c>
      <c r="C46" s="34" t="str">
        <f>VLOOKUP(E46&amp;D46,Lists!C:E,3,FALSE)</f>
        <v>Staff/Orb</v>
      </c>
      <c r="D46" s="35" t="s">
        <v>28</v>
      </c>
      <c r="E46" s="36" t="s">
        <v>501</v>
      </c>
      <c r="F46" s="35" t="s">
        <v>483</v>
      </c>
      <c r="G46" s="32">
        <v>26</v>
      </c>
      <c r="H46" s="32">
        <v>39</v>
      </c>
      <c r="I46" s="84">
        <f t="shared" si="0"/>
        <v>65</v>
      </c>
      <c r="J46" s="37">
        <v>2097283</v>
      </c>
      <c r="K46" s="37">
        <v>544330</v>
      </c>
      <c r="L46" s="37">
        <v>0</v>
      </c>
      <c r="M46" s="38">
        <f>I46/(HLOOKUP(F46,Team_Composition_23[[#All],[Yellow]:[Red]],10,FALSE)+HLOOKUP(F46,Team_Composition_23[[#All],[Yellow]:[Red]],11,FALSE))</f>
        <v>7.9171741778319121E-2</v>
      </c>
      <c r="N46" s="38">
        <f>J46/HLOOKUP(F46,Team_Composition_23[[#All],[Yellow]:[Red]],6,FALSE)</f>
        <v>0.11885717556497002</v>
      </c>
      <c r="O46" s="38">
        <f>K46/HLOOKUP(F46,Team_Composition_23[[#All],[Yellow]:[Red]],8,FALSE)</f>
        <v>1.2366656823262519E-2</v>
      </c>
      <c r="P46" s="38">
        <f>L46/HLOOKUP(F46,Team_Composition_23[[#All],[Yellow]:[Red]],7,FALSE)</f>
        <v>0</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25</v>
      </c>
      <c r="B47" s="60" t="str">
        <f>VLOOKUP(C47,Lists!I:J,2,FALSE)</f>
        <v>Ranged DPS</v>
      </c>
      <c r="C47" s="34" t="str">
        <f>VLOOKUP(E47&amp;D47,Lists!C:E,3,FALSE)</f>
        <v>Staff/Orb</v>
      </c>
      <c r="D47" s="35" t="s">
        <v>40</v>
      </c>
      <c r="E47" s="36" t="s">
        <v>160</v>
      </c>
      <c r="F47" s="35" t="s">
        <v>476</v>
      </c>
      <c r="G47" s="32">
        <v>11</v>
      </c>
      <c r="H47" s="32">
        <v>38</v>
      </c>
      <c r="I47" s="84">
        <f t="shared" si="0"/>
        <v>49</v>
      </c>
      <c r="J47" s="37">
        <v>1807246</v>
      </c>
      <c r="K47" s="37">
        <v>1124504</v>
      </c>
      <c r="L47" s="37">
        <v>36112</v>
      </c>
      <c r="M47" s="38">
        <f>I47/(HLOOKUP(F47,Team_Composition_23[[#All],[Yellow]:[Red]],10,FALSE)+HLOOKUP(F47,Team_Composition_23[[#All],[Yellow]:[Red]],11,FALSE))</f>
        <v>1.2246938265433641E-2</v>
      </c>
      <c r="N47" s="38">
        <f>J47/HLOOKUP(F47,Team_Composition_23[[#All],[Yellow]:[Red]],6,FALSE)</f>
        <v>4.0737144114415806E-2</v>
      </c>
      <c r="O47" s="38">
        <f>K47/HLOOKUP(F47,Team_Composition_23[[#All],[Yellow]:[Red]],8,FALSE)</f>
        <v>6.4188550298899527E-2</v>
      </c>
      <c r="P47" s="38">
        <f>L47/HLOOKUP(F47,Team_Composition_23[[#All],[Yellow]:[Red]],7,FALSE)</f>
        <v>2.7896972168073384E-3</v>
      </c>
      <c r="Q47" s="31"/>
      <c r="R47" s="48"/>
      <c r="S47" s="63"/>
      <c r="T47" s="63"/>
      <c r="U47" s="31"/>
      <c r="V47" s="31"/>
      <c r="W47" s="31"/>
      <c r="X47" s="31"/>
      <c r="Y47" s="31"/>
      <c r="Z47" s="31"/>
      <c r="AA47" s="31"/>
      <c r="AB47" s="48"/>
      <c r="AC47" s="63"/>
      <c r="AD47" s="63"/>
    </row>
    <row r="48" spans="1:30" ht="22.5" customHeight="1">
      <c r="A48" s="32">
        <v>13</v>
      </c>
      <c r="B48" s="60" t="str">
        <f>VLOOKUP(C48,Lists!I:J,2,FALSE)</f>
        <v>Ranged DPS</v>
      </c>
      <c r="C48" s="34" t="str">
        <f>VLOOKUP(E48&amp;D48,Lists!C:E,3,FALSE)</f>
        <v>Staff/Orb</v>
      </c>
      <c r="D48" s="35" t="s">
        <v>40</v>
      </c>
      <c r="E48" s="36" t="s">
        <v>156</v>
      </c>
      <c r="F48" s="35" t="s">
        <v>483</v>
      </c>
      <c r="G48" s="32">
        <v>21</v>
      </c>
      <c r="H48" s="32">
        <v>53</v>
      </c>
      <c r="I48" s="84">
        <f t="shared" si="0"/>
        <v>74</v>
      </c>
      <c r="J48" s="37">
        <v>1979246</v>
      </c>
      <c r="K48" s="37">
        <v>559584</v>
      </c>
      <c r="L48" s="37">
        <v>16558</v>
      </c>
      <c r="M48" s="38">
        <f>I48/(HLOOKUP(F48,Team_Composition_23[[#All],[Yellow]:[Red]],10,FALSE)+HLOOKUP(F48,Team_Composition_23[[#All],[Yellow]:[Red]],11,FALSE))</f>
        <v>9.0133982947624841E-2</v>
      </c>
      <c r="N48" s="38">
        <f>J48/HLOOKUP(F48,Team_Composition_23[[#All],[Yellow]:[Red]],6,FALSE)</f>
        <v>0.1121677853242813</v>
      </c>
      <c r="O48" s="38">
        <f>K48/HLOOKUP(F48,Team_Composition_23[[#All],[Yellow]:[Red]],8,FALSE)</f>
        <v>1.2713213109305998E-2</v>
      </c>
      <c r="P48" s="38">
        <f>L48/HLOOKUP(F48,Team_Composition_23[[#All],[Yellow]:[Red]],7,FALSE)</f>
        <v>6.8228617706253428E-4</v>
      </c>
      <c r="Q48" s="31"/>
      <c r="R48" s="31"/>
      <c r="S48" s="64"/>
      <c r="T48" s="64"/>
      <c r="U48" s="31"/>
      <c r="V48" s="31"/>
      <c r="W48" s="31"/>
      <c r="X48" s="31"/>
      <c r="Y48" s="31"/>
      <c r="Z48" s="31"/>
      <c r="AA48" s="31"/>
      <c r="AB48" s="31"/>
      <c r="AC48" s="64"/>
      <c r="AD48" s="64"/>
    </row>
    <row r="49" spans="1:30" ht="22.5" customHeight="1">
      <c r="A49" s="32">
        <v>2</v>
      </c>
      <c r="B49" s="60" t="str">
        <f>VLOOKUP(C49,Lists!I:J,2,FALSE)</f>
        <v>Ranged DPS</v>
      </c>
      <c r="C49" s="34" t="str">
        <f>VLOOKUP(E49&amp;D49,Lists!C:E,3,FALSE)</f>
        <v>Staff/Dagger</v>
      </c>
      <c r="D49" s="35" t="s">
        <v>40</v>
      </c>
      <c r="E49" s="36" t="s">
        <v>158</v>
      </c>
      <c r="F49" s="35" t="s">
        <v>483</v>
      </c>
      <c r="G49" s="32">
        <v>36</v>
      </c>
      <c r="H49" s="32">
        <v>84</v>
      </c>
      <c r="I49" s="84">
        <f t="shared" si="0"/>
        <v>120</v>
      </c>
      <c r="J49" s="37">
        <v>2957408</v>
      </c>
      <c r="K49" s="37">
        <v>549804</v>
      </c>
      <c r="L49" s="37">
        <v>9404</v>
      </c>
      <c r="M49" s="38">
        <f>I49/(HLOOKUP(F49,Team_Composition_23[[#All],[Yellow]:[Red]],10,FALSE)+HLOOKUP(F49,Team_Composition_23[[#All],[Yellow]:[Red]],11,FALSE))</f>
        <v>0.146163215590743</v>
      </c>
      <c r="N49" s="38">
        <f>J49/HLOOKUP(F49,Team_Composition_23[[#All],[Yellow]:[Red]],6,FALSE)</f>
        <v>0.16760216044913676</v>
      </c>
      <c r="O49" s="38">
        <f>K49/HLOOKUP(F49,Team_Composition_23[[#All],[Yellow]:[Red]],8,FALSE)</f>
        <v>1.2491020866123539E-2</v>
      </c>
      <c r="P49" s="38">
        <f>L49/HLOOKUP(F49,Team_Composition_23[[#All],[Yellow]:[Red]],7,FALSE)</f>
        <v>3.8749965026549534E-4</v>
      </c>
      <c r="Q49" s="31"/>
      <c r="R49" s="227" t="s">
        <v>67</v>
      </c>
      <c r="S49" s="228"/>
      <c r="T49" s="228"/>
      <c r="U49" s="31"/>
      <c r="V49" s="31"/>
      <c r="W49" s="31"/>
      <c r="X49" s="31"/>
      <c r="Y49" s="31"/>
      <c r="Z49" s="31"/>
      <c r="AA49" s="31"/>
      <c r="AB49" s="227" t="s">
        <v>67</v>
      </c>
      <c r="AC49" s="228"/>
      <c r="AD49" s="228"/>
    </row>
    <row r="50" spans="1:30" ht="22.5" customHeight="1">
      <c r="A50" s="32">
        <v>29</v>
      </c>
      <c r="B50" s="60" t="str">
        <f>VLOOKUP(C50,Lists!I:J,2,FALSE)</f>
        <v>Ranged DPS</v>
      </c>
      <c r="C50" s="34" t="str">
        <f>VLOOKUP(E50&amp;D50,Lists!C:E,3,FALSE)</f>
        <v>Staff/Dagger</v>
      </c>
      <c r="D50" s="35" t="s">
        <v>40</v>
      </c>
      <c r="E50" s="36" t="s">
        <v>172</v>
      </c>
      <c r="F50" s="35" t="s">
        <v>476</v>
      </c>
      <c r="G50" s="32">
        <v>6</v>
      </c>
      <c r="H50" s="32">
        <v>18</v>
      </c>
      <c r="I50" s="84">
        <f t="shared" si="0"/>
        <v>24</v>
      </c>
      <c r="J50" s="37">
        <v>515889</v>
      </c>
      <c r="K50" s="37">
        <v>1356355</v>
      </c>
      <c r="L50" s="37">
        <v>18462</v>
      </c>
      <c r="M50" s="38">
        <f>I50/(HLOOKUP(F50,Team_Composition_23[[#All],[Yellow]:[Red]],10,FALSE)+HLOOKUP(F50,Team_Composition_23[[#All],[Yellow]:[Red]],11,FALSE))</f>
        <v>5.9985003749062731E-3</v>
      </c>
      <c r="N50" s="38">
        <f>J50/HLOOKUP(F50,Team_Composition_23[[#All],[Yellow]:[Red]],6,FALSE)</f>
        <v>1.1628657382582036E-2</v>
      </c>
      <c r="O50" s="38">
        <f>K50/HLOOKUP(F50,Team_Composition_23[[#All],[Yellow]:[Red]],8,FALSE)</f>
        <v>7.7422989282976196E-2</v>
      </c>
      <c r="P50" s="38">
        <f>L50/HLOOKUP(F50,Team_Composition_23[[#All],[Yellow]:[Red]],7,FALSE)</f>
        <v>1.4262126167671988E-3</v>
      </c>
      <c r="Q50" s="31"/>
      <c r="R50" s="41" t="s">
        <v>482</v>
      </c>
      <c r="S50" s="42" t="s">
        <v>476</v>
      </c>
      <c r="T50" s="42" t="s">
        <v>483</v>
      </c>
      <c r="U50" s="31"/>
      <c r="V50" s="31"/>
      <c r="W50" s="31"/>
      <c r="X50" s="31"/>
      <c r="Y50" s="31"/>
      <c r="Z50" s="31"/>
      <c r="AA50" s="31"/>
      <c r="AB50" s="41" t="s">
        <v>482</v>
      </c>
      <c r="AC50" s="42" t="s">
        <v>485</v>
      </c>
      <c r="AD50" s="42" t="s">
        <v>28</v>
      </c>
    </row>
    <row r="51" spans="1:30" ht="22.5" customHeight="1">
      <c r="A51" s="32">
        <v>4</v>
      </c>
      <c r="B51" s="60" t="str">
        <f>VLOOKUP(C51,Lists!I:J,2,FALSE)</f>
        <v>Ranged DPS</v>
      </c>
      <c r="C51" s="34" t="str">
        <f>VLOOKUP(E51&amp;D51,Lists!C:E,3,FALSE)</f>
        <v>Staff/Dagger</v>
      </c>
      <c r="D51" s="35" t="s">
        <v>28</v>
      </c>
      <c r="E51" s="35" t="s">
        <v>351</v>
      </c>
      <c r="F51" s="35" t="s">
        <v>483</v>
      </c>
      <c r="G51" s="32">
        <v>30</v>
      </c>
      <c r="H51" s="32">
        <v>63</v>
      </c>
      <c r="I51" s="84">
        <f t="shared" si="0"/>
        <v>93</v>
      </c>
      <c r="J51" s="37">
        <v>2345202</v>
      </c>
      <c r="K51" s="37">
        <v>608269</v>
      </c>
      <c r="L51" s="37">
        <v>0</v>
      </c>
      <c r="M51" s="38">
        <f>I51/(HLOOKUP(F51,Team_Composition_23[[#All],[Yellow]:[Red]],10,FALSE)+HLOOKUP(F51,Team_Composition_23[[#All],[Yellow]:[Red]],11,FALSE))</f>
        <v>0.11327649208282582</v>
      </c>
      <c r="N51" s="38">
        <f>J51/HLOOKUP(F51,Team_Composition_23[[#All],[Yellow]:[Red]],6,FALSE)</f>
        <v>0.13290723562309847</v>
      </c>
      <c r="O51" s="38">
        <f>K51/HLOOKUP(F51,Team_Composition_23[[#All],[Yellow]:[Red]],8,FALSE)</f>
        <v>1.3819289730915197E-2</v>
      </c>
      <c r="P51" s="38">
        <f>L51/HLOOKUP(F51,Team_Composition_23[[#All],[Yellow]:[Red]],7,FALSE)</f>
        <v>0</v>
      </c>
      <c r="Q51" s="31"/>
      <c r="R51" s="45" t="s">
        <v>468</v>
      </c>
      <c r="S51" s="46">
        <f>SUMIFS(Scoreboard_44[Damage Dealt],Scoreboard_44[Role],"Tank",Scoreboard_44[Team],"Yellow")</f>
        <v>673446</v>
      </c>
      <c r="T51" s="47">
        <f>SUMIFS(Scoreboard_44[Damage Dealt],Scoreboard_44[Role],"Tank",Scoreboard_44[Team],"Red")</f>
        <v>1138893</v>
      </c>
      <c r="U51" s="31"/>
      <c r="V51" s="31"/>
      <c r="W51" s="31"/>
      <c r="X51" s="31"/>
      <c r="Y51" s="31"/>
      <c r="Z51" s="31"/>
      <c r="AA51" s="31"/>
      <c r="AB51" s="45" t="s">
        <v>468</v>
      </c>
      <c r="AC51" s="50">
        <f>SUMIFS(Scoreboard_44[Damage Dealt],Scoreboard_44[Role],"Tank",Scoreboard_44[Guild],"House Regard")</f>
        <v>1376060</v>
      </c>
      <c r="AD51" s="51">
        <f>SUMIFS(Scoreboard_44[Damage Dealt],Scoreboard_44[Role],"Tank",Scoreboard_44[Guild],"Undercooked")</f>
        <v>436279</v>
      </c>
    </row>
    <row r="52" spans="1:30" ht="22.5" customHeight="1">
      <c r="A52" s="32">
        <v>35</v>
      </c>
      <c r="B52" s="60" t="str">
        <f>VLOOKUP(C52,Lists!I:J,2,FALSE)</f>
        <v>Ranged DPS</v>
      </c>
      <c r="C52" s="34" t="str">
        <f>VLOOKUP(E52&amp;D52,Lists!C:E,3,FALSE)</f>
        <v>Staff/Dagger</v>
      </c>
      <c r="D52" s="35" t="s">
        <v>40</v>
      </c>
      <c r="E52" s="36" t="s">
        <v>76</v>
      </c>
      <c r="F52" s="35" t="s">
        <v>476</v>
      </c>
      <c r="G52" s="32">
        <v>3</v>
      </c>
      <c r="H52" s="32">
        <v>22</v>
      </c>
      <c r="I52" s="84">
        <f t="shared" si="0"/>
        <v>25</v>
      </c>
      <c r="J52" s="37">
        <v>816150</v>
      </c>
      <c r="K52" s="37">
        <v>604437</v>
      </c>
      <c r="L52" s="37">
        <v>10567</v>
      </c>
      <c r="M52" s="38">
        <f>I52/(HLOOKUP(F52,Team_Composition_23[[#All],[Yellow]:[Red]],10,FALSE)+HLOOKUP(F52,Team_Composition_23[[#All],[Yellow]:[Red]],11,FALSE))</f>
        <v>6.2484378905273679E-3</v>
      </c>
      <c r="N52" s="38">
        <f>J52/HLOOKUP(F52,Team_Composition_23[[#All],[Yellow]:[Red]],6,FALSE)</f>
        <v>1.8396842582017313E-2</v>
      </c>
      <c r="O52" s="38">
        <f>K52/HLOOKUP(F52,Team_Composition_23[[#All],[Yellow]:[Red]],8,FALSE)</f>
        <v>3.4502264800317234E-2</v>
      </c>
      <c r="P52" s="38">
        <f>L52/HLOOKUP(F52,Team_Composition_23[[#All],[Yellow]:[Red]],7,FALSE)</f>
        <v>8.1631398122516464E-4</v>
      </c>
      <c r="Q52" s="31"/>
      <c r="R52" s="45" t="s">
        <v>469</v>
      </c>
      <c r="S52" s="46">
        <f>SUMIFS(Scoreboard_44[Damage Taken],Scoreboard_44[Role],"Tank",Scoreboard_44[Team],"Yellow")</f>
        <v>5256331</v>
      </c>
      <c r="T52" s="47">
        <f>SUMIFS(Scoreboard_44[Damage Taken],Scoreboard_44[Role],"Tank",Scoreboard_44[Team],"Red")</f>
        <v>3991266</v>
      </c>
      <c r="U52" s="31"/>
      <c r="V52" s="31"/>
      <c r="W52" s="31"/>
      <c r="X52" s="31"/>
      <c r="Y52" s="31"/>
      <c r="Z52" s="31"/>
      <c r="AA52" s="31"/>
      <c r="AB52" s="45" t="s">
        <v>469</v>
      </c>
      <c r="AC52" s="50">
        <f>SUMIFS(Scoreboard_44[Damage Taken],Scoreboard_44[Role],"Tank",Scoreboard_44[Guild],"House Regard")</f>
        <v>5603694</v>
      </c>
      <c r="AD52" s="51">
        <f>SUMIFS(Scoreboard_44[Damage Taken],Scoreboard_44[Role],"Tank",Scoreboard_44[Guild],"Undercooked")</f>
        <v>3643903</v>
      </c>
    </row>
    <row r="53" spans="1:30" ht="22.5" customHeight="1">
      <c r="A53" s="32">
        <v>21</v>
      </c>
      <c r="B53" s="60" t="str">
        <f>VLOOKUP(C53,Lists!I:J,2,FALSE)</f>
        <v>Ranged DPS</v>
      </c>
      <c r="C53" s="34" t="str">
        <f>VLOOKUP(E53&amp;D53,Lists!C:E,3,FALSE)</f>
        <v>Staff/Dagger</v>
      </c>
      <c r="D53" s="35" t="s">
        <v>28</v>
      </c>
      <c r="E53" s="36" t="s">
        <v>371</v>
      </c>
      <c r="F53" s="35" t="s">
        <v>476</v>
      </c>
      <c r="G53" s="32">
        <v>14</v>
      </c>
      <c r="H53" s="32">
        <v>47</v>
      </c>
      <c r="I53" s="84">
        <f t="shared" si="0"/>
        <v>61</v>
      </c>
      <c r="J53" s="37">
        <v>1950298</v>
      </c>
      <c r="K53" s="37">
        <v>665545</v>
      </c>
      <c r="L53" s="37">
        <v>0</v>
      </c>
      <c r="M53" s="38">
        <f>I53/(HLOOKUP(F53,Team_Composition_23[[#All],[Yellow]:[Red]],10,FALSE)+HLOOKUP(F53,Team_Composition_23[[#All],[Yellow]:[Red]],11,FALSE))</f>
        <v>1.5246188452886777E-2</v>
      </c>
      <c r="N53" s="38">
        <f>J53/HLOOKUP(F53,Team_Composition_23[[#All],[Yellow]:[Red]],6,FALSE)</f>
        <v>4.3961680198521348E-2</v>
      </c>
      <c r="O53" s="38">
        <f>K53/HLOOKUP(F53,Team_Composition_23[[#All],[Yellow]:[Red]],8,FALSE)</f>
        <v>3.7990410624311771E-2</v>
      </c>
      <c r="P53" s="38">
        <f>L53/HLOOKUP(F53,Team_Composition_23[[#All],[Yellow]:[Red]],7,FALSE)</f>
        <v>0</v>
      </c>
      <c r="Q53" s="31"/>
      <c r="R53" s="45" t="s">
        <v>470</v>
      </c>
      <c r="S53" s="46">
        <f>SUMIFS(Scoreboard_44[Amount Healed],Scoreboard_44[Role],"Tank",Scoreboard_44[Team],"Yellow")</f>
        <v>679533</v>
      </c>
      <c r="T53" s="47">
        <f>SUMIFS(Scoreboard_44[Amount Healed],Scoreboard_44[Role],"Tank",Scoreboard_44[Team],"Red")</f>
        <v>268882</v>
      </c>
      <c r="U53" s="31"/>
      <c r="V53" s="31"/>
      <c r="W53" s="31"/>
      <c r="X53" s="31"/>
      <c r="Y53" s="31"/>
      <c r="Z53" s="31"/>
      <c r="AA53" s="31"/>
      <c r="AB53" s="45" t="s">
        <v>470</v>
      </c>
      <c r="AC53" s="50">
        <f>SUMIFS(Scoreboard_44[Amount Healed],Scoreboard_44[Role],"Tank",Scoreboard_44[Guild],"House Regard")</f>
        <v>318961</v>
      </c>
      <c r="AD53" s="51">
        <f>SUMIFS(Scoreboard_44[Amount Healed],Scoreboard_44[Role],"Tank",Scoreboard_44[Guild],"Undercooked")</f>
        <v>629454</v>
      </c>
    </row>
    <row r="54" spans="1:30" ht="22.5" customHeight="1">
      <c r="A54" s="32">
        <v>17</v>
      </c>
      <c r="B54" s="60" t="str">
        <f>VLOOKUP(C54,Lists!I:J,2,FALSE)</f>
        <v>Melee DPS</v>
      </c>
      <c r="C54" s="34" t="str">
        <f>VLOOKUP(E54&amp;D54,Lists!C:E,3,FALSE)</f>
        <v>Spear/Dagger</v>
      </c>
      <c r="D54" s="35" t="s">
        <v>28</v>
      </c>
      <c r="E54" s="36" t="s">
        <v>350</v>
      </c>
      <c r="F54" s="35" t="s">
        <v>483</v>
      </c>
      <c r="G54" s="32">
        <v>15</v>
      </c>
      <c r="H54" s="32">
        <v>62</v>
      </c>
      <c r="I54" s="84">
        <f t="shared" si="0"/>
        <v>77</v>
      </c>
      <c r="J54" s="37">
        <v>1643863</v>
      </c>
      <c r="K54" s="37">
        <v>947547</v>
      </c>
      <c r="L54" s="37">
        <v>1476</v>
      </c>
      <c r="M54" s="38">
        <f>I54/(HLOOKUP(F54,Team_Composition_23[[#All],[Yellow]:[Red]],10,FALSE)+HLOOKUP(F54,Team_Composition_23[[#All],[Yellow]:[Red]],11,FALSE))</f>
        <v>9.3788063337393424E-2</v>
      </c>
      <c r="N54" s="38">
        <f>J54/HLOOKUP(F54,Team_Composition_23[[#All],[Yellow]:[Red]],6,FALSE)</f>
        <v>9.3160967401995018E-2</v>
      </c>
      <c r="O54" s="38">
        <f>K54/HLOOKUP(F54,Team_Composition_23[[#All],[Yellow]:[Red]],8,FALSE)</f>
        <v>2.1527361293538719E-2</v>
      </c>
      <c r="P54" s="38">
        <f>L54/HLOOKUP(F54,Team_Composition_23[[#All],[Yellow]:[Red]],7,FALSE)</f>
        <v>6.0819808995307439E-5</v>
      </c>
      <c r="Q54" s="31"/>
      <c r="R54" s="45" t="s">
        <v>465</v>
      </c>
      <c r="S54" s="46">
        <f>SUMIFS(Scoreboard_44[Kills],Scoreboard_44[Role],"Tank",Scoreboard_44[Team],"Yellow")</f>
        <v>4</v>
      </c>
      <c r="T54" s="47">
        <f>SUMIFS(Scoreboard_44[Kills],Scoreboard_44[Role],"Tank",Scoreboard_44[Team],"Red")</f>
        <v>15</v>
      </c>
      <c r="U54" s="31"/>
      <c r="V54" s="31"/>
      <c r="W54" s="31"/>
      <c r="X54" s="31"/>
      <c r="Y54" s="31"/>
      <c r="Z54" s="31"/>
      <c r="AA54" s="31"/>
      <c r="AB54" s="45" t="s">
        <v>465</v>
      </c>
      <c r="AC54" s="50">
        <f>SUMIFS(Scoreboard_44[Kills],Scoreboard_44[Role],"Tank",Scoreboard_44[Guild],"House Regard")</f>
        <v>16</v>
      </c>
      <c r="AD54" s="51">
        <f>SUMIFS(Scoreboard_44[Kills],Scoreboard_44[Role],"Tank",Scoreboard_44[Guild],"Undercooked")</f>
        <v>3</v>
      </c>
    </row>
    <row r="55" spans="1:30" ht="22.5" customHeight="1">
      <c r="A55" s="32">
        <v>34</v>
      </c>
      <c r="B55" s="60" t="str">
        <f>VLOOKUP(C55,Lists!I:J,2,FALSE)</f>
        <v>Ranged DPS</v>
      </c>
      <c r="C55" s="34" t="str">
        <f>VLOOKUP(E55&amp;D55,Lists!C:E,3,FALSE)</f>
        <v>SnS/Wand</v>
      </c>
      <c r="D55" s="35" t="s">
        <v>40</v>
      </c>
      <c r="E55" s="36" t="s">
        <v>186</v>
      </c>
      <c r="F55" s="35" t="s">
        <v>476</v>
      </c>
      <c r="G55" s="32">
        <v>3</v>
      </c>
      <c r="H55" s="32">
        <v>27</v>
      </c>
      <c r="I55" s="84">
        <f t="shared" si="0"/>
        <v>30</v>
      </c>
      <c r="J55" s="37">
        <v>1023486</v>
      </c>
      <c r="K55" s="37">
        <v>743465</v>
      </c>
      <c r="L55" s="37">
        <v>430461</v>
      </c>
      <c r="M55" s="38">
        <f>I55/(HLOOKUP(F55,Team_Composition_23[[#All],[Yellow]:[Red]],10,FALSE)+HLOOKUP(F55,Team_Composition_23[[#All],[Yellow]:[Red]],11,FALSE))</f>
        <v>7.4981254686328422E-3</v>
      </c>
      <c r="N55" s="38">
        <f>J55/HLOOKUP(F55,Team_Composition_23[[#All],[Yellow]:[Red]],6,FALSE)</f>
        <v>2.3070404737975336E-2</v>
      </c>
      <c r="O55" s="38">
        <f>K55/HLOOKUP(F55,Team_Composition_23[[#All],[Yellow]:[Red]],8,FALSE)</f>
        <v>4.2438213245992312E-2</v>
      </c>
      <c r="P55" s="38">
        <f>L55/HLOOKUP(F55,Team_Composition_23[[#All],[Yellow]:[Red]],7,FALSE)</f>
        <v>3.3253651241806154E-2</v>
      </c>
      <c r="Q55" s="31"/>
      <c r="R55" s="45" t="s">
        <v>466</v>
      </c>
      <c r="S55" s="46">
        <f>SUMIFS(Scoreboard_44[Assists],Scoreboard_44[Role],"Tank",Scoreboard_44[Team],"Yellow")</f>
        <v>99</v>
      </c>
      <c r="T55" s="47">
        <f>SUMIFS(Scoreboard_44[Assists],Scoreboard_44[Role],"Tank",Scoreboard_44[Team],"Red")</f>
        <v>171</v>
      </c>
      <c r="U55" s="31"/>
      <c r="V55" s="31"/>
      <c r="W55" s="31"/>
      <c r="X55" s="31"/>
      <c r="Y55" s="31"/>
      <c r="Z55" s="31"/>
      <c r="AA55" s="31"/>
      <c r="AB55" s="45" t="s">
        <v>466</v>
      </c>
      <c r="AC55" s="50">
        <f>SUMIFS(Scoreboard_44[Assists],Scoreboard_44[Role],"Tank",Scoreboard_44[Guild],"House Regard")</f>
        <v>198</v>
      </c>
      <c r="AD55" s="51">
        <f>SUMIFS(Scoreboard_44[Assists],Scoreboard_44[Role],"Tank",Scoreboard_44[Guild],"Undercooked")</f>
        <v>72</v>
      </c>
    </row>
    <row r="56" spans="1:30" ht="22.5" customHeight="1">
      <c r="A56" s="32">
        <v>33</v>
      </c>
      <c r="B56" s="60" t="str">
        <f>VLOOKUP(C56,Lists!I:J,2,FALSE)</f>
        <v>Tank</v>
      </c>
      <c r="C56" s="34" t="str">
        <f>VLOOKUP(E56&amp;D56,Lists!C:E,3,FALSE)</f>
        <v>SnS/Spear</v>
      </c>
      <c r="D56" s="35" t="s">
        <v>40</v>
      </c>
      <c r="E56" s="36" t="s">
        <v>61</v>
      </c>
      <c r="F56" s="35" t="s">
        <v>483</v>
      </c>
      <c r="G56" s="32">
        <v>3</v>
      </c>
      <c r="H56" s="32">
        <v>29</v>
      </c>
      <c r="I56" s="84">
        <f t="shared" si="0"/>
        <v>32</v>
      </c>
      <c r="J56" s="37">
        <v>172558</v>
      </c>
      <c r="K56" s="37">
        <v>259730</v>
      </c>
      <c r="L56" s="37">
        <v>12903</v>
      </c>
      <c r="M56" s="38">
        <f>I56/(HLOOKUP(F56,Team_Composition_23[[#All],[Yellow]:[Red]],10,FALSE)+HLOOKUP(F56,Team_Composition_23[[#All],[Yellow]:[Red]],11,FALSE))</f>
        <v>3.8976857490864797E-2</v>
      </c>
      <c r="N56" s="38">
        <f>J56/HLOOKUP(F56,Team_Composition_23[[#All],[Yellow]:[Red]],6,FALSE)</f>
        <v>9.7792031409876957E-3</v>
      </c>
      <c r="O56" s="38">
        <f>K56/HLOOKUP(F56,Team_Composition_23[[#All],[Yellow]:[Red]],8,FALSE)</f>
        <v>5.9008171085664467E-3</v>
      </c>
      <c r="P56" s="38">
        <f>L56/HLOOKUP(F56,Team_Composition_23[[#All],[Yellow]:[Red]],7,FALSE)</f>
        <v>5.3167885871710833E-4</v>
      </c>
      <c r="Q56" s="31"/>
      <c r="R56" s="45" t="s">
        <v>62</v>
      </c>
      <c r="S56" s="46">
        <f t="shared" ref="S56:S60" si="10">COUNTIFS(C:C,R56,F:F,"Yellow")</f>
        <v>0</v>
      </c>
      <c r="T56" s="47">
        <f t="shared" ref="T56:T60" si="11">COUNTIFS(C:C,R56,F:F,"Red")</f>
        <v>2</v>
      </c>
      <c r="U56" s="31"/>
      <c r="V56" s="31"/>
      <c r="W56" s="31"/>
      <c r="X56" s="31"/>
      <c r="Y56" s="31"/>
      <c r="Z56" s="31"/>
      <c r="AA56" s="31"/>
      <c r="AB56" s="45" t="s">
        <v>62</v>
      </c>
      <c r="AC56" s="50">
        <f t="shared" ref="AC56:AC60" si="12">COUNTIFS(C:C,AB56,D:D,"House Regard")</f>
        <v>2</v>
      </c>
      <c r="AD56" s="51">
        <f t="shared" ref="AD56:AD60" si="13">COUNTIFS(C:C,AB56,D:D,"Undercooked")</f>
        <v>0</v>
      </c>
    </row>
    <row r="57" spans="1:30" ht="22.5" customHeight="1">
      <c r="A57" s="32">
        <v>32</v>
      </c>
      <c r="B57" s="60" t="str">
        <f>VLOOKUP(C57,Lists!I:J,2,FALSE)</f>
        <v>Tank</v>
      </c>
      <c r="C57" s="34" t="str">
        <f>VLOOKUP(E57&amp;D57,Lists!C:E,3,FALSE)</f>
        <v>SnS/Spear</v>
      </c>
      <c r="D57" s="35" t="s">
        <v>40</v>
      </c>
      <c r="E57" s="36" t="s">
        <v>79</v>
      </c>
      <c r="F57" s="35" t="s">
        <v>483</v>
      </c>
      <c r="G57" s="32">
        <v>3</v>
      </c>
      <c r="H57" s="32">
        <v>29</v>
      </c>
      <c r="I57" s="84">
        <f t="shared" si="0"/>
        <v>32</v>
      </c>
      <c r="J57" s="37">
        <v>265219</v>
      </c>
      <c r="K57" s="37">
        <v>477117</v>
      </c>
      <c r="L57" s="37">
        <v>34242</v>
      </c>
      <c r="M57" s="38">
        <f>I57/(HLOOKUP(F57,Team_Composition_23[[#All],[Yellow]:[Red]],10,FALSE)+HLOOKUP(F57,Team_Composition_23[[#All],[Yellow]:[Red]],11,FALSE))</f>
        <v>3.8976857490864797E-2</v>
      </c>
      <c r="N57" s="38">
        <f>J57/HLOOKUP(F57,Team_Composition_23[[#All],[Yellow]:[Red]],6,FALSE)</f>
        <v>1.5030485273644895E-2</v>
      </c>
      <c r="O57" s="38">
        <f>K57/HLOOKUP(F57,Team_Composition_23[[#All],[Yellow]:[Red]],8,FALSE)</f>
        <v>1.0839641767943239E-2</v>
      </c>
      <c r="P57" s="38">
        <f>L57/HLOOKUP(F57,Team_Composition_23[[#All],[Yellow]:[Red]],7,FALSE)</f>
        <v>1.4109701216919494E-3</v>
      </c>
      <c r="Q57" s="31"/>
      <c r="R57" s="45" t="s">
        <v>70</v>
      </c>
      <c r="S57" s="46">
        <f t="shared" si="10"/>
        <v>0</v>
      </c>
      <c r="T57" s="47">
        <f t="shared" si="11"/>
        <v>1</v>
      </c>
      <c r="U57" s="31"/>
      <c r="V57" s="31"/>
      <c r="W57" s="31"/>
      <c r="X57" s="31"/>
      <c r="Y57" s="31"/>
      <c r="Z57" s="31"/>
      <c r="AA57" s="31"/>
      <c r="AB57" s="45" t="s">
        <v>70</v>
      </c>
      <c r="AC57" s="50">
        <f t="shared" si="12"/>
        <v>1</v>
      </c>
      <c r="AD57" s="51">
        <f t="shared" si="13"/>
        <v>0</v>
      </c>
    </row>
    <row r="58" spans="1:30" ht="22.5" customHeight="1">
      <c r="A58" s="32">
        <v>84</v>
      </c>
      <c r="B58" s="60" t="str">
        <f>VLOOKUP(C58,Lists!I:J,2,FALSE)</f>
        <v>Tank</v>
      </c>
      <c r="C58" s="34" t="str">
        <f>VLOOKUP(E58&amp;D58,Lists!C:E,3,FALSE)</f>
        <v>SnS/Longbow</v>
      </c>
      <c r="D58" s="35" t="s">
        <v>28</v>
      </c>
      <c r="E58" s="36" t="s">
        <v>390</v>
      </c>
      <c r="F58" s="35" t="s">
        <v>476</v>
      </c>
      <c r="G58" s="32">
        <v>0</v>
      </c>
      <c r="H58" s="32">
        <v>8</v>
      </c>
      <c r="I58" s="84">
        <f t="shared" si="0"/>
        <v>8</v>
      </c>
      <c r="J58" s="37">
        <v>30755</v>
      </c>
      <c r="K58" s="37">
        <v>581180</v>
      </c>
      <c r="L58" s="37">
        <v>181590</v>
      </c>
      <c r="M58" s="38">
        <f>I58/(HLOOKUP(F58,Team_Composition_23[[#All],[Yellow]:[Red]],10,FALSE)+HLOOKUP(F58,Team_Composition_23[[#All],[Yellow]:[Red]],11,FALSE))</f>
        <v>1.999500124968758E-3</v>
      </c>
      <c r="N58" s="38">
        <f>J58/HLOOKUP(F58,Team_Composition_23[[#All],[Yellow]:[Red]],6,FALSE)</f>
        <v>6.9324865969483851E-4</v>
      </c>
      <c r="O58" s="38">
        <f>K58/HLOOKUP(F58,Team_Composition_23[[#All],[Yellow]:[Red]],8,FALSE)</f>
        <v>3.3174716730855938E-2</v>
      </c>
      <c r="P58" s="38">
        <f>L58/HLOOKUP(F58,Team_Composition_23[[#All],[Yellow]:[Red]],7,FALSE)</f>
        <v>1.402805487372742E-2</v>
      </c>
      <c r="Q58" s="31"/>
      <c r="R58" s="45" t="s">
        <v>14</v>
      </c>
      <c r="S58" s="46">
        <f t="shared" si="10"/>
        <v>8</v>
      </c>
      <c r="T58" s="47">
        <f t="shared" si="11"/>
        <v>8</v>
      </c>
      <c r="U58" s="31"/>
      <c r="V58" s="31"/>
      <c r="W58" s="31"/>
      <c r="X58" s="31"/>
      <c r="Y58" s="31"/>
      <c r="Z58" s="31"/>
      <c r="AA58" s="31"/>
      <c r="AB58" s="45" t="s">
        <v>14</v>
      </c>
      <c r="AC58" s="50">
        <f t="shared" si="12"/>
        <v>11</v>
      </c>
      <c r="AD58" s="51">
        <f t="shared" si="13"/>
        <v>5</v>
      </c>
    </row>
    <row r="59" spans="1:30" ht="22.5" customHeight="1">
      <c r="A59" s="32">
        <v>43</v>
      </c>
      <c r="B59" s="60" t="str">
        <f>VLOOKUP(C59,Lists!I:J,2,FALSE)</f>
        <v>Tank</v>
      </c>
      <c r="C59" s="34" t="str">
        <f>VLOOKUP(E59&amp;D59,Lists!C:E,3,FALSE)</f>
        <v>SnS/Greatsword</v>
      </c>
      <c r="D59" s="35" t="s">
        <v>28</v>
      </c>
      <c r="E59" s="36" t="s">
        <v>344</v>
      </c>
      <c r="F59" s="35" t="s">
        <v>476</v>
      </c>
      <c r="G59" s="32">
        <v>1</v>
      </c>
      <c r="H59" s="32">
        <v>10</v>
      </c>
      <c r="I59" s="84">
        <f t="shared" si="0"/>
        <v>11</v>
      </c>
      <c r="J59" s="37">
        <v>53912</v>
      </c>
      <c r="K59" s="37">
        <v>286644</v>
      </c>
      <c r="L59" s="37">
        <v>15646</v>
      </c>
      <c r="M59" s="38">
        <f>I59/(HLOOKUP(F59,Team_Composition_23[[#All],[Yellow]:[Red]],10,FALSE)+HLOOKUP(F59,Team_Composition_23[[#All],[Yellow]:[Red]],11,FALSE))</f>
        <v>2.7493126718320421E-3</v>
      </c>
      <c r="N59" s="38">
        <f>J59/HLOOKUP(F59,Team_Composition_23[[#All],[Yellow]:[Red]],6,FALSE)</f>
        <v>1.2152307508199686E-3</v>
      </c>
      <c r="O59" s="38">
        <f>K59/HLOOKUP(F59,Team_Composition_23[[#All],[Yellow]:[Red]],8,FALSE)</f>
        <v>1.6362114151552823E-2</v>
      </c>
      <c r="P59" s="38">
        <f>L59/HLOOKUP(F59,Team_Composition_23[[#All],[Yellow]:[Red]],7,FALSE)</f>
        <v>1.2086730907777919E-3</v>
      </c>
      <c r="Q59" s="31"/>
      <c r="R59" s="45" t="s">
        <v>73</v>
      </c>
      <c r="S59" s="46">
        <f t="shared" si="10"/>
        <v>3</v>
      </c>
      <c r="T59" s="47">
        <f t="shared" si="11"/>
        <v>0</v>
      </c>
      <c r="U59" s="31"/>
      <c r="V59" s="31"/>
      <c r="W59" s="31"/>
      <c r="X59" s="31"/>
      <c r="Y59" s="31"/>
      <c r="Z59" s="31"/>
      <c r="AA59" s="31"/>
      <c r="AB59" s="45" t="s">
        <v>73</v>
      </c>
      <c r="AC59" s="50">
        <f t="shared" si="12"/>
        <v>0</v>
      </c>
      <c r="AD59" s="51">
        <f t="shared" si="13"/>
        <v>3</v>
      </c>
    </row>
    <row r="60" spans="1:30" ht="22.5" customHeight="1">
      <c r="A60" s="32">
        <v>44</v>
      </c>
      <c r="B60" s="60" t="str">
        <f>VLOOKUP(C60,Lists!I:J,2,FALSE)</f>
        <v>Tank</v>
      </c>
      <c r="C60" s="34" t="str">
        <f>VLOOKUP(E60&amp;D60,Lists!C:E,3,FALSE)</f>
        <v>SnS/Greatsword</v>
      </c>
      <c r="D60" s="35" t="s">
        <v>40</v>
      </c>
      <c r="E60" s="36" t="s">
        <v>185</v>
      </c>
      <c r="F60" s="35" t="s">
        <v>483</v>
      </c>
      <c r="G60" s="32">
        <v>1</v>
      </c>
      <c r="H60" s="32">
        <v>10</v>
      </c>
      <c r="I60" s="84">
        <f t="shared" si="0"/>
        <v>11</v>
      </c>
      <c r="J60" s="37">
        <v>29951</v>
      </c>
      <c r="K60" s="37">
        <v>143634</v>
      </c>
      <c r="L60" s="37">
        <v>23103</v>
      </c>
      <c r="M60" s="38">
        <f>I60/(HLOOKUP(F60,Team_Composition_23[[#All],[Yellow]:[Red]],10,FALSE)+HLOOKUP(F60,Team_Composition_23[[#All],[Yellow]:[Red]],11,FALSE))</f>
        <v>1.3398294762484775E-2</v>
      </c>
      <c r="N60" s="38">
        <f>J60/HLOOKUP(F60,Team_Composition_23[[#All],[Yellow]:[Red]],6,FALSE)</f>
        <v>1.6973824063545155E-3</v>
      </c>
      <c r="O60" s="38">
        <f>K60/HLOOKUP(F60,Team_Composition_23[[#All],[Yellow]:[Red]],8,FALSE)</f>
        <v>3.2632270610704695E-3</v>
      </c>
      <c r="P60" s="38">
        <f>L60/HLOOKUP(F60,Team_Composition_23[[#All],[Yellow]:[Red]],7,FALSE)</f>
        <v>9.5197835177411095E-4</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88</v>
      </c>
      <c r="B61" s="60" t="str">
        <f>VLOOKUP(C61,Lists!I:J,2,FALSE)</f>
        <v>Tank</v>
      </c>
      <c r="C61" s="34" t="str">
        <f>VLOOKUP(E61&amp;D61,Lists!C:E,3,FALSE)</f>
        <v>SnS/Greatsword</v>
      </c>
      <c r="D61" s="35" t="s">
        <v>28</v>
      </c>
      <c r="E61" s="36" t="s">
        <v>385</v>
      </c>
      <c r="F61" s="35" t="s">
        <v>483</v>
      </c>
      <c r="G61" s="32">
        <v>0</v>
      </c>
      <c r="H61" s="32">
        <v>6</v>
      </c>
      <c r="I61" s="84">
        <f t="shared" si="0"/>
        <v>6</v>
      </c>
      <c r="J61" s="37">
        <v>23223</v>
      </c>
      <c r="K61" s="37">
        <v>315798</v>
      </c>
      <c r="L61" s="37">
        <v>36572</v>
      </c>
      <c r="M61" s="38">
        <f>I61/(HLOOKUP(F61,Team_Composition_23[[#All],[Yellow]:[Red]],10,FALSE)+HLOOKUP(F61,Team_Composition_23[[#All],[Yellow]:[Red]],11,FALSE))</f>
        <v>7.3081607795371494E-3</v>
      </c>
      <c r="N61" s="38">
        <f>J61/HLOOKUP(F61,Team_Composition_23[[#All],[Yellow]:[Red]],6,FALSE)</f>
        <v>1.3160933398808359E-3</v>
      </c>
      <c r="O61" s="38">
        <f>K61/HLOOKUP(F61,Team_Composition_23[[#All],[Yellow]:[Red]],8,FALSE)</f>
        <v>7.1746284266394596E-3</v>
      </c>
      <c r="P61" s="38">
        <f>L61/HLOOKUP(F61,Team_Composition_23[[#All],[Yellow]:[Red]],7,FALSE)</f>
        <v>1.5069797117726177E-3</v>
      </c>
      <c r="Q61" s="31"/>
      <c r="R61" s="48"/>
      <c r="S61" s="63"/>
      <c r="T61" s="63"/>
      <c r="U61" s="31"/>
      <c r="V61" s="31"/>
      <c r="W61" s="31"/>
      <c r="X61" s="31"/>
      <c r="Y61" s="31"/>
      <c r="Z61" s="31"/>
      <c r="AA61" s="31"/>
      <c r="AB61" s="48"/>
      <c r="AC61" s="63"/>
      <c r="AD61" s="63"/>
    </row>
    <row r="62" spans="1:30" ht="22.5" customHeight="1">
      <c r="A62" s="32">
        <v>91</v>
      </c>
      <c r="B62" s="60" t="str">
        <f>VLOOKUP(C62,Lists!I:J,2,FALSE)</f>
        <v>Tank</v>
      </c>
      <c r="C62" s="34" t="str">
        <f>VLOOKUP(E62&amp;D62,Lists!C:E,3,FALSE)</f>
        <v>SnS/Greatsword</v>
      </c>
      <c r="D62" s="35" t="s">
        <v>40</v>
      </c>
      <c r="E62" s="36" t="s">
        <v>118</v>
      </c>
      <c r="F62" s="35" t="s">
        <v>483</v>
      </c>
      <c r="G62" s="32">
        <v>0</v>
      </c>
      <c r="H62" s="32">
        <v>5</v>
      </c>
      <c r="I62" s="84">
        <f t="shared" si="0"/>
        <v>5</v>
      </c>
      <c r="J62" s="37">
        <v>34485</v>
      </c>
      <c r="K62" s="37">
        <v>347906</v>
      </c>
      <c r="L62" s="37">
        <v>21347</v>
      </c>
      <c r="M62" s="38">
        <f>I62/(HLOOKUP(F62,Team_Composition_23[[#All],[Yellow]:[Red]],10,FALSE)+HLOOKUP(F62,Team_Composition_23[[#All],[Yellow]:[Red]],11,FALSE))</f>
        <v>6.0901339829476245E-3</v>
      </c>
      <c r="N62" s="38">
        <f>J62/HLOOKUP(F62,Team_Composition_23[[#All],[Yellow]:[Red]],6,FALSE)</f>
        <v>1.9543331535887107E-3</v>
      </c>
      <c r="O62" s="38">
        <f>K62/HLOOKUP(F62,Team_Composition_23[[#All],[Yellow]:[Red]],8,FALSE)</f>
        <v>7.9040914679587206E-3</v>
      </c>
      <c r="P62" s="38">
        <f>L62/HLOOKUP(F62,Team_Composition_23[[#All],[Yellow]:[Red]],7,FALSE)</f>
        <v>8.7962090963606223E-4</v>
      </c>
      <c r="Q62" s="31"/>
      <c r="R62" s="31"/>
      <c r="S62" s="64"/>
      <c r="T62" s="64"/>
      <c r="U62" s="31"/>
      <c r="V62" s="31"/>
      <c r="W62" s="31"/>
      <c r="X62" s="31"/>
      <c r="Y62" s="31"/>
      <c r="Z62" s="31"/>
      <c r="AA62" s="31"/>
      <c r="AB62" s="31"/>
      <c r="AC62" s="64"/>
      <c r="AD62" s="64"/>
    </row>
    <row r="63" spans="1:30" ht="22.5" customHeight="1">
      <c r="A63" s="32">
        <v>82</v>
      </c>
      <c r="B63" s="60" t="str">
        <f>VLOOKUP(C63,Lists!I:J,2,FALSE)</f>
        <v>Tank</v>
      </c>
      <c r="C63" s="34" t="str">
        <f>VLOOKUP(E63&amp;D63,Lists!C:E,3,FALSE)</f>
        <v>SnS/Greatsword</v>
      </c>
      <c r="D63" s="35" t="s">
        <v>40</v>
      </c>
      <c r="E63" s="36" t="s">
        <v>163</v>
      </c>
      <c r="F63" s="35" t="s">
        <v>476</v>
      </c>
      <c r="G63" s="32">
        <v>0</v>
      </c>
      <c r="H63" s="32">
        <v>8</v>
      </c>
      <c r="I63" s="84">
        <f t="shared" si="0"/>
        <v>8</v>
      </c>
      <c r="J63" s="37">
        <v>49002</v>
      </c>
      <c r="K63" s="37">
        <v>759120</v>
      </c>
      <c r="L63" s="37">
        <v>26173</v>
      </c>
      <c r="M63" s="38">
        <f>I63/(HLOOKUP(F63,Team_Composition_23[[#All],[Yellow]:[Red]],10,FALSE)+HLOOKUP(F63,Team_Composition_23[[#All],[Yellow]:[Red]],11,FALSE))</f>
        <v>1.999500124968758E-3</v>
      </c>
      <c r="N63" s="38">
        <f>J63/HLOOKUP(F63,Team_Composition_23[[#All],[Yellow]:[Red]],6,FALSE)</f>
        <v>1.1045544081406755E-3</v>
      </c>
      <c r="O63" s="38">
        <f>K63/HLOOKUP(F63,Team_Composition_23[[#All],[Yellow]:[Red]],8,FALSE)</f>
        <v>4.3331826567891807E-2</v>
      </c>
      <c r="P63" s="38">
        <f>L63/HLOOKUP(F63,Team_Composition_23[[#All],[Yellow]:[Red]],7,FALSE)</f>
        <v>2.0218970219178798E-3</v>
      </c>
      <c r="Q63" s="31"/>
      <c r="R63" s="227" t="s">
        <v>11</v>
      </c>
      <c r="S63" s="228"/>
      <c r="T63" s="228"/>
      <c r="U63" s="31"/>
      <c r="V63" s="31"/>
      <c r="W63" s="31"/>
      <c r="X63" s="31"/>
      <c r="Y63" s="31"/>
      <c r="Z63" s="31"/>
      <c r="AA63" s="31"/>
      <c r="AB63" s="227" t="s">
        <v>11</v>
      </c>
      <c r="AC63" s="228"/>
      <c r="AD63" s="228"/>
    </row>
    <row r="64" spans="1:30" ht="22.5" customHeight="1">
      <c r="A64" s="32">
        <v>30</v>
      </c>
      <c r="B64" s="60" t="str">
        <f>VLOOKUP(C64,Lists!I:J,2,FALSE)</f>
        <v>Tank</v>
      </c>
      <c r="C64" s="34" t="str">
        <f>VLOOKUP(E64&amp;D64,Lists!C:E,3,FALSE)</f>
        <v>SnS/Greatsword</v>
      </c>
      <c r="D64" s="35" t="s">
        <v>40</v>
      </c>
      <c r="E64" s="36" t="s">
        <v>173</v>
      </c>
      <c r="F64" s="35" t="s">
        <v>483</v>
      </c>
      <c r="G64" s="32">
        <v>5</v>
      </c>
      <c r="H64" s="32">
        <v>22</v>
      </c>
      <c r="I64" s="84">
        <f t="shared" si="0"/>
        <v>27</v>
      </c>
      <c r="J64" s="37">
        <v>314645</v>
      </c>
      <c r="K64" s="37">
        <v>550921</v>
      </c>
      <c r="L64" s="37">
        <v>49637</v>
      </c>
      <c r="M64" s="38">
        <f>I64/(HLOOKUP(F64,Team_Composition_23[[#All],[Yellow]:[Red]],10,FALSE)+HLOOKUP(F64,Team_Composition_23[[#All],[Yellow]:[Red]],11,FALSE))</f>
        <v>3.2886723507917173E-2</v>
      </c>
      <c r="N64" s="38">
        <f>J64/HLOOKUP(F64,Team_Composition_23[[#All],[Yellow]:[Red]],6,FALSE)</f>
        <v>1.7831554447177607E-2</v>
      </c>
      <c r="O64" s="38">
        <f>K64/HLOOKUP(F64,Team_Composition_23[[#All],[Yellow]:[Red]],8,FALSE)</f>
        <v>1.2516398037456342E-2</v>
      </c>
      <c r="P64" s="38">
        <f>L64/HLOOKUP(F64,Team_Composition_23[[#All],[Yellow]:[Red]],7,FALSE)</f>
        <v>2.0453339153794548E-3</v>
      </c>
      <c r="Q64" s="31"/>
      <c r="R64" s="41" t="s">
        <v>482</v>
      </c>
      <c r="S64" s="42" t="s">
        <v>476</v>
      </c>
      <c r="T64" s="42" t="s">
        <v>483</v>
      </c>
      <c r="U64" s="31"/>
      <c r="V64" s="31"/>
      <c r="W64" s="31"/>
      <c r="X64" s="31"/>
      <c r="Y64" s="31"/>
      <c r="Z64" s="31"/>
      <c r="AA64" s="31"/>
      <c r="AB64" s="41" t="s">
        <v>482</v>
      </c>
      <c r="AC64" s="42" t="s">
        <v>485</v>
      </c>
      <c r="AD64" s="42" t="s">
        <v>28</v>
      </c>
    </row>
    <row r="65" spans="1:30" ht="22.5" customHeight="1">
      <c r="A65" s="32">
        <v>89</v>
      </c>
      <c r="B65" s="60" t="str">
        <f>VLOOKUP(C65,Lists!I:J,2,FALSE)</f>
        <v>Tank</v>
      </c>
      <c r="C65" s="34" t="str">
        <f>VLOOKUP(E65&amp;D65,Lists!C:E,3,FALSE)</f>
        <v>SnS/Greatsword</v>
      </c>
      <c r="D65" s="35" t="s">
        <v>40</v>
      </c>
      <c r="E65" s="36" t="s">
        <v>148</v>
      </c>
      <c r="F65" s="35" t="s">
        <v>476</v>
      </c>
      <c r="G65" s="32">
        <v>0</v>
      </c>
      <c r="H65" s="32">
        <v>5</v>
      </c>
      <c r="I65" s="84">
        <f t="shared" si="0"/>
        <v>5</v>
      </c>
      <c r="J65" s="37">
        <v>35979</v>
      </c>
      <c r="K65" s="37">
        <v>324525</v>
      </c>
      <c r="L65" s="37">
        <v>14558</v>
      </c>
      <c r="M65" s="38">
        <f>I65/(HLOOKUP(F65,Team_Composition_23[[#All],[Yellow]:[Red]],10,FALSE)+HLOOKUP(F65,Team_Composition_23[[#All],[Yellow]:[Red]],11,FALSE))</f>
        <v>1.2496875781054736E-3</v>
      </c>
      <c r="N65" s="38">
        <f>J65/HLOOKUP(F65,Team_Composition_23[[#All],[Yellow]:[Red]],6,FALSE)</f>
        <v>8.110028784640089E-4</v>
      </c>
      <c r="O65" s="38">
        <f>K65/HLOOKUP(F65,Team_Composition_23[[#All],[Yellow]:[Red]],8,FALSE)</f>
        <v>1.8524424355760735E-2</v>
      </c>
      <c r="P65" s="38">
        <f>L65/HLOOKUP(F65,Team_Composition_23[[#All],[Yellow]:[Red]],7,FALSE)</f>
        <v>1.1246237284637027E-3</v>
      </c>
      <c r="Q65" s="31"/>
      <c r="R65" s="45" t="s">
        <v>468</v>
      </c>
      <c r="S65" s="46">
        <f>SUMIFS(Scoreboard_44[Damage Dealt],Scoreboard_44[Role],"Healer",Scoreboard_44[Team],"Yellow")</f>
        <v>384798</v>
      </c>
      <c r="T65" s="47">
        <f>SUMIFS(Scoreboard_44[Damage Dealt],Scoreboard_44[Role],"Healer",Scoreboard_44[Team],"Red")</f>
        <v>445880</v>
      </c>
      <c r="U65" s="31"/>
      <c r="V65" s="31"/>
      <c r="W65" s="31"/>
      <c r="X65" s="31"/>
      <c r="Y65" s="31"/>
      <c r="Z65" s="31"/>
      <c r="AA65" s="31"/>
      <c r="AB65" s="45" t="s">
        <v>468</v>
      </c>
      <c r="AC65" s="50">
        <f>SUMIFS(Scoreboard_44[Damage Dealt],Scoreboard_44[Role],"Healer",Scoreboard_44[Guild],"House Regard")</f>
        <v>465540</v>
      </c>
      <c r="AD65" s="51">
        <f>SUMIFS(Scoreboard_44[Damage Dealt],Scoreboard_44[Role],"Healer",Scoreboard_44[Guild],"Undercooked")</f>
        <v>365138</v>
      </c>
    </row>
    <row r="66" spans="1:30" ht="22.5" customHeight="1">
      <c r="A66" s="32">
        <v>45</v>
      </c>
      <c r="B66" s="60" t="str">
        <f>VLOOKUP(C66,Lists!I:J,2,FALSE)</f>
        <v>Tank</v>
      </c>
      <c r="C66" s="34" t="str">
        <f>VLOOKUP(E66&amp;D66,Lists!C:E,3,FALSE)</f>
        <v>SnS/Greatsword</v>
      </c>
      <c r="D66" s="35" t="s">
        <v>40</v>
      </c>
      <c r="E66" s="36" t="s">
        <v>178</v>
      </c>
      <c r="F66" s="35" t="s">
        <v>483</v>
      </c>
      <c r="G66" s="32">
        <v>1</v>
      </c>
      <c r="H66" s="32">
        <v>9</v>
      </c>
      <c r="I66" s="84">
        <f t="shared" si="0"/>
        <v>10</v>
      </c>
      <c r="J66" s="37">
        <v>31883</v>
      </c>
      <c r="K66" s="37">
        <v>262504</v>
      </c>
      <c r="L66" s="37">
        <v>41108</v>
      </c>
      <c r="M66" s="38">
        <f>I66/(HLOOKUP(F66,Team_Composition_23[[#All],[Yellow]:[Red]],10,FALSE)+HLOOKUP(F66,Team_Composition_23[[#All],[Yellow]:[Red]],11,FALSE))</f>
        <v>1.2180267965895249E-2</v>
      </c>
      <c r="N66" s="38">
        <f>J66/HLOOKUP(F66,Team_Composition_23[[#All],[Yellow]:[Red]],6,FALSE)</f>
        <v>1.8068726674168147E-3</v>
      </c>
      <c r="O66" s="38">
        <f>K66/HLOOKUP(F66,Team_Composition_23[[#All],[Yellow]:[Red]],8,FALSE)</f>
        <v>5.9638397345979539E-3</v>
      </c>
      <c r="P66" s="38">
        <f>L66/HLOOKUP(F66,Team_Composition_23[[#All],[Yellow]:[Red]],7,FALSE)</f>
        <v>1.6938893686850259E-3</v>
      </c>
      <c r="Q66" s="31"/>
      <c r="R66" s="45" t="s">
        <v>469</v>
      </c>
      <c r="S66" s="46">
        <f>SUMIFS(Scoreboard_44[Damage Taken],Scoreboard_44[Role],"Healer",Scoreboard_44[Team],"Yellow")</f>
        <v>5292346</v>
      </c>
      <c r="T66" s="47">
        <f>SUMIFS(Scoreboard_44[Damage Taken],Scoreboard_44[Role],"Healer",Scoreboard_44[Team],"Red")</f>
        <v>4735726</v>
      </c>
      <c r="U66" s="31"/>
      <c r="V66" s="31"/>
      <c r="W66" s="31"/>
      <c r="X66" s="31"/>
      <c r="Y66" s="31"/>
      <c r="Z66" s="31"/>
      <c r="AA66" s="31"/>
      <c r="AB66" s="45" t="s">
        <v>469</v>
      </c>
      <c r="AC66" s="50">
        <f>SUMIFS(Scoreboard_44[Damage Taken],Scoreboard_44[Role],"Healer",Scoreboard_44[Guild],"House Regard")</f>
        <v>4934965</v>
      </c>
      <c r="AD66" s="51">
        <f>SUMIFS(Scoreboard_44[Damage Taken],Scoreboard_44[Role],"Healer",Scoreboard_44[Guild],"Undercooked")</f>
        <v>5093107</v>
      </c>
    </row>
    <row r="67" spans="1:30" ht="22.5" customHeight="1">
      <c r="A67" s="32">
        <v>39</v>
      </c>
      <c r="B67" s="60" t="str">
        <f>VLOOKUP(C67,Lists!I:J,2,FALSE)</f>
        <v>Tank</v>
      </c>
      <c r="C67" s="34" t="str">
        <f>VLOOKUP(E67&amp;D67,Lists!C:E,3,FALSE)</f>
        <v>SnS/Greatsword</v>
      </c>
      <c r="D67" s="35" t="s">
        <v>40</v>
      </c>
      <c r="E67" s="36" t="s">
        <v>150</v>
      </c>
      <c r="F67" s="35" t="s">
        <v>483</v>
      </c>
      <c r="G67" s="32">
        <v>1</v>
      </c>
      <c r="H67" s="32">
        <v>18</v>
      </c>
      <c r="I67" s="84">
        <f t="shared" si="0"/>
        <v>19</v>
      </c>
      <c r="J67" s="37">
        <v>46496</v>
      </c>
      <c r="K67" s="37">
        <v>780660</v>
      </c>
      <c r="L67" s="37">
        <v>34821</v>
      </c>
      <c r="M67" s="38">
        <f>I67/(HLOOKUP(F67,Team_Composition_23[[#All],[Yellow]:[Red]],10,FALSE)+HLOOKUP(F67,Team_Composition_23[[#All],[Yellow]:[Red]],11,FALSE))</f>
        <v>2.3142509135200974E-2</v>
      </c>
      <c r="N67" s="38">
        <f>J67/HLOOKUP(F67,Team_Composition_23[[#All],[Yellow]:[Red]],6,FALSE)</f>
        <v>2.6350202786504474E-3</v>
      </c>
      <c r="O67" s="38">
        <f>K67/HLOOKUP(F67,Team_Composition_23[[#All],[Yellow]:[Red]],8,FALSE)</f>
        <v>1.7735848319306521E-2</v>
      </c>
      <c r="P67" s="38">
        <f>L67/HLOOKUP(F67,Team_Composition_23[[#All],[Yellow]:[Red]],7,FALSE)</f>
        <v>1.4348282987978322E-3</v>
      </c>
      <c r="Q67" s="31"/>
      <c r="R67" s="45" t="s">
        <v>470</v>
      </c>
      <c r="S67" s="46">
        <f>SUMIFS(Scoreboard_44[Amount Healed],Scoreboard_44[Role],"Healer",Scoreboard_44[Team],"Yellow")</f>
        <v>14313614</v>
      </c>
      <c r="T67" s="47">
        <f>SUMIFS(Scoreboard_44[Amount Healed],Scoreboard_44[Role],"Healer",Scoreboard_44[Team],"Red")</f>
        <v>14649843</v>
      </c>
      <c r="U67" s="31"/>
      <c r="V67" s="31"/>
      <c r="W67" s="31"/>
      <c r="X67" s="31"/>
      <c r="Y67" s="31"/>
      <c r="Z67" s="31"/>
      <c r="AA67" s="31"/>
      <c r="AB67" s="45" t="s">
        <v>470</v>
      </c>
      <c r="AC67" s="50">
        <f>SUMIFS(Scoreboard_44[Amount Healed],Scoreboard_44[Role],"Healer",Scoreboard_44[Guild],"House Regard")</f>
        <v>16016569</v>
      </c>
      <c r="AD67" s="51">
        <f>SUMIFS(Scoreboard_44[Amount Healed],Scoreboard_44[Role],"Healer",Scoreboard_44[Guild],"Undercooked")</f>
        <v>12946888</v>
      </c>
    </row>
    <row r="68" spans="1:30" ht="22.5" customHeight="1">
      <c r="A68" s="32">
        <v>87</v>
      </c>
      <c r="B68" s="60" t="str">
        <f>VLOOKUP(C68,Lists!I:J,2,FALSE)</f>
        <v>Tank</v>
      </c>
      <c r="C68" s="34" t="str">
        <f>VLOOKUP(E68&amp;D68,Lists!C:E,3,FALSE)</f>
        <v>SnS/Greatsword</v>
      </c>
      <c r="D68" s="35" t="s">
        <v>28</v>
      </c>
      <c r="E68" s="36" t="s">
        <v>302</v>
      </c>
      <c r="F68" s="35" t="s">
        <v>476</v>
      </c>
      <c r="G68" s="32">
        <v>0</v>
      </c>
      <c r="H68" s="32">
        <v>6</v>
      </c>
      <c r="I68" s="84">
        <f t="shared" si="0"/>
        <v>6</v>
      </c>
      <c r="J68" s="37">
        <v>45878</v>
      </c>
      <c r="K68" s="37">
        <v>456018</v>
      </c>
      <c r="L68" s="37">
        <v>23895</v>
      </c>
      <c r="M68" s="38">
        <f>I68/(HLOOKUP(F68,Team_Composition_23[[#All],[Yellow]:[Red]],10,FALSE)+HLOOKUP(F68,Team_Composition_23[[#All],[Yellow]:[Red]],11,FALSE))</f>
        <v>1.4996250937265683E-3</v>
      </c>
      <c r="N68" s="38">
        <f>J68/HLOOKUP(F68,Team_Composition_23[[#All],[Yellow]:[Red]],6,FALSE)</f>
        <v>1.0341363033483921E-3</v>
      </c>
      <c r="O68" s="38">
        <f>K68/HLOOKUP(F68,Team_Composition_23[[#All],[Yellow]:[Red]],8,FALSE)</f>
        <v>2.6030262524814111E-2</v>
      </c>
      <c r="P68" s="38">
        <f>L68/HLOOKUP(F68,Team_Composition_23[[#All],[Yellow]:[Red]],7,FALSE)</f>
        <v>1.8459186695727557E-3</v>
      </c>
      <c r="Q68" s="31"/>
      <c r="R68" s="45" t="s">
        <v>465</v>
      </c>
      <c r="S68" s="46">
        <f>SUMIFS(Scoreboard_44[Kills],Scoreboard_44[Role],"Healer",Scoreboard_44[Team],"Yellow")</f>
        <v>0</v>
      </c>
      <c r="T68" s="47">
        <f>SUMIFS(Scoreboard_44[Kills],Scoreboard_44[Role],"Healer",Scoreboard_44[Team],"Red")</f>
        <v>2</v>
      </c>
      <c r="U68" s="31"/>
      <c r="V68" s="31"/>
      <c r="W68" s="31"/>
      <c r="X68" s="31"/>
      <c r="Y68" s="31"/>
      <c r="Z68" s="31"/>
      <c r="AA68" s="31"/>
      <c r="AB68" s="45" t="s">
        <v>465</v>
      </c>
      <c r="AC68" s="50">
        <f>SUMIFS(Scoreboard_44[Kills],Scoreboard_44[Role],"Healer",Scoreboard_44[Guild],"House Regard")</f>
        <v>2</v>
      </c>
      <c r="AD68" s="51">
        <f>SUMIFS(Scoreboard_44[Kills],Scoreboard_44[Role],"Healer",Scoreboard_44[Guild],"Undercooked")</f>
        <v>0</v>
      </c>
    </row>
    <row r="69" spans="1:30" ht="22.5" customHeight="1">
      <c r="A69" s="32">
        <v>40</v>
      </c>
      <c r="B69" s="60" t="str">
        <f>VLOOKUP(C69,Lists!I:J,2,FALSE)</f>
        <v>Tank</v>
      </c>
      <c r="C69" s="34" t="str">
        <f>VLOOKUP(E69&amp;D69,Lists!C:E,3,FALSE)</f>
        <v>SnS/Greatsword</v>
      </c>
      <c r="D69" s="35" t="s">
        <v>40</v>
      </c>
      <c r="E69" s="36" t="s">
        <v>93</v>
      </c>
      <c r="F69" s="35" t="s">
        <v>476</v>
      </c>
      <c r="G69" s="32">
        <v>1</v>
      </c>
      <c r="H69" s="32">
        <v>16</v>
      </c>
      <c r="I69" s="84">
        <f t="shared" si="0"/>
        <v>17</v>
      </c>
      <c r="J69" s="37">
        <v>115307</v>
      </c>
      <c r="K69" s="37">
        <v>260702</v>
      </c>
      <c r="L69" s="37">
        <v>14326</v>
      </c>
      <c r="M69" s="38">
        <f>I69/(HLOOKUP(F69,Team_Composition_23[[#All],[Yellow]:[Red]],10,FALSE)+HLOOKUP(F69,Team_Composition_23[[#All],[Yellow]:[Red]],11,FALSE))</f>
        <v>4.2489377655586099E-3</v>
      </c>
      <c r="N69" s="38">
        <f>J69/HLOOKUP(F69,Team_Composition_23[[#All],[Yellow]:[Red]],6,FALSE)</f>
        <v>2.5991358544442448E-3</v>
      </c>
      <c r="O69" s="38">
        <f>K69/HLOOKUP(F69,Team_Composition_23[[#All],[Yellow]:[Red]],8,FALSE)</f>
        <v>1.4881301836208413E-2</v>
      </c>
      <c r="P69" s="38">
        <f>L69/HLOOKUP(F69,Team_Composition_23[[#All],[Yellow]:[Red]],7,FALSE)</f>
        <v>1.1067014379702574E-3</v>
      </c>
      <c r="Q69" s="31"/>
      <c r="R69" s="45" t="s">
        <v>466</v>
      </c>
      <c r="S69" s="46">
        <f>SUMIFS(Scoreboard_44[Assists],Scoreboard_44[Role],"Healer",Scoreboard_44[Team],"Yellow")</f>
        <v>358</v>
      </c>
      <c r="T69" s="47">
        <f>SUMIFS(Scoreboard_44[Assists],Scoreboard_44[Role],"Healer",Scoreboard_44[Team],"Red")</f>
        <v>626</v>
      </c>
      <c r="U69" s="31"/>
      <c r="V69" s="31"/>
      <c r="W69" s="31"/>
      <c r="X69" s="31"/>
      <c r="Y69" s="31"/>
      <c r="Z69" s="31"/>
      <c r="AA69" s="31"/>
      <c r="AB69" s="45" t="s">
        <v>466</v>
      </c>
      <c r="AC69" s="50">
        <f>SUMIFS(Scoreboard_44[Assists],Scoreboard_44[Role],"Healer",Scoreboard_44[Guild],"House Regard")</f>
        <v>586</v>
      </c>
      <c r="AD69" s="51">
        <f>SUMIFS(Scoreboard_44[Kills],Scoreboard_44[Role],"Healer",Scoreboard_44[Guild],"Undercooked")</f>
        <v>0</v>
      </c>
    </row>
    <row r="70" spans="1:30" ht="22.5" customHeight="1">
      <c r="A70" s="32">
        <v>93</v>
      </c>
      <c r="B70" s="60" t="str">
        <f>VLOOKUP(C70,Lists!I:J,2,FALSE)</f>
        <v>Tank</v>
      </c>
      <c r="C70" s="34" t="str">
        <f>VLOOKUP(E70&amp;D70,Lists!C:E,3,FALSE)</f>
        <v>SnS/Greatsword</v>
      </c>
      <c r="D70" s="35" t="s">
        <v>40</v>
      </c>
      <c r="E70" s="36" t="s">
        <v>123</v>
      </c>
      <c r="F70" s="35" t="s">
        <v>476</v>
      </c>
      <c r="G70" s="32">
        <v>0</v>
      </c>
      <c r="H70" s="32">
        <v>4</v>
      </c>
      <c r="I70" s="84">
        <f t="shared" si="0"/>
        <v>4</v>
      </c>
      <c r="J70" s="37">
        <v>60102</v>
      </c>
      <c r="K70" s="37">
        <v>583879</v>
      </c>
      <c r="L70" s="37">
        <v>31594</v>
      </c>
      <c r="M70" s="38">
        <f>I70/(HLOOKUP(F70,Team_Composition_23[[#All],[Yellow]:[Red]],10,FALSE)+HLOOKUP(F70,Team_Composition_23[[#All],[Yellow]:[Red]],11,FALSE))</f>
        <v>9.9975006248437899E-4</v>
      </c>
      <c r="N70" s="38">
        <f>J70/HLOOKUP(F70,Team_Composition_23[[#All],[Yellow]:[Red]],6,FALSE)</f>
        <v>1.354759582018507E-3</v>
      </c>
      <c r="O70" s="38">
        <f>K70/HLOOKUP(F70,Team_Composition_23[[#All],[Yellow]:[Red]],8,FALSE)</f>
        <v>3.3328780119920569E-2</v>
      </c>
      <c r="P70" s="38">
        <f>L70/HLOOKUP(F70,Team_Composition_23[[#All],[Yellow]:[Red]],7,FALSE)</f>
        <v>2.4406760596979134E-3</v>
      </c>
      <c r="Q70" s="31"/>
      <c r="R70" s="45" t="s">
        <v>10</v>
      </c>
      <c r="S70" s="46">
        <f t="shared" ref="S70:S72" si="14">COUNTIFS(C:C,R70,F:F,"Yellow")</f>
        <v>6</v>
      </c>
      <c r="T70" s="47">
        <f t="shared" ref="T70:T72" si="15">COUNTIFS(C:C,R70,F:F,"Red")</f>
        <v>6</v>
      </c>
      <c r="U70" s="31"/>
      <c r="V70" s="31"/>
      <c r="W70" s="31"/>
      <c r="X70" s="31"/>
      <c r="Y70" s="31"/>
      <c r="Z70" s="31"/>
      <c r="AA70" s="31"/>
      <c r="AB70" s="45" t="s">
        <v>10</v>
      </c>
      <c r="AC70" s="50">
        <f t="shared" ref="AC70:AC72" si="16">COUNTIFS(C:C,AB70,D:D,"House Regard")</f>
        <v>6</v>
      </c>
      <c r="AD70" s="70">
        <f t="shared" ref="AD70:AD72" si="17">COUNTIFS(D:D,AC70,D:D,"Undercooked")</f>
        <v>0</v>
      </c>
    </row>
    <row r="71" spans="1:30" ht="22.5" customHeight="1">
      <c r="A71" s="32">
        <v>81</v>
      </c>
      <c r="B71" s="60" t="str">
        <f>VLOOKUP(C71,Lists!I:J,2,FALSE)</f>
        <v>Tank</v>
      </c>
      <c r="C71" s="34" t="s">
        <v>14</v>
      </c>
      <c r="D71" s="35" t="s">
        <v>28</v>
      </c>
      <c r="E71" s="36" t="s">
        <v>503</v>
      </c>
      <c r="F71" s="35" t="s">
        <v>476</v>
      </c>
      <c r="G71" s="32">
        <v>0</v>
      </c>
      <c r="H71" s="32">
        <v>8</v>
      </c>
      <c r="I71" s="84">
        <f t="shared" si="0"/>
        <v>8</v>
      </c>
      <c r="J71" s="37">
        <v>156750</v>
      </c>
      <c r="K71" s="37">
        <v>382097</v>
      </c>
      <c r="L71" s="37">
        <v>20468</v>
      </c>
      <c r="M71" s="38">
        <f>I71/(HLOOKUP(F71,Team_Composition_23[[#All],[Yellow]:[Red]],10,FALSE)+HLOOKUP(F71,Team_Composition_23[[#All],[Yellow]:[Red]],11,FALSE))</f>
        <v>1.999500124968758E-3</v>
      </c>
      <c r="N71" s="38">
        <f>J71/HLOOKUP(F71,Team_Composition_23[[#All],[Yellow]:[Red]],6,FALSE)</f>
        <v>3.5333027932747826E-3</v>
      </c>
      <c r="O71" s="38">
        <f>K71/HLOOKUP(F71,Team_Composition_23[[#All],[Yellow]:[Red]],8,FALSE)</f>
        <v>2.1810729444767304E-2</v>
      </c>
      <c r="P71" s="38">
        <f>L71/HLOOKUP(F71,Team_Composition_23[[#All],[Yellow]:[Red]],7,FALSE)</f>
        <v>1.5811786285338007E-3</v>
      </c>
      <c r="Q71" s="31"/>
      <c r="R71" s="45" t="s">
        <v>9</v>
      </c>
      <c r="S71" s="46">
        <f t="shared" si="14"/>
        <v>8</v>
      </c>
      <c r="T71" s="47">
        <f t="shared" si="15"/>
        <v>11</v>
      </c>
      <c r="U71" s="31"/>
      <c r="V71" s="31"/>
      <c r="W71" s="31"/>
      <c r="X71" s="31"/>
      <c r="Y71" s="31"/>
      <c r="Z71" s="31"/>
      <c r="AA71" s="31"/>
      <c r="AB71" s="45" t="s">
        <v>9</v>
      </c>
      <c r="AC71" s="50">
        <f t="shared" si="16"/>
        <v>10</v>
      </c>
      <c r="AD71" s="70">
        <f t="shared" si="17"/>
        <v>0</v>
      </c>
    </row>
    <row r="72" spans="1:30" ht="22.5" customHeight="1">
      <c r="A72" s="32">
        <v>38</v>
      </c>
      <c r="B72" s="60" t="str">
        <f>VLOOKUP(C72,Lists!I:J,2,FALSE)</f>
        <v>Tank</v>
      </c>
      <c r="C72" s="34" t="str">
        <f>VLOOKUP(E72&amp;D72,Lists!C:E,3,FALSE)</f>
        <v>SnS/Greatsword</v>
      </c>
      <c r="D72" s="35" t="s">
        <v>40</v>
      </c>
      <c r="E72" s="36" t="s">
        <v>184</v>
      </c>
      <c r="F72" s="35" t="s">
        <v>483</v>
      </c>
      <c r="G72" s="32">
        <v>1</v>
      </c>
      <c r="H72" s="32">
        <v>21</v>
      </c>
      <c r="I72" s="84">
        <f t="shared" si="0"/>
        <v>22</v>
      </c>
      <c r="J72" s="37">
        <v>160821</v>
      </c>
      <c r="K72" s="37">
        <v>509454</v>
      </c>
      <c r="L72" s="37">
        <v>11772</v>
      </c>
      <c r="M72" s="38">
        <f>I72/(HLOOKUP(F72,Team_Composition_23[[#All],[Yellow]:[Red]],10,FALSE)+HLOOKUP(F72,Team_Composition_23[[#All],[Yellow]:[Red]],11,FALSE))</f>
        <v>2.679658952496955E-2</v>
      </c>
      <c r="N72" s="38">
        <f>J72/HLOOKUP(F72,Team_Composition_23[[#All],[Yellow]:[Red]],6,FALSE)</f>
        <v>9.1140441378364506E-3</v>
      </c>
      <c r="O72" s="38">
        <f>K72/HLOOKUP(F72,Team_Composition_23[[#All],[Yellow]:[Red]],8,FALSE)</f>
        <v>1.1574307470171373E-2</v>
      </c>
      <c r="P72" s="38">
        <f>L72/HLOOKUP(F72,Team_Composition_23[[#All],[Yellow]:[Red]],7,FALSE)</f>
        <v>4.8507506198696419E-4</v>
      </c>
      <c r="Q72" s="31"/>
      <c r="R72" s="45" t="s">
        <v>18</v>
      </c>
      <c r="S72" s="46">
        <f t="shared" si="14"/>
        <v>0</v>
      </c>
      <c r="T72" s="47">
        <f t="shared" si="15"/>
        <v>0</v>
      </c>
      <c r="U72" s="31"/>
      <c r="V72" s="31"/>
      <c r="W72" s="31"/>
      <c r="X72" s="31"/>
      <c r="Y72" s="31"/>
      <c r="Z72" s="31"/>
      <c r="AA72" s="31"/>
      <c r="AB72" s="45" t="s">
        <v>18</v>
      </c>
      <c r="AC72" s="50">
        <f t="shared" si="16"/>
        <v>0</v>
      </c>
      <c r="AD72" s="70">
        <f t="shared" si="17"/>
        <v>0</v>
      </c>
    </row>
    <row r="73" spans="1:30" ht="22.5" customHeight="1">
      <c r="A73" s="32">
        <v>78</v>
      </c>
      <c r="B73" s="60" t="str">
        <f>VLOOKUP(C73,Lists!I:J,2,FALSE)</f>
        <v>Tank</v>
      </c>
      <c r="C73" s="34" t="str">
        <f>VLOOKUP(E73&amp;D73,Lists!C:E,3,FALSE)</f>
        <v>SnS/Greatsword</v>
      </c>
      <c r="D73" s="35" t="s">
        <v>40</v>
      </c>
      <c r="E73" s="36" t="s">
        <v>109</v>
      </c>
      <c r="F73" s="35" t="s">
        <v>483</v>
      </c>
      <c r="G73" s="32">
        <v>0</v>
      </c>
      <c r="H73" s="32">
        <v>11</v>
      </c>
      <c r="I73" s="84">
        <f t="shared" si="0"/>
        <v>11</v>
      </c>
      <c r="J73" s="37">
        <v>36102</v>
      </c>
      <c r="K73" s="37">
        <v>314804</v>
      </c>
      <c r="L73" s="37">
        <v>2332</v>
      </c>
      <c r="M73" s="38">
        <f>I73/(HLOOKUP(F73,Team_Composition_23[[#All],[Yellow]:[Red]],10,FALSE)+HLOOKUP(F73,Team_Composition_23[[#All],[Yellow]:[Red]],11,FALSE))</f>
        <v>1.3398294762484775E-2</v>
      </c>
      <c r="N73" s="38">
        <f>J73/HLOOKUP(F73,Team_Composition_23[[#All],[Yellow]:[Red]],6,FALSE)</f>
        <v>2.045971741651722E-3</v>
      </c>
      <c r="O73" s="38">
        <f>K73/HLOOKUP(F73,Team_Composition_23[[#All],[Yellow]:[Red]],8,FALSE)</f>
        <v>7.1520456976288905E-3</v>
      </c>
      <c r="P73" s="38">
        <f>L73/HLOOKUP(F73,Team_Composition_23[[#All],[Yellow]:[Red]],7,FALSE)</f>
        <v>9.6092001745973538E-5</v>
      </c>
      <c r="Q73" s="31"/>
      <c r="R73" s="31"/>
      <c r="S73" s="31"/>
      <c r="T73" s="31"/>
      <c r="U73" s="31"/>
      <c r="V73" s="31"/>
      <c r="W73" s="31"/>
      <c r="X73" s="31"/>
      <c r="Y73" s="31"/>
      <c r="Z73" s="31"/>
      <c r="AA73" s="31"/>
      <c r="AB73" s="31"/>
      <c r="AC73" s="31"/>
      <c r="AD73" s="31"/>
    </row>
    <row r="74" spans="1:30" ht="22.5" customHeight="1">
      <c r="A74" s="32">
        <v>85</v>
      </c>
      <c r="B74" s="60" t="str">
        <f>VLOOKUP(C74,Lists!I:J,2,FALSE)</f>
        <v>Tank</v>
      </c>
      <c r="C74" s="34" t="str">
        <f>VLOOKUP(E74&amp;D74,Lists!C:E,3,FALSE)</f>
        <v>SnS/Greatsword</v>
      </c>
      <c r="D74" s="35" t="s">
        <v>28</v>
      </c>
      <c r="E74" s="36" t="s">
        <v>388</v>
      </c>
      <c r="F74" s="35" t="s">
        <v>476</v>
      </c>
      <c r="G74" s="32">
        <v>0</v>
      </c>
      <c r="H74" s="32">
        <v>8</v>
      </c>
      <c r="I74" s="84">
        <f t="shared" si="0"/>
        <v>8</v>
      </c>
      <c r="J74" s="37">
        <v>24015</v>
      </c>
      <c r="K74" s="37">
        <v>950879</v>
      </c>
      <c r="L74" s="37">
        <v>32636</v>
      </c>
      <c r="M74" s="38">
        <f>I74/(HLOOKUP(F74,Team_Composition_23[[#All],[Yellow]:[Red]],10,FALSE)+HLOOKUP(F74,Team_Composition_23[[#All],[Yellow]:[Red]],11,FALSE))</f>
        <v>1.999500124968758E-3</v>
      </c>
      <c r="N74" s="38">
        <f>J74/HLOOKUP(F74,Team_Composition_23[[#All],[Yellow]:[Red]],6,FALSE)</f>
        <v>5.4132227483568677E-4</v>
      </c>
      <c r="O74" s="38">
        <f>K74/HLOOKUP(F74,Team_Composition_23[[#All],[Yellow]:[Red]],8,FALSE)</f>
        <v>5.4277747806737268E-2</v>
      </c>
      <c r="P74" s="38">
        <f>L74/HLOOKUP(F74,Team_Composition_23[[#All],[Yellow]:[Red]],7,FALSE)</f>
        <v>2.5211718644141644E-3</v>
      </c>
      <c r="Q74" s="31"/>
    </row>
    <row r="75" spans="1:30" ht="22.5" customHeight="1">
      <c r="A75" s="32">
        <v>79</v>
      </c>
      <c r="B75" s="60" t="str">
        <f>VLOOKUP(C75,Lists!I:J,2,FALSE)</f>
        <v>Tank</v>
      </c>
      <c r="C75" s="34" t="str">
        <f>VLOOKUP(E75&amp;D75,Lists!C:E,3,FALSE)</f>
        <v>SnS/Dagger</v>
      </c>
      <c r="D75" s="35" t="s">
        <v>40</v>
      </c>
      <c r="E75" s="36" t="s">
        <v>177</v>
      </c>
      <c r="F75" s="35" t="s">
        <v>483</v>
      </c>
      <c r="G75" s="32">
        <v>0</v>
      </c>
      <c r="H75" s="32">
        <v>11</v>
      </c>
      <c r="I75" s="84">
        <f t="shared" si="0"/>
        <v>11</v>
      </c>
      <c r="J75" s="37">
        <v>23510</v>
      </c>
      <c r="K75" s="37">
        <v>28738</v>
      </c>
      <c r="L75" s="37">
        <v>1045</v>
      </c>
      <c r="M75" s="38">
        <f>I75/(HLOOKUP(F75,Team_Composition_23[[#All],[Yellow]:[Red]],10,FALSE)+HLOOKUP(F75,Team_Composition_23[[#All],[Yellow]:[Red]],11,FALSE))</f>
        <v>1.3398294762484775E-2</v>
      </c>
      <c r="N75" s="38">
        <f>J75/HLOOKUP(F75,Team_Composition_23[[#All],[Yellow]:[Red]],6,FALSE)</f>
        <v>1.3323581975024092E-3</v>
      </c>
      <c r="O75" s="38">
        <f>K75/HLOOKUP(F75,Team_Composition_23[[#All],[Yellow]:[Red]],8,FALSE)</f>
        <v>6.5289986549872008E-4</v>
      </c>
      <c r="P75" s="38">
        <f>L75/HLOOKUP(F75,Team_Composition_23[[#All],[Yellow]:[Red]],7,FALSE)</f>
        <v>4.3060095122016442E-5</v>
      </c>
      <c r="Q75" s="31"/>
      <c r="R75" s="227" t="s">
        <v>78</v>
      </c>
      <c r="S75" s="228"/>
      <c r="T75" s="228"/>
      <c r="U75" s="31"/>
      <c r="V75" s="31"/>
      <c r="W75" s="31"/>
      <c r="X75" s="31"/>
      <c r="Y75" s="31"/>
      <c r="Z75" s="31"/>
      <c r="AA75" s="31"/>
      <c r="AB75" s="227" t="s">
        <v>78</v>
      </c>
      <c r="AC75" s="228"/>
      <c r="AD75" s="228"/>
    </row>
    <row r="76" spans="1:30" ht="22.5" customHeight="1">
      <c r="A76" s="32">
        <v>9</v>
      </c>
      <c r="B76" s="60" t="str">
        <f>VLOOKUP(C76,Lists!I:J,2,FALSE)</f>
        <v>KS</v>
      </c>
      <c r="C76" s="34" t="str">
        <f>VLOOKUP(E76&amp;D76,Lists!C:E,3,FALSE)</f>
        <v>Longbow/Dagger</v>
      </c>
      <c r="D76" s="35" t="s">
        <v>40</v>
      </c>
      <c r="E76" s="36" t="s">
        <v>51</v>
      </c>
      <c r="F76" s="35" t="s">
        <v>483</v>
      </c>
      <c r="G76" s="32">
        <v>24</v>
      </c>
      <c r="H76" s="32">
        <v>24</v>
      </c>
      <c r="I76" s="84">
        <f t="shared" si="0"/>
        <v>48</v>
      </c>
      <c r="J76" s="37">
        <v>890487</v>
      </c>
      <c r="K76" s="37">
        <v>346974</v>
      </c>
      <c r="L76" s="37">
        <v>0</v>
      </c>
      <c r="M76" s="38">
        <f>I76/(HLOOKUP(F76,Team_Composition_23[[#All],[Yellow]:[Red]],10,FALSE)+HLOOKUP(F76,Team_Composition_23[[#All],[Yellow]:[Red]],11,FALSE))</f>
        <v>5.8465286236297195E-2</v>
      </c>
      <c r="N76" s="38">
        <f>J76/HLOOKUP(F76,Team_Composition_23[[#All],[Yellow]:[Red]],6,FALSE)</f>
        <v>5.0465659473386978E-2</v>
      </c>
      <c r="O76" s="38">
        <f>K76/HLOOKUP(F76,Team_Composition_23[[#All],[Yellow]:[Red]],8,FALSE)</f>
        <v>7.882917319630903E-3</v>
      </c>
      <c r="P76" s="38">
        <f>L76/HLOOKUP(F76,Team_Composition_23[[#All],[Yellow]:[Red]],7,FALSE)</f>
        <v>0</v>
      </c>
      <c r="Q76" s="31"/>
      <c r="R76" s="27" t="s">
        <v>482</v>
      </c>
      <c r="S76" s="72" t="s">
        <v>476</v>
      </c>
      <c r="T76" s="72" t="s">
        <v>483</v>
      </c>
      <c r="U76" s="31"/>
      <c r="V76" s="31"/>
      <c r="W76" s="31"/>
      <c r="X76" s="31"/>
      <c r="Y76" s="31"/>
      <c r="Z76" s="31"/>
      <c r="AA76" s="31"/>
      <c r="AB76" s="27" t="s">
        <v>482</v>
      </c>
      <c r="AC76" s="72" t="s">
        <v>485</v>
      </c>
      <c r="AD76" s="72" t="s">
        <v>28</v>
      </c>
    </row>
    <row r="77" spans="1:30" ht="22.5" customHeight="1">
      <c r="A77" s="32">
        <v>7</v>
      </c>
      <c r="B77" s="60" t="str">
        <f>VLOOKUP(C77,Lists!I:J,2,FALSE)</f>
        <v>Melee DPS</v>
      </c>
      <c r="C77" s="34" t="str">
        <f>VLOOKUP(E77&amp;D77,Lists!C:E,3,FALSE)</f>
        <v>Greatsword/Spear</v>
      </c>
      <c r="D77" s="35" t="s">
        <v>40</v>
      </c>
      <c r="E77" s="36" t="s">
        <v>145</v>
      </c>
      <c r="F77" s="35" t="s">
        <v>483</v>
      </c>
      <c r="G77" s="32">
        <v>25</v>
      </c>
      <c r="H77" s="32">
        <v>75</v>
      </c>
      <c r="I77" s="84">
        <f t="shared" si="0"/>
        <v>100</v>
      </c>
      <c r="J77" s="37">
        <v>2002415</v>
      </c>
      <c r="K77" s="37">
        <v>1796623</v>
      </c>
      <c r="L77" s="37">
        <v>22102</v>
      </c>
      <c r="M77" s="38">
        <f>I77/(HLOOKUP(F77,Team_Composition_23[[#All],[Yellow]:[Red]],10,FALSE)+HLOOKUP(F77,Team_Composition_23[[#All],[Yellow]:[Red]],11,FALSE))</f>
        <v>0.1218026796589525</v>
      </c>
      <c r="N77" s="38">
        <f>J77/HLOOKUP(F77,Team_Composition_23[[#All],[Yellow]:[Red]],6,FALSE)</f>
        <v>0.11348081837736226</v>
      </c>
      <c r="O77" s="38">
        <f>K77/HLOOKUP(F77,Team_Composition_23[[#All],[Yellow]:[Red]],8,FALSE)</f>
        <v>4.0817555677218557E-2</v>
      </c>
      <c r="P77" s="38">
        <f>L77/HLOOKUP(F77,Team_Composition_23[[#All],[Yellow]:[Red]],7,FALSE)</f>
        <v>9.1073131328881093E-4</v>
      </c>
      <c r="Q77" s="31"/>
      <c r="R77" s="74" t="s">
        <v>468</v>
      </c>
      <c r="S77" s="75">
        <f>SUMIFS('House R m UC Aden 1 2242026'!$J$2:$J$163,'House R m UC Aden 1 2242026'!$B$2:$B$163,"KS",'House R m UC Aden 1 2242026'!$F$2:$F$163,"Yellow")</f>
        <v>3946434</v>
      </c>
      <c r="T77" s="76">
        <f>SUMIFS('House R m UC Aden 1 2242026'!$J$2:$J$163,'House R m UC Aden 1 2242026'!$B$2:$B$163,"KS",'House R m UC Aden 1 2242026'!$F$2:$F$163,"Red")</f>
        <v>4793216</v>
      </c>
      <c r="U77" s="31"/>
      <c r="V77" s="31"/>
      <c r="W77" s="31"/>
      <c r="X77" s="31"/>
      <c r="Y77" s="31"/>
      <c r="Z77" s="31"/>
      <c r="AA77" s="31"/>
      <c r="AB77" s="74" t="s">
        <v>468</v>
      </c>
      <c r="AC77" s="75">
        <f>SUMIFS('House R m UC Aden 1 2242026'!$J$2:$J$163,'House R m UC Aden 1 2242026'!$B$2:$B$163,"KS",'House R m UC Aden 1 2242026'!$D$2:$D$163,"House Regard")</f>
        <v>5083888</v>
      </c>
      <c r="AD77" s="76">
        <f>SUMIFS('House R m UC Aden 1 2242026'!$J$2:$J$163,'House R m UC Aden 1 2242026'!$B$2:$B$163,"KS",'House R m UC Aden 1 2242026'!$D$2:$D$163,"Undercooked")</f>
        <v>3655762</v>
      </c>
    </row>
    <row r="78" spans="1:30" ht="22.5" customHeight="1">
      <c r="A78" s="32">
        <v>3</v>
      </c>
      <c r="B78" s="60" t="str">
        <f>VLOOKUP(C78,Lists!I:J,2,FALSE)</f>
        <v>Melee DPS</v>
      </c>
      <c r="C78" s="34" t="str">
        <f>VLOOKUP(E78&amp;D78,Lists!C:E,3,FALSE)</f>
        <v>Greatsword/Spear</v>
      </c>
      <c r="D78" s="35" t="s">
        <v>40</v>
      </c>
      <c r="E78" s="36" t="s">
        <v>22</v>
      </c>
      <c r="F78" s="35" t="s">
        <v>483</v>
      </c>
      <c r="G78" s="32">
        <v>30</v>
      </c>
      <c r="H78" s="32">
        <v>97</v>
      </c>
      <c r="I78" s="84">
        <f t="shared" si="0"/>
        <v>127</v>
      </c>
      <c r="J78" s="37">
        <v>1793543</v>
      </c>
      <c r="K78" s="37">
        <v>1479010</v>
      </c>
      <c r="L78" s="37">
        <v>31714</v>
      </c>
      <c r="M78" s="38">
        <f>I78/(HLOOKUP(F78,Team_Composition_23[[#All],[Yellow]:[Red]],10,FALSE)+HLOOKUP(F78,Team_Composition_23[[#All],[Yellow]:[Red]],11,FALSE))</f>
        <v>0.15468940316686966</v>
      </c>
      <c r="N78" s="38">
        <f>J78/HLOOKUP(F78,Team_Composition_23[[#All],[Yellow]:[Red]],6,FALSE)</f>
        <v>0.10164362903543443</v>
      </c>
      <c r="O78" s="38">
        <f>K78/HLOOKUP(F78,Team_Composition_23[[#All],[Yellow]:[Red]],8,FALSE)</f>
        <v>3.3601692187043702E-2</v>
      </c>
      <c r="P78" s="38">
        <f>L78/HLOOKUP(F78,Team_Composition_23[[#All],[Yellow]:[Red]],7,FALSE)</f>
        <v>1.306801776746057E-3</v>
      </c>
      <c r="Q78" s="31"/>
      <c r="R78" s="78" t="s">
        <v>469</v>
      </c>
      <c r="S78" s="75">
        <f>SUMIFS('House R m UC Aden 1 2242026'!$K$2:$K$163,'House R m UC Aden 1 2242026'!$B$2:$B$163,"KS",'House R m UC Aden 1 2242026'!$F$2:$F$163,"Yellow")</f>
        <v>3159146</v>
      </c>
      <c r="T78" s="76">
        <f>SUMIFS('House R m UC Aden 1 2242026'!$K$2:$K$163,'House R m UC Aden 1 2242026'!$B$2:$B$163,"KS",'House R m UC Aden 1 2242026'!$F$2:$F$163,"Red")</f>
        <v>3128629</v>
      </c>
      <c r="U78" s="31"/>
      <c r="V78" s="31"/>
      <c r="W78" s="31"/>
      <c r="X78" s="31"/>
      <c r="Y78" s="31"/>
      <c r="Z78" s="31"/>
      <c r="AA78" s="31"/>
      <c r="AB78" s="78" t="s">
        <v>469</v>
      </c>
      <c r="AC78" s="75">
        <f>SUMIFS('House R m UC Aden 1 2242026'!$K$2:$K$163,'House R m UC Aden 1 2242026'!$B$2:$B$163,"KS",'House R m UC Aden 1 2242026'!$D$2:$D$163,"House Regard")</f>
        <v>2793755</v>
      </c>
      <c r="AD78" s="76">
        <f>SUMIFS('House R m UC Aden 1 2242026'!$K$2:$K$163,'House R m UC Aden 1 2242026'!$B$2:$B$163,"KS",'House R m UC Aden 1 2242026'!$D$2:$D$163,"Undercooked")</f>
        <v>3494020</v>
      </c>
    </row>
    <row r="79" spans="1:30" ht="22.5" customHeight="1">
      <c r="A79" s="32">
        <v>8</v>
      </c>
      <c r="B79" s="60" t="str">
        <f>VLOOKUP(C79,Lists!I:J,2,FALSE)</f>
        <v>Melee DPS</v>
      </c>
      <c r="C79" s="34" t="str">
        <f>VLOOKUP(E79&amp;D79,Lists!C:E,3,FALSE)</f>
        <v>Greatsword/Spear</v>
      </c>
      <c r="D79" s="35" t="s">
        <v>40</v>
      </c>
      <c r="E79" s="36" t="s">
        <v>147</v>
      </c>
      <c r="F79" s="35" t="s">
        <v>476</v>
      </c>
      <c r="G79" s="32">
        <v>24</v>
      </c>
      <c r="H79" s="32">
        <v>40</v>
      </c>
      <c r="I79" s="84">
        <f t="shared" si="0"/>
        <v>64</v>
      </c>
      <c r="J79" s="37">
        <v>1834123</v>
      </c>
      <c r="K79" s="37">
        <v>1340846</v>
      </c>
      <c r="L79" s="37">
        <v>20889</v>
      </c>
      <c r="M79" s="38">
        <f>I79/(HLOOKUP(F79,Team_Composition_23[[#All],[Yellow]:[Red]],10,FALSE)+HLOOKUP(F79,Team_Composition_23[[#All],[Yellow]:[Red]],11,FALSE))</f>
        <v>1.5996000999750064E-2</v>
      </c>
      <c r="N79" s="38">
        <f>J79/HLOOKUP(F79,Team_Composition_23[[#All],[Yellow]:[Red]],6,FALSE)</f>
        <v>4.1342978750299991E-2</v>
      </c>
      <c r="O79" s="38">
        <f>K79/HLOOKUP(F79,Team_Composition_23[[#All],[Yellow]:[Red]],8,FALSE)</f>
        <v>7.6537709882826779E-2</v>
      </c>
      <c r="P79" s="38">
        <f>L79/HLOOKUP(F79,Team_Composition_23[[#All],[Yellow]:[Red]],7,FALSE)</f>
        <v>1.6137014056792338E-3</v>
      </c>
      <c r="Q79" s="31"/>
      <c r="R79" s="74" t="s">
        <v>470</v>
      </c>
      <c r="S79" s="75">
        <f>SUMIFS('House R m UC Aden 1 2242026'!$L$2:$L$163,'House R m UC Aden 1 2242026'!$B$2:$B$163,"KS",'House R m UC Aden 1 2242026'!$F$2:$F$163,"Yellow")</f>
        <v>101856</v>
      </c>
      <c r="T79" s="76">
        <f>SUMIFS('House R m UC Aden 1 2242026'!$L$2:$L$163,'House R m UC Aden 1 2242026'!$B$2:$B$163,"KS",'House R m UC Aden 1 2242026'!$F$2:$F$163,"Red")</f>
        <v>62657</v>
      </c>
      <c r="U79" s="31"/>
      <c r="V79" s="31"/>
      <c r="W79" s="31"/>
      <c r="X79" s="31"/>
      <c r="Y79" s="31"/>
      <c r="Z79" s="31"/>
      <c r="AA79" s="31"/>
      <c r="AB79" s="74" t="s">
        <v>470</v>
      </c>
      <c r="AC79" s="75">
        <f>SUMIFS('House R m UC Aden 1 2242026'!$L$2:$L$163,'House R m UC Aden 1 2242026'!$B$2:$B$163,"KS",'House R m UC Aden 1 2242026'!$D$2:$D$163,"House Regard")</f>
        <v>26904</v>
      </c>
      <c r="AD79" s="76">
        <f>SUMIFS('House R m UC Aden 1 2242026'!$L$2:$L$163,'House R m UC Aden 1 2242026'!$B$2:$B$163,"KS",'House R m UC Aden 1 2242026'!$D$2:$D$163,"Undercooked")</f>
        <v>137609</v>
      </c>
    </row>
    <row r="80" spans="1:30" ht="22.5" customHeight="1">
      <c r="A80" s="32">
        <v>14</v>
      </c>
      <c r="B80" s="60" t="str">
        <f>VLOOKUP(C80,Lists!I:J,2,FALSE)</f>
        <v>Melee DPS</v>
      </c>
      <c r="C80" s="34" t="str">
        <f>VLOOKUP(E80&amp;D80,Lists!C:E,3,FALSE)</f>
        <v>Greatsword/Spear</v>
      </c>
      <c r="D80" s="35" t="s">
        <v>28</v>
      </c>
      <c r="E80" s="77" t="s">
        <v>347</v>
      </c>
      <c r="F80" s="35" t="s">
        <v>476</v>
      </c>
      <c r="G80" s="32">
        <v>20</v>
      </c>
      <c r="H80" s="32">
        <v>42</v>
      </c>
      <c r="I80" s="84">
        <f t="shared" si="0"/>
        <v>62</v>
      </c>
      <c r="J80" s="37">
        <v>1444439</v>
      </c>
      <c r="K80" s="37">
        <v>925356</v>
      </c>
      <c r="L80" s="37">
        <v>41669</v>
      </c>
      <c r="M80" s="38">
        <f>I80/(HLOOKUP(F80,Team_Composition_23[[#All],[Yellow]:[Red]],10,FALSE)+HLOOKUP(F80,Team_Composition_23[[#All],[Yellow]:[Red]],11,FALSE))</f>
        <v>1.5496125968507872E-2</v>
      </c>
      <c r="N80" s="38">
        <f>J80/HLOOKUP(F80,Team_Composition_23[[#All],[Yellow]:[Red]],6,FALSE)</f>
        <v>3.2559109112695592E-2</v>
      </c>
      <c r="O80" s="38">
        <f>K80/HLOOKUP(F80,Team_Composition_23[[#All],[Yellow]:[Red]],8,FALSE)</f>
        <v>5.2820852705182435E-2</v>
      </c>
      <c r="P80" s="38">
        <f>L80/HLOOKUP(F80,Team_Composition_23[[#All],[Yellow]:[Red]],7,FALSE)</f>
        <v>3.2189824248766334E-3</v>
      </c>
      <c r="Q80" s="31"/>
      <c r="R80" s="78" t="s">
        <v>465</v>
      </c>
      <c r="S80" s="75">
        <f>SUMIFS('House R m UC Aden 1 2242026'!$G$2:$G$163,'House R m UC Aden 1 2242026'!$B$2:$B$163,"KS",'House R m UC Aden 1 2242026'!$F$2:$F$163,"Yellow")</f>
        <v>66</v>
      </c>
      <c r="T80" s="76">
        <f>SUMIFS('House R m UC Aden 1 2242026'!$G$2:$G$163,'House R m UC Aden 1 2242026'!$B$2:$B$163,"KS",'House R m UC Aden 1 2242026'!$F$2:$F$163,"Red")</f>
        <v>91</v>
      </c>
      <c r="U80" s="31"/>
      <c r="V80" s="31"/>
      <c r="W80" s="31"/>
      <c r="X80" s="31"/>
      <c r="Y80" s="31"/>
      <c r="Z80" s="31"/>
      <c r="AA80" s="31"/>
      <c r="AB80" s="78" t="s">
        <v>465</v>
      </c>
      <c r="AC80" s="75">
        <f>SUMIFS('House R m UC Aden 1 2242026'!$G$2:$G$163,'House R m UC Aden 1 2242026'!$B$2:$B$163,"KS",'House R m UC Aden 1 2242026'!$D$2:$D$163,"House Regard")</f>
        <v>100</v>
      </c>
      <c r="AD80" s="76">
        <f>SUMIFS('House R m UC Aden 1 2242026'!$G$2:$G$163,'House R m UC Aden 1 2242026'!$B$2:$B$163,"KS",'House R m UC Aden 1 2242026'!$D$2:$D$163,"Undercooked")</f>
        <v>57</v>
      </c>
    </row>
    <row r="81" spans="1:30" ht="22.5" customHeight="1">
      <c r="A81" s="32">
        <v>80</v>
      </c>
      <c r="B81" s="60" t="str">
        <f>VLOOKUP(C81,Lists!I:J,2,FALSE)</f>
        <v>Melee DPS</v>
      </c>
      <c r="C81" s="34" t="str">
        <f>VLOOKUP(E81&amp;D81,Lists!C:E,3,FALSE)</f>
        <v>Greatsword/Spear</v>
      </c>
      <c r="D81" s="35" t="s">
        <v>28</v>
      </c>
      <c r="E81" s="36" t="s">
        <v>331</v>
      </c>
      <c r="F81" s="35" t="s">
        <v>476</v>
      </c>
      <c r="G81" s="32">
        <v>0</v>
      </c>
      <c r="H81" s="32">
        <v>11</v>
      </c>
      <c r="I81" s="84">
        <f t="shared" si="0"/>
        <v>11</v>
      </c>
      <c r="J81" s="37">
        <v>9796</v>
      </c>
      <c r="K81" s="37">
        <v>412085</v>
      </c>
      <c r="L81" s="37">
        <v>1075323</v>
      </c>
      <c r="M81" s="38">
        <f>I81/(HLOOKUP(F81,Team_Composition_23[[#All],[Yellow]:[Red]],10,FALSE)+HLOOKUP(F81,Team_Composition_23[[#All],[Yellow]:[Red]],11,FALSE))</f>
        <v>2.7493126718320421E-3</v>
      </c>
      <c r="N81" s="38">
        <f>J81/HLOOKUP(F81,Team_Composition_23[[#All],[Yellow]:[Red]],6,FALSE)</f>
        <v>2.2081170119885019E-4</v>
      </c>
      <c r="O81" s="38">
        <f>K81/HLOOKUP(F81,Team_Composition_23[[#All],[Yellow]:[Red]],8,FALSE)</f>
        <v>2.3522494139569101E-2</v>
      </c>
      <c r="P81" s="38">
        <f>L81/HLOOKUP(F81,Team_Composition_23[[#All],[Yellow]:[Red]],7,FALSE)</f>
        <v>8.30700481908761E-2</v>
      </c>
      <c r="Q81" s="31"/>
      <c r="R81" s="79" t="s">
        <v>466</v>
      </c>
      <c r="S81" s="80">
        <f>SUMIFS('House R m UC Aden 1 2242026'!$H$2:$H$163,'House R m UC Aden 1 2242026'!$B$2:$B$163,"KS",'House R m UC Aden 1 2242026'!$F$2:$F$163,"Yellow")</f>
        <v>114</v>
      </c>
      <c r="T81" s="81">
        <f>SUMIFS('House R m UC Aden 1 2242026'!$H$2:$H$163,'House R m UC Aden 1 2242026'!$B$2:$B$163,"KS",'House R m UC Aden 1 2242026'!$F$2:$F$163,"Red")</f>
        <v>169</v>
      </c>
      <c r="U81" s="31"/>
      <c r="V81" s="31"/>
      <c r="W81" s="31"/>
      <c r="X81" s="31"/>
      <c r="Y81" s="31"/>
      <c r="Z81" s="31"/>
      <c r="AA81" s="31"/>
      <c r="AB81" s="79" t="s">
        <v>466</v>
      </c>
      <c r="AC81" s="80">
        <f>SUMIFS('House R m UC Aden 1 2242026'!$H$2:$H$163,'House R m UC Aden 1 2242026'!$B$2:$B$163,"KS",'House R m UC Aden 1 2242026'!$D$2:$D$163,"House Regard")</f>
        <v>137</v>
      </c>
      <c r="AD81" s="81">
        <f>SUMIFS('House R m UC Aden 1 2242026'!$H$2:$H$163,'House R m UC Aden 1 2242026'!$B$2:$B$163,"KS",'House R m UC Aden 1 2242026'!$D$2:$D$163,"Undercooked")</f>
        <v>146</v>
      </c>
    </row>
    <row r="82" spans="1:30" ht="22.5" customHeight="1">
      <c r="A82" s="32">
        <v>83</v>
      </c>
      <c r="B82" s="60" t="str">
        <f>VLOOKUP(C82,Lists!I:J,2,FALSE)</f>
        <v>Melee DPS</v>
      </c>
      <c r="C82" s="34" t="str">
        <f>VLOOKUP(E82&amp;D82,Lists!C:E,3,FALSE)</f>
        <v>Greatsword/Spear</v>
      </c>
      <c r="D82" s="35" t="s">
        <v>28</v>
      </c>
      <c r="E82" s="36" t="s">
        <v>333</v>
      </c>
      <c r="F82" s="35" t="s">
        <v>483</v>
      </c>
      <c r="G82" s="32">
        <v>0</v>
      </c>
      <c r="H82" s="32">
        <v>8</v>
      </c>
      <c r="I82" s="84">
        <f t="shared" si="0"/>
        <v>8</v>
      </c>
      <c r="J82" s="37">
        <v>38190</v>
      </c>
      <c r="K82" s="37">
        <v>353970</v>
      </c>
      <c r="L82" s="37">
        <v>11658</v>
      </c>
      <c r="M82" s="38">
        <f>I82/(HLOOKUP(F82,Team_Composition_23[[#All],[Yellow]:[Red]],10,FALSE)+HLOOKUP(F82,Team_Composition_23[[#All],[Yellow]:[Red]],11,FALSE))</f>
        <v>9.7442143727161992E-3</v>
      </c>
      <c r="N82" s="38">
        <f>J82/HLOOKUP(F82,Team_Composition_23[[#All],[Yellow]:[Red]],6,FALSE)</f>
        <v>2.1643028312470017E-3</v>
      </c>
      <c r="O82" s="38">
        <f>K82/HLOOKUP(F82,Team_Composition_23[[#All],[Yellow]:[Red]],8,FALSE)</f>
        <v>8.0418597463491528E-3</v>
      </c>
      <c r="P82" s="38">
        <f>L82/HLOOKUP(F82,Team_Composition_23[[#All],[Yellow]:[Red]],7,FALSE)</f>
        <v>4.8037759706456244E-4</v>
      </c>
      <c r="Q82" s="31"/>
      <c r="R82" s="78" t="s">
        <v>54</v>
      </c>
      <c r="S82" s="75">
        <f t="shared" ref="S82:S84" si="18">COUNTIFS(C:C,R82,F:F,"Yellow")</f>
        <v>3</v>
      </c>
      <c r="T82" s="76">
        <f t="shared" ref="T82:T84" si="19">COUNTIFS(C:C,R82,F:F,"Red")</f>
        <v>2</v>
      </c>
      <c r="U82" s="31"/>
      <c r="V82" s="31"/>
      <c r="W82" s="31"/>
      <c r="X82" s="31"/>
      <c r="Y82" s="31"/>
      <c r="Z82" s="31"/>
      <c r="AA82" s="31"/>
      <c r="AB82" s="78" t="s">
        <v>54</v>
      </c>
      <c r="AC82" s="75">
        <f t="shared" ref="AC82:AC84" si="20">COUNTIFS(C:C,AB82,D:D,"House Regard")</f>
        <v>3</v>
      </c>
      <c r="AD82" s="76">
        <f t="shared" ref="AD82:AD84" si="21">COUNTIFS(C:C,AB82,D:D,"Undercooked")</f>
        <v>2</v>
      </c>
    </row>
    <row r="83" spans="1:30" ht="22.5" customHeight="1">
      <c r="A83" s="32">
        <v>28</v>
      </c>
      <c r="B83" s="60" t="str">
        <f>VLOOKUP(C83,Lists!I:J,2,FALSE)</f>
        <v>KS</v>
      </c>
      <c r="C83" s="34" t="str">
        <f>VLOOKUP(E83&amp;D83,Lists!C:E,3,FALSE)</f>
        <v>Greatsword/Dagger</v>
      </c>
      <c r="D83" s="35" t="s">
        <v>28</v>
      </c>
      <c r="E83" s="36" t="s">
        <v>334</v>
      </c>
      <c r="F83" s="35" t="s">
        <v>476</v>
      </c>
      <c r="G83" s="32">
        <v>8</v>
      </c>
      <c r="H83" s="32">
        <v>32</v>
      </c>
      <c r="I83" s="84">
        <f t="shared" si="0"/>
        <v>40</v>
      </c>
      <c r="J83" s="37">
        <v>651576</v>
      </c>
      <c r="K83" s="37">
        <v>1062183</v>
      </c>
      <c r="L83" s="37">
        <v>80328</v>
      </c>
      <c r="M83" s="38">
        <f>I83/(HLOOKUP(F83,Team_Composition_23[[#All],[Yellow]:[Red]],10,FALSE)+HLOOKUP(F83,Team_Composition_23[[#All],[Yellow]:[Red]],11,FALSE))</f>
        <v>9.997500624843789E-3</v>
      </c>
      <c r="N83" s="38">
        <f>J83/HLOOKUP(F83,Team_Composition_23[[#All],[Yellow]:[Red]],6,FALSE)</f>
        <v>1.4687178952668642E-2</v>
      </c>
      <c r="O83" s="38">
        <f>K83/HLOOKUP(F83,Team_Composition_23[[#All],[Yellow]:[Red]],8,FALSE)</f>
        <v>6.0631164426392437E-2</v>
      </c>
      <c r="P83" s="38">
        <f>L83/HLOOKUP(F83,Team_Composition_23[[#All],[Yellow]:[Red]],7,FALSE)</f>
        <v>6.2054385808512375E-3</v>
      </c>
      <c r="Q83" s="31"/>
      <c r="R83" s="74" t="s">
        <v>69</v>
      </c>
      <c r="S83" s="75">
        <f t="shared" si="18"/>
        <v>2</v>
      </c>
      <c r="T83" s="76">
        <f t="shared" si="19"/>
        <v>3</v>
      </c>
      <c r="U83" s="31"/>
      <c r="V83" s="31"/>
      <c r="W83" s="31"/>
      <c r="X83" s="31"/>
      <c r="Y83" s="31"/>
      <c r="Z83" s="31"/>
      <c r="AA83" s="31"/>
      <c r="AB83" s="74" t="s">
        <v>69</v>
      </c>
      <c r="AC83" s="75">
        <f t="shared" si="20"/>
        <v>2</v>
      </c>
      <c r="AD83" s="76">
        <f t="shared" si="21"/>
        <v>3</v>
      </c>
    </row>
    <row r="84" spans="1:30" ht="22.5" customHeight="1">
      <c r="A84" s="32">
        <v>24</v>
      </c>
      <c r="B84" s="60" t="str">
        <f>VLOOKUP(C84,Lists!I:J,2,FALSE)</f>
        <v>KS</v>
      </c>
      <c r="C84" s="34" t="str">
        <f>VLOOKUP(E84&amp;D84,Lists!C:E,3,FALSE)</f>
        <v>Greatsword/Dagger</v>
      </c>
      <c r="D84" s="35" t="s">
        <v>40</v>
      </c>
      <c r="E84" s="36" t="s">
        <v>502</v>
      </c>
      <c r="F84" s="35" t="s">
        <v>476</v>
      </c>
      <c r="G84" s="32">
        <v>12</v>
      </c>
      <c r="H84" s="32">
        <v>22</v>
      </c>
      <c r="I84" s="84">
        <f t="shared" si="0"/>
        <v>34</v>
      </c>
      <c r="J84" s="37">
        <v>849536</v>
      </c>
      <c r="K84" s="37">
        <v>554252</v>
      </c>
      <c r="L84" s="37">
        <v>9812</v>
      </c>
      <c r="M84" s="38">
        <f>I84/(HLOOKUP(F84,Team_Composition_23[[#All],[Yellow]:[Red]],10,FALSE)+HLOOKUP(F84,Team_Composition_23[[#All],[Yellow]:[Red]],11,FALSE))</f>
        <v>8.4978755311172199E-3</v>
      </c>
      <c r="N84" s="38">
        <f>J84/HLOOKUP(F84,Team_Composition_23[[#All],[Yellow]:[Red]],6,FALSE)</f>
        <v>1.9149396630223192E-2</v>
      </c>
      <c r="O84" s="38">
        <f>K84/HLOOKUP(F84,Team_Composition_23[[#All],[Yellow]:[Red]],8,FALSE)</f>
        <v>3.1637621902870651E-2</v>
      </c>
      <c r="P84" s="38">
        <f>L84/HLOOKUP(F84,Team_Composition_23[[#All],[Yellow]:[Red]],7,FALSE)</f>
        <v>7.5798928586934006E-4</v>
      </c>
      <c r="Q84" s="31"/>
      <c r="R84" s="78" t="s">
        <v>81</v>
      </c>
      <c r="S84" s="75">
        <f t="shared" si="18"/>
        <v>0</v>
      </c>
      <c r="T84" s="76">
        <f t="shared" si="19"/>
        <v>1</v>
      </c>
      <c r="U84" s="31"/>
      <c r="V84" s="31"/>
      <c r="W84" s="31"/>
      <c r="X84" s="31"/>
      <c r="Y84" s="31"/>
      <c r="Z84" s="31"/>
      <c r="AA84" s="31"/>
      <c r="AB84" s="78" t="s">
        <v>81</v>
      </c>
      <c r="AC84" s="75">
        <f t="shared" si="20"/>
        <v>1</v>
      </c>
      <c r="AD84" s="76">
        <f t="shared" si="21"/>
        <v>0</v>
      </c>
    </row>
    <row r="85" spans="1:30" ht="22.5" customHeight="1">
      <c r="A85" s="32">
        <v>23</v>
      </c>
      <c r="B85" s="60" t="str">
        <f>VLOOKUP(C85,Lists!I:J,2,FALSE)</f>
        <v>KS</v>
      </c>
      <c r="C85" s="34" t="str">
        <f>VLOOKUP(E85&amp;D85,Lists!C:E,3,FALSE)</f>
        <v>Greatsword/Dagger</v>
      </c>
      <c r="D85" s="35" t="s">
        <v>28</v>
      </c>
      <c r="E85" s="36" t="s">
        <v>372</v>
      </c>
      <c r="F85" s="35" t="s">
        <v>483</v>
      </c>
      <c r="G85" s="32">
        <v>12</v>
      </c>
      <c r="H85" s="32">
        <v>28</v>
      </c>
      <c r="I85" s="84">
        <f t="shared" si="0"/>
        <v>40</v>
      </c>
      <c r="J85" s="37">
        <v>694578</v>
      </c>
      <c r="K85" s="37">
        <v>660808</v>
      </c>
      <c r="L85" s="37">
        <v>17709</v>
      </c>
      <c r="M85" s="38">
        <f>I85/(HLOOKUP(F85,Team_Composition_23[[#All],[Yellow]:[Red]],10,FALSE)+HLOOKUP(F85,Team_Composition_23[[#All],[Yellow]:[Red]],11,FALSE))</f>
        <v>4.8721071863580996E-2</v>
      </c>
      <c r="N85" s="38">
        <f>J85/HLOOKUP(F85,Team_Composition_23[[#All],[Yellow]:[Red]],6,FALSE)</f>
        <v>3.9363108979363182E-2</v>
      </c>
      <c r="O85" s="38">
        <f>K85/HLOOKUP(F85,Team_Composition_23[[#All],[Yellow]:[Red]],8,FALSE)</f>
        <v>1.5012925545287709E-2</v>
      </c>
      <c r="P85" s="38">
        <f>L85/HLOOKUP(F85,Team_Composition_23[[#All],[Yellow]:[Red]],7,FALSE)</f>
        <v>7.2971409044573132E-4</v>
      </c>
      <c r="Q85" s="31"/>
      <c r="R85" s="31"/>
      <c r="S85" s="31"/>
      <c r="T85" s="31"/>
      <c r="U85" s="31"/>
      <c r="V85" s="31"/>
      <c r="W85" s="31"/>
      <c r="X85" s="31"/>
      <c r="Y85" s="31"/>
      <c r="Z85" s="31"/>
      <c r="AA85" s="31"/>
      <c r="AB85" s="31"/>
      <c r="AC85" s="31"/>
      <c r="AD85" s="31"/>
    </row>
    <row r="86" spans="1:30" ht="22.5" customHeight="1">
      <c r="A86" s="32">
        <v>11</v>
      </c>
      <c r="B86" s="60" t="str">
        <f>VLOOKUP(C86,Lists!I:J,2,FALSE)</f>
        <v>KS</v>
      </c>
      <c r="C86" s="34" t="str">
        <f>VLOOKUP(E86&amp;D86,Lists!C:E,3,FALSE)</f>
        <v>Greatsword/Dagger</v>
      </c>
      <c r="D86" s="35" t="s">
        <v>40</v>
      </c>
      <c r="E86" s="36" t="s">
        <v>98</v>
      </c>
      <c r="F86" s="35" t="s">
        <v>483</v>
      </c>
      <c r="G86" s="32">
        <v>22</v>
      </c>
      <c r="H86" s="32">
        <v>30</v>
      </c>
      <c r="I86" s="84">
        <f t="shared" si="0"/>
        <v>52</v>
      </c>
      <c r="J86" s="37">
        <v>1064273</v>
      </c>
      <c r="K86" s="37">
        <v>645580</v>
      </c>
      <c r="L86" s="37">
        <v>5376</v>
      </c>
      <c r="M86" s="38">
        <f>I86/(HLOOKUP(F86,Team_Composition_23[[#All],[Yellow]:[Red]],10,FALSE)+HLOOKUP(F86,Team_Composition_23[[#All],[Yellow]:[Red]],11,FALSE))</f>
        <v>6.3337393422655291E-2</v>
      </c>
      <c r="N86" s="38">
        <f>J86/HLOOKUP(F86,Team_Composition_23[[#All],[Yellow]:[Red]],6,FALSE)</f>
        <v>6.0314455803083013E-2</v>
      </c>
      <c r="O86" s="38">
        <f>K86/HLOOKUP(F86,Team_Composition_23[[#All],[Yellow]:[Red]],8,FALSE)</f>
        <v>1.4666959954369256E-2</v>
      </c>
      <c r="P86" s="38">
        <f>L86/HLOOKUP(F86,Team_Composition_23[[#All],[Yellow]:[Red]],7,FALSE)</f>
        <v>2.2152255634063197E-4</v>
      </c>
      <c r="Q86" s="31"/>
      <c r="R86" s="31"/>
      <c r="S86" s="31"/>
      <c r="T86" s="31"/>
      <c r="U86" s="31"/>
      <c r="V86" s="31"/>
      <c r="W86" s="31"/>
      <c r="X86" s="31"/>
      <c r="Y86" s="31"/>
      <c r="Z86" s="31"/>
      <c r="AA86" s="31"/>
      <c r="AB86" s="31"/>
      <c r="AC86" s="31"/>
      <c r="AD86" s="31"/>
    </row>
    <row r="87" spans="1:30" ht="22.5" customHeight="1">
      <c r="A87" s="32">
        <v>69</v>
      </c>
      <c r="B87" s="60" t="str">
        <f>VLOOKUP(C87,Lists!I:J,2,FALSE)</f>
        <v>KS</v>
      </c>
      <c r="C87" s="34" t="str">
        <f>VLOOKUP(E87&amp;D87,Lists!C:E,3,FALSE)</f>
        <v>Greatsword/Dagger</v>
      </c>
      <c r="D87" s="35" t="s">
        <v>28</v>
      </c>
      <c r="E87" s="36" t="s">
        <v>373</v>
      </c>
      <c r="F87" s="35" t="s">
        <v>483</v>
      </c>
      <c r="G87" s="32">
        <v>0</v>
      </c>
      <c r="H87" s="32">
        <v>21</v>
      </c>
      <c r="I87" s="84">
        <f t="shared" si="0"/>
        <v>21</v>
      </c>
      <c r="J87" s="37">
        <v>282849</v>
      </c>
      <c r="K87" s="37">
        <v>655763</v>
      </c>
      <c r="L87" s="37">
        <v>33211</v>
      </c>
      <c r="M87" s="38">
        <f>I87/(HLOOKUP(F87,Team_Composition_23[[#All],[Yellow]:[Red]],10,FALSE)+HLOOKUP(F87,Team_Composition_23[[#All],[Yellow]:[Red]],11,FALSE))</f>
        <v>2.5578562728380026E-2</v>
      </c>
      <c r="N87" s="38">
        <f>J87/HLOOKUP(F87,Team_Composition_23[[#All],[Yellow]:[Red]],6,FALSE)</f>
        <v>1.6029612241827262E-2</v>
      </c>
      <c r="O87" s="38">
        <f>K87/HLOOKUP(F87,Team_Composition_23[[#All],[Yellow]:[Red]],8,FALSE)</f>
        <v>1.4898307971989601E-2</v>
      </c>
      <c r="P87" s="38">
        <f>L87/HLOOKUP(F87,Team_Composition_23[[#All],[Yellow]:[Red]],7,FALSE)</f>
        <v>1.3684869082270701E-3</v>
      </c>
      <c r="Q87" s="31"/>
      <c r="R87" s="31"/>
      <c r="S87" s="31"/>
      <c r="T87" s="31"/>
      <c r="U87" s="31"/>
      <c r="V87" s="31"/>
      <c r="W87" s="31"/>
      <c r="X87" s="31"/>
      <c r="Y87" s="31"/>
      <c r="Z87" s="31"/>
      <c r="AA87" s="31"/>
      <c r="AB87" s="31"/>
      <c r="AC87" s="31"/>
      <c r="AD87" s="31"/>
    </row>
    <row r="88" spans="1:30" ht="22.5" customHeight="1">
      <c r="A88" s="32">
        <v>5</v>
      </c>
      <c r="B88" s="60" t="str">
        <f>VLOOKUP(C88,Lists!I:J,2,FALSE)</f>
        <v>Ranged DPS</v>
      </c>
      <c r="C88" s="34" t="str">
        <f>VLOOKUP(E88&amp;D88,Lists!C:E,3,FALSE)</f>
        <v>Crossbow/SnS</v>
      </c>
      <c r="D88" s="35" t="s">
        <v>40</v>
      </c>
      <c r="E88" s="36" t="s">
        <v>167</v>
      </c>
      <c r="F88" s="35" t="s">
        <v>483</v>
      </c>
      <c r="G88" s="32">
        <v>27</v>
      </c>
      <c r="H88" s="32">
        <v>70</v>
      </c>
      <c r="I88" s="84">
        <f t="shared" si="0"/>
        <v>97</v>
      </c>
      <c r="J88" s="37">
        <v>1960189</v>
      </c>
      <c r="K88" s="37">
        <v>354619</v>
      </c>
      <c r="L88" s="37">
        <v>2532</v>
      </c>
      <c r="M88" s="38">
        <f>I88/(HLOOKUP(F88,Team_Composition_23[[#All],[Yellow]:[Red]],10,FALSE)+HLOOKUP(F88,Team_Composition_23[[#All],[Yellow]:[Red]],11,FALSE))</f>
        <v>0.11814859926918392</v>
      </c>
      <c r="N88" s="38">
        <f>J88/HLOOKUP(F88,Team_Composition_23[[#All],[Yellow]:[Red]],6,FALSE)</f>
        <v>0.11108778744381327</v>
      </c>
      <c r="O88" s="38">
        <f>K88/HLOOKUP(F88,Team_Composition_23[[#All],[Yellow]:[Red]],8,FALSE)</f>
        <v>8.0566044054315045E-3</v>
      </c>
      <c r="P88" s="38">
        <f>L88/HLOOKUP(F88,Team_Composition_23[[#All],[Yellow]:[Red]],7,FALSE)</f>
        <v>1.0433316827650301E-4</v>
      </c>
      <c r="Q88" s="31"/>
      <c r="R88" s="31"/>
      <c r="S88" s="31"/>
      <c r="T88" s="31"/>
      <c r="U88" s="31"/>
      <c r="V88" s="31"/>
      <c r="W88" s="31"/>
      <c r="X88" s="31"/>
      <c r="Y88" s="31"/>
      <c r="Z88" s="31"/>
      <c r="AA88" s="31"/>
      <c r="AB88" s="31"/>
      <c r="AC88" s="31"/>
      <c r="AD88" s="31"/>
    </row>
    <row r="89" spans="1:30" ht="22.5" customHeight="1">
      <c r="A89" s="32">
        <v>74</v>
      </c>
      <c r="B89" s="60" t="str">
        <f>VLOOKUP(C89,Lists!I:J,2,FALSE)</f>
        <v>Ranged DPS</v>
      </c>
      <c r="C89" s="34" t="str">
        <f>VLOOKUP(E89&amp;D89,Lists!C:E,3,FALSE)</f>
        <v>Crossbow/SnS</v>
      </c>
      <c r="D89" s="35" t="s">
        <v>40</v>
      </c>
      <c r="E89" s="36" t="s">
        <v>83</v>
      </c>
      <c r="F89" s="35" t="s">
        <v>483</v>
      </c>
      <c r="G89" s="32">
        <v>0</v>
      </c>
      <c r="H89" s="32">
        <v>15</v>
      </c>
      <c r="I89" s="84">
        <f t="shared" si="0"/>
        <v>15</v>
      </c>
      <c r="J89" s="37">
        <v>40997</v>
      </c>
      <c r="K89" s="37">
        <v>266502</v>
      </c>
      <c r="L89" s="37">
        <v>113970</v>
      </c>
      <c r="M89" s="38">
        <f>I89/(HLOOKUP(F89,Team_Composition_23[[#All],[Yellow]:[Red]],10,FALSE)+HLOOKUP(F89,Team_Composition_23[[#All],[Yellow]:[Red]],11,FALSE))</f>
        <v>1.8270401948842874E-2</v>
      </c>
      <c r="N89" s="38">
        <f>J89/HLOOKUP(F89,Team_Composition_23[[#All],[Yellow]:[Red]],6,FALSE)</f>
        <v>2.3233810728628783E-3</v>
      </c>
      <c r="O89" s="38">
        <f>K89/HLOOKUP(F89,Team_Composition_23[[#All],[Yellow]:[Red]],8,FALSE)</f>
        <v>6.054670469592174E-3</v>
      </c>
      <c r="P89" s="38">
        <f>L89/HLOOKUP(F89,Team_Composition_23[[#All],[Yellow]:[Red]],7,FALSE)</f>
        <v>4.6962287474222146E-3</v>
      </c>
      <c r="Q89" s="31"/>
      <c r="R89" s="31"/>
      <c r="S89" s="31"/>
      <c r="T89" s="31"/>
      <c r="U89" s="31"/>
      <c r="V89" s="31"/>
      <c r="W89" s="31"/>
      <c r="X89" s="31"/>
      <c r="Y89" s="31"/>
      <c r="Z89" s="31"/>
      <c r="AA89" s="31"/>
      <c r="AB89" s="31"/>
      <c r="AC89" s="31"/>
      <c r="AD89" s="31"/>
    </row>
    <row r="90" spans="1:30" ht="22.5" customHeight="1">
      <c r="A90" s="32">
        <v>16</v>
      </c>
      <c r="B90" s="60" t="str">
        <f>VLOOKUP(C90,Lists!I:J,2,FALSE)</f>
        <v>Ranged DPS</v>
      </c>
      <c r="C90" s="34" t="str">
        <f>VLOOKUP(E90&amp;D90,Lists!C:E,3,FALSE)</f>
        <v>Crossbow/SnS</v>
      </c>
      <c r="D90" s="35" t="s">
        <v>28</v>
      </c>
      <c r="E90" s="36" t="s">
        <v>369</v>
      </c>
      <c r="F90" s="35" t="s">
        <v>476</v>
      </c>
      <c r="G90" s="32">
        <v>16</v>
      </c>
      <c r="H90" s="32">
        <v>33</v>
      </c>
      <c r="I90" s="84">
        <f t="shared" si="0"/>
        <v>49</v>
      </c>
      <c r="J90" s="37">
        <v>1563537</v>
      </c>
      <c r="K90" s="37">
        <v>354930</v>
      </c>
      <c r="L90" s="37">
        <v>46491</v>
      </c>
      <c r="M90" s="38">
        <f>I90/(HLOOKUP(F90,Team_Composition_23[[#All],[Yellow]:[Red]],10,FALSE)+HLOOKUP(F90,Team_Composition_23[[#All],[Yellow]:[Red]],11,FALSE))</f>
        <v>1.2246938265433641E-2</v>
      </c>
      <c r="N90" s="38">
        <f>J90/HLOOKUP(F90,Team_Composition_23[[#All],[Yellow]:[Red]],6,FALSE)</f>
        <v>3.5243697923371439E-2</v>
      </c>
      <c r="O90" s="38">
        <f>K90/HLOOKUP(F90,Team_Composition_23[[#All],[Yellow]:[Red]],8,FALSE)</f>
        <v>2.0259992101040469E-2</v>
      </c>
      <c r="P90" s="38">
        <f>L90/HLOOKUP(F90,Team_Composition_23[[#All],[Yellow]:[Red]],7,FALSE)</f>
        <v>3.5914879626326424E-3</v>
      </c>
      <c r="Q90" s="31"/>
      <c r="R90" s="31"/>
      <c r="S90" s="31"/>
      <c r="T90" s="31"/>
      <c r="U90" s="31"/>
      <c r="V90" s="31"/>
      <c r="W90" s="31"/>
      <c r="X90" s="31"/>
      <c r="Y90" s="31"/>
      <c r="Z90" s="31"/>
      <c r="AA90" s="31"/>
      <c r="AB90" s="31"/>
      <c r="AC90" s="31"/>
      <c r="AD90" s="31"/>
    </row>
    <row r="91" spans="1:30" ht="22.5" customHeight="1">
      <c r="A91" s="32">
        <v>19</v>
      </c>
      <c r="B91" s="60" t="str">
        <f>VLOOKUP(C91,Lists!I:J,2,FALSE)</f>
        <v>Ranged DPS</v>
      </c>
      <c r="C91" s="34" t="str">
        <f>VLOOKUP(E91&amp;D91,Lists!C:E,3,FALSE)</f>
        <v>Crossbow/SnS</v>
      </c>
      <c r="D91" s="35" t="s">
        <v>28</v>
      </c>
      <c r="E91" s="36" t="s">
        <v>374</v>
      </c>
      <c r="F91" s="35" t="s">
        <v>476</v>
      </c>
      <c r="G91" s="32">
        <v>15</v>
      </c>
      <c r="H91" s="32">
        <v>38</v>
      </c>
      <c r="I91" s="84">
        <f t="shared" si="0"/>
        <v>53</v>
      </c>
      <c r="J91" s="37">
        <v>2262523</v>
      </c>
      <c r="K91" s="37">
        <v>370295</v>
      </c>
      <c r="L91" s="37">
        <v>34671</v>
      </c>
      <c r="M91" s="38">
        <f>I91/(HLOOKUP(F91,Team_Composition_23[[#All],[Yellow]:[Red]],10,FALSE)+HLOOKUP(F91,Team_Composition_23[[#All],[Yellow]:[Red]],11,FALSE))</f>
        <v>1.324668832791802E-2</v>
      </c>
      <c r="N91" s="38">
        <f>J91/HLOOKUP(F91,Team_Composition_23[[#All],[Yellow]:[Red]],6,FALSE)</f>
        <v>5.0999546001584947E-2</v>
      </c>
      <c r="O91" s="38">
        <f>K91/HLOOKUP(F91,Team_Composition_23[[#All],[Yellow]:[Red]],8,FALSE)</f>
        <v>2.1137051742751472E-2</v>
      </c>
      <c r="P91" s="38">
        <f>L91/HLOOKUP(F91,Team_Composition_23[[#All],[Yellow]:[Red]],7,FALSE)</f>
        <v>2.6783781624924469E-3</v>
      </c>
      <c r="Q91" s="31"/>
      <c r="R91" s="31"/>
      <c r="S91" s="31"/>
      <c r="T91" s="31"/>
      <c r="U91" s="31"/>
      <c r="V91" s="31"/>
      <c r="W91" s="31"/>
      <c r="X91" s="31"/>
      <c r="Y91" s="31"/>
      <c r="Z91" s="31"/>
      <c r="AA91" s="31"/>
      <c r="AB91" s="31"/>
      <c r="AC91" s="31"/>
      <c r="AD91" s="31"/>
    </row>
    <row r="92" spans="1:30" ht="22.5" customHeight="1">
      <c r="A92" s="32">
        <v>1</v>
      </c>
      <c r="B92" s="60" t="str">
        <f>VLOOKUP(C92,Lists!I:J,2,FALSE)</f>
        <v>Ranged DPS</v>
      </c>
      <c r="C92" s="34" t="str">
        <f>VLOOKUP(E92&amp;D92,Lists!C:E,3,FALSE)</f>
        <v>Crossbow/SnS</v>
      </c>
      <c r="D92" s="35" t="s">
        <v>40</v>
      </c>
      <c r="E92" s="36" t="s">
        <v>141</v>
      </c>
      <c r="F92" s="35" t="s">
        <v>483</v>
      </c>
      <c r="G92" s="32">
        <v>42</v>
      </c>
      <c r="H92" s="32">
        <v>47</v>
      </c>
      <c r="I92" s="84">
        <f t="shared" si="0"/>
        <v>89</v>
      </c>
      <c r="J92" s="37">
        <v>2177840</v>
      </c>
      <c r="K92" s="37">
        <v>332893</v>
      </c>
      <c r="L92" s="37">
        <v>12255</v>
      </c>
      <c r="M92" s="38">
        <f>I92/(HLOOKUP(F92,Team_Composition_23[[#All],[Yellow]:[Red]],10,FALSE)+HLOOKUP(F92,Team_Composition_23[[#All],[Yellow]:[Red]],11,FALSE))</f>
        <v>0.10840438489646773</v>
      </c>
      <c r="N92" s="38">
        <f>J92/HLOOKUP(F92,Team_Composition_23[[#All],[Yellow]:[Red]],6,FALSE)</f>
        <v>0.12342250007863237</v>
      </c>
      <c r="O92" s="38">
        <f>K92/HLOOKUP(F92,Team_Composition_23[[#All],[Yellow]:[Red]],8,FALSE)</f>
        <v>7.5630104713433578E-3</v>
      </c>
      <c r="P92" s="38">
        <f>L92/HLOOKUP(F92,Team_Composition_23[[#All],[Yellow]:[Red]],7,FALSE)</f>
        <v>5.0497747915819282E-4</v>
      </c>
      <c r="Q92" s="31"/>
      <c r="R92" s="31"/>
      <c r="S92" s="31"/>
      <c r="T92" s="31"/>
      <c r="U92" s="31"/>
      <c r="V92" s="31"/>
      <c r="W92" s="31"/>
      <c r="X92" s="31"/>
      <c r="Y92" s="31"/>
      <c r="Z92" s="31"/>
      <c r="AA92" s="31"/>
      <c r="AB92" s="31"/>
      <c r="AC92" s="31"/>
      <c r="AD92" s="31"/>
    </row>
    <row r="93" spans="1:30" ht="22.5" customHeight="1">
      <c r="A93" s="32">
        <v>18</v>
      </c>
      <c r="B93" s="60" t="str">
        <f>VLOOKUP(C93,Lists!I:J,2,FALSE)</f>
        <v>KS</v>
      </c>
      <c r="C93" s="34" t="str">
        <f>VLOOKUP(E93&amp;D93,Lists!C:E,3,FALSE)</f>
        <v>Crossbow/Dagger</v>
      </c>
      <c r="D93" s="35" t="s">
        <v>28</v>
      </c>
      <c r="E93" s="36" t="s">
        <v>370</v>
      </c>
      <c r="F93" s="35" t="s">
        <v>483</v>
      </c>
      <c r="G93" s="32">
        <v>15</v>
      </c>
      <c r="H93" s="32">
        <v>42</v>
      </c>
      <c r="I93" s="84">
        <f t="shared" si="0"/>
        <v>57</v>
      </c>
      <c r="J93" s="37">
        <v>966025</v>
      </c>
      <c r="K93" s="37">
        <v>452326</v>
      </c>
      <c r="L93" s="37">
        <v>6361</v>
      </c>
      <c r="M93" s="38">
        <f>I93/(HLOOKUP(F93,Team_Composition_23[[#All],[Yellow]:[Red]],10,FALSE)+HLOOKUP(F93,Team_Composition_23[[#All],[Yellow]:[Red]],11,FALSE))</f>
        <v>6.9427527405602929E-2</v>
      </c>
      <c r="N93" s="38">
        <f>J93/HLOOKUP(F93,Team_Composition_23[[#All],[Yellow]:[Red]],6,FALSE)</f>
        <v>5.4746547330593996E-2</v>
      </c>
      <c r="O93" s="38">
        <f>K93/HLOOKUP(F93,Team_Composition_23[[#All],[Yellow]:[Red]],8,FALSE)</f>
        <v>1.0276413966231959E-2</v>
      </c>
      <c r="P93" s="38">
        <f>L93/HLOOKUP(F93,Team_Composition_23[[#All],[Yellow]:[Red]],7,FALSE)</f>
        <v>2.6211030150348957E-4</v>
      </c>
      <c r="Q93" s="31"/>
      <c r="R93" s="31"/>
      <c r="S93" s="31"/>
      <c r="T93" s="31"/>
      <c r="U93" s="31"/>
      <c r="V93" s="31"/>
      <c r="W93" s="31"/>
      <c r="X93" s="31"/>
      <c r="Y93" s="31"/>
      <c r="Z93" s="31"/>
      <c r="AA93" s="31"/>
      <c r="AB93" s="31"/>
      <c r="AC93" s="31"/>
      <c r="AD93" s="31"/>
    </row>
    <row r="94" spans="1:30" ht="22.5" customHeight="1">
      <c r="A94" s="32">
        <v>12</v>
      </c>
      <c r="B94" s="60" t="str">
        <f>VLOOKUP(C94,Lists!I:J,2,FALSE)</f>
        <v>KS</v>
      </c>
      <c r="C94" s="34" t="str">
        <f>VLOOKUP(E94&amp;D94,Lists!C:E,3,FALSE)</f>
        <v>Crossbow/Dagger</v>
      </c>
      <c r="D94" s="35" t="s">
        <v>28</v>
      </c>
      <c r="E94" s="36" t="s">
        <v>330</v>
      </c>
      <c r="F94" s="35" t="s">
        <v>476</v>
      </c>
      <c r="G94" s="32">
        <v>22</v>
      </c>
      <c r="H94" s="32">
        <v>23</v>
      </c>
      <c r="I94" s="84">
        <f t="shared" si="0"/>
        <v>45</v>
      </c>
      <c r="J94" s="37">
        <v>1060734</v>
      </c>
      <c r="K94" s="37">
        <v>662940</v>
      </c>
      <c r="L94" s="37">
        <v>0</v>
      </c>
      <c r="M94" s="38">
        <f>I94/(HLOOKUP(F94,Team_Composition_23[[#All],[Yellow]:[Red]],10,FALSE)+HLOOKUP(F94,Team_Composition_23[[#All],[Yellow]:[Red]],11,FALSE))</f>
        <v>1.1247188202949263E-2</v>
      </c>
      <c r="N94" s="38">
        <f>J94/HLOOKUP(F94,Team_Composition_23[[#All],[Yellow]:[Red]],6,FALSE)</f>
        <v>2.3910012153885378E-2</v>
      </c>
      <c r="O94" s="38">
        <f>K94/HLOOKUP(F94,Team_Composition_23[[#All],[Yellow]:[Red]],8,FALSE)</f>
        <v>3.784171291089445E-2</v>
      </c>
      <c r="P94" s="38">
        <f>L94/HLOOKUP(F94,Team_Composition_23[[#All],[Yellow]:[Red]],7,FALSE)</f>
        <v>0</v>
      </c>
      <c r="Q94" s="31"/>
      <c r="R94" s="31"/>
      <c r="S94" s="31"/>
      <c r="T94" s="31"/>
      <c r="U94" s="31"/>
      <c r="V94" s="31"/>
      <c r="W94" s="31"/>
      <c r="X94" s="31"/>
      <c r="Y94" s="31"/>
      <c r="Z94" s="31"/>
      <c r="AA94" s="31"/>
      <c r="AB94" s="31"/>
      <c r="AC94" s="31"/>
      <c r="AD94" s="31"/>
    </row>
    <row r="95" spans="1:30" ht="22.5" customHeight="1">
      <c r="A95" s="32">
        <v>22</v>
      </c>
      <c r="B95" s="60" t="str">
        <f>VLOOKUP(C95,Lists!I:J,2,FALSE)</f>
        <v>KS</v>
      </c>
      <c r="C95" s="34" t="str">
        <f>VLOOKUP(E95&amp;D95,Lists!C:E,3,FALSE)</f>
        <v>Crossbow/Dagger</v>
      </c>
      <c r="D95" s="35" t="s">
        <v>40</v>
      </c>
      <c r="E95" s="36" t="s">
        <v>161</v>
      </c>
      <c r="F95" s="35" t="s">
        <v>476</v>
      </c>
      <c r="G95" s="32">
        <v>13</v>
      </c>
      <c r="H95" s="32">
        <v>19</v>
      </c>
      <c r="I95" s="84">
        <f t="shared" si="0"/>
        <v>32</v>
      </c>
      <c r="J95" s="37">
        <v>839812</v>
      </c>
      <c r="K95" s="37">
        <v>452354</v>
      </c>
      <c r="L95" s="37">
        <v>11716</v>
      </c>
      <c r="M95" s="38">
        <f>I95/(HLOOKUP(F95,Team_Composition_23[[#All],[Yellow]:[Red]],10,FALSE)+HLOOKUP(F95,Team_Composition_23[[#All],[Yellow]:[Red]],11,FALSE))</f>
        <v>7.9980004998750319E-3</v>
      </c>
      <c r="N95" s="38">
        <f>J95/HLOOKUP(F95,Team_Composition_23[[#All],[Yellow]:[Red]],6,FALSE)</f>
        <v>1.8930207881503552E-2</v>
      </c>
      <c r="O95" s="38">
        <f>K95/HLOOKUP(F95,Team_Composition_23[[#All],[Yellow]:[Red]],8,FALSE)</f>
        <v>2.5821115337880878E-2</v>
      </c>
      <c r="P95" s="38">
        <f>L95/HLOOKUP(F95,Team_Composition_23[[#All],[Yellow]:[Red]],7,FALSE)</f>
        <v>9.050756699189959E-4</v>
      </c>
      <c r="Q95" s="31"/>
      <c r="R95" s="31"/>
      <c r="S95" s="31"/>
      <c r="T95" s="31"/>
      <c r="U95" s="31"/>
      <c r="V95" s="31"/>
      <c r="W95" s="31"/>
      <c r="X95" s="31"/>
      <c r="Y95" s="31"/>
      <c r="Z95" s="31"/>
      <c r="AA95" s="31"/>
      <c r="AB95" s="31"/>
      <c r="AC95" s="31"/>
      <c r="AD95" s="31"/>
    </row>
    <row r="96" spans="1:30" ht="22.5" customHeight="1">
      <c r="A96" s="32">
        <v>15</v>
      </c>
      <c r="B96" s="60" t="str">
        <f>VLOOKUP(C96,Lists!I:J,2,FALSE)</f>
        <v>KS</v>
      </c>
      <c r="C96" s="34" t="str">
        <f>VLOOKUP(E96&amp;D96,Lists!C:E,3,FALSE)</f>
        <v>Crossbow/Dagger</v>
      </c>
      <c r="D96" s="35" t="s">
        <v>40</v>
      </c>
      <c r="E96" s="36" t="s">
        <v>504</v>
      </c>
      <c r="F96" s="35" t="s">
        <v>483</v>
      </c>
      <c r="G96" s="32">
        <v>18</v>
      </c>
      <c r="H96" s="32">
        <v>24</v>
      </c>
      <c r="I96" s="84">
        <f t="shared" si="0"/>
        <v>42</v>
      </c>
      <c r="J96" s="37">
        <v>895004</v>
      </c>
      <c r="K96" s="37">
        <v>367178</v>
      </c>
      <c r="L96" s="37">
        <v>0</v>
      </c>
      <c r="M96" s="38">
        <f>I96/(HLOOKUP(F96,Team_Composition_23[[#All],[Yellow]:[Red]],10,FALSE)+HLOOKUP(F96,Team_Composition_23[[#All],[Yellow]:[Red]],11,FALSE))</f>
        <v>5.1157125456760051E-2</v>
      </c>
      <c r="N96" s="38">
        <f>J96/HLOOKUP(F96,Team_Composition_23[[#All],[Yellow]:[Red]],6,FALSE)</f>
        <v>5.072164679699899E-2</v>
      </c>
      <c r="O96" s="38">
        <f>K96/HLOOKUP(F96,Team_Composition_23[[#All],[Yellow]:[Red]],8,FALSE)</f>
        <v>8.3419328698618213E-3</v>
      </c>
      <c r="P96" s="38">
        <f>L96/HLOOKUP(F96,Team_Composition_23[[#All],[Yellow]:[Red]],7,FALSE)</f>
        <v>0</v>
      </c>
      <c r="Q96" s="31"/>
      <c r="R96" s="31"/>
      <c r="S96" s="31"/>
      <c r="T96" s="31"/>
      <c r="U96" s="31"/>
      <c r="V96" s="31"/>
      <c r="W96" s="31"/>
      <c r="X96" s="31"/>
      <c r="Y96" s="31"/>
      <c r="Z96" s="31"/>
      <c r="AA96" s="31"/>
      <c r="AB96" s="31"/>
      <c r="AC96" s="31"/>
      <c r="AD96" s="31"/>
    </row>
    <row r="97" spans="1:30" ht="22.5" customHeight="1">
      <c r="A97" s="32">
        <v>27</v>
      </c>
      <c r="B97" s="60" t="str">
        <f>VLOOKUP(C97,Lists!I:J,2,FALSE)</f>
        <v>KS</v>
      </c>
      <c r="C97" s="34" t="str">
        <f>VLOOKUP(E97&amp;D97,Lists!C:E,3,FALSE)</f>
        <v>Crossbow/Dagger</v>
      </c>
      <c r="D97" s="35" t="s">
        <v>40</v>
      </c>
      <c r="E97" s="36" t="s">
        <v>159</v>
      </c>
      <c r="F97" s="35" t="s">
        <v>476</v>
      </c>
      <c r="G97" s="32">
        <v>11</v>
      </c>
      <c r="H97" s="32">
        <v>18</v>
      </c>
      <c r="I97" s="84">
        <f t="shared" si="0"/>
        <v>29</v>
      </c>
      <c r="J97" s="37">
        <v>544776</v>
      </c>
      <c r="K97" s="37">
        <v>427417</v>
      </c>
      <c r="L97" s="37">
        <v>0</v>
      </c>
      <c r="M97" s="38">
        <f>I97/(HLOOKUP(F97,Team_Composition_23[[#All],[Yellow]:[Red]],10,FALSE)+HLOOKUP(F97,Team_Composition_23[[#All],[Yellow]:[Red]],11,FALSE))</f>
        <v>7.2481879530117473E-3</v>
      </c>
      <c r="N97" s="38">
        <f>J97/HLOOKUP(F97,Team_Composition_23[[#All],[Yellow]:[Red]],6,FALSE)</f>
        <v>1.2279799441844102E-2</v>
      </c>
      <c r="O97" s="38">
        <f>K97/HLOOKUP(F97,Team_Composition_23[[#All],[Yellow]:[Red]],8,FALSE)</f>
        <v>2.4397670086637967E-2</v>
      </c>
      <c r="P97" s="38">
        <f>L97/HLOOKUP(F97,Team_Composition_23[[#All],[Yellow]:[Red]],7,FALSE)</f>
        <v>0</v>
      </c>
      <c r="Q97" s="31"/>
      <c r="R97" s="31"/>
      <c r="S97" s="31"/>
      <c r="T97" s="31"/>
      <c r="U97" s="31"/>
      <c r="V97" s="31"/>
      <c r="W97" s="31"/>
      <c r="X97" s="31"/>
      <c r="Y97" s="31"/>
      <c r="Z97" s="31"/>
      <c r="AA97" s="31"/>
      <c r="AB97" s="31"/>
      <c r="AC97" s="31"/>
      <c r="AD97" s="31"/>
    </row>
    <row r="98" spans="1:30" ht="22.5" customHeight="1">
      <c r="A98" s="82"/>
      <c r="B98" s="57"/>
      <c r="C98" s="34"/>
      <c r="D98" s="13"/>
      <c r="E98" s="83"/>
      <c r="F98" s="13"/>
      <c r="G98" s="82"/>
      <c r="H98" s="82"/>
      <c r="I98" s="84"/>
      <c r="J98" s="85"/>
      <c r="K98" s="85"/>
      <c r="L98" s="85"/>
      <c r="M98" s="38"/>
      <c r="N98" s="38"/>
      <c r="O98" s="38"/>
      <c r="P98" s="38"/>
      <c r="Q98" s="31"/>
      <c r="R98" s="31"/>
      <c r="S98" s="31"/>
      <c r="T98" s="31"/>
      <c r="U98" s="31"/>
      <c r="V98" s="31"/>
      <c r="W98" s="31"/>
      <c r="X98" s="31"/>
      <c r="Y98" s="31"/>
      <c r="Z98" s="31"/>
      <c r="AA98" s="31"/>
      <c r="AB98" s="31"/>
      <c r="AC98" s="31"/>
      <c r="AD98" s="31"/>
    </row>
    <row r="99" spans="1:30" ht="22.5" customHeight="1">
      <c r="A99" s="82"/>
      <c r="B99" s="53"/>
      <c r="C99" s="34"/>
      <c r="D99" s="13"/>
      <c r="E99" s="83"/>
      <c r="F99" s="13"/>
      <c r="G99" s="82"/>
      <c r="H99" s="82"/>
      <c r="I99" s="84"/>
      <c r="J99" s="85"/>
      <c r="K99" s="85"/>
      <c r="L99" s="85"/>
      <c r="M99" s="38"/>
      <c r="N99" s="38"/>
      <c r="O99" s="38"/>
      <c r="P99" s="38"/>
      <c r="Q99" s="31"/>
      <c r="R99" s="31"/>
      <c r="S99" s="31"/>
      <c r="T99" s="31"/>
      <c r="U99" s="31"/>
      <c r="V99" s="31"/>
      <c r="W99" s="31"/>
      <c r="X99" s="31"/>
      <c r="Y99" s="31"/>
      <c r="Z99" s="31"/>
      <c r="AA99" s="31"/>
      <c r="AB99" s="31"/>
      <c r="AC99" s="31"/>
      <c r="AD99" s="31"/>
    </row>
    <row r="100" spans="1:30" ht="22.5" customHeight="1">
      <c r="A100" s="82"/>
      <c r="B100" s="34"/>
      <c r="C100" s="34"/>
      <c r="D100" s="13"/>
      <c r="E100" s="83"/>
      <c r="F100" s="13"/>
      <c r="G100" s="82"/>
      <c r="H100" s="82"/>
      <c r="I100" s="84"/>
      <c r="J100" s="85"/>
      <c r="K100" s="85"/>
      <c r="L100" s="85"/>
      <c r="M100" s="38"/>
      <c r="N100" s="38"/>
      <c r="O100" s="38"/>
      <c r="P100" s="38"/>
      <c r="Q100" s="31"/>
      <c r="R100" s="31"/>
      <c r="S100" s="31"/>
      <c r="T100" s="31"/>
      <c r="U100" s="31"/>
      <c r="V100" s="31"/>
      <c r="W100" s="31"/>
      <c r="X100" s="31"/>
      <c r="Y100" s="31"/>
      <c r="Z100" s="31"/>
      <c r="AA100" s="31"/>
      <c r="AB100" s="31"/>
      <c r="AC100" s="31"/>
      <c r="AD100" s="31"/>
    </row>
    <row r="101" spans="1:30" ht="22.5" customHeight="1">
      <c r="A101" s="82"/>
      <c r="B101" s="65"/>
      <c r="C101" s="34"/>
      <c r="D101" s="13"/>
      <c r="E101" s="83"/>
      <c r="F101" s="13"/>
      <c r="G101" s="82"/>
      <c r="H101" s="82"/>
      <c r="I101" s="84"/>
      <c r="J101" s="85"/>
      <c r="K101" s="85"/>
      <c r="L101" s="85"/>
      <c r="M101" s="38"/>
      <c r="N101" s="38"/>
      <c r="O101" s="38"/>
      <c r="P101" s="38"/>
      <c r="Q101" s="31"/>
      <c r="R101" s="31"/>
      <c r="S101" s="31"/>
      <c r="T101" s="31"/>
      <c r="U101" s="31"/>
      <c r="V101" s="31"/>
      <c r="W101" s="31"/>
      <c r="X101" s="31"/>
      <c r="Y101" s="31"/>
      <c r="Z101" s="31"/>
      <c r="AA101" s="31"/>
      <c r="AB101" s="31"/>
      <c r="AC101" s="31"/>
      <c r="AD101" s="31"/>
    </row>
    <row r="102" spans="1:30" ht="22.5" customHeight="1">
      <c r="A102" s="82"/>
      <c r="B102" s="34"/>
      <c r="C102" s="34"/>
      <c r="D102" s="13"/>
      <c r="E102" s="83"/>
      <c r="F102" s="13"/>
      <c r="G102" s="82"/>
      <c r="H102" s="82"/>
      <c r="I102" s="84"/>
      <c r="J102" s="85"/>
      <c r="K102" s="85"/>
      <c r="L102" s="85"/>
      <c r="M102" s="38"/>
      <c r="N102" s="38"/>
      <c r="O102" s="38"/>
      <c r="P102" s="38"/>
      <c r="Q102" s="31"/>
      <c r="R102" s="31"/>
      <c r="S102" s="31"/>
      <c r="T102" s="31"/>
      <c r="U102" s="31"/>
      <c r="V102" s="31"/>
      <c r="W102" s="31"/>
      <c r="X102" s="31"/>
      <c r="Y102" s="31"/>
      <c r="Z102" s="31"/>
      <c r="AA102" s="31"/>
      <c r="AB102" s="31"/>
      <c r="AC102" s="31"/>
      <c r="AD102" s="31"/>
    </row>
    <row r="103" spans="1:30" ht="22.5" customHeight="1">
      <c r="A103" s="82"/>
      <c r="B103" s="53"/>
      <c r="C103" s="34"/>
      <c r="D103" s="13"/>
      <c r="E103" s="83"/>
      <c r="F103" s="13"/>
      <c r="G103" s="82"/>
      <c r="H103" s="82"/>
      <c r="I103" s="84"/>
      <c r="J103" s="85"/>
      <c r="K103" s="85"/>
      <c r="L103" s="85"/>
      <c r="M103" s="38"/>
      <c r="N103" s="38"/>
      <c r="O103" s="38"/>
      <c r="P103" s="38"/>
      <c r="Q103" s="31"/>
      <c r="R103" s="31"/>
      <c r="S103" s="31"/>
      <c r="T103" s="31"/>
      <c r="U103" s="31"/>
      <c r="V103" s="31"/>
      <c r="W103" s="31"/>
      <c r="X103" s="31"/>
      <c r="Y103" s="31"/>
      <c r="Z103" s="31"/>
      <c r="AA103" s="31"/>
      <c r="AB103" s="31"/>
      <c r="AC103" s="31"/>
      <c r="AD103" s="31"/>
    </row>
    <row r="104" spans="1:30" ht="22.5" customHeight="1">
      <c r="A104" s="82"/>
      <c r="B104" s="66"/>
      <c r="C104" s="34"/>
      <c r="D104" s="13"/>
      <c r="E104" s="83"/>
      <c r="F104" s="13"/>
      <c r="G104" s="82"/>
      <c r="H104" s="82"/>
      <c r="I104" s="84"/>
      <c r="J104" s="85"/>
      <c r="K104" s="85"/>
      <c r="L104" s="85"/>
      <c r="M104" s="38"/>
      <c r="N104" s="38"/>
      <c r="O104" s="38"/>
      <c r="P104" s="38"/>
      <c r="Q104" s="31"/>
      <c r="R104" s="31"/>
      <c r="S104" s="31"/>
      <c r="T104" s="31"/>
      <c r="U104" s="31"/>
      <c r="V104" s="31"/>
      <c r="W104" s="31"/>
      <c r="X104" s="31"/>
      <c r="Y104" s="31"/>
      <c r="Z104" s="31"/>
      <c r="AA104" s="31"/>
      <c r="AB104" s="31"/>
      <c r="AC104" s="31"/>
      <c r="AD104" s="31"/>
    </row>
    <row r="105" spans="1:30" ht="22.5" customHeight="1">
      <c r="A105" s="82"/>
      <c r="B105" s="53"/>
      <c r="C105" s="34"/>
      <c r="D105" s="13"/>
      <c r="E105" s="83"/>
      <c r="F105" s="13"/>
      <c r="G105" s="82"/>
      <c r="H105" s="82"/>
      <c r="I105" s="84"/>
      <c r="J105" s="85"/>
      <c r="K105" s="85"/>
      <c r="L105" s="85"/>
      <c r="M105" s="38"/>
      <c r="N105" s="38"/>
      <c r="O105" s="38"/>
      <c r="P105" s="38"/>
      <c r="Q105" s="31"/>
      <c r="R105" s="31"/>
      <c r="S105" s="31"/>
      <c r="T105" s="31"/>
      <c r="U105" s="31"/>
      <c r="V105" s="31"/>
      <c r="W105" s="31"/>
      <c r="X105" s="31"/>
      <c r="Y105" s="31"/>
      <c r="Z105" s="31"/>
      <c r="AA105" s="31"/>
      <c r="AB105" s="31"/>
      <c r="AC105" s="31"/>
      <c r="AD105" s="31"/>
    </row>
    <row r="106" spans="1:30" ht="22.5" customHeight="1">
      <c r="A106" s="82"/>
      <c r="B106" s="34"/>
      <c r="C106" s="34"/>
      <c r="D106" s="13"/>
      <c r="E106" s="83"/>
      <c r="F106" s="13"/>
      <c r="G106" s="82"/>
      <c r="H106" s="82"/>
      <c r="I106" s="84"/>
      <c r="J106" s="85"/>
      <c r="K106" s="85"/>
      <c r="L106" s="85"/>
      <c r="M106" s="38"/>
      <c r="N106" s="38"/>
      <c r="O106" s="38"/>
      <c r="P106" s="38"/>
      <c r="Q106" s="31"/>
      <c r="R106" s="31"/>
      <c r="S106" s="31"/>
      <c r="T106" s="31"/>
      <c r="U106" s="31"/>
      <c r="V106" s="31"/>
      <c r="W106" s="31"/>
      <c r="X106" s="31"/>
      <c r="Y106" s="31"/>
      <c r="Z106" s="31"/>
      <c r="AA106" s="31"/>
      <c r="AB106" s="31"/>
      <c r="AC106" s="31"/>
      <c r="AD106" s="31"/>
    </row>
    <row r="107" spans="1:30" ht="22.5" customHeight="1">
      <c r="A107" s="82"/>
      <c r="B107" s="53"/>
      <c r="C107" s="34"/>
      <c r="D107" s="13"/>
      <c r="E107" s="83"/>
      <c r="F107" s="13"/>
      <c r="G107" s="82"/>
      <c r="H107" s="82"/>
      <c r="I107" s="84"/>
      <c r="J107" s="85"/>
      <c r="K107" s="85"/>
      <c r="L107" s="85"/>
      <c r="M107" s="38"/>
      <c r="N107" s="38"/>
      <c r="O107" s="38"/>
      <c r="P107" s="38"/>
      <c r="Q107" s="31"/>
      <c r="R107" s="31"/>
      <c r="S107" s="31"/>
      <c r="T107" s="31"/>
      <c r="U107" s="31"/>
      <c r="V107" s="31"/>
      <c r="W107" s="31"/>
      <c r="X107" s="31"/>
      <c r="Y107" s="31"/>
      <c r="Z107" s="31"/>
      <c r="AA107" s="31"/>
      <c r="AB107" s="31"/>
      <c r="AC107" s="31"/>
      <c r="AD107" s="31"/>
    </row>
    <row r="108" spans="1:30" ht="22.5" customHeight="1">
      <c r="A108" s="82"/>
      <c r="B108" s="34"/>
      <c r="C108" s="34"/>
      <c r="D108" s="13"/>
      <c r="E108" s="83"/>
      <c r="F108" s="13"/>
      <c r="G108" s="82"/>
      <c r="H108" s="82"/>
      <c r="I108" s="84"/>
      <c r="J108" s="85"/>
      <c r="K108" s="85"/>
      <c r="L108" s="85"/>
      <c r="M108" s="38"/>
      <c r="N108" s="38"/>
      <c r="O108" s="38"/>
      <c r="P108" s="38"/>
      <c r="Q108" s="31"/>
      <c r="R108" s="31"/>
      <c r="S108" s="31"/>
      <c r="T108" s="31"/>
      <c r="U108" s="31"/>
      <c r="V108" s="31"/>
      <c r="W108" s="31"/>
      <c r="X108" s="31"/>
      <c r="Y108" s="31"/>
      <c r="Z108" s="31"/>
      <c r="AA108" s="31"/>
      <c r="AB108" s="31"/>
      <c r="AC108" s="31"/>
      <c r="AD108" s="31"/>
    </row>
    <row r="109" spans="1:30" ht="22.5" customHeight="1">
      <c r="A109" s="82"/>
      <c r="B109" s="53" t="e">
        <f>VLOOKUP(C109,Lists!I:J,2,FALSE)</f>
        <v>#N/A</v>
      </c>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200-000000000000}">
      <formula1>#REF!</formula1>
    </dataValidation>
    <dataValidation type="list" allowBlank="1" sqref="F2:F163" xr:uid="{00000000-0002-0000-0200-000002000000}">
      <formula1>"Yellow,Red"</formula1>
    </dataValidation>
    <dataValidation type="custom" allowBlank="1" showDropDown="1" sqref="S4:T14 AC4:AD14 S17:T25 AC17:AD25 S30:T46 AC30:AD46 S51:T60 AC51:AD60 S65:T72 AC65:AD72 S77:T84 AC77:AD84 A2:A163 G2:L163" xr:uid="{00000000-0002-0000-0200-000003000000}">
      <formula1>AND(ISNUMBER(A2),(NOT(OR(NOT(ISERROR(DATEVALUE(A2))), AND(ISNUMBER(A2), LEFT(CELL("format", A2))="D")))))</formula1>
    </dataValidation>
    <dataValidation allowBlank="1" showDropDown="1" sqref="E2:E163" xr:uid="{00000000-0002-0000-02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4" customWidth="1"/>
    <col min="3" max="3" width="18.88671875" customWidth="1"/>
    <col min="4" max="4" width="16.6640625" customWidth="1"/>
    <col min="5" max="5" width="17.109375" customWidth="1"/>
    <col min="6" max="6" width="12.44140625" customWidth="1"/>
    <col min="7" max="7" width="11.6640625" customWidth="1"/>
    <col min="8" max="8" width="13.77734375" customWidth="1"/>
    <col min="9" max="9" width="12.21875" customWidth="1"/>
    <col min="10" max="10" width="18.109375" customWidth="1"/>
    <col min="11" max="11" width="18.77734375" customWidth="1"/>
    <col min="12" max="12" width="19.109375" customWidth="1"/>
    <col min="13"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91" t="s">
        <v>463</v>
      </c>
      <c r="B1" s="91" t="s">
        <v>5</v>
      </c>
      <c r="C1" s="91" t="s">
        <v>2</v>
      </c>
      <c r="D1" s="91" t="s">
        <v>3</v>
      </c>
      <c r="E1" s="91" t="s">
        <v>1</v>
      </c>
      <c r="F1" s="91" t="s">
        <v>464</v>
      </c>
      <c r="G1" s="91" t="s">
        <v>465</v>
      </c>
      <c r="H1" s="92" t="s">
        <v>466</v>
      </c>
      <c r="I1" s="93" t="s">
        <v>467</v>
      </c>
      <c r="J1" s="92" t="s">
        <v>468</v>
      </c>
      <c r="K1" s="92" t="s">
        <v>469</v>
      </c>
      <c r="L1" s="92"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1</v>
      </c>
      <c r="B2" s="94" t="str">
        <f>VLOOKUP(C2,Lists!I:J,2,FALSE)</f>
        <v>Ranged DPS</v>
      </c>
      <c r="C2" s="95" t="s">
        <v>48</v>
      </c>
      <c r="D2" s="35" t="s">
        <v>30</v>
      </c>
      <c r="E2" s="36" t="s">
        <v>412</v>
      </c>
      <c r="F2" s="35" t="s">
        <v>483</v>
      </c>
      <c r="G2" s="32">
        <v>66</v>
      </c>
      <c r="H2" s="32">
        <v>65</v>
      </c>
      <c r="I2" s="96">
        <f t="shared" ref="I2:I97" si="0">SUM(G2:H2)</f>
        <v>131</v>
      </c>
      <c r="J2" s="37">
        <v>3998661</v>
      </c>
      <c r="K2" s="37">
        <v>563610</v>
      </c>
      <c r="L2" s="37">
        <v>0</v>
      </c>
      <c r="M2" s="38">
        <f>I2/(HLOOKUP(F2,Team_Composition_23[[#All],[Yellow]:[Red]],10,FALSE)+HLOOKUP(F2,Team_Composition_23[[#All],[Yellow]:[Red]],11,FALSE))</f>
        <v>0.15956151035322777</v>
      </c>
      <c r="N2" s="38">
        <f>J2/HLOOKUP(F2,Team_Composition_23[[#All],[Yellow]:[Red]],6,FALSE)</f>
        <v>0.22661202732382738</v>
      </c>
      <c r="O2" s="38">
        <f>K2/HLOOKUP(F2,Team_Composition_23[[#All],[Yellow]:[Red]],8,FALSE)</f>
        <v>1.2804679977511783E-2</v>
      </c>
      <c r="P2" s="38">
        <f>L2/HLOOKUP(F2,Team_Composition_23[[#All],[Yellow]:[Red]],7,FALSE)</f>
        <v>0</v>
      </c>
      <c r="Q2" s="31"/>
      <c r="R2" s="227" t="s">
        <v>477</v>
      </c>
      <c r="S2" s="228"/>
      <c r="T2" s="228"/>
      <c r="U2" s="31"/>
      <c r="V2" s="229" t="s">
        <v>478</v>
      </c>
      <c r="W2" s="228"/>
      <c r="X2" s="39"/>
      <c r="Y2" s="229" t="s">
        <v>479</v>
      </c>
      <c r="Z2" s="228"/>
      <c r="AA2" s="31"/>
      <c r="AB2" s="227" t="s">
        <v>480</v>
      </c>
      <c r="AC2" s="228"/>
      <c r="AD2" s="228"/>
    </row>
    <row r="3" spans="1:30" ht="22.5" customHeight="1">
      <c r="A3" s="32">
        <v>2</v>
      </c>
      <c r="B3" s="94" t="str">
        <f>VLOOKUP(C3,Lists!I:J,2,FALSE)</f>
        <v>KS</v>
      </c>
      <c r="C3" s="95" t="str">
        <f>VLOOKUP(E3&amp;D3,Lists!C:E,3,FALSE)</f>
        <v>Greatsword/Dagger</v>
      </c>
      <c r="D3" s="35" t="s">
        <v>30</v>
      </c>
      <c r="E3" s="36" t="s">
        <v>394</v>
      </c>
      <c r="F3" s="35" t="s">
        <v>483</v>
      </c>
      <c r="G3" s="32">
        <v>50</v>
      </c>
      <c r="H3" s="32">
        <v>76</v>
      </c>
      <c r="I3" s="96">
        <f t="shared" si="0"/>
        <v>126</v>
      </c>
      <c r="J3" s="37">
        <v>1734676</v>
      </c>
      <c r="K3" s="37">
        <v>725704</v>
      </c>
      <c r="L3" s="37">
        <v>9886</v>
      </c>
      <c r="M3" s="38">
        <f>I3/(HLOOKUP(F3,Team_Composition_23[[#All],[Yellow]:[Red]],10,FALSE)+HLOOKUP(F3,Team_Composition_23[[#All],[Yellow]:[Red]],11,FALSE))</f>
        <v>0.15347137637028013</v>
      </c>
      <c r="N3" s="38">
        <f>J3/HLOOKUP(F3,Team_Composition_23[[#All],[Yellow]:[Red]],6,FALSE)</f>
        <v>9.8307519719723069E-2</v>
      </c>
      <c r="O3" s="38">
        <f>K3/HLOOKUP(F3,Team_Composition_23[[#All],[Yellow]:[Red]],8,FALSE)</f>
        <v>1.6487300577349959E-2</v>
      </c>
      <c r="P3" s="38">
        <f>L3/HLOOKUP(F3,Team_Composition_23[[#All],[Yellow]:[Red]],7,FALSE)</f>
        <v>4.0736086160407135E-4</v>
      </c>
      <c r="Q3" s="31"/>
      <c r="R3" s="41" t="s">
        <v>482</v>
      </c>
      <c r="S3" s="42" t="s">
        <v>476</v>
      </c>
      <c r="T3" s="42" t="s">
        <v>483</v>
      </c>
      <c r="U3" s="31"/>
      <c r="V3" s="43" t="s">
        <v>1</v>
      </c>
      <c r="W3" s="44" t="s">
        <v>467</v>
      </c>
      <c r="X3" s="31"/>
      <c r="Y3" s="43" t="s">
        <v>1</v>
      </c>
      <c r="Z3" s="44" t="s">
        <v>484</v>
      </c>
      <c r="AA3" s="31"/>
      <c r="AB3" s="41" t="s">
        <v>482</v>
      </c>
      <c r="AC3" s="42" t="s">
        <v>485</v>
      </c>
      <c r="AD3" s="42" t="s">
        <v>36</v>
      </c>
    </row>
    <row r="4" spans="1:30" ht="22.5" customHeight="1">
      <c r="A4" s="32">
        <v>4</v>
      </c>
      <c r="B4" s="94" t="str">
        <f>VLOOKUP(C4,Lists!I:J,2,FALSE)</f>
        <v>Ranged DPS</v>
      </c>
      <c r="C4" s="95" t="str">
        <f>VLOOKUP(E4&amp;D4,Lists!C:E,3,FALSE)</f>
        <v>Crossbow/SnS</v>
      </c>
      <c r="D4" s="35" t="s">
        <v>30</v>
      </c>
      <c r="E4" s="36" t="s">
        <v>405</v>
      </c>
      <c r="F4" s="35" t="s">
        <v>483</v>
      </c>
      <c r="G4" s="32">
        <v>47</v>
      </c>
      <c r="H4" s="32">
        <v>78</v>
      </c>
      <c r="I4" s="96">
        <f t="shared" si="0"/>
        <v>125</v>
      </c>
      <c r="J4" s="37">
        <v>3016083</v>
      </c>
      <c r="K4" s="37">
        <v>196551</v>
      </c>
      <c r="L4" s="37">
        <v>9929</v>
      </c>
      <c r="M4" s="38">
        <f>I4/(HLOOKUP(F4,Team_Composition_23[[#All],[Yellow]:[Red]],10,FALSE)+HLOOKUP(F4,Team_Composition_23[[#All],[Yellow]:[Red]],11,FALSE))</f>
        <v>0.15225334957369063</v>
      </c>
      <c r="N4" s="38">
        <f>J4/HLOOKUP(F4,Team_Composition_23[[#All],[Yellow]:[Red]],6,FALSE)</f>
        <v>0.17092738874511523</v>
      </c>
      <c r="O4" s="38">
        <f>K4/HLOOKUP(F4,Team_Composition_23[[#All],[Yellow]:[Red]],8,FALSE)</f>
        <v>4.465450673799113E-3</v>
      </c>
      <c r="P4" s="38">
        <f>L4/HLOOKUP(F4,Team_Composition_23[[#All],[Yellow]:[Red]],7,FALSE)</f>
        <v>4.0913271240813518E-4</v>
      </c>
      <c r="Q4" s="31"/>
      <c r="R4" s="45" t="s">
        <v>25</v>
      </c>
      <c r="S4" s="46">
        <f>COUNTIFS(Scoreboard_40[Role],R4,Scoreboard_40[Team],"Yellow")</f>
        <v>4</v>
      </c>
      <c r="T4" s="47">
        <f>COUNTIFS(Scoreboard_40[Role],R4,Scoreboard_40[Team],"Red")</f>
        <v>5</v>
      </c>
      <c r="U4" s="31"/>
      <c r="V4" s="48" t="str">
        <f ca="1">IFERROR(__xludf.DUMMYFUNCTION("query(A1:P238, ""Select E,I where B!='Healer' Order by I Desc Limit 10"", 0)"),"Artayy")</f>
        <v>Artayy</v>
      </c>
      <c r="W4" s="49">
        <f ca="1">IFERROR(__xludf.DUMMYFUNCTION("""COMPUTED_VALUE"""),131)</f>
        <v>131</v>
      </c>
      <c r="X4" s="31"/>
      <c r="Y4" s="48" t="str">
        <f ca="1">IFERROR(__xludf.DUMMYFUNCTION("query(A1:P238, ""Select E,J Order by J Desc Limit 10"", 0)"),"Artayy")</f>
        <v>Artayy</v>
      </c>
      <c r="Z4" s="49">
        <f ca="1">IFERROR(__xludf.DUMMYFUNCTION("""COMPUTED_VALUE"""),3998661)</f>
        <v>3998661</v>
      </c>
      <c r="AA4" s="31"/>
      <c r="AB4" s="45" t="s">
        <v>25</v>
      </c>
      <c r="AC4" s="50">
        <f>COUNTIFS(Scoreboard_40[Role],AB4,Scoreboard_40[Guild],"Best Regards")</f>
        <v>0</v>
      </c>
      <c r="AD4" s="51">
        <f>COUNTIFS(Scoreboard_40[Role],AB4,Scoreboard_40[Guild],"Unhinged肉")</f>
        <v>0</v>
      </c>
    </row>
    <row r="5" spans="1:30" ht="22.5" customHeight="1">
      <c r="A5" s="32">
        <v>15</v>
      </c>
      <c r="B5" s="94" t="str">
        <f>VLOOKUP(C5,Lists!I:J,2,FALSE)</f>
        <v>Melee DPS</v>
      </c>
      <c r="C5" s="95" t="str">
        <f>VLOOKUP(E5&amp;D5,Lists!C:E,3,FALSE)</f>
        <v>Greatsword/Spear</v>
      </c>
      <c r="D5" s="35" t="s">
        <v>30</v>
      </c>
      <c r="E5" s="36" t="s">
        <v>398</v>
      </c>
      <c r="F5" s="35" t="s">
        <v>483</v>
      </c>
      <c r="G5" s="32">
        <v>29</v>
      </c>
      <c r="H5" s="32">
        <v>86</v>
      </c>
      <c r="I5" s="96">
        <f t="shared" si="0"/>
        <v>115</v>
      </c>
      <c r="J5" s="37">
        <v>2253744</v>
      </c>
      <c r="K5" s="37">
        <v>826498</v>
      </c>
      <c r="L5" s="37">
        <v>23038</v>
      </c>
      <c r="M5" s="38">
        <f>I5/(HLOOKUP(F5,Team_Composition_23[[#All],[Yellow]:[Red]],10,FALSE)+HLOOKUP(F5,Team_Composition_23[[#All],[Yellow]:[Red]],11,FALSE))</f>
        <v>0.14007308160779536</v>
      </c>
      <c r="N5" s="38">
        <f>J5/HLOOKUP(F5,Team_Composition_23[[#All],[Yellow]:[Red]],6,FALSE)</f>
        <v>0.12772412987970522</v>
      </c>
      <c r="O5" s="38">
        <f>K5/HLOOKUP(F5,Team_Composition_23[[#All],[Yellow]:[Red]],8,FALSE)</f>
        <v>1.8777243824725488E-2</v>
      </c>
      <c r="P5" s="38">
        <f>L5/HLOOKUP(F5,Team_Composition_23[[#All],[Yellow]:[Red]],7,FALSE)</f>
        <v>9.4929997265168892E-4</v>
      </c>
      <c r="Q5" s="31"/>
      <c r="R5" s="45" t="s">
        <v>39</v>
      </c>
      <c r="S5" s="46">
        <f>COUNTIFS(Scoreboard_40[Role],R5,Scoreboard_40[Team],"Yellow")</f>
        <v>7</v>
      </c>
      <c r="T5" s="47">
        <f>COUNTIFS(Scoreboard_40[Role],R5,Scoreboard_40[Team],"Red")</f>
        <v>7</v>
      </c>
      <c r="U5" s="31"/>
      <c r="V5" s="48" t="str">
        <f ca="1">IFERROR(__xludf.DUMMYFUNCTION("""COMPUTED_VALUE"""),"Emperor")</f>
        <v>Emperor</v>
      </c>
      <c r="W5" s="49">
        <f ca="1">IFERROR(__xludf.DUMMYFUNCTION("""COMPUTED_VALUE"""),126)</f>
        <v>126</v>
      </c>
      <c r="X5" s="31"/>
      <c r="Y5" s="48" t="str">
        <f ca="1">IFERROR(__xludf.DUMMYFUNCTION("""COMPUTED_VALUE"""),"Nyvri")</f>
        <v>Nyvri</v>
      </c>
      <c r="Z5" s="49">
        <f ca="1">IFERROR(__xludf.DUMMYFUNCTION("""COMPUTED_VALUE"""),3016083)</f>
        <v>3016083</v>
      </c>
      <c r="AA5" s="31"/>
      <c r="AB5" s="45" t="s">
        <v>39</v>
      </c>
      <c r="AC5" s="50">
        <f>COUNTIFS(Scoreboard_40[Role],AB5,Scoreboard_40[Guild],"Best Regards")</f>
        <v>0</v>
      </c>
      <c r="AD5" s="51">
        <f>COUNTIFS(Scoreboard_40[Role],AB5,Scoreboard_40[Guild],"Unhinged肉")</f>
        <v>0</v>
      </c>
    </row>
    <row r="6" spans="1:30" ht="22.5" customHeight="1">
      <c r="A6" s="32">
        <v>16</v>
      </c>
      <c r="B6" s="94" t="str">
        <f>VLOOKUP(C6,Lists!I:J,2,FALSE)</f>
        <v>Melee DPS</v>
      </c>
      <c r="C6" s="95" t="str">
        <f>VLOOKUP(E6&amp;D6,Lists!C:E,3,FALSE)</f>
        <v>Spear/Dagger</v>
      </c>
      <c r="D6" s="35" t="s">
        <v>30</v>
      </c>
      <c r="E6" s="36" t="s">
        <v>217</v>
      </c>
      <c r="F6" s="35" t="s">
        <v>483</v>
      </c>
      <c r="G6" s="32">
        <v>27</v>
      </c>
      <c r="H6" s="32">
        <v>83</v>
      </c>
      <c r="I6" s="96">
        <f t="shared" si="0"/>
        <v>110</v>
      </c>
      <c r="J6" s="37">
        <v>2132264</v>
      </c>
      <c r="K6" s="37">
        <v>653287</v>
      </c>
      <c r="L6" s="37">
        <v>0</v>
      </c>
      <c r="M6" s="38">
        <f>I6/(HLOOKUP(F6,Team_Composition_23[[#All],[Yellow]:[Red]],10,FALSE)+HLOOKUP(F6,Team_Composition_23[[#All],[Yellow]:[Red]],11,FALSE))</f>
        <v>0.13398294762484775</v>
      </c>
      <c r="N6" s="38">
        <f>J6/HLOOKUP(F6,Team_Composition_23[[#All],[Yellow]:[Red]],6,FALSE)</f>
        <v>0.1208396180195354</v>
      </c>
      <c r="O6" s="38">
        <f>K6/HLOOKUP(F6,Team_Composition_23[[#All],[Yellow]:[Red]],8,FALSE)</f>
        <v>1.484205562085261E-2</v>
      </c>
      <c r="P6" s="38">
        <f>L6/HLOOKUP(F6,Team_Composition_23[[#All],[Yellow]:[Red]],7,FALSE)</f>
        <v>0</v>
      </c>
      <c r="Q6" s="31"/>
      <c r="R6" s="45" t="s">
        <v>67</v>
      </c>
      <c r="S6" s="46">
        <f>COUNTIFS(Scoreboard_40[Role],R6,Scoreboard_40[Team],"Yellow")</f>
        <v>15</v>
      </c>
      <c r="T6" s="47">
        <f>COUNTIFS(Scoreboard_40[Role],R6,Scoreboard_40[Team],"Red")</f>
        <v>10</v>
      </c>
      <c r="U6" s="31"/>
      <c r="V6" s="48" t="str">
        <f ca="1">IFERROR(__xludf.DUMMYFUNCTION("""COMPUTED_VALUE"""),"Nyvri")</f>
        <v>Nyvri</v>
      </c>
      <c r="W6" s="49">
        <f ca="1">IFERROR(__xludf.DUMMYFUNCTION("""COMPUTED_VALUE"""),125)</f>
        <v>125</v>
      </c>
      <c r="X6" s="31"/>
      <c r="Y6" s="48" t="str">
        <f ca="1">IFERROR(__xludf.DUMMYFUNCTION("""COMPUTED_VALUE"""),"Ceviche")</f>
        <v>Ceviche</v>
      </c>
      <c r="Z6" s="49">
        <f ca="1">IFERROR(__xludf.DUMMYFUNCTION("""COMPUTED_VALUE"""),2676835)</f>
        <v>2676835</v>
      </c>
      <c r="AA6" s="31"/>
      <c r="AB6" s="45" t="s">
        <v>67</v>
      </c>
      <c r="AC6" s="50">
        <f>COUNTIFS(Scoreboard_40[Role],AB6,Scoreboard_40[Guild],"Best Regards")</f>
        <v>0</v>
      </c>
      <c r="AD6" s="51">
        <f>COUNTIFS(Scoreboard_40[Role],AB6,Scoreboard_40[Guild],"Unhinged肉")</f>
        <v>0</v>
      </c>
    </row>
    <row r="7" spans="1:30" ht="22.5" customHeight="1">
      <c r="A7" s="32">
        <v>26</v>
      </c>
      <c r="B7" s="94" t="str">
        <f>VLOOKUP(C7,Lists!I:J,2,FALSE)</f>
        <v>Tank</v>
      </c>
      <c r="C7" s="95" t="str">
        <f>VLOOKUP(E7&amp;D7,Lists!C:E,3,FALSE)</f>
        <v>SnS/Greatsword</v>
      </c>
      <c r="D7" s="35" t="s">
        <v>30</v>
      </c>
      <c r="E7" s="36" t="s">
        <v>215</v>
      </c>
      <c r="F7" s="35" t="s">
        <v>483</v>
      </c>
      <c r="G7" s="32">
        <v>18</v>
      </c>
      <c r="H7" s="32">
        <v>91</v>
      </c>
      <c r="I7" s="96">
        <f t="shared" si="0"/>
        <v>109</v>
      </c>
      <c r="J7" s="37">
        <v>1191019</v>
      </c>
      <c r="K7" s="37">
        <v>584525</v>
      </c>
      <c r="L7" s="37">
        <v>182802</v>
      </c>
      <c r="M7" s="38">
        <f>I7/(HLOOKUP(F7,Team_Composition_23[[#All],[Yellow]:[Red]],10,FALSE)+HLOOKUP(F7,Team_Composition_23[[#All],[Yellow]:[Red]],11,FALSE))</f>
        <v>0.13276492082825822</v>
      </c>
      <c r="N7" s="38">
        <f>J7/HLOOKUP(F7,Team_Composition_23[[#All],[Yellow]:[Red]],6,FALSE)</f>
        <v>6.7497402298218712E-2</v>
      </c>
      <c r="O7" s="38">
        <f>K7/HLOOKUP(F7,Team_Composition_23[[#All],[Yellow]:[Red]],8,FALSE)</f>
        <v>1.3279848767507806E-2</v>
      </c>
      <c r="P7" s="38">
        <f>L7/HLOOKUP(F7,Team_Composition_23[[#All],[Yellow]:[Red]],7,FALSE)</f>
        <v>7.5325086205692343E-3</v>
      </c>
      <c r="Q7" s="31"/>
      <c r="R7" s="45" t="s">
        <v>11</v>
      </c>
      <c r="S7" s="46">
        <f>COUNTIFS(Scoreboard_40[Role],R7,Scoreboard_40[Team],"Yellow")</f>
        <v>16</v>
      </c>
      <c r="T7" s="47">
        <f>COUNTIFS(Scoreboard_40[Role],R7,Scoreboard_40[Team],"Red")</f>
        <v>18</v>
      </c>
      <c r="U7" s="31"/>
      <c r="V7" s="48" t="str">
        <f ca="1">IFERROR(__xludf.DUMMYFUNCTION("""COMPUTED_VALUE"""),"nightghost1")</f>
        <v>nightghost1</v>
      </c>
      <c r="W7" s="49">
        <f ca="1">IFERROR(__xludf.DUMMYFUNCTION("""COMPUTED_VALUE"""),115)</f>
        <v>115</v>
      </c>
      <c r="X7" s="31"/>
      <c r="Y7" s="48" t="str">
        <f ca="1">IFERROR(__xludf.DUMMYFUNCTION("""COMPUTED_VALUE"""),"GUNWALLET")</f>
        <v>GUNWALLET</v>
      </c>
      <c r="Z7" s="49">
        <f ca="1">IFERROR(__xludf.DUMMYFUNCTION("""COMPUTED_VALUE"""),2633433)</f>
        <v>2633433</v>
      </c>
      <c r="AA7" s="31"/>
      <c r="AB7" s="45" t="s">
        <v>11</v>
      </c>
      <c r="AC7" s="50">
        <f>COUNTIFS(Scoreboard_40[Role],AB7,Scoreboard_40[Guild],"Best Regards")</f>
        <v>0</v>
      </c>
      <c r="AD7" s="51">
        <f>COUNTIFS(Scoreboard_40[Role],AB7,Scoreboard_40[Guild],"Unhinged肉")</f>
        <v>0</v>
      </c>
    </row>
    <row r="8" spans="1:30" ht="22.5" customHeight="1">
      <c r="A8" s="32">
        <v>20</v>
      </c>
      <c r="B8" s="94" t="str">
        <f>VLOOKUP(C8,Lists!I:J,2,FALSE)</f>
        <v>Ranged DPS</v>
      </c>
      <c r="C8" s="95" t="str">
        <f>VLOOKUP(E8&amp;D8,Lists!C:E,3,FALSE)</f>
        <v>Crossbow/SnS</v>
      </c>
      <c r="D8" s="35" t="s">
        <v>30</v>
      </c>
      <c r="E8" s="36" t="s">
        <v>455</v>
      </c>
      <c r="F8" s="35" t="s">
        <v>483</v>
      </c>
      <c r="G8" s="32">
        <v>25</v>
      </c>
      <c r="H8" s="32">
        <v>83</v>
      </c>
      <c r="I8" s="96">
        <f t="shared" si="0"/>
        <v>108</v>
      </c>
      <c r="J8" s="37">
        <v>2507923</v>
      </c>
      <c r="K8" s="37">
        <v>799470</v>
      </c>
      <c r="L8" s="37">
        <v>22231</v>
      </c>
      <c r="M8" s="38">
        <f>I8/(HLOOKUP(F8,Team_Composition_23[[#All],[Yellow]:[Red]],10,FALSE)+HLOOKUP(F8,Team_Composition_23[[#All],[Yellow]:[Red]],11,FALSE))</f>
        <v>0.13154689403166869</v>
      </c>
      <c r="N8" s="38">
        <f>J8/HLOOKUP(F8,Team_Composition_23[[#All],[Yellow]:[Red]],6,FALSE)</f>
        <v>0.14212895651870841</v>
      </c>
      <c r="O8" s="38">
        <f>K8/HLOOKUP(F8,Team_Composition_23[[#All],[Yellow]:[Red]],8,FALSE)</f>
        <v>1.8163193523218796E-2</v>
      </c>
      <c r="P8" s="38">
        <f>L8/HLOOKUP(F8,Team_Composition_23[[#All],[Yellow]:[Red]],7,FALSE)</f>
        <v>9.1604686570100253E-4</v>
      </c>
      <c r="Q8" s="31"/>
      <c r="R8" s="45" t="s">
        <v>468</v>
      </c>
      <c r="S8" s="46">
        <f>SUMIFS(Scoreboard_40[Damage Dealt],Scoreboard_40[Team],"Yellow")</f>
        <v>22258674</v>
      </c>
      <c r="T8" s="47">
        <f>SUMIFS(Scoreboard_40[Damage Dealt],Scoreboard_40[Team],"Red")</f>
        <v>38189052</v>
      </c>
      <c r="U8" s="31"/>
      <c r="V8" s="48" t="str">
        <f ca="1">IFERROR(__xludf.DUMMYFUNCTION("""COMPUTED_VALUE"""),"Anrenn")</f>
        <v>Anrenn</v>
      </c>
      <c r="W8" s="49">
        <f ca="1">IFERROR(__xludf.DUMMYFUNCTION("""COMPUTED_VALUE"""),110)</f>
        <v>110</v>
      </c>
      <c r="X8" s="31"/>
      <c r="Y8" s="48" t="str">
        <f ca="1">IFERROR(__xludf.DUMMYFUNCTION("""COMPUTED_VALUE"""),"hzrd")</f>
        <v>hzrd</v>
      </c>
      <c r="Z8" s="49">
        <f ca="1">IFERROR(__xludf.DUMMYFUNCTION("""COMPUTED_VALUE"""),2507923)</f>
        <v>2507923</v>
      </c>
      <c r="AA8" s="31"/>
      <c r="AB8" s="45" t="s">
        <v>468</v>
      </c>
      <c r="AC8" s="50">
        <f>SUMIFS(Scoreboard_40[Damage Dealt],Scoreboard_40[Guild],"Best Regards")</f>
        <v>0</v>
      </c>
      <c r="AD8" s="51">
        <f>SUMIFS(Scoreboard_40[Damage Dealt],Scoreboard_40[Guild],"Unhinged肉")</f>
        <v>0</v>
      </c>
    </row>
    <row r="9" spans="1:30" ht="22.5" customHeight="1">
      <c r="A9" s="32">
        <v>5</v>
      </c>
      <c r="B9" s="94" t="str">
        <f>VLOOKUP(C9,Lists!I:J,2,FALSE)</f>
        <v>Ranged DPS</v>
      </c>
      <c r="C9" s="95" t="s">
        <v>48</v>
      </c>
      <c r="D9" s="35" t="s">
        <v>30</v>
      </c>
      <c r="E9" s="36" t="s">
        <v>224</v>
      </c>
      <c r="F9" s="35" t="s">
        <v>483</v>
      </c>
      <c r="G9" s="32">
        <v>38</v>
      </c>
      <c r="H9" s="32">
        <v>66</v>
      </c>
      <c r="I9" s="96">
        <f t="shared" si="0"/>
        <v>104</v>
      </c>
      <c r="J9" s="37">
        <v>2633433</v>
      </c>
      <c r="K9" s="37">
        <v>567551</v>
      </c>
      <c r="L9" s="37">
        <v>0</v>
      </c>
      <c r="M9" s="38">
        <f>I9/(HLOOKUP(F9,Team_Composition_23[[#All],[Yellow]:[Red]],10,FALSE)+HLOOKUP(F9,Team_Composition_23[[#All],[Yellow]:[Red]],11,FALSE))</f>
        <v>0.12667478684531058</v>
      </c>
      <c r="N9" s="38">
        <f>J9/HLOOKUP(F9,Team_Composition_23[[#All],[Yellow]:[Red]],6,FALSE)</f>
        <v>0.14924185644931356</v>
      </c>
      <c r="O9" s="38">
        <f>K9/HLOOKUP(F9,Team_Composition_23[[#All],[Yellow]:[Red]],8,FALSE)</f>
        <v>1.2894215727039601E-2</v>
      </c>
      <c r="P9" s="38">
        <f>L9/HLOOKUP(F9,Team_Composition_23[[#All],[Yellow]:[Red]],7,FALSE)</f>
        <v>0</v>
      </c>
      <c r="Q9" s="31"/>
      <c r="R9" s="45" t="s">
        <v>470</v>
      </c>
      <c r="S9" s="46">
        <f>SUMIFS(Scoreboard_40[Amount Healed],Scoreboard_40[Team],"Yellow")</f>
        <v>23480847</v>
      </c>
      <c r="T9" s="47">
        <f>SUMIFS(Scoreboard_40[Amount Healed],Scoreboard_40[Team],"Red")</f>
        <v>14299672</v>
      </c>
      <c r="U9" s="31"/>
      <c r="V9" s="48" t="str">
        <f ca="1">IFERROR(__xludf.DUMMYFUNCTION("""COMPUTED_VALUE"""),"Tech")</f>
        <v>Tech</v>
      </c>
      <c r="W9" s="49">
        <f ca="1">IFERROR(__xludf.DUMMYFUNCTION("""COMPUTED_VALUE"""),109)</f>
        <v>109</v>
      </c>
      <c r="X9" s="31"/>
      <c r="Y9" s="48" t="str">
        <f ca="1">IFERROR(__xludf.DUMMYFUNCTION("""COMPUTED_VALUE"""),"SuperSaiyanAndy")</f>
        <v>SuperSaiyanAndy</v>
      </c>
      <c r="Z9" s="49">
        <f ca="1">IFERROR(__xludf.DUMMYFUNCTION("""COMPUTED_VALUE"""),2503117)</f>
        <v>2503117</v>
      </c>
      <c r="AA9" s="31"/>
      <c r="AB9" s="45" t="s">
        <v>470</v>
      </c>
      <c r="AC9" s="50">
        <f>SUMIFS(Scoreboard_40[Amount Healed],Scoreboard_40[Guild],"Best Regards")</f>
        <v>0</v>
      </c>
      <c r="AD9" s="51">
        <f>SUMIFS(Scoreboard_40[Amount Healed],Scoreboard_40[Guild],"Unhinged肉")</f>
        <v>0</v>
      </c>
    </row>
    <row r="10" spans="1:30" ht="22.5" customHeight="1">
      <c r="A10" s="32">
        <v>3</v>
      </c>
      <c r="B10" s="94" t="str">
        <f>VLOOKUP(C10,Lists!I:J,2,FALSE)</f>
        <v>KS</v>
      </c>
      <c r="C10" s="95" t="str">
        <f>VLOOKUP(E10&amp;D10,Lists!C:E,3,FALSE)</f>
        <v>Greatsword/Dagger</v>
      </c>
      <c r="D10" s="35" t="s">
        <v>30</v>
      </c>
      <c r="E10" s="36" t="s">
        <v>396</v>
      </c>
      <c r="F10" s="35" t="s">
        <v>483</v>
      </c>
      <c r="G10" s="32">
        <v>50</v>
      </c>
      <c r="H10" s="32">
        <v>53</v>
      </c>
      <c r="I10" s="96">
        <f t="shared" si="0"/>
        <v>103</v>
      </c>
      <c r="J10" s="37">
        <v>1404120</v>
      </c>
      <c r="K10" s="37">
        <v>581227</v>
      </c>
      <c r="L10" s="37">
        <v>6203</v>
      </c>
      <c r="M10" s="38">
        <f>I10/(HLOOKUP(F10,Team_Composition_23[[#All],[Yellow]:[Red]],10,FALSE)+HLOOKUP(F10,Team_Composition_23[[#All],[Yellow]:[Red]],11,FALSE))</f>
        <v>0.12545676004872108</v>
      </c>
      <c r="N10" s="38">
        <f>J10/HLOOKUP(F10,Team_Composition_23[[#All],[Yellow]:[Red]],6,FALSE)</f>
        <v>7.9574257434159204E-2</v>
      </c>
      <c r="O10" s="38">
        <f>K10/HLOOKUP(F10,Team_Composition_23[[#All],[Yellow]:[Red]],8,FALSE)</f>
        <v>1.320492136280272E-2</v>
      </c>
      <c r="P10" s="38">
        <f>L10/HLOOKUP(F10,Team_Composition_23[[#All],[Yellow]:[Red]],7,FALSE)</f>
        <v>2.5559977994437131E-4</v>
      </c>
      <c r="Q10" s="31"/>
      <c r="R10" s="45" t="s">
        <v>469</v>
      </c>
      <c r="S10" s="46">
        <f>SUMIFS(Scoreboard_40[Damage Taken],Scoreboard_40[Team],"Yellow")</f>
        <v>38192864</v>
      </c>
      <c r="T10" s="47">
        <f>SUMIFS(Scoreboard_40[Damage Taken],Scoreboard_40[Team],"Red")</f>
        <v>22254862</v>
      </c>
      <c r="U10" s="31"/>
      <c r="V10" s="48" t="str">
        <f ca="1">IFERROR(__xludf.DUMMYFUNCTION("""COMPUTED_VALUE"""),"hzrd")</f>
        <v>hzrd</v>
      </c>
      <c r="W10" s="49">
        <f ca="1">IFERROR(__xludf.DUMMYFUNCTION("""COMPUTED_VALUE"""),108)</f>
        <v>108</v>
      </c>
      <c r="X10" s="31"/>
      <c r="Y10" s="48" t="str">
        <f ca="1">IFERROR(__xludf.DUMMYFUNCTION("""COMPUTED_VALUE"""),"nightghost1")</f>
        <v>nightghost1</v>
      </c>
      <c r="Z10" s="49">
        <f ca="1">IFERROR(__xludf.DUMMYFUNCTION("""COMPUTED_VALUE"""),2253744)</f>
        <v>2253744</v>
      </c>
      <c r="AA10" s="31"/>
      <c r="AB10" s="45" t="s">
        <v>469</v>
      </c>
      <c r="AC10" s="50">
        <f>SUMIFS(Scoreboard_40[Damage Taken],Scoreboard_40[Guild],"Best Regards")</f>
        <v>0</v>
      </c>
      <c r="AD10" s="51">
        <f>SUMIFS(Scoreboard_40[Damage Taken],Scoreboard_40[Guild],"Unhinged肉")</f>
        <v>0</v>
      </c>
    </row>
    <row r="11" spans="1:30" ht="22.5" customHeight="1">
      <c r="A11" s="32">
        <v>10</v>
      </c>
      <c r="B11" s="94" t="str">
        <f>VLOOKUP(C11,Lists!I:J,2,FALSE)</f>
        <v>KS</v>
      </c>
      <c r="C11" s="95" t="str">
        <f>VLOOKUP(E11&amp;D11,Lists!C:E,3,FALSE)</f>
        <v>Crossbow/Dagger</v>
      </c>
      <c r="D11" s="35" t="s">
        <v>30</v>
      </c>
      <c r="E11" s="36" t="s">
        <v>452</v>
      </c>
      <c r="F11" s="35" t="s">
        <v>483</v>
      </c>
      <c r="G11" s="32">
        <v>32</v>
      </c>
      <c r="H11" s="32">
        <v>69</v>
      </c>
      <c r="I11" s="96">
        <f t="shared" si="0"/>
        <v>101</v>
      </c>
      <c r="J11" s="37">
        <v>1119536</v>
      </c>
      <c r="K11" s="37">
        <v>881486</v>
      </c>
      <c r="L11" s="37">
        <v>0</v>
      </c>
      <c r="M11" s="38">
        <f>I11/(HLOOKUP(F11,Team_Composition_23[[#All],[Yellow]:[Red]],10,FALSE)+HLOOKUP(F11,Team_Composition_23[[#All],[Yellow]:[Red]],11,FALSE))</f>
        <v>0.12302070645554203</v>
      </c>
      <c r="N11" s="38">
        <f>J11/HLOOKUP(F11,Team_Composition_23[[#All],[Yellow]:[Red]],6,FALSE)</f>
        <v>6.3446319310891425E-2</v>
      </c>
      <c r="O11" s="38">
        <f>K11/HLOOKUP(F11,Team_Composition_23[[#All],[Yellow]:[Red]],8,FALSE)</f>
        <v>2.0026518576066698E-2</v>
      </c>
      <c r="P11" s="38">
        <f>L11/HLOOKUP(F11,Team_Composition_23[[#All],[Yellow]:[Red]],7,FALSE)</f>
        <v>0</v>
      </c>
      <c r="Q11" s="31"/>
      <c r="R11" s="45" t="s">
        <v>495</v>
      </c>
      <c r="S11" s="46">
        <f ca="1">IFERROR(DIVIDE(SUMIFS(Scoreboard_40[Amount Healed],Scoreboard_40[Team],"Yellow"), SUMIFS(Scoreboard_40[Damage Taken],Scoreboard_40[Team],"Yellow"))*(100),0)</f>
        <v>0</v>
      </c>
      <c r="T11" s="47">
        <f ca="1">IFERROR(DIVIDE(SUMIFS(Scoreboard_40[Amount Healed],Scoreboard_40[Team],"Red"), SUMIFS(Scoreboard_40[Damage Taken],Scoreboard_40[Team],"Red"))*(100),0)</f>
        <v>0</v>
      </c>
      <c r="U11" s="31"/>
      <c r="V11" s="48" t="str">
        <f ca="1">IFERROR(__xludf.DUMMYFUNCTION("""COMPUTED_VALUE"""),"GUNWALLET")</f>
        <v>GUNWALLET</v>
      </c>
      <c r="W11" s="49">
        <f ca="1">IFERROR(__xludf.DUMMYFUNCTION("""COMPUTED_VALUE"""),104)</f>
        <v>104</v>
      </c>
      <c r="X11" s="31"/>
      <c r="Y11" s="48" t="str">
        <f ca="1">IFERROR(__xludf.DUMMYFUNCTION("""COMPUTED_VALUE"""),"Anrenn")</f>
        <v>Anrenn</v>
      </c>
      <c r="Z11" s="49">
        <f ca="1">IFERROR(__xludf.DUMMYFUNCTION("""COMPUTED_VALUE"""),2132264)</f>
        <v>2132264</v>
      </c>
      <c r="AA11" s="31"/>
      <c r="AB11" s="45" t="s">
        <v>495</v>
      </c>
      <c r="AC11" s="50">
        <f ca="1">IFERROR(DIVIDE(SUMIFS(Scoreboard_40[Amount Healed],Scoreboard_40[Guild],"Best Regards"), SUMIFS(Scoreboard_40[Damage Taken],Scoreboard_40[Guild],"Best Regards"))*(100),0)</f>
        <v>0</v>
      </c>
      <c r="AD11" s="51">
        <f ca="1">IFERROR(DIVIDE(SUMIFS(Scoreboard_40[Amount Healed],Scoreboard_40[Guild],"Unhinged肉"), SUMIFS(Scoreboard_40[Damage Taken],Scoreboard_40[Guild],"Unhinged肉"))*(100),0)</f>
        <v>0</v>
      </c>
    </row>
    <row r="12" spans="1:30" ht="22.5" customHeight="1">
      <c r="A12" s="32">
        <v>17</v>
      </c>
      <c r="B12" s="94" t="str">
        <f>VLOOKUP(C12,Lists!I:J,2,FALSE)</f>
        <v>KS</v>
      </c>
      <c r="C12" s="95" t="str">
        <f>VLOOKUP(E12&amp;D12,Lists!C:E,3,FALSE)</f>
        <v>Crossbow/Dagger</v>
      </c>
      <c r="D12" s="35" t="s">
        <v>30</v>
      </c>
      <c r="E12" s="36" t="s">
        <v>229</v>
      </c>
      <c r="F12" s="35" t="s">
        <v>483</v>
      </c>
      <c r="G12" s="32">
        <v>27</v>
      </c>
      <c r="H12" s="32">
        <v>67</v>
      </c>
      <c r="I12" s="96">
        <f t="shared" si="0"/>
        <v>94</v>
      </c>
      <c r="J12" s="37">
        <v>932663</v>
      </c>
      <c r="K12" s="37">
        <v>391766</v>
      </c>
      <c r="L12" s="37">
        <v>6882</v>
      </c>
      <c r="M12" s="38">
        <f>I12/(HLOOKUP(F12,Team_Composition_23[[#All],[Yellow]:[Red]],10,FALSE)+HLOOKUP(F12,Team_Composition_23[[#All],[Yellow]:[Red]],11,FALSE))</f>
        <v>0.11449451887941535</v>
      </c>
      <c r="N12" s="38">
        <f>J12/HLOOKUP(F12,Team_Composition_23[[#All],[Yellow]:[Red]],6,FALSE)</f>
        <v>5.2855856808047191E-2</v>
      </c>
      <c r="O12" s="38">
        <f>K12/HLOOKUP(F12,Team_Composition_23[[#All],[Yellow]:[Red]],8,FALSE)</f>
        <v>8.9005487057892529E-3</v>
      </c>
      <c r="P12" s="38">
        <f>L12/HLOOKUP(F12,Team_Composition_23[[#All],[Yellow]:[Red]],7,FALSE)</f>
        <v>2.8357854031551882E-4</v>
      </c>
      <c r="Q12" s="31"/>
      <c r="R12" s="45" t="s">
        <v>465</v>
      </c>
      <c r="S12" s="46">
        <f>SUMIFS(Scoreboard_40[Kills],Scoreboard_40[Team],"Yellow")</f>
        <v>351</v>
      </c>
      <c r="T12" s="47">
        <f>SUMIFS(Scoreboard_40[Kills],Scoreboard_40[Team],"Red")</f>
        <v>665</v>
      </c>
      <c r="U12" s="31"/>
      <c r="V12" s="48" t="str">
        <f ca="1">IFERROR(__xludf.DUMMYFUNCTION("""COMPUTED_VALUE"""),"xxouxx")</f>
        <v>xxouxx</v>
      </c>
      <c r="W12" s="49">
        <f ca="1">IFERROR(__xludf.DUMMYFUNCTION("""COMPUTED_VALUE"""),103)</f>
        <v>103</v>
      </c>
      <c r="X12" s="31"/>
      <c r="Y12" s="48" t="str">
        <f ca="1">IFERROR(__xludf.DUMMYFUNCTION("""COMPUTED_VALUE"""),"K")</f>
        <v>K</v>
      </c>
      <c r="Z12" s="49">
        <f ca="1">IFERROR(__xludf.DUMMYFUNCTION("""COMPUTED_VALUE"""),1785842)</f>
        <v>1785842</v>
      </c>
      <c r="AA12" s="31"/>
      <c r="AB12" s="45" t="s">
        <v>465</v>
      </c>
      <c r="AC12" s="50">
        <f>SUMIFS(Scoreboard_40[Kills],Scoreboard_40[Guild],"Best Regards")</f>
        <v>0</v>
      </c>
      <c r="AD12" s="51">
        <f>SUMIFS(Scoreboard_40[Kills],Scoreboard_40[Guild],"Unhinged肉")</f>
        <v>0</v>
      </c>
    </row>
    <row r="13" spans="1:30" ht="22.5" customHeight="1">
      <c r="A13" s="32">
        <v>7</v>
      </c>
      <c r="B13" s="94" t="str">
        <f>VLOOKUP(C13,Lists!I:J,2,FALSE)</f>
        <v>KS</v>
      </c>
      <c r="C13" s="95" t="str">
        <f>VLOOKUP(E13&amp;D13,Lists!C:E,3,FALSE)</f>
        <v>Crossbow/Dagger</v>
      </c>
      <c r="D13" s="35" t="s">
        <v>30</v>
      </c>
      <c r="E13" s="36" t="s">
        <v>458</v>
      </c>
      <c r="F13" s="35" t="s">
        <v>483</v>
      </c>
      <c r="G13" s="32">
        <v>35</v>
      </c>
      <c r="H13" s="32">
        <v>56</v>
      </c>
      <c r="I13" s="96">
        <f t="shared" si="0"/>
        <v>91</v>
      </c>
      <c r="J13" s="37">
        <v>1099196</v>
      </c>
      <c r="K13" s="37">
        <v>418518</v>
      </c>
      <c r="L13" s="37">
        <v>14684</v>
      </c>
      <c r="M13" s="38">
        <f>I13/(HLOOKUP(F13,Team_Composition_23[[#All],[Yellow]:[Red]],10,FALSE)+HLOOKUP(F13,Team_Composition_23[[#All],[Yellow]:[Red]],11,FALSE))</f>
        <v>0.11084043848964677</v>
      </c>
      <c r="N13" s="38">
        <f>J13/HLOOKUP(F13,Team_Composition_23[[#All],[Yellow]:[Red]],6,FALSE)</f>
        <v>6.2293611282937401E-2</v>
      </c>
      <c r="O13" s="38">
        <f>K13/HLOOKUP(F13,Team_Composition_23[[#All],[Yellow]:[Red]],8,FALSE)</f>
        <v>9.5083285513533761E-3</v>
      </c>
      <c r="P13" s="38">
        <f>L13/HLOOKUP(F13,Team_Composition_23[[#All],[Yellow]:[Red]],7,FALSE)</f>
        <v>6.0506644667147316E-4</v>
      </c>
      <c r="Q13" s="31"/>
      <c r="R13" s="45" t="s">
        <v>466</v>
      </c>
      <c r="S13" s="46">
        <f>SUMIFS(Scoreboard_40[Assists],Scoreboard_40[Team],"Yellow")</f>
        <v>1455</v>
      </c>
      <c r="T13" s="47">
        <f>SUMIFS(Scoreboard_40[Assists],Scoreboard_40[Team],"Red")</f>
        <v>2663</v>
      </c>
      <c r="U13" s="31"/>
      <c r="V13" s="48" t="str">
        <f ca="1">IFERROR(__xludf.DUMMYFUNCTION("""COMPUTED_VALUE"""),"Leem")</f>
        <v>Leem</v>
      </c>
      <c r="W13" s="49">
        <f ca="1">IFERROR(__xludf.DUMMYFUNCTION("""COMPUTED_VALUE"""),101)</f>
        <v>101</v>
      </c>
      <c r="X13" s="31"/>
      <c r="Y13" s="48" t="str">
        <f ca="1">IFERROR(__xludf.DUMMYFUNCTION("""COMPUTED_VALUE"""),"Emperor")</f>
        <v>Emperor</v>
      </c>
      <c r="Z13" s="49">
        <f ca="1">IFERROR(__xludf.DUMMYFUNCTION("""COMPUTED_VALUE"""),1734676)</f>
        <v>1734676</v>
      </c>
      <c r="AA13" s="31"/>
      <c r="AB13" s="45" t="s">
        <v>466</v>
      </c>
      <c r="AC13" s="50">
        <f>SUMIFS(Scoreboard_40[Assists],Scoreboard_40[Guild],"Best Regards")</f>
        <v>0</v>
      </c>
      <c r="AD13" s="51">
        <f>SUMIFS(Scoreboard_40[Assists],Scoreboard_40[Guild],"Unhinged肉")</f>
        <v>0</v>
      </c>
    </row>
    <row r="14" spans="1:30" ht="22.5" customHeight="1">
      <c r="A14" s="32">
        <v>48</v>
      </c>
      <c r="B14" s="94" t="str">
        <f>VLOOKUP(C14,Lists!I:J,2,FALSE)</f>
        <v>Healer</v>
      </c>
      <c r="C14" s="95" t="str">
        <f>VLOOKUP(E14&amp;D14,Lists!C:E,3,FALSE)</f>
        <v>Wand/Orb</v>
      </c>
      <c r="D14" s="35" t="s">
        <v>30</v>
      </c>
      <c r="E14" s="36" t="s">
        <v>429</v>
      </c>
      <c r="F14" s="35" t="s">
        <v>483</v>
      </c>
      <c r="G14" s="32">
        <v>1</v>
      </c>
      <c r="H14" s="32">
        <v>90</v>
      </c>
      <c r="I14" s="96">
        <f t="shared" si="0"/>
        <v>91</v>
      </c>
      <c r="J14" s="37">
        <v>9751</v>
      </c>
      <c r="K14" s="37">
        <v>278748</v>
      </c>
      <c r="L14" s="37">
        <v>822155</v>
      </c>
      <c r="M14" s="38">
        <f>I14/(HLOOKUP(F14,Team_Composition_23[[#All],[Yellow]:[Red]],10,FALSE)+HLOOKUP(F14,Team_Composition_23[[#All],[Yellow]:[Red]],11,FALSE))</f>
        <v>0.11084043848964677</v>
      </c>
      <c r="N14" s="38">
        <f>J14/HLOOKUP(F14,Team_Composition_23[[#All],[Yellow]:[Red]],6,FALSE)</f>
        <v>5.5260845528906817E-4</v>
      </c>
      <c r="O14" s="38">
        <f>K14/HLOOKUP(F14,Team_Composition_23[[#All],[Yellow]:[Red]],8,FALSE)</f>
        <v>6.33288787347892E-3</v>
      </c>
      <c r="P14" s="38">
        <f>L14/HLOOKUP(F14,Team_Composition_23[[#All],[Yellow]:[Red]],7,FALSE)</f>
        <v>3.3877581344537257E-2</v>
      </c>
      <c r="Q14" s="31"/>
      <c r="R14" s="48"/>
      <c r="S14" s="58">
        <f t="shared" ref="S14:T14" si="1">SUM(S4:S7)</f>
        <v>42</v>
      </c>
      <c r="T14" s="58">
        <f t="shared" si="1"/>
        <v>40</v>
      </c>
      <c r="U14" s="31"/>
      <c r="V14" s="31"/>
      <c r="W14" s="31"/>
      <c r="X14" s="31"/>
      <c r="Y14" s="31"/>
      <c r="Z14" s="31"/>
      <c r="AA14" s="31"/>
      <c r="AB14" s="48"/>
      <c r="AC14" s="58"/>
      <c r="AD14" s="58"/>
    </row>
    <row r="15" spans="1:30" ht="22.5" customHeight="1">
      <c r="A15" s="32">
        <v>58</v>
      </c>
      <c r="B15" s="94" t="str">
        <f>VLOOKUP(C15,Lists!I:J,2,FALSE)</f>
        <v>Healer</v>
      </c>
      <c r="C15" s="95" t="str">
        <f>VLOOKUP(E15&amp;D15,Lists!C:E,3,FALSE)</f>
        <v>Wand/Orb</v>
      </c>
      <c r="D15" s="35" t="s">
        <v>30</v>
      </c>
      <c r="E15" s="36" t="s">
        <v>200</v>
      </c>
      <c r="F15" s="35" t="s">
        <v>483</v>
      </c>
      <c r="G15" s="32">
        <v>0</v>
      </c>
      <c r="H15" s="32">
        <v>90</v>
      </c>
      <c r="I15" s="96">
        <f t="shared" si="0"/>
        <v>90</v>
      </c>
      <c r="J15" s="37">
        <v>2647</v>
      </c>
      <c r="K15" s="37">
        <v>142891</v>
      </c>
      <c r="L15" s="37">
        <v>350635</v>
      </c>
      <c r="M15" s="38">
        <f>I15/(HLOOKUP(F15,Team_Composition_23[[#All],[Yellow]:[Red]],10,FALSE)+HLOOKUP(F15,Team_Composition_23[[#All],[Yellow]:[Red]],11,FALSE))</f>
        <v>0.10962241169305725</v>
      </c>
      <c r="N15" s="38">
        <f>J15/HLOOKUP(F15,Team_Composition_23[[#All],[Yellow]:[Red]],6,FALSE)</f>
        <v>1.5001072517179401E-4</v>
      </c>
      <c r="O15" s="38">
        <f>K15/HLOOKUP(F15,Team_Composition_23[[#All],[Yellow]:[Red]],8,FALSE)</f>
        <v>3.2463468119207184E-3</v>
      </c>
      <c r="P15" s="38">
        <f>L15/HLOOKUP(F15,Team_Composition_23[[#All],[Yellow]:[Red]],7,FALSE)</f>
        <v>1.4448207132160992E-2</v>
      </c>
      <c r="Q15" s="31"/>
      <c r="R15" s="227" t="s">
        <v>25</v>
      </c>
      <c r="S15" s="228"/>
      <c r="T15" s="228"/>
      <c r="U15" s="31"/>
      <c r="V15" s="229" t="s">
        <v>496</v>
      </c>
      <c r="W15" s="228"/>
      <c r="X15" s="31"/>
      <c r="Y15" s="229" t="s">
        <v>497</v>
      </c>
      <c r="Z15" s="228"/>
      <c r="AA15" s="31"/>
      <c r="AB15" s="227" t="s">
        <v>25</v>
      </c>
      <c r="AC15" s="228"/>
      <c r="AD15" s="228"/>
    </row>
    <row r="16" spans="1:30" ht="22.5" customHeight="1">
      <c r="A16" s="32">
        <v>6</v>
      </c>
      <c r="B16" s="94" t="str">
        <f>VLOOKUP(C16,Lists!I:J,2,FALSE)</f>
        <v>Melee DPS</v>
      </c>
      <c r="C16" s="95" t="str">
        <f>VLOOKUP(E16&amp;D16,Lists!C:E,3,FALSE)</f>
        <v>Spear/Dagger</v>
      </c>
      <c r="D16" s="35" t="s">
        <v>30</v>
      </c>
      <c r="E16" s="36" t="s">
        <v>228</v>
      </c>
      <c r="F16" s="35" t="s">
        <v>483</v>
      </c>
      <c r="G16" s="32">
        <v>37</v>
      </c>
      <c r="H16" s="32">
        <v>52</v>
      </c>
      <c r="I16" s="96">
        <f t="shared" si="0"/>
        <v>89</v>
      </c>
      <c r="J16" s="37">
        <v>1571640</v>
      </c>
      <c r="K16" s="37">
        <v>514262</v>
      </c>
      <c r="L16" s="37">
        <v>17011</v>
      </c>
      <c r="M16" s="38">
        <f>I16/(HLOOKUP(F16,Team_Composition_23[[#All],[Yellow]:[Red]],10,FALSE)+HLOOKUP(F16,Team_Composition_23[[#All],[Yellow]:[Red]],11,FALSE))</f>
        <v>0.10840438489646773</v>
      </c>
      <c r="N16" s="38">
        <f>J16/HLOOKUP(F16,Team_Composition_23[[#All],[Yellow]:[Red]],6,FALSE)</f>
        <v>8.9067947151113852E-2</v>
      </c>
      <c r="O16" s="38">
        <f>K16/HLOOKUP(F16,Team_Composition_23[[#All],[Yellow]:[Red]],8,FALSE)</f>
        <v>1.1683540630214446E-2</v>
      </c>
      <c r="P16" s="38">
        <f>L16/HLOOKUP(F16,Team_Composition_23[[#All],[Yellow]:[Red]],7,FALSE)</f>
        <v>7.0095241925418347E-4</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32">
        <v>11</v>
      </c>
      <c r="B17" s="94" t="str">
        <f>VLOOKUP(C17,Lists!I:J,2,FALSE)</f>
        <v>Ranged DPS</v>
      </c>
      <c r="C17" s="95" t="s">
        <v>48</v>
      </c>
      <c r="D17" s="35" t="s">
        <v>30</v>
      </c>
      <c r="E17" s="36" t="s">
        <v>397</v>
      </c>
      <c r="F17" s="35" t="s">
        <v>483</v>
      </c>
      <c r="G17" s="32">
        <v>32</v>
      </c>
      <c r="H17" s="32">
        <v>57</v>
      </c>
      <c r="I17" s="96">
        <f t="shared" si="0"/>
        <v>89</v>
      </c>
      <c r="J17" s="37">
        <v>2503117</v>
      </c>
      <c r="K17" s="37">
        <v>647093</v>
      </c>
      <c r="L17" s="37">
        <v>0</v>
      </c>
      <c r="M17" s="38">
        <f>I17/(HLOOKUP(F17,Team_Composition_23[[#All],[Yellow]:[Red]],10,FALSE)+HLOOKUP(F17,Team_Composition_23[[#All],[Yellow]:[Red]],11,FALSE))</f>
        <v>0.10840438489646773</v>
      </c>
      <c r="N17" s="38">
        <f>J17/HLOOKUP(F17,Team_Composition_23[[#All],[Yellow]:[Red]],6,FALSE)</f>
        <v>0.14185659099351927</v>
      </c>
      <c r="O17" s="38">
        <f>K17/HLOOKUP(F17,Team_Composition_23[[#All],[Yellow]:[Red]],8,FALSE)</f>
        <v>1.4701333866837054E-2</v>
      </c>
      <c r="P17" s="38">
        <f>L17/HLOOKUP(F17,Team_Composition_23[[#All],[Yellow]:[Red]],7,FALSE)</f>
        <v>0</v>
      </c>
      <c r="Q17" s="31"/>
      <c r="R17" s="45" t="s">
        <v>468</v>
      </c>
      <c r="S17" s="46">
        <f>SUMIFS(Scoreboard_40[Damage Dealt],Scoreboard_40[Role],"Melee DPS",Scoreboard_40[Team],"Yellow")</f>
        <v>5126809</v>
      </c>
      <c r="T17" s="47">
        <f>SUMIFS(Scoreboard_40[Damage Dealt],Scoreboard_40[Role],"Melee DPS",Scoreboard_40[Team],"Red")</f>
        <v>8565701</v>
      </c>
      <c r="U17" s="31"/>
      <c r="V17" s="48" t="str">
        <f ca="1">IFERROR(__xludf.DUMMYFUNCTION("query(A1:P238, ""Select E,K Order by K Desc Limit 10"", 0)"),"Baozer")</f>
        <v>Baozer</v>
      </c>
      <c r="W17" s="49">
        <f ca="1">IFERROR(__xludf.DUMMYFUNCTION("""COMPUTED_VALUE"""),1954811)</f>
        <v>1954811</v>
      </c>
      <c r="X17" s="31"/>
      <c r="Y17" s="48" t="str">
        <f ca="1">IFERROR(__xludf.DUMMYFUNCTION("query(A1:P238, ""Select E,L Order by L Desc Limit 10"", 0)"),"Z")</f>
        <v>Z</v>
      </c>
      <c r="Z17" s="49">
        <f ca="1">IFERROR(__xludf.DUMMYFUNCTION("""COMPUTED_VALUE"""),3301865)</f>
        <v>3301865</v>
      </c>
      <c r="AA17" s="31"/>
      <c r="AB17" s="45" t="s">
        <v>468</v>
      </c>
      <c r="AC17" s="50">
        <f>SUMIFS(Scoreboard_40[Damage Dealt],Scoreboard_40[Role],"Melee DPS",Scoreboard_40[Guild],"Best Regards")</f>
        <v>0</v>
      </c>
      <c r="AD17" s="51">
        <f>SUMIFS(Scoreboard_40[Damage Dealt],Scoreboard_40[Role],"Melee DPS",Scoreboard_40[Guild],"Unhinged肉")</f>
        <v>0</v>
      </c>
    </row>
    <row r="18" spans="1:30" ht="22.5" customHeight="1">
      <c r="A18" s="32">
        <v>59</v>
      </c>
      <c r="B18" s="94" t="str">
        <f>VLOOKUP(C18,Lists!I:J,2,FALSE)</f>
        <v>Healer</v>
      </c>
      <c r="C18" s="95" t="str">
        <f>VLOOKUP(E18&amp;D18,Lists!C:E,3,FALSE)</f>
        <v>Wand/Longbow</v>
      </c>
      <c r="D18" s="35" t="s">
        <v>30</v>
      </c>
      <c r="E18" s="36" t="s">
        <v>416</v>
      </c>
      <c r="F18" s="35" t="s">
        <v>483</v>
      </c>
      <c r="G18" s="32">
        <v>0</v>
      </c>
      <c r="H18" s="32">
        <v>86</v>
      </c>
      <c r="I18" s="96">
        <f t="shared" si="0"/>
        <v>86</v>
      </c>
      <c r="J18" s="37">
        <v>40118</v>
      </c>
      <c r="K18" s="37">
        <v>180142</v>
      </c>
      <c r="L18" s="37">
        <v>1547329</v>
      </c>
      <c r="M18" s="38">
        <f>I18/(HLOOKUP(F18,Team_Composition_23[[#All],[Yellow]:[Red]],10,FALSE)+HLOOKUP(F18,Team_Composition_23[[#All],[Yellow]:[Red]],11,FALSE))</f>
        <v>0.10475030450669914</v>
      </c>
      <c r="N18" s="38">
        <f>J18/HLOOKUP(F18,Team_Composition_23[[#All],[Yellow]:[Red]],6,FALSE)</f>
        <v>2.2735664043981988E-3</v>
      </c>
      <c r="O18" s="38">
        <f>K18/HLOOKUP(F18,Team_Composition_23[[#All],[Yellow]:[Red]],8,FALSE)</f>
        <v>4.0926538927785654E-3</v>
      </c>
      <c r="P18" s="38">
        <f>L18/HLOOKUP(F18,Team_Composition_23[[#All],[Yellow]:[Red]],7,FALSE)</f>
        <v>6.3758979832588117E-2</v>
      </c>
      <c r="Q18" s="31"/>
      <c r="R18" s="45" t="s">
        <v>469</v>
      </c>
      <c r="S18" s="46">
        <f>SUMIFS(Scoreboard_40[Damage Taken],Scoreboard_40[Role],"Melee DPS",Scoreboard_40[Team],"Yellow")</f>
        <v>6313998</v>
      </c>
      <c r="T18" s="47">
        <f>SUMIFS(Scoreboard_40[Damage Taken],Scoreboard_40[Role],"Melee DPS",Scoreboard_40[Team],"Red")</f>
        <v>3444064</v>
      </c>
      <c r="U18" s="31"/>
      <c r="V18" s="48" t="str">
        <f ca="1">IFERROR(__xludf.DUMMYFUNCTION("""COMPUTED_VALUE"""),"K")</f>
        <v>K</v>
      </c>
      <c r="W18" s="49">
        <f ca="1">IFERROR(__xludf.DUMMYFUNCTION("""COMPUTED_VALUE"""),1647876)</f>
        <v>1647876</v>
      </c>
      <c r="X18" s="31"/>
      <c r="Y18" s="48" t="str">
        <f ca="1">IFERROR(__xludf.DUMMYFUNCTION("""COMPUTED_VALUE"""),"EgirlWaifu")</f>
        <v>EgirlWaifu</v>
      </c>
      <c r="Z18" s="49">
        <f ca="1">IFERROR(__xludf.DUMMYFUNCTION("""COMPUTED_VALUE"""),3226189)</f>
        <v>3226189</v>
      </c>
      <c r="AA18" s="31"/>
      <c r="AB18" s="45" t="s">
        <v>469</v>
      </c>
      <c r="AC18" s="50">
        <f>SUMIFS(Scoreboard_40[Damage Taken],Scoreboard_40[Role],"Melee DPS",Scoreboard_40[Guild],"Best Regards")</f>
        <v>0</v>
      </c>
      <c r="AD18" s="51">
        <f>SUMIFS(Scoreboard_40[Damage Taken],Scoreboard_40[Role],"Melee DPS",Scoreboard_40[Guild],"Unhinged肉")</f>
        <v>0</v>
      </c>
    </row>
    <row r="19" spans="1:30" ht="22.5" customHeight="1">
      <c r="A19" s="32">
        <v>18</v>
      </c>
      <c r="B19" s="94" t="str">
        <f>VLOOKUP(C19,Lists!I:J,2,FALSE)</f>
        <v>KS</v>
      </c>
      <c r="C19" s="95" t="str">
        <f>VLOOKUP(E19&amp;D19,Lists!C:E,3,FALSE)</f>
        <v>Longbow/Dagger</v>
      </c>
      <c r="D19" s="35" t="s">
        <v>30</v>
      </c>
      <c r="E19" s="36" t="s">
        <v>462</v>
      </c>
      <c r="F19" s="35" t="s">
        <v>483</v>
      </c>
      <c r="G19" s="32">
        <v>27</v>
      </c>
      <c r="H19" s="32">
        <v>55</v>
      </c>
      <c r="I19" s="96">
        <f t="shared" si="0"/>
        <v>82</v>
      </c>
      <c r="J19" s="37">
        <v>1113863</v>
      </c>
      <c r="K19" s="37">
        <v>446407</v>
      </c>
      <c r="L19" s="37">
        <v>0</v>
      </c>
      <c r="M19" s="38">
        <f>I19/(HLOOKUP(F19,Team_Composition_23[[#All],[Yellow]:[Red]],10,FALSE)+HLOOKUP(F19,Team_Composition_23[[#All],[Yellow]:[Red]],11,FALSE))</f>
        <v>9.9878197320341047E-2</v>
      </c>
      <c r="N19" s="38">
        <f>J19/HLOOKUP(F19,Team_Composition_23[[#All],[Yellow]:[Red]],6,FALSE)</f>
        <v>6.3124819180970904E-2</v>
      </c>
      <c r="O19" s="38">
        <f>K19/HLOOKUP(F19,Team_Composition_23[[#All],[Yellow]:[Red]],8,FALSE)</f>
        <v>1.0141939949115704E-2</v>
      </c>
      <c r="P19" s="38">
        <f>L19/HLOOKUP(F19,Team_Composition_23[[#All],[Yellow]:[Red]],7,FALSE)</f>
        <v>0</v>
      </c>
      <c r="Q19" s="31"/>
      <c r="R19" s="45" t="s">
        <v>470</v>
      </c>
      <c r="S19" s="46">
        <f>SUMIFS(Scoreboard_40[Amount Healed],Scoreboard_40[Role],"Melee DPS",Scoreboard_40[Team],"Yellow")</f>
        <v>231888</v>
      </c>
      <c r="T19" s="47">
        <f>SUMIFS(Scoreboard_40[Amount Healed],Scoreboard_40[Role],"Melee DPS",Scoreboard_40[Team],"Red")</f>
        <v>131411</v>
      </c>
      <c r="U19" s="31"/>
      <c r="V19" s="48" t="str">
        <f ca="1">IFERROR(__xludf.DUMMYFUNCTION("""COMPUTED_VALUE"""),"H612")</f>
        <v>H612</v>
      </c>
      <c r="W19" s="49">
        <f ca="1">IFERROR(__xludf.DUMMYFUNCTION("""COMPUTED_VALUE"""),1627110)</f>
        <v>1627110</v>
      </c>
      <c r="X19" s="31"/>
      <c r="Y19" s="48" t="str">
        <f ca="1">IFERROR(__xludf.DUMMYFUNCTION("""COMPUTED_VALUE"""),"MICTECACIHUATL")</f>
        <v>MICTECACIHUATL</v>
      </c>
      <c r="Z19" s="49">
        <f ca="1">IFERROR(__xludf.DUMMYFUNCTION("""COMPUTED_VALUE"""),1927591)</f>
        <v>1927591</v>
      </c>
      <c r="AA19" s="31"/>
      <c r="AB19" s="45" t="s">
        <v>470</v>
      </c>
      <c r="AC19" s="50">
        <f>SUMIFS(Scoreboard_40[Amount Healed],Scoreboard_40[Role],"Melee DPS",Scoreboard_40[Guild],"Best Regards")</f>
        <v>0</v>
      </c>
      <c r="AD19" s="51">
        <f>SUMIFS(Scoreboard_40[Amount Healed],Scoreboard_40[Role],"Melee DPS",Scoreboard_40[Guild],"Unhinged肉")</f>
        <v>0</v>
      </c>
    </row>
    <row r="20" spans="1:30" ht="22.5" customHeight="1">
      <c r="A20" s="32">
        <v>8</v>
      </c>
      <c r="B20" s="94" t="str">
        <f>VLOOKUP(C20,Lists!I:J,2,FALSE)</f>
        <v>Melee DPS</v>
      </c>
      <c r="C20" s="95" t="s">
        <v>23</v>
      </c>
      <c r="D20" s="35" t="s">
        <v>30</v>
      </c>
      <c r="E20" s="36" t="s">
        <v>400</v>
      </c>
      <c r="F20" s="35" t="s">
        <v>483</v>
      </c>
      <c r="G20" s="32">
        <v>33</v>
      </c>
      <c r="H20" s="32">
        <v>46</v>
      </c>
      <c r="I20" s="96">
        <f t="shared" si="0"/>
        <v>79</v>
      </c>
      <c r="J20" s="37">
        <v>1498033</v>
      </c>
      <c r="K20" s="37">
        <v>915599</v>
      </c>
      <c r="L20" s="37">
        <v>74976</v>
      </c>
      <c r="M20" s="38">
        <f>I20/(HLOOKUP(F20,Team_Composition_23[[#All],[Yellow]:[Red]],10,FALSE)+HLOOKUP(F20,Team_Composition_23[[#All],[Yellow]:[Red]],11,FALSE))</f>
        <v>9.6224116930572479E-2</v>
      </c>
      <c r="N20" s="38">
        <f>J20/HLOOKUP(F20,Team_Composition_23[[#All],[Yellow]:[Red]],6,FALSE)</f>
        <v>8.4896492882991351E-2</v>
      </c>
      <c r="O20" s="38">
        <f>K20/HLOOKUP(F20,Team_Composition_23[[#All],[Yellow]:[Red]],8,FALSE)</f>
        <v>2.0801533299142687E-2</v>
      </c>
      <c r="P20" s="38">
        <f>L20/HLOOKUP(F20,Team_Composition_23[[#All],[Yellow]:[Red]],7,FALSE)</f>
        <v>3.0894485089648853E-3</v>
      </c>
      <c r="Q20" s="31"/>
      <c r="R20" s="45" t="s">
        <v>465</v>
      </c>
      <c r="S20" s="46">
        <f>SUMIFS(Scoreboard_40[Kills],Scoreboard_40[Role],"Melee DPS",Scoreboard_40[Team],"Yellow")</f>
        <v>78</v>
      </c>
      <c r="T20" s="47">
        <f>SUMIFS(Scoreboard_40[Kills],Scoreboard_40[Role],"Melee DPS",Scoreboard_40[Team],"Red")</f>
        <v>146</v>
      </c>
      <c r="U20" s="31"/>
      <c r="V20" s="48" t="str">
        <f ca="1">IFERROR(__xludf.DUMMYFUNCTION("""COMPUTED_VALUE"""),"TemporalRage")</f>
        <v>TemporalRage</v>
      </c>
      <c r="W20" s="49">
        <f ca="1">IFERROR(__xludf.DUMMYFUNCTION("""COMPUTED_VALUE"""),1407659)</f>
        <v>1407659</v>
      </c>
      <c r="X20" s="31"/>
      <c r="Y20" s="48" t="str">
        <f ca="1">IFERROR(__xludf.DUMMYFUNCTION("""COMPUTED_VALUE"""),"BombaTriX")</f>
        <v>BombaTriX</v>
      </c>
      <c r="Z20" s="49">
        <f ca="1">IFERROR(__xludf.DUMMYFUNCTION("""COMPUTED_VALUE"""),1738688)</f>
        <v>1738688</v>
      </c>
      <c r="AA20" s="31"/>
      <c r="AB20" s="45" t="s">
        <v>465</v>
      </c>
      <c r="AC20" s="50">
        <f>SUMIFS(Scoreboard_40[Kills],Scoreboard_40[Role],"Melee DPS",Scoreboard_40[Guild],"Best Regards")</f>
        <v>0</v>
      </c>
      <c r="AD20" s="51">
        <f>SUMIFS(Scoreboard_40[Kills],Scoreboard_40[Role],"Melee DPS",Scoreboard_40[Guild],"Unhinged肉")</f>
        <v>0</v>
      </c>
    </row>
    <row r="21" spans="1:30" ht="22.5" customHeight="1">
      <c r="A21" s="32">
        <v>27</v>
      </c>
      <c r="B21" s="94" t="str">
        <f>VLOOKUP(C21,Lists!I:J,2,FALSE)</f>
        <v>Ranged DPS</v>
      </c>
      <c r="C21" s="95" t="str">
        <f>VLOOKUP(E21&amp;D21,Lists!C:E,3,FALSE)</f>
        <v>Crossbow/SnS</v>
      </c>
      <c r="D21" s="35" t="s">
        <v>30</v>
      </c>
      <c r="E21" s="36" t="s">
        <v>403</v>
      </c>
      <c r="F21" s="35" t="s">
        <v>483</v>
      </c>
      <c r="G21" s="32">
        <v>17</v>
      </c>
      <c r="H21" s="32">
        <v>62</v>
      </c>
      <c r="I21" s="96">
        <f t="shared" si="0"/>
        <v>79</v>
      </c>
      <c r="J21" s="37">
        <v>1594867</v>
      </c>
      <c r="K21" s="37">
        <v>644623</v>
      </c>
      <c r="L21" s="37">
        <v>23953</v>
      </c>
      <c r="M21" s="38">
        <f>I21/(HLOOKUP(F21,Team_Composition_23[[#All],[Yellow]:[Red]],10,FALSE)+HLOOKUP(F21,Team_Composition_23[[#All],[Yellow]:[Red]],11,FALSE))</f>
        <v>9.6224116930572479E-2</v>
      </c>
      <c r="N21" s="38">
        <f>J21/HLOOKUP(F21,Team_Composition_23[[#All],[Yellow]:[Red]],6,FALSE)</f>
        <v>9.0384267178905783E-2</v>
      </c>
      <c r="O21" s="38">
        <f>K21/HLOOKUP(F21,Team_Composition_23[[#All],[Yellow]:[Red]],8,FALSE)</f>
        <v>1.4645217829959685E-2</v>
      </c>
      <c r="P21" s="38">
        <f>L21/HLOOKUP(F21,Team_Composition_23[[#All],[Yellow]:[Red]],7,FALSE)</f>
        <v>9.8700330952886106E-4</v>
      </c>
      <c r="Q21" s="31"/>
      <c r="R21" s="45" t="s">
        <v>466</v>
      </c>
      <c r="S21" s="46">
        <f>SUMIFS(Scoreboard_40[Assists],Scoreboard_40[Role],"Melee DPS",Scoreboard_40[Team],"Yellow")</f>
        <v>172</v>
      </c>
      <c r="T21" s="47">
        <f>SUMIFS(Scoreboard_40[Assists],Scoreboard_40[Role],"Melee DPS",Scoreboard_40[Team],"Red")</f>
        <v>320</v>
      </c>
      <c r="U21" s="31"/>
      <c r="V21" s="48" t="str">
        <f ca="1">IFERROR(__xludf.DUMMYFUNCTION("""COMPUTED_VALUE"""),"iizza")</f>
        <v>iizza</v>
      </c>
      <c r="W21" s="49">
        <f ca="1">IFERROR(__xludf.DUMMYFUNCTION("""COMPUTED_VALUE"""),1195432)</f>
        <v>1195432</v>
      </c>
      <c r="X21" s="31"/>
      <c r="Y21" s="48" t="str">
        <f ca="1">IFERROR(__xludf.DUMMYFUNCTION("""COMPUTED_VALUE"""),"Pikupstyks")</f>
        <v>Pikupstyks</v>
      </c>
      <c r="Z21" s="49">
        <f ca="1">IFERROR(__xludf.DUMMYFUNCTION("""COMPUTED_VALUE"""),1547329)</f>
        <v>1547329</v>
      </c>
      <c r="AA21" s="31"/>
      <c r="AB21" s="45" t="s">
        <v>466</v>
      </c>
      <c r="AC21" s="50">
        <f>SUMIFS(Scoreboard_40[Assists],Scoreboard_40[Role],"Melee DPS",Scoreboard_40[Guild],"Best Regards")</f>
        <v>0</v>
      </c>
      <c r="AD21" s="51">
        <f>SUMIFS(Scoreboard_40[Assists],Scoreboard_40[Role],"Melee DPS",Scoreboard_40[Guild],"Unhinged肉")</f>
        <v>0</v>
      </c>
    </row>
    <row r="22" spans="1:30" ht="22.5" customHeight="1">
      <c r="A22" s="32">
        <v>60</v>
      </c>
      <c r="B22" s="94" t="str">
        <f>VLOOKUP(C22,Lists!I:J,2,FALSE)</f>
        <v>Healer</v>
      </c>
      <c r="C22" s="95" t="str">
        <f>VLOOKUP(E22&amp;D22,Lists!C:E,3,FALSE)</f>
        <v>Wand/Orb</v>
      </c>
      <c r="D22" s="35" t="s">
        <v>40</v>
      </c>
      <c r="E22" s="36" t="s">
        <v>139</v>
      </c>
      <c r="F22" s="35" t="s">
        <v>476</v>
      </c>
      <c r="G22" s="32">
        <v>0</v>
      </c>
      <c r="H22" s="32">
        <v>79</v>
      </c>
      <c r="I22" s="96">
        <f t="shared" si="0"/>
        <v>79</v>
      </c>
      <c r="J22" s="37">
        <v>4649</v>
      </c>
      <c r="K22" s="37">
        <v>640105</v>
      </c>
      <c r="L22" s="37">
        <v>1267268</v>
      </c>
      <c r="M22" s="38">
        <f>I22/(HLOOKUP(F22,Team_Composition_23[[#All],[Yellow]:[Red]],10,FALSE)+HLOOKUP(F22,Team_Composition_23[[#All],[Yellow]:[Red]],11,FALSE))</f>
        <v>1.9745063734066485E-2</v>
      </c>
      <c r="N22" s="38">
        <f>J22/HLOOKUP(F22,Team_Composition_23[[#All],[Yellow]:[Red]],6,FALSE)</f>
        <v>1.0479313994216564E-4</v>
      </c>
      <c r="O22" s="38">
        <f>K22/HLOOKUP(F22,Team_Composition_23[[#All],[Yellow]:[Red]],8,FALSE)</f>
        <v>3.6538253300190199E-2</v>
      </c>
      <c r="P22" s="38">
        <f>L22/HLOOKUP(F22,Team_Composition_23[[#All],[Yellow]:[Red]],7,FALSE)</f>
        <v>9.7898039780377782E-2</v>
      </c>
      <c r="Q22" s="31"/>
      <c r="R22" s="45" t="s">
        <v>24</v>
      </c>
      <c r="S22" s="46">
        <f t="shared" ref="S22:S25" si="2">COUNTIFS(C:C,R22,F:F,"Yellow")</f>
        <v>2</v>
      </c>
      <c r="T22" s="47">
        <f t="shared" ref="T22:T25" si="3">COUNTIFS(C:C,R22,F:F,"Red")</f>
        <v>3</v>
      </c>
      <c r="U22" s="31"/>
      <c r="V22" s="48" t="str">
        <f ca="1">IFERROR(__xludf.DUMMYFUNCTION("""COMPUTED_VALUE"""),"ShawarmaShuffle")</f>
        <v>ShawarmaShuffle</v>
      </c>
      <c r="W22" s="49">
        <f ca="1">IFERROR(__xludf.DUMMYFUNCTION("""COMPUTED_VALUE"""),1170145)</f>
        <v>1170145</v>
      </c>
      <c r="X22" s="31"/>
      <c r="Y22" s="48" t="str">
        <f ca="1">IFERROR(__xludf.DUMMYFUNCTION("""COMPUTED_VALUE"""),"10000101")</f>
        <v>10000101</v>
      </c>
      <c r="Z22" s="49">
        <f ca="1">IFERROR(__xludf.DUMMYFUNCTION("""COMPUTED_VALUE"""),1426095)</f>
        <v>1426095</v>
      </c>
      <c r="AA22" s="31"/>
      <c r="AB22" s="45" t="s">
        <v>24</v>
      </c>
      <c r="AC22" s="50">
        <f t="shared" ref="AC22:AC25" si="4">COUNTIFS(C:C,AB22,D:D,"Best Regards")</f>
        <v>0</v>
      </c>
      <c r="AD22" s="51">
        <f t="shared" ref="AD22:AD25" si="5">COUNTIFS(C:C,AB22,D:D,"Unhinged肉")</f>
        <v>0</v>
      </c>
    </row>
    <row r="23" spans="1:30" ht="22.5" customHeight="1">
      <c r="A23" s="32">
        <v>38</v>
      </c>
      <c r="B23" s="94" t="str">
        <f>VLOOKUP(C23,Lists!I:J,2,FALSE)</f>
        <v>Tank</v>
      </c>
      <c r="C23" s="95" t="str">
        <f>VLOOKUP(E23&amp;D23,Lists!C:E,3,FALSE)</f>
        <v>SnS/Greatsword</v>
      </c>
      <c r="D23" s="35" t="s">
        <v>30</v>
      </c>
      <c r="E23" s="36" t="s">
        <v>216</v>
      </c>
      <c r="F23" s="35" t="s">
        <v>483</v>
      </c>
      <c r="G23" s="32">
        <v>5</v>
      </c>
      <c r="H23" s="32">
        <v>73</v>
      </c>
      <c r="I23" s="96">
        <f t="shared" si="0"/>
        <v>78</v>
      </c>
      <c r="J23" s="37">
        <v>378338</v>
      </c>
      <c r="K23" s="37">
        <v>215357</v>
      </c>
      <c r="L23" s="37">
        <v>40991</v>
      </c>
      <c r="M23" s="38">
        <f>I23/(HLOOKUP(F23,Team_Composition_23[[#All],[Yellow]:[Red]],10,FALSE)+HLOOKUP(F23,Team_Composition_23[[#All],[Yellow]:[Red]],11,FALSE))</f>
        <v>9.5006090133982951E-2</v>
      </c>
      <c r="N23" s="38">
        <f>J23/HLOOKUP(F23,Team_Composition_23[[#All],[Yellow]:[Red]],6,FALSE)</f>
        <v>2.1441162727633623E-2</v>
      </c>
      <c r="O23" s="38">
        <f>K23/HLOOKUP(F23,Team_Composition_23[[#All],[Yellow]:[Red]],8,FALSE)</f>
        <v>4.8927050015383066E-3</v>
      </c>
      <c r="P23" s="38">
        <f>L23/HLOOKUP(F23,Team_Composition_23[[#All],[Yellow]:[Red]],7,FALSE)</f>
        <v>1.6890682862646662E-3</v>
      </c>
      <c r="Q23" s="31"/>
      <c r="R23" s="45" t="s">
        <v>69</v>
      </c>
      <c r="S23" s="46">
        <f t="shared" si="2"/>
        <v>2</v>
      </c>
      <c r="T23" s="47">
        <f t="shared" si="3"/>
        <v>2</v>
      </c>
      <c r="U23" s="31"/>
      <c r="V23" s="48" t="str">
        <f ca="1">IFERROR(__xludf.DUMMYFUNCTION("""COMPUTED_VALUE"""),"ELCHAMO")</f>
        <v>ELCHAMO</v>
      </c>
      <c r="W23" s="49">
        <f ca="1">IFERROR(__xludf.DUMMYFUNCTION("""COMPUTED_VALUE"""),1165808)</f>
        <v>1165808</v>
      </c>
      <c r="X23" s="31"/>
      <c r="Y23" s="48" t="str">
        <f ca="1">IFERROR(__xludf.DUMMYFUNCTION("""COMPUTED_VALUE"""),"Akaru")</f>
        <v>Akaru</v>
      </c>
      <c r="Z23" s="49">
        <f ca="1">IFERROR(__xludf.DUMMYFUNCTION("""COMPUTED_VALUE"""),1380755)</f>
        <v>1380755</v>
      </c>
      <c r="AA23" s="31"/>
      <c r="AB23" s="45" t="s">
        <v>69</v>
      </c>
      <c r="AC23" s="50">
        <f t="shared" si="4"/>
        <v>0</v>
      </c>
      <c r="AD23" s="51">
        <f t="shared" si="5"/>
        <v>0</v>
      </c>
    </row>
    <row r="24" spans="1:30" ht="22.5" customHeight="1">
      <c r="A24" s="32">
        <v>39</v>
      </c>
      <c r="B24" s="94" t="str">
        <f>VLOOKUP(C24,Lists!I:J,2,FALSE)</f>
        <v>Healer</v>
      </c>
      <c r="C24" s="95" t="str">
        <f>VLOOKUP(E24&amp;D24,Lists!C:E,3,FALSE)</f>
        <v>Wand/Greatsword</v>
      </c>
      <c r="D24" s="35" t="s">
        <v>30</v>
      </c>
      <c r="E24" s="36" t="s">
        <v>415</v>
      </c>
      <c r="F24" s="35" t="s">
        <v>483</v>
      </c>
      <c r="G24" s="32">
        <v>5</v>
      </c>
      <c r="H24" s="32">
        <v>73</v>
      </c>
      <c r="I24" s="96">
        <f t="shared" si="0"/>
        <v>78</v>
      </c>
      <c r="J24" s="37">
        <v>357695</v>
      </c>
      <c r="K24" s="37">
        <v>414952</v>
      </c>
      <c r="L24" s="37">
        <v>91262</v>
      </c>
      <c r="M24" s="38">
        <f>I24/(HLOOKUP(F24,Team_Composition_23[[#All],[Yellow]:[Red]],10,FALSE)+HLOOKUP(F24,Team_Composition_23[[#All],[Yellow]:[Red]],11,FALSE))</f>
        <v>9.5006090133982951E-2</v>
      </c>
      <c r="N24" s="38">
        <f>J24/HLOOKUP(F24,Team_Composition_23[[#All],[Yellow]:[Red]],6,FALSE)</f>
        <v>2.0271283090413622E-2</v>
      </c>
      <c r="O24" s="38">
        <f>K24/HLOOKUP(F24,Team_Composition_23[[#All],[Yellow]:[Red]],8,FALSE)</f>
        <v>9.4273124430518784E-3</v>
      </c>
      <c r="P24" s="38">
        <f>L24/HLOOKUP(F24,Team_Composition_23[[#All],[Yellow]:[Red]],7,FALSE)</f>
        <v>3.7605266995458992E-3</v>
      </c>
      <c r="Q24" s="31"/>
      <c r="R24" s="45" t="s">
        <v>23</v>
      </c>
      <c r="S24" s="46">
        <f t="shared" si="2"/>
        <v>2</v>
      </c>
      <c r="T24" s="47">
        <f t="shared" si="3"/>
        <v>2</v>
      </c>
      <c r="U24" s="31"/>
      <c r="V24" s="48" t="str">
        <f ca="1">IFERROR(__xludf.DUMMYFUNCTION("""COMPUTED_VALUE"""),"皮姆利")</f>
        <v>皮姆利</v>
      </c>
      <c r="W24" s="49">
        <f ca="1">IFERROR(__xludf.DUMMYFUNCTION("""COMPUTED_VALUE"""),1159019)</f>
        <v>1159019</v>
      </c>
      <c r="X24" s="31"/>
      <c r="Y24" s="48" t="str">
        <f ca="1">IFERROR(__xludf.DUMMYFUNCTION("""COMPUTED_VALUE"""),"Dusk")</f>
        <v>Dusk</v>
      </c>
      <c r="Z24" s="49">
        <f ca="1">IFERROR(__xludf.DUMMYFUNCTION("""COMPUTED_VALUE"""),1371768)</f>
        <v>1371768</v>
      </c>
      <c r="AA24" s="31"/>
      <c r="AB24" s="45" t="s">
        <v>23</v>
      </c>
      <c r="AC24" s="50">
        <f t="shared" si="4"/>
        <v>0</v>
      </c>
      <c r="AD24" s="51">
        <f t="shared" si="5"/>
        <v>0</v>
      </c>
    </row>
    <row r="25" spans="1:30" ht="22.5" customHeight="1">
      <c r="A25" s="32">
        <v>30</v>
      </c>
      <c r="B25" s="94" t="str">
        <f>VLOOKUP(C25,Lists!I:J,2,FALSE)</f>
        <v>Melee DPS</v>
      </c>
      <c r="C25" s="95" t="str">
        <f>VLOOKUP(E25&amp;D25,Lists!C:E,3,FALSE)</f>
        <v>Greatsword/Spear</v>
      </c>
      <c r="D25" s="35" t="s">
        <v>40</v>
      </c>
      <c r="E25" s="36" t="s">
        <v>22</v>
      </c>
      <c r="F25" s="35" t="s">
        <v>476</v>
      </c>
      <c r="G25" s="32">
        <v>14</v>
      </c>
      <c r="H25" s="32">
        <v>63</v>
      </c>
      <c r="I25" s="96">
        <f t="shared" si="0"/>
        <v>77</v>
      </c>
      <c r="J25" s="37">
        <v>1219286</v>
      </c>
      <c r="K25" s="37">
        <v>1954811</v>
      </c>
      <c r="L25" s="37">
        <v>107206</v>
      </c>
      <c r="M25" s="38">
        <f>I25/(HLOOKUP(F25,Team_Composition_23[[#All],[Yellow]:[Red]],10,FALSE)+HLOOKUP(F25,Team_Composition_23[[#All],[Yellow]:[Red]],11,FALSE))</f>
        <v>1.9245188702824295E-2</v>
      </c>
      <c r="N25" s="38">
        <f>J25/HLOOKUP(F25,Team_Composition_23[[#All],[Yellow]:[Red]],6,FALSE)</f>
        <v>2.7483933841153663E-2</v>
      </c>
      <c r="O25" s="38">
        <f>K25/HLOOKUP(F25,Team_Composition_23[[#All],[Yellow]:[Red]],8,FALSE)</f>
        <v>0.11158384869981973</v>
      </c>
      <c r="P25" s="38">
        <f>L25/HLOOKUP(F25,Team_Composition_23[[#All],[Yellow]:[Red]],7,FALSE)</f>
        <v>8.2817977355185961E-3</v>
      </c>
      <c r="Q25" s="31"/>
      <c r="R25" s="45" t="s">
        <v>33</v>
      </c>
      <c r="S25" s="46">
        <f t="shared" si="2"/>
        <v>0</v>
      </c>
      <c r="T25" s="47">
        <f t="shared" si="3"/>
        <v>0</v>
      </c>
      <c r="U25" s="31"/>
      <c r="V25" s="48" t="str">
        <f ca="1">IFERROR(__xludf.DUMMYFUNCTION("""COMPUTED_VALUE"""),"Thundercats")</f>
        <v>Thundercats</v>
      </c>
      <c r="W25" s="49">
        <f ca="1">IFERROR(__xludf.DUMMYFUNCTION("""COMPUTED_VALUE"""),1127575)</f>
        <v>1127575</v>
      </c>
      <c r="X25" s="31"/>
      <c r="Y25" s="48" t="str">
        <f ca="1">IFERROR(__xludf.DUMMYFUNCTION("""COMPUTED_VALUE"""),"Sabbie")</f>
        <v>Sabbie</v>
      </c>
      <c r="Z25" s="49">
        <f ca="1">IFERROR(__xludf.DUMMYFUNCTION("""COMPUTED_VALUE"""),1267268)</f>
        <v>1267268</v>
      </c>
      <c r="AA25" s="31"/>
      <c r="AB25" s="45" t="s">
        <v>33</v>
      </c>
      <c r="AC25" s="50">
        <f t="shared" si="4"/>
        <v>0</v>
      </c>
      <c r="AD25" s="51">
        <f t="shared" si="5"/>
        <v>0</v>
      </c>
    </row>
    <row r="26" spans="1:30" ht="22.5" customHeight="1">
      <c r="A26" s="32">
        <v>61</v>
      </c>
      <c r="B26" s="94" t="str">
        <f>VLOOKUP(C26,Lists!I:J,2,FALSE)</f>
        <v>Healer</v>
      </c>
      <c r="C26" s="95" t="str">
        <f>VLOOKUP(E26&amp;D26,Lists!C:E,3,FALSE)</f>
        <v>Wand/Orb</v>
      </c>
      <c r="D26" s="35" t="s">
        <v>40</v>
      </c>
      <c r="E26" s="36" t="s">
        <v>96</v>
      </c>
      <c r="F26" s="35" t="s">
        <v>476</v>
      </c>
      <c r="G26" s="32">
        <v>0</v>
      </c>
      <c r="H26" s="32">
        <v>77</v>
      </c>
      <c r="I26" s="96">
        <f t="shared" si="0"/>
        <v>77</v>
      </c>
      <c r="J26" s="37">
        <v>13464</v>
      </c>
      <c r="K26" s="37">
        <v>519794</v>
      </c>
      <c r="L26" s="37">
        <v>1057090</v>
      </c>
      <c r="M26" s="38">
        <f>I26/(HLOOKUP(F26,Team_Composition_23[[#All],[Yellow]:[Red]],10,FALSE)+HLOOKUP(F26,Team_Composition_23[[#All],[Yellow]:[Red]],11,FALSE))</f>
        <v>1.9245188702824295E-2</v>
      </c>
      <c r="N26" s="38">
        <f>J26/HLOOKUP(F26,Team_Composition_23[[#All],[Yellow]:[Red]],6,FALSE)</f>
        <v>3.0349211361181287E-4</v>
      </c>
      <c r="O26" s="38">
        <f>K26/HLOOKUP(F26,Team_Composition_23[[#All],[Yellow]:[Red]],8,FALSE)</f>
        <v>2.967070220654278E-2</v>
      </c>
      <c r="P26" s="38">
        <f>L26/HLOOKUP(F26,Team_Composition_23[[#All],[Yellow]:[Red]],7,FALSE)</f>
        <v>8.1661526110845969E-2</v>
      </c>
      <c r="Q26" s="31"/>
      <c r="R26" s="48"/>
      <c r="S26" s="63"/>
      <c r="T26" s="63"/>
      <c r="U26" s="31"/>
      <c r="V26" s="48" t="str">
        <f ca="1">IFERROR(__xludf.DUMMYFUNCTION("""COMPUTED_VALUE"""),"Hexapod")</f>
        <v>Hexapod</v>
      </c>
      <c r="W26" s="49">
        <f ca="1">IFERROR(__xludf.DUMMYFUNCTION("""COMPUTED_VALUE"""),1091651)</f>
        <v>1091651</v>
      </c>
      <c r="X26" s="31"/>
      <c r="Y26" s="48" t="str">
        <f ca="1">IFERROR(__xludf.DUMMYFUNCTION("""COMPUTED_VALUE"""),"Tagato")</f>
        <v>Tagato</v>
      </c>
      <c r="Z26" s="49">
        <f ca="1">IFERROR(__xludf.DUMMYFUNCTION("""COMPUTED_VALUE"""),1252316)</f>
        <v>1252316</v>
      </c>
      <c r="AA26" s="31"/>
      <c r="AB26" s="48"/>
      <c r="AC26" s="63"/>
      <c r="AD26" s="63"/>
    </row>
    <row r="27" spans="1:30" ht="22.5" customHeight="1">
      <c r="A27" s="32">
        <v>9</v>
      </c>
      <c r="B27" s="94" t="str">
        <f>VLOOKUP(C27,Lists!I:J,2,FALSE)</f>
        <v>KS</v>
      </c>
      <c r="C27" s="95" t="str">
        <f>VLOOKUP(E27&amp;D27,Lists!C:E,3,FALSE)</f>
        <v>Greatsword/Dagger</v>
      </c>
      <c r="D27" s="35" t="s">
        <v>40</v>
      </c>
      <c r="E27" s="36" t="s">
        <v>98</v>
      </c>
      <c r="F27" s="35" t="s">
        <v>476</v>
      </c>
      <c r="G27" s="32">
        <v>33</v>
      </c>
      <c r="H27" s="32">
        <v>43</v>
      </c>
      <c r="I27" s="96">
        <f t="shared" si="0"/>
        <v>76</v>
      </c>
      <c r="J27" s="37">
        <v>1342110</v>
      </c>
      <c r="K27" s="37">
        <v>1170145</v>
      </c>
      <c r="L27" s="37">
        <v>57074</v>
      </c>
      <c r="M27" s="38">
        <f>I27/(HLOOKUP(F27,Team_Composition_23[[#All],[Yellow]:[Red]],10,FALSE)+HLOOKUP(F27,Team_Composition_23[[#All],[Yellow]:[Red]],11,FALSE))</f>
        <v>1.8995251187203199E-2</v>
      </c>
      <c r="N27" s="38">
        <f>J27/HLOOKUP(F27,Team_Composition_23[[#All],[Yellow]:[Red]],6,FALSE)</f>
        <v>3.0252510442628507E-2</v>
      </c>
      <c r="O27" s="38">
        <f>K27/HLOOKUP(F27,Team_Composition_23[[#All],[Yellow]:[Red]],8,FALSE)</f>
        <v>6.6793814152289174E-2</v>
      </c>
      <c r="P27" s="38">
        <f>L27/HLOOKUP(F27,Team_Composition_23[[#All],[Yellow]:[Red]],7,FALSE)</f>
        <v>4.4090379638918381E-3</v>
      </c>
      <c r="Q27" s="31"/>
      <c r="R27" s="31"/>
      <c r="S27" s="64"/>
      <c r="T27" s="64"/>
      <c r="U27" s="31"/>
      <c r="V27" s="31"/>
      <c r="W27" s="31"/>
      <c r="X27" s="31"/>
      <c r="Y27" s="31"/>
      <c r="Z27" s="31"/>
      <c r="AA27" s="31"/>
      <c r="AB27" s="31"/>
      <c r="AC27" s="64"/>
      <c r="AD27" s="64"/>
    </row>
    <row r="28" spans="1:30" ht="22.5" customHeight="1">
      <c r="A28" s="32">
        <v>19</v>
      </c>
      <c r="B28" s="94" t="str">
        <f>VLOOKUP(C28,Lists!I:J,2,FALSE)</f>
        <v>Ranged DPS</v>
      </c>
      <c r="C28" s="95" t="s">
        <v>58</v>
      </c>
      <c r="D28" s="35" t="s">
        <v>40</v>
      </c>
      <c r="E28" s="36" t="s">
        <v>158</v>
      </c>
      <c r="F28" s="35" t="s">
        <v>476</v>
      </c>
      <c r="G28" s="32">
        <v>26</v>
      </c>
      <c r="H28" s="32">
        <v>48</v>
      </c>
      <c r="I28" s="96">
        <f t="shared" si="0"/>
        <v>74</v>
      </c>
      <c r="J28" s="37">
        <v>2676835</v>
      </c>
      <c r="K28" s="37">
        <v>876637</v>
      </c>
      <c r="L28" s="37">
        <v>39955</v>
      </c>
      <c r="M28" s="38">
        <f>I28/(HLOOKUP(F28,Team_Composition_23[[#All],[Yellow]:[Red]],10,FALSE)+HLOOKUP(F28,Team_Composition_23[[#All],[Yellow]:[Red]],11,FALSE))</f>
        <v>1.8495376155961009E-2</v>
      </c>
      <c r="N28" s="38">
        <f>J28/HLOOKUP(F28,Team_Composition_23[[#All],[Yellow]:[Red]],6,FALSE)</f>
        <v>6.0338555551104962E-2</v>
      </c>
      <c r="O28" s="38">
        <f>K28/HLOOKUP(F28,Team_Composition_23[[#All],[Yellow]:[Red]],8,FALSE)</f>
        <v>5.0039891515171478E-2</v>
      </c>
      <c r="P28" s="38">
        <f>L28/HLOOKUP(F28,Team_Composition_23[[#All],[Yellow]:[Red]],7,FALSE)</f>
        <v>3.0865737787310926E-3</v>
      </c>
      <c r="Q28" s="31"/>
      <c r="R28" s="227" t="s">
        <v>39</v>
      </c>
      <c r="S28" s="228"/>
      <c r="T28" s="228"/>
      <c r="U28" s="31"/>
      <c r="V28" s="31"/>
      <c r="W28" s="31"/>
      <c r="X28" s="31"/>
      <c r="Y28" s="31"/>
      <c r="Z28" s="31"/>
      <c r="AA28" s="31"/>
      <c r="AB28" s="227" t="s">
        <v>39</v>
      </c>
      <c r="AC28" s="228"/>
      <c r="AD28" s="228"/>
    </row>
    <row r="29" spans="1:30" ht="22.5" customHeight="1">
      <c r="A29" s="32">
        <v>23</v>
      </c>
      <c r="B29" s="94" t="str">
        <f>VLOOKUP(C29,Lists!I:J,2,FALSE)</f>
        <v>Melee DPS</v>
      </c>
      <c r="C29" s="95" t="str">
        <f>VLOOKUP(E29&amp;D29,Lists!C:E,3,FALSE)</f>
        <v>Spear/Dagger</v>
      </c>
      <c r="D29" s="35" t="s">
        <v>30</v>
      </c>
      <c r="E29" s="36" t="s">
        <v>457</v>
      </c>
      <c r="F29" s="35" t="s">
        <v>483</v>
      </c>
      <c r="G29" s="32">
        <v>20</v>
      </c>
      <c r="H29" s="32">
        <v>53</v>
      </c>
      <c r="I29" s="96">
        <f t="shared" si="0"/>
        <v>73</v>
      </c>
      <c r="J29" s="37">
        <v>1110020</v>
      </c>
      <c r="K29" s="37">
        <v>534418</v>
      </c>
      <c r="L29" s="37">
        <v>16386</v>
      </c>
      <c r="M29" s="38">
        <f>I29/(HLOOKUP(F29,Team_Composition_23[[#All],[Yellow]:[Red]],10,FALSE)+HLOOKUP(F29,Team_Composition_23[[#All],[Yellow]:[Red]],11,FALSE))</f>
        <v>8.8915956151035327E-2</v>
      </c>
      <c r="N29" s="38">
        <f>J29/HLOOKUP(F29,Team_Composition_23[[#All],[Yellow]:[Red]],6,FALSE)</f>
        <v>6.2907028770379597E-2</v>
      </c>
      <c r="O29" s="38">
        <f>K29/HLOOKUP(F29,Team_Composition_23[[#All],[Yellow]:[Red]],8,FALSE)</f>
        <v>1.2141465666368395E-2</v>
      </c>
      <c r="P29" s="38">
        <f>L29/HLOOKUP(F29,Team_Composition_23[[#All],[Yellow]:[Red]],7,FALSE)</f>
        <v>6.7519877384627895E-4</v>
      </c>
      <c r="Q29" s="31"/>
      <c r="R29" s="41" t="s">
        <v>482</v>
      </c>
      <c r="S29" s="42" t="s">
        <v>476</v>
      </c>
      <c r="T29" s="42" t="s">
        <v>483</v>
      </c>
      <c r="U29" s="31"/>
      <c r="V29" s="31"/>
      <c r="W29" s="31"/>
      <c r="X29" s="31"/>
      <c r="Y29" s="31"/>
      <c r="Z29" s="31"/>
      <c r="AA29" s="31"/>
      <c r="AB29" s="41" t="s">
        <v>482</v>
      </c>
      <c r="AC29" s="42" t="s">
        <v>485</v>
      </c>
      <c r="AD29" s="42" t="s">
        <v>36</v>
      </c>
    </row>
    <row r="30" spans="1:30" ht="22.5" customHeight="1">
      <c r="A30" s="32">
        <v>62</v>
      </c>
      <c r="B30" s="94" t="str">
        <f>VLOOKUP(C30,Lists!I:J,2,FALSE)</f>
        <v>Healer</v>
      </c>
      <c r="C30" s="95" t="str">
        <f>VLOOKUP(E30&amp;D30,Lists!C:E,3,FALSE)</f>
        <v>Wand/Orb</v>
      </c>
      <c r="D30" s="35" t="s">
        <v>30</v>
      </c>
      <c r="E30" s="36" t="s">
        <v>440</v>
      </c>
      <c r="F30" s="35" t="s">
        <v>483</v>
      </c>
      <c r="G30" s="32">
        <v>0</v>
      </c>
      <c r="H30" s="32">
        <v>71</v>
      </c>
      <c r="I30" s="96">
        <f t="shared" si="0"/>
        <v>71</v>
      </c>
      <c r="J30" s="37">
        <v>10451</v>
      </c>
      <c r="K30" s="37">
        <v>149638</v>
      </c>
      <c r="L30" s="37">
        <v>632816</v>
      </c>
      <c r="M30" s="38">
        <f>I30/(HLOOKUP(F30,Team_Composition_23[[#All],[Yellow]:[Red]],10,FALSE)+HLOOKUP(F30,Team_Composition_23[[#All],[Yellow]:[Red]],11,FALSE))</f>
        <v>8.6479902557856272E-2</v>
      </c>
      <c r="N30" s="38">
        <f>J30/HLOOKUP(F30,Team_Composition_23[[#All],[Yellow]:[Red]],6,FALSE)</f>
        <v>5.9227883973193016E-4</v>
      </c>
      <c r="O30" s="38">
        <f>K30/HLOOKUP(F30,Team_Composition_23[[#All],[Yellow]:[Red]],8,FALSE)</f>
        <v>3.3996321968646904E-3</v>
      </c>
      <c r="P30" s="38">
        <f>L30/HLOOKUP(F30,Team_Composition_23[[#All],[Yellow]:[Red]],7,FALSE)</f>
        <v>2.6075710195917663E-2</v>
      </c>
      <c r="Q30" s="31"/>
      <c r="R30" s="45" t="s">
        <v>468</v>
      </c>
      <c r="S30" s="46">
        <f>SUMIFS(Scoreboard_40[Damage Dealt],Scoreboard_40[Role],"Ranged DPS",Scoreboard_40[Team],"Yellow")</f>
        <v>8969263</v>
      </c>
      <c r="T30" s="47">
        <f>SUMIFS(Scoreboard_40[Damage Dealt],Scoreboard_40[Role],"Ranged DPS",Scoreboard_40[Team],"Red")</f>
        <v>16308241</v>
      </c>
      <c r="U30" s="31"/>
      <c r="V30" s="31"/>
      <c r="W30" s="31"/>
      <c r="X30" s="31"/>
      <c r="Y30" s="31"/>
      <c r="Z30" s="31"/>
      <c r="AA30" s="31"/>
      <c r="AB30" s="45" t="s">
        <v>468</v>
      </c>
      <c r="AC30" s="50">
        <f>SUMIFS(Scoreboard_40[Damage Dealt],Scoreboard_40[Role],"Ranged DPS",Scoreboard_40[Guild],"Best Regards")</f>
        <v>0</v>
      </c>
      <c r="AD30" s="51">
        <f>SUMIFS(Scoreboard_40[Damage Dealt],Scoreboard_40[Role],"Ranged DPS",Scoreboard_40[Guild],"Unhinged肉")</f>
        <v>0</v>
      </c>
    </row>
    <row r="31" spans="1:30" ht="22.5" customHeight="1">
      <c r="A31" s="32">
        <v>63</v>
      </c>
      <c r="B31" s="94" t="str">
        <f>VLOOKUP(C31,Lists!I:J,2,FALSE)</f>
        <v>Healer</v>
      </c>
      <c r="C31" s="95" t="str">
        <f>VLOOKUP(E31&amp;D31,Lists!C:E,3,FALSE)</f>
        <v>Wand/Orb</v>
      </c>
      <c r="D31" s="35" t="s">
        <v>30</v>
      </c>
      <c r="E31" s="36" t="s">
        <v>449</v>
      </c>
      <c r="F31" s="35" t="s">
        <v>483</v>
      </c>
      <c r="G31" s="32">
        <v>0</v>
      </c>
      <c r="H31" s="32">
        <v>70</v>
      </c>
      <c r="I31" s="96">
        <f t="shared" si="0"/>
        <v>70</v>
      </c>
      <c r="J31" s="37">
        <v>8031</v>
      </c>
      <c r="K31" s="37">
        <v>209034</v>
      </c>
      <c r="L31" s="37">
        <v>556063</v>
      </c>
      <c r="M31" s="38">
        <f>I31/(HLOOKUP(F31,Team_Composition_23[[#All],[Yellow]:[Red]],10,FALSE)+HLOOKUP(F31,Team_Composition_23[[#All],[Yellow]:[Red]],11,FALSE))</f>
        <v>8.5261875761266745E-2</v>
      </c>
      <c r="N31" s="38">
        <f>J31/HLOOKUP(F31,Team_Composition_23[[#All],[Yellow]:[Red]],6,FALSE)</f>
        <v>4.5513265351517862E-4</v>
      </c>
      <c r="O31" s="38">
        <f>K31/HLOOKUP(F31,Team_Composition_23[[#All],[Yellow]:[Red]],8,FALSE)</f>
        <v>4.7490524909408948E-3</v>
      </c>
      <c r="P31" s="38">
        <f>L31/HLOOKUP(F31,Team_Composition_23[[#All],[Yellow]:[Red]],7,FALSE)</f>
        <v>2.2913038922329026E-2</v>
      </c>
      <c r="Q31" s="31"/>
      <c r="R31" s="45" t="s">
        <v>469</v>
      </c>
      <c r="S31" s="46">
        <f>SUMIFS(Scoreboard_40[Damage Taken],Scoreboard_40[Role],"Ranged DPS",Scoreboard_40[Team],"Yellow")</f>
        <v>6206417</v>
      </c>
      <c r="T31" s="47">
        <f>SUMIFS(Scoreboard_40[Damage Taken],Scoreboard_40[Role],"Ranged DPS",Scoreboard_40[Team],"Red")</f>
        <v>3667509</v>
      </c>
      <c r="U31" s="31"/>
      <c r="V31" s="31"/>
      <c r="W31" s="31"/>
      <c r="X31" s="31"/>
      <c r="Y31" s="31"/>
      <c r="Z31" s="31"/>
      <c r="AA31" s="31"/>
      <c r="AB31" s="45" t="s">
        <v>469</v>
      </c>
      <c r="AC31" s="50">
        <f>SUMIFS(Scoreboard_40[Damage Taken],Scoreboard_40[Role],"Ranged DPS",Scoreboard_40[Guild],"Best Regards")</f>
        <v>0</v>
      </c>
      <c r="AD31" s="51">
        <f>SUMIFS(Scoreboard_40[Damage Taken],Scoreboard_40[Role],"Ranged DPS",Scoreboard_40[Guild],"Unhinged肉")</f>
        <v>0</v>
      </c>
    </row>
    <row r="32" spans="1:30" ht="22.5" customHeight="1">
      <c r="A32" s="32">
        <v>12</v>
      </c>
      <c r="B32" s="94" t="str">
        <f>VLOOKUP(C32,Lists!I:J,2,FALSE)</f>
        <v>Melee DPS</v>
      </c>
      <c r="C32" s="95" t="str">
        <f>VLOOKUP(E32&amp;D32,Lists!C:E,3,FALSE)</f>
        <v>Greatsword/Spear</v>
      </c>
      <c r="D32" s="35" t="s">
        <v>40</v>
      </c>
      <c r="E32" s="36" t="s">
        <v>147</v>
      </c>
      <c r="F32" s="35" t="s">
        <v>476</v>
      </c>
      <c r="G32" s="32">
        <v>32</v>
      </c>
      <c r="H32" s="32">
        <v>34</v>
      </c>
      <c r="I32" s="96">
        <f t="shared" si="0"/>
        <v>66</v>
      </c>
      <c r="J32" s="37">
        <v>1785842</v>
      </c>
      <c r="K32" s="37">
        <v>1647876</v>
      </c>
      <c r="L32" s="37">
        <v>29709</v>
      </c>
      <c r="M32" s="38">
        <f>I32/(HLOOKUP(F32,Team_Composition_23[[#All],[Yellow]:[Red]],10,FALSE)+HLOOKUP(F32,Team_Composition_23[[#All],[Yellow]:[Red]],11,FALSE))</f>
        <v>1.6495876030992253E-2</v>
      </c>
      <c r="N32" s="38">
        <f>J32/HLOOKUP(F32,Team_Composition_23[[#All],[Yellow]:[Red]],6,FALSE)</f>
        <v>4.0254676407958045E-2</v>
      </c>
      <c r="O32" s="38">
        <f>K32/HLOOKUP(F32,Team_Composition_23[[#All],[Yellow]:[Red]],8,FALSE)</f>
        <v>9.4063490669974811E-2</v>
      </c>
      <c r="P32" s="38">
        <f>L32/HLOOKUP(F32,Team_Composition_23[[#All],[Yellow]:[Red]],7,FALSE)</f>
        <v>2.2950574494386691E-3</v>
      </c>
      <c r="Q32" s="31"/>
      <c r="R32" s="45" t="s">
        <v>470</v>
      </c>
      <c r="S32" s="46">
        <f>SUMIFS(Scoreboard_40[Amount Healed],Scoreboard_40[Role],"Ranged DPS",Scoreboard_40[Team],"Yellow")</f>
        <v>335872</v>
      </c>
      <c r="T32" s="47">
        <f>SUMIFS(Scoreboard_40[Amount Healed],Scoreboard_40[Role],"Ranged DPS",Scoreboard_40[Team],"Red")</f>
        <v>464073</v>
      </c>
      <c r="U32" s="31"/>
      <c r="V32" s="31"/>
      <c r="W32" s="31"/>
      <c r="X32" s="31"/>
      <c r="Y32" s="31"/>
      <c r="Z32" s="31"/>
      <c r="AA32" s="31"/>
      <c r="AB32" s="45" t="s">
        <v>470</v>
      </c>
      <c r="AC32" s="50">
        <f>SUMIFS(Scoreboard_40[Amount Healed],Scoreboard_40[Role],"Ranged DPS",Scoreboard_40[Guild],"Best Regards")</f>
        <v>0</v>
      </c>
      <c r="AD32" s="51">
        <f>SUMIFS(Scoreboard_40[Amount Healed],Scoreboard_40[Role],"Ranged DPS",Scoreboard_40[Guild],"Unhinged肉")</f>
        <v>0</v>
      </c>
    </row>
    <row r="33" spans="1:30" ht="22.5" customHeight="1">
      <c r="A33" s="32">
        <v>13</v>
      </c>
      <c r="B33" s="94" t="str">
        <f>VLOOKUP(C33,Lists!I:J,2,FALSE)</f>
        <v>KS</v>
      </c>
      <c r="C33" s="95" t="str">
        <f>VLOOKUP(E33&amp;D33,Lists!C:E,3,FALSE)</f>
        <v>Longbow/Dagger</v>
      </c>
      <c r="D33" s="35" t="s">
        <v>40</v>
      </c>
      <c r="E33" s="36" t="s">
        <v>51</v>
      </c>
      <c r="F33" s="35" t="s">
        <v>476</v>
      </c>
      <c r="G33" s="32">
        <v>30</v>
      </c>
      <c r="H33" s="32">
        <v>36</v>
      </c>
      <c r="I33" s="96">
        <f t="shared" si="0"/>
        <v>66</v>
      </c>
      <c r="J33" s="37">
        <v>1017646</v>
      </c>
      <c r="K33" s="37">
        <v>901004</v>
      </c>
      <c r="L33" s="37">
        <v>0</v>
      </c>
      <c r="M33" s="38">
        <f>I33/(HLOOKUP(F33,Team_Composition_23[[#All],[Yellow]:[Red]],10,FALSE)+HLOOKUP(F33,Team_Composition_23[[#All],[Yellow]:[Red]],11,FALSE))</f>
        <v>1.6495876030992253E-2</v>
      </c>
      <c r="N33" s="38">
        <f>J33/HLOOKUP(F33,Team_Composition_23[[#All],[Yellow]:[Red]],6,FALSE)</f>
        <v>2.2938765259106278E-2</v>
      </c>
      <c r="O33" s="38">
        <f>K33/HLOOKUP(F33,Team_Composition_23[[#All],[Yellow]:[Red]],8,FALSE)</f>
        <v>5.1430800222595628E-2</v>
      </c>
      <c r="P33" s="38">
        <f>L33/HLOOKUP(F33,Team_Composition_23[[#All],[Yellow]:[Red]],7,FALSE)</f>
        <v>0</v>
      </c>
      <c r="Q33" s="31"/>
      <c r="R33" s="45" t="s">
        <v>465</v>
      </c>
      <c r="S33" s="46">
        <f>SUMIFS(Scoreboard_40[Kills],Scoreboard_40[Role],"Ranged DPS",Scoreboard_40[Team],"Yellow")</f>
        <v>108</v>
      </c>
      <c r="T33" s="47">
        <f>SUMIFS(Scoreboard_40[Kills],Scoreboard_40[Role],"Ranged DPS",Scoreboard_40[Team],"Red")</f>
        <v>226</v>
      </c>
      <c r="U33" s="31"/>
      <c r="V33" s="31"/>
      <c r="W33" s="31"/>
      <c r="X33" s="31"/>
      <c r="Y33" s="31"/>
      <c r="Z33" s="31"/>
      <c r="AA33" s="31"/>
      <c r="AB33" s="45" t="s">
        <v>465</v>
      </c>
      <c r="AC33" s="50">
        <f>SUMIFS(Scoreboard_40[Kills],Scoreboard_40[Role],"Ranged DPS",Scoreboard_40[Guild],"Best Regards")</f>
        <v>0</v>
      </c>
      <c r="AD33" s="51">
        <f>SUMIFS(Scoreboard_40[Kills],Scoreboard_40[Role],"Ranged DPS",Scoreboard_40[Guild],"Unhinged肉")</f>
        <v>0</v>
      </c>
    </row>
    <row r="34" spans="1:30" ht="22.5" customHeight="1">
      <c r="A34" s="32">
        <v>34</v>
      </c>
      <c r="B34" s="94" t="str">
        <f>VLOOKUP(C34,Lists!I:J,2,FALSE)</f>
        <v>KS</v>
      </c>
      <c r="C34" s="95" t="str">
        <f>VLOOKUP(E34&amp;D34,Lists!C:E,3,FALSE)</f>
        <v>Crossbow/Dagger</v>
      </c>
      <c r="D34" s="35" t="s">
        <v>30</v>
      </c>
      <c r="E34" s="36" t="s">
        <v>404</v>
      </c>
      <c r="F34" s="35" t="s">
        <v>483</v>
      </c>
      <c r="G34" s="32">
        <v>12</v>
      </c>
      <c r="H34" s="32">
        <v>54</v>
      </c>
      <c r="I34" s="96">
        <f t="shared" si="0"/>
        <v>66</v>
      </c>
      <c r="J34" s="37">
        <v>512537</v>
      </c>
      <c r="K34" s="37">
        <v>1195432</v>
      </c>
      <c r="L34" s="37">
        <v>118406</v>
      </c>
      <c r="M34" s="38">
        <f>I34/(HLOOKUP(F34,Team_Composition_23[[#All],[Yellow]:[Red]],10,FALSE)+HLOOKUP(F34,Team_Composition_23[[#All],[Yellow]:[Red]],11,FALSE))</f>
        <v>8.0389768574908649E-2</v>
      </c>
      <c r="N34" s="38">
        <f>J34/HLOOKUP(F34,Team_Composition_23[[#All],[Yellow]:[Red]],6,FALSE)</f>
        <v>2.9046485473130258E-2</v>
      </c>
      <c r="O34" s="38">
        <f>K34/HLOOKUP(F34,Team_Composition_23[[#All],[Yellow]:[Red]],8,FALSE)</f>
        <v>2.7159071334569764E-2</v>
      </c>
      <c r="P34" s="38">
        <f>L34/HLOOKUP(F34,Team_Composition_23[[#All],[Yellow]:[Red]],7,FALSE)</f>
        <v>4.8790178210693577E-3</v>
      </c>
      <c r="Q34" s="31"/>
      <c r="R34" s="45" t="s">
        <v>466</v>
      </c>
      <c r="S34" s="46">
        <f>SUMIFS(Scoreboard_40[Assists],Scoreboard_40[Role],"Ranged DPS",Scoreboard_40[Team],"Yellow")</f>
        <v>198</v>
      </c>
      <c r="T34" s="47">
        <f>SUMIFS(Scoreboard_40[Assists],Scoreboard_40[Role],"Ranged DPS",Scoreboard_40[Team],"Red")</f>
        <v>440</v>
      </c>
      <c r="U34" s="31"/>
      <c r="V34" s="31"/>
      <c r="W34" s="31"/>
      <c r="X34" s="31"/>
      <c r="Y34" s="31"/>
      <c r="Z34" s="31"/>
      <c r="AA34" s="31"/>
      <c r="AB34" s="45" t="s">
        <v>466</v>
      </c>
      <c r="AC34" s="50">
        <f>SUMIFS(Scoreboard_40[Assists],Scoreboard_40[Role],"Ranged DPS",Scoreboard_40[Guild],"Best Regards")</f>
        <v>0</v>
      </c>
      <c r="AD34" s="51">
        <f>SUMIFS(Scoreboard_40[Assists],Scoreboard_40[Role],"Ranged DPS",Scoreboard_40[Team],"Unhinged肉")</f>
        <v>0</v>
      </c>
    </row>
    <row r="35" spans="1:30" ht="22.5" customHeight="1">
      <c r="A35" s="32">
        <v>29</v>
      </c>
      <c r="B35" s="94" t="str">
        <f>VLOOKUP(C35,Lists!I:J,2,FALSE)</f>
        <v>KS</v>
      </c>
      <c r="C35" s="95" t="str">
        <f>VLOOKUP(E35&amp;D35,Lists!C:E,3,FALSE)</f>
        <v>Crossbow/Dagger</v>
      </c>
      <c r="D35" s="35" t="s">
        <v>40</v>
      </c>
      <c r="E35" s="36" t="s">
        <v>161</v>
      </c>
      <c r="F35" s="35" t="s">
        <v>476</v>
      </c>
      <c r="G35" s="32">
        <v>16</v>
      </c>
      <c r="H35" s="32">
        <v>49</v>
      </c>
      <c r="I35" s="96">
        <f t="shared" si="0"/>
        <v>65</v>
      </c>
      <c r="J35" s="37">
        <v>868826</v>
      </c>
      <c r="K35" s="37">
        <v>763316</v>
      </c>
      <c r="L35" s="37">
        <v>19053</v>
      </c>
      <c r="M35" s="38">
        <f>I35/(HLOOKUP(F35,Team_Composition_23[[#All],[Yellow]:[Red]],10,FALSE)+HLOOKUP(F35,Team_Composition_23[[#All],[Yellow]:[Red]],11,FALSE))</f>
        <v>1.6245938515371157E-2</v>
      </c>
      <c r="N35" s="38">
        <f>J35/HLOOKUP(F35,Team_Composition_23[[#All],[Yellow]:[Red]],6,FALSE)</f>
        <v>1.9584212648610884E-2</v>
      </c>
      <c r="O35" s="38">
        <f>K35/HLOOKUP(F35,Team_Composition_23[[#All],[Yellow]:[Red]],8,FALSE)</f>
        <v>4.3571341195722549E-2</v>
      </c>
      <c r="P35" s="38">
        <f>L35/HLOOKUP(F35,Team_Composition_23[[#All],[Yellow]:[Red]],7,FALSE)</f>
        <v>1.4718681067742087E-3</v>
      </c>
      <c r="Q35" s="31"/>
      <c r="R35" s="45" t="s">
        <v>54</v>
      </c>
      <c r="S35" s="46">
        <f t="shared" ref="S35:S46" si="6">COUNTIFS(C:C,R35,F:F,"Yellow")</f>
        <v>3</v>
      </c>
      <c r="T35" s="47">
        <f t="shared" ref="T35:T46" si="7">COUNTIFS(C:C,R35,F:F,"Red")</f>
        <v>5</v>
      </c>
      <c r="U35" s="31"/>
      <c r="V35" s="31"/>
      <c r="W35" s="31"/>
      <c r="X35" s="31"/>
      <c r="Y35" s="31"/>
      <c r="Z35" s="31"/>
      <c r="AA35" s="31"/>
      <c r="AB35" s="45" t="s">
        <v>54</v>
      </c>
      <c r="AC35" s="50">
        <f t="shared" ref="AC35:AC46" si="8">COUNTIFS(C:C,AB35,D:D,"Best Regards")</f>
        <v>0</v>
      </c>
      <c r="AD35" s="51">
        <f t="shared" ref="AD35:AD46" si="9">COUNTIFS(C:C,AB35,D:D,"Unhinged肉")</f>
        <v>0</v>
      </c>
    </row>
    <row r="36" spans="1:30" ht="22.5" customHeight="1">
      <c r="A36" s="32">
        <v>64</v>
      </c>
      <c r="B36" s="94" t="str">
        <f>VLOOKUP(C36,Lists!I:J,2,FALSE)</f>
        <v>Healer</v>
      </c>
      <c r="C36" s="95" t="str">
        <f>VLOOKUP(E36&amp;D36,Lists!C:E,3,FALSE)</f>
        <v>Wand/Orb</v>
      </c>
      <c r="D36" s="35" t="s">
        <v>30</v>
      </c>
      <c r="E36" s="36" t="s">
        <v>419</v>
      </c>
      <c r="F36" s="35" t="s">
        <v>483</v>
      </c>
      <c r="G36" s="32">
        <v>0</v>
      </c>
      <c r="H36" s="32">
        <v>65</v>
      </c>
      <c r="I36" s="96">
        <f t="shared" si="0"/>
        <v>65</v>
      </c>
      <c r="J36" s="37">
        <v>17735</v>
      </c>
      <c r="K36" s="37">
        <v>215132</v>
      </c>
      <c r="L36" s="37">
        <v>466632</v>
      </c>
      <c r="M36" s="38">
        <f>I36/(HLOOKUP(F36,Team_Composition_23[[#All],[Yellow]:[Red]],10,FALSE)+HLOOKUP(F36,Team_Composition_23[[#All],[Yellow]:[Red]],11,FALSE))</f>
        <v>7.9171741778319121E-2</v>
      </c>
      <c r="N36" s="38">
        <f>J36/HLOOKUP(F36,Team_Composition_23[[#All],[Yellow]:[Red]],6,FALSE)</f>
        <v>1.0050775258487975E-3</v>
      </c>
      <c r="O36" s="38">
        <f>K36/HLOOKUP(F36,Team_Composition_23[[#All],[Yellow]:[Red]],8,FALSE)</f>
        <v>4.8875932168025134E-3</v>
      </c>
      <c r="P36" s="38">
        <f>L36/HLOOKUP(F36,Team_Composition_23[[#All],[Yellow]:[Red]],7,FALSE)</f>
        <v>1.9227960102370122E-2</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65</v>
      </c>
      <c r="B37" s="94" t="str">
        <f>VLOOKUP(C37,Lists!I:J,2,FALSE)</f>
        <v>Healer</v>
      </c>
      <c r="C37" s="95" t="str">
        <f>VLOOKUP(E37&amp;D37,Lists!C:E,3,FALSE)</f>
        <v>Wand/Orb</v>
      </c>
      <c r="D37" s="35" t="s">
        <v>30</v>
      </c>
      <c r="E37" s="36" t="s">
        <v>199</v>
      </c>
      <c r="F37" s="35" t="s">
        <v>483</v>
      </c>
      <c r="G37" s="32">
        <v>0</v>
      </c>
      <c r="H37" s="32">
        <v>65</v>
      </c>
      <c r="I37" s="96">
        <f t="shared" si="0"/>
        <v>65</v>
      </c>
      <c r="J37" s="37">
        <v>1932</v>
      </c>
      <c r="K37" s="37">
        <v>180677</v>
      </c>
      <c r="L37" s="37">
        <v>532272</v>
      </c>
      <c r="M37" s="38">
        <f>I37/(HLOOKUP(F37,Team_Composition_23[[#All],[Yellow]:[Red]],10,FALSE)+HLOOKUP(F37,Team_Composition_23[[#All],[Yellow]:[Red]],11,FALSE))</f>
        <v>7.9171741778319121E-2</v>
      </c>
      <c r="N37" s="38">
        <f>J37/HLOOKUP(F37,Team_Composition_23[[#All],[Yellow]:[Red]],6,FALSE)</f>
        <v>1.0949026106229922E-4</v>
      </c>
      <c r="O37" s="38">
        <f>K37/HLOOKUP(F37,Team_Composition_23[[#All],[Yellow]:[Red]],8,FALSE)</f>
        <v>4.1048085809281178E-3</v>
      </c>
      <c r="P37" s="38">
        <f>L37/HLOOKUP(F37,Team_Composition_23[[#All],[Yellow]:[Red]],7,FALSE)</f>
        <v>2.1932710957689894E-2</v>
      </c>
      <c r="Q37" s="31"/>
      <c r="R37" s="45" t="s">
        <v>45</v>
      </c>
      <c r="S37" s="46">
        <f t="shared" si="6"/>
        <v>3</v>
      </c>
      <c r="T37" s="47">
        <f t="shared" si="7"/>
        <v>3</v>
      </c>
      <c r="U37" s="31"/>
      <c r="V37" s="31"/>
      <c r="W37" s="31"/>
      <c r="X37" s="31"/>
      <c r="Y37" s="31"/>
      <c r="Z37" s="31"/>
      <c r="AA37" s="31"/>
      <c r="AB37" s="45" t="s">
        <v>45</v>
      </c>
      <c r="AC37" s="50">
        <f t="shared" si="8"/>
        <v>0</v>
      </c>
      <c r="AD37" s="51">
        <f t="shared" si="9"/>
        <v>0</v>
      </c>
    </row>
    <row r="38" spans="1:30" ht="22.5" customHeight="1">
      <c r="A38" s="32">
        <v>66</v>
      </c>
      <c r="B38" s="94" t="str">
        <f>VLOOKUP(C38,Lists!I:J,2,FALSE)</f>
        <v>Healer</v>
      </c>
      <c r="C38" s="95" t="str">
        <f>VLOOKUP(E38&amp;D38,Lists!C:E,3,FALSE)</f>
        <v>Wand/Orb</v>
      </c>
      <c r="D38" s="35" t="s">
        <v>30</v>
      </c>
      <c r="E38" s="36" t="s">
        <v>445</v>
      </c>
      <c r="F38" s="35" t="s">
        <v>483</v>
      </c>
      <c r="G38" s="32">
        <v>0</v>
      </c>
      <c r="H38" s="32">
        <v>60</v>
      </c>
      <c r="I38" s="96">
        <f t="shared" si="0"/>
        <v>60</v>
      </c>
      <c r="J38" s="37">
        <v>34204</v>
      </c>
      <c r="K38" s="37">
        <v>222306</v>
      </c>
      <c r="L38" s="37">
        <v>801526</v>
      </c>
      <c r="M38" s="38">
        <f>I38/(HLOOKUP(F38,Team_Composition_23[[#All],[Yellow]:[Red]],10,FALSE)+HLOOKUP(F38,Team_Composition_23[[#All],[Yellow]:[Red]],11,FALSE))</f>
        <v>7.3081607795371498E-2</v>
      </c>
      <c r="N38" s="38">
        <f>J38/HLOOKUP(F38,Team_Composition_23[[#All],[Yellow]:[Red]],6,FALSE)</f>
        <v>1.9384083278337903E-3</v>
      </c>
      <c r="O38" s="38">
        <f>K38/HLOOKUP(F38,Team_Composition_23[[#All],[Yellow]:[Red]],8,FALSE)</f>
        <v>5.0505796332228564E-3</v>
      </c>
      <c r="P38" s="38">
        <f>L38/HLOOKUP(F38,Team_Composition_23[[#All],[Yellow]:[Red]],7,FALSE)</f>
        <v>3.3027546222745792E-2</v>
      </c>
      <c r="Q38" s="31"/>
      <c r="R38" s="45" t="s">
        <v>81</v>
      </c>
      <c r="S38" s="46">
        <f t="shared" si="6"/>
        <v>1</v>
      </c>
      <c r="T38" s="47">
        <f t="shared" si="7"/>
        <v>1</v>
      </c>
      <c r="U38" s="31"/>
      <c r="V38" s="31"/>
      <c r="W38" s="31"/>
      <c r="X38" s="31"/>
      <c r="Y38" s="31"/>
      <c r="Z38" s="31"/>
      <c r="AA38" s="31"/>
      <c r="AB38" s="45" t="s">
        <v>81</v>
      </c>
      <c r="AC38" s="50">
        <f t="shared" si="8"/>
        <v>0</v>
      </c>
      <c r="AD38" s="51">
        <f t="shared" si="9"/>
        <v>0</v>
      </c>
    </row>
    <row r="39" spans="1:30" ht="22.5" customHeight="1">
      <c r="A39" s="32">
        <v>21</v>
      </c>
      <c r="B39" s="94" t="str">
        <f>VLOOKUP(C39,Lists!I:J,2,FALSE)</f>
        <v>KS</v>
      </c>
      <c r="C39" s="95" t="str">
        <f>VLOOKUP(E39&amp;D39,Lists!C:E,3,FALSE)</f>
        <v>Crossbow/Dagger</v>
      </c>
      <c r="D39" s="35" t="s">
        <v>40</v>
      </c>
      <c r="E39" s="36" t="s">
        <v>504</v>
      </c>
      <c r="F39" s="35" t="s">
        <v>476</v>
      </c>
      <c r="G39" s="32">
        <v>25</v>
      </c>
      <c r="H39" s="32">
        <v>34</v>
      </c>
      <c r="I39" s="96">
        <f t="shared" si="0"/>
        <v>59</v>
      </c>
      <c r="J39" s="37">
        <v>822476</v>
      </c>
      <c r="K39" s="37">
        <v>585249</v>
      </c>
      <c r="L39" s="37">
        <v>0</v>
      </c>
      <c r="M39" s="38">
        <f>I39/(HLOOKUP(F39,Team_Composition_23[[#All],[Yellow]:[Red]],10,FALSE)+HLOOKUP(F39,Team_Composition_23[[#All],[Yellow]:[Red]],11,FALSE))</f>
        <v>1.474631342164459E-2</v>
      </c>
      <c r="N39" s="38">
        <f>J39/HLOOKUP(F39,Team_Composition_23[[#All],[Yellow]:[Red]],6,FALSE)</f>
        <v>1.8539436990121019E-2</v>
      </c>
      <c r="O39" s="38">
        <f>K39/HLOOKUP(F39,Team_Composition_23[[#All],[Yellow]:[Red]],8,FALSE)</f>
        <v>3.3406981988397241E-2</v>
      </c>
      <c r="P39" s="38">
        <f>L39/HLOOKUP(F39,Team_Composition_23[[#All],[Yellow]:[Red]],7,FALSE)</f>
        <v>0</v>
      </c>
      <c r="Q39" s="31"/>
      <c r="R39" s="45" t="s">
        <v>48</v>
      </c>
      <c r="S39" s="46">
        <f t="shared" si="6"/>
        <v>0</v>
      </c>
      <c r="T39" s="47">
        <f t="shared" si="7"/>
        <v>3</v>
      </c>
      <c r="U39" s="31"/>
      <c r="V39" s="31"/>
      <c r="W39" s="31"/>
      <c r="X39" s="31"/>
      <c r="Y39" s="31"/>
      <c r="Z39" s="31"/>
      <c r="AA39" s="31"/>
      <c r="AB39" s="45" t="s">
        <v>48</v>
      </c>
      <c r="AC39" s="50">
        <f t="shared" si="8"/>
        <v>0</v>
      </c>
      <c r="AD39" s="51">
        <f t="shared" si="9"/>
        <v>0</v>
      </c>
    </row>
    <row r="40" spans="1:30" ht="22.5" customHeight="1">
      <c r="A40" s="32">
        <v>14</v>
      </c>
      <c r="B40" s="94" t="str">
        <f>VLOOKUP(C40,Lists!I:J,2,FALSE)</f>
        <v>Ranged DPS</v>
      </c>
      <c r="C40" s="95" t="str">
        <f>VLOOKUP(E40&amp;D40,Lists!C:E,3,FALSE)</f>
        <v>Crossbow/SnS</v>
      </c>
      <c r="D40" s="35" t="s">
        <v>40</v>
      </c>
      <c r="E40" s="36" t="s">
        <v>167</v>
      </c>
      <c r="F40" s="35" t="s">
        <v>476</v>
      </c>
      <c r="G40" s="32">
        <v>30</v>
      </c>
      <c r="H40" s="32">
        <v>28</v>
      </c>
      <c r="I40" s="96">
        <f t="shared" si="0"/>
        <v>58</v>
      </c>
      <c r="J40" s="37">
        <v>1526685</v>
      </c>
      <c r="K40" s="37">
        <v>844298</v>
      </c>
      <c r="L40" s="37">
        <v>26584</v>
      </c>
      <c r="M40" s="38">
        <f>I40/(HLOOKUP(F40,Team_Composition_23[[#All],[Yellow]:[Red]],10,FALSE)+HLOOKUP(F40,Team_Composition_23[[#All],[Yellow]:[Red]],11,FALSE))</f>
        <v>1.4496375906023495E-2</v>
      </c>
      <c r="N40" s="38">
        <f>J40/HLOOKUP(F40,Team_Composition_23[[#All],[Yellow]:[Red]],6,FALSE)</f>
        <v>3.4413016746097043E-2</v>
      </c>
      <c r="O40" s="38">
        <f>K40/HLOOKUP(F40,Team_Composition_23[[#All],[Yellow]:[Red]],8,FALSE)</f>
        <v>4.8193927847531244E-2</v>
      </c>
      <c r="P40" s="38">
        <f>L40/HLOOKUP(F40,Team_Composition_23[[#All],[Yellow]:[Red]],7,FALSE)</f>
        <v>2.053647286542044E-3</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22</v>
      </c>
      <c r="B41" s="94" t="str">
        <f>VLOOKUP(C41,Lists!I:J,2,FALSE)</f>
        <v>KS</v>
      </c>
      <c r="C41" s="95" t="str">
        <f>VLOOKUP(E41&amp;D41,Lists!C:E,3,FALSE)</f>
        <v>Greatsword/Dagger</v>
      </c>
      <c r="D41" s="35" t="s">
        <v>40</v>
      </c>
      <c r="E41" s="36" t="s">
        <v>182</v>
      </c>
      <c r="F41" s="35" t="s">
        <v>476</v>
      </c>
      <c r="G41" s="32">
        <v>24</v>
      </c>
      <c r="H41" s="32">
        <v>33</v>
      </c>
      <c r="I41" s="96">
        <f t="shared" si="0"/>
        <v>57</v>
      </c>
      <c r="J41" s="37">
        <v>1206193</v>
      </c>
      <c r="K41" s="37">
        <v>1159019</v>
      </c>
      <c r="L41" s="37">
        <v>27840</v>
      </c>
      <c r="M41" s="38">
        <f>I41/(HLOOKUP(F41,Team_Composition_23[[#All],[Yellow]:[Red]],10,FALSE)+HLOOKUP(F41,Team_Composition_23[[#All],[Yellow]:[Red]],11,FALSE))</f>
        <v>1.42464383904024E-2</v>
      </c>
      <c r="N41" s="38">
        <f>J41/HLOOKUP(F41,Team_Composition_23[[#All],[Yellow]:[Red]],6,FALSE)</f>
        <v>2.71888044410111E-2</v>
      </c>
      <c r="O41" s="38">
        <f>K41/HLOOKUP(F41,Team_Composition_23[[#All],[Yellow]:[Red]],8,FALSE)</f>
        <v>6.6158723649609286E-2</v>
      </c>
      <c r="P41" s="38">
        <f>L41/HLOOKUP(F41,Team_Composition_23[[#All],[Yellow]:[Red]],7,FALSE)</f>
        <v>2.1506748592134556E-3</v>
      </c>
      <c r="Q41" s="31"/>
      <c r="R41" s="45" t="s">
        <v>52</v>
      </c>
      <c r="S41" s="46">
        <f t="shared" si="6"/>
        <v>0</v>
      </c>
      <c r="T41" s="47">
        <f t="shared" si="7"/>
        <v>1</v>
      </c>
      <c r="U41" s="31"/>
      <c r="V41" s="31"/>
      <c r="W41" s="31"/>
      <c r="X41" s="31"/>
      <c r="Y41" s="31"/>
      <c r="Z41" s="31"/>
      <c r="AA41" s="31"/>
      <c r="AB41" s="45" t="s">
        <v>52</v>
      </c>
      <c r="AC41" s="50">
        <f t="shared" si="8"/>
        <v>0</v>
      </c>
      <c r="AD41" s="51">
        <f t="shared" si="9"/>
        <v>0</v>
      </c>
    </row>
    <row r="42" spans="1:30" ht="22.5" customHeight="1">
      <c r="A42" s="32">
        <v>49</v>
      </c>
      <c r="B42" s="94" t="str">
        <f>VLOOKUP(C42,Lists!I:J,2,FALSE)</f>
        <v>Healer</v>
      </c>
      <c r="C42" s="95" t="str">
        <f>VLOOKUP(E42&amp;D42,Lists!C:E,3,FALSE)</f>
        <v>Wand/Longbow</v>
      </c>
      <c r="D42" s="35" t="s">
        <v>30</v>
      </c>
      <c r="E42" s="36" t="s">
        <v>420</v>
      </c>
      <c r="F42" s="35" t="s">
        <v>483</v>
      </c>
      <c r="G42" s="32">
        <v>1</v>
      </c>
      <c r="H42" s="32">
        <v>56</v>
      </c>
      <c r="I42" s="96">
        <f t="shared" si="0"/>
        <v>57</v>
      </c>
      <c r="J42" s="37">
        <v>22828</v>
      </c>
      <c r="K42" s="37">
        <v>245403</v>
      </c>
      <c r="L42" s="37">
        <v>947494</v>
      </c>
      <c r="M42" s="38">
        <f>I42/(HLOOKUP(F42,Team_Composition_23[[#All],[Yellow]:[Red]],10,FALSE)+HLOOKUP(F42,Team_Composition_23[[#All],[Yellow]:[Red]],11,FALSE))</f>
        <v>6.9427527405602929E-2</v>
      </c>
      <c r="N42" s="38">
        <f>J42/HLOOKUP(F42,Team_Composition_23[[#All],[Yellow]:[Red]],6,FALSE)</f>
        <v>1.2937079086595066E-3</v>
      </c>
      <c r="O42" s="38">
        <f>K42/HLOOKUP(F42,Team_Composition_23[[#All],[Yellow]:[Red]],8,FALSE)</f>
        <v>5.5753213756344353E-3</v>
      </c>
      <c r="P42" s="38">
        <f>L42/HLOOKUP(F42,Team_Composition_23[[#All],[Yellow]:[Red]],7,FALSE)</f>
        <v>3.9042279203387417E-2</v>
      </c>
      <c r="Q42" s="31"/>
      <c r="R42" s="45" t="s">
        <v>32</v>
      </c>
      <c r="S42" s="46">
        <f t="shared" si="6"/>
        <v>1</v>
      </c>
      <c r="T42" s="47">
        <f t="shared" si="7"/>
        <v>0</v>
      </c>
      <c r="U42" s="31"/>
      <c r="V42" s="31"/>
      <c r="W42" s="31"/>
      <c r="X42" s="31"/>
      <c r="Y42" s="31"/>
      <c r="Z42" s="31"/>
      <c r="AA42" s="31"/>
      <c r="AB42" s="45" t="s">
        <v>32</v>
      </c>
      <c r="AC42" s="50">
        <f t="shared" si="8"/>
        <v>0</v>
      </c>
      <c r="AD42" s="51">
        <f t="shared" si="9"/>
        <v>0</v>
      </c>
    </row>
    <row r="43" spans="1:30" ht="22.5" customHeight="1">
      <c r="A43" s="32">
        <v>24</v>
      </c>
      <c r="B43" s="94" t="str">
        <f>VLOOKUP(C43,Lists!I:J,2,FALSE)</f>
        <v>Melee DPS</v>
      </c>
      <c r="C43" s="95" t="str">
        <f>VLOOKUP(E43&amp;D43,Lists!C:E,3,FALSE)</f>
        <v>Spear/Dagger</v>
      </c>
      <c r="D43" s="35" t="s">
        <v>40</v>
      </c>
      <c r="E43" s="36" t="s">
        <v>104</v>
      </c>
      <c r="F43" s="35" t="s">
        <v>476</v>
      </c>
      <c r="G43" s="32">
        <v>19</v>
      </c>
      <c r="H43" s="32">
        <v>37</v>
      </c>
      <c r="I43" s="96">
        <f t="shared" si="0"/>
        <v>56</v>
      </c>
      <c r="J43" s="37">
        <v>1235122</v>
      </c>
      <c r="K43" s="37">
        <v>1084201</v>
      </c>
      <c r="L43" s="37">
        <v>41848</v>
      </c>
      <c r="M43" s="38">
        <f>I43/(HLOOKUP(F43,Team_Composition_23[[#All],[Yellow]:[Red]],10,FALSE)+HLOOKUP(F43,Team_Composition_23[[#All],[Yellow]:[Red]],11,FALSE))</f>
        <v>1.3996500874781305E-2</v>
      </c>
      <c r="N43" s="38">
        <f>J43/HLOOKUP(F43,Team_Composition_23[[#All],[Yellow]:[Red]],6,FALSE)</f>
        <v>2.78408932225527E-2</v>
      </c>
      <c r="O43" s="38">
        <f>K43/HLOOKUP(F43,Team_Composition_23[[#All],[Yellow]:[Red]],8,FALSE)</f>
        <v>6.1887988324289794E-2</v>
      </c>
      <c r="P43" s="38">
        <f>L43/HLOOKUP(F43,Team_Composition_23[[#All],[Yellow]:[Red]],7,FALSE)</f>
        <v>3.2328103990073524E-3</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25</v>
      </c>
      <c r="B44" s="94" t="str">
        <f>VLOOKUP(C44,Lists!I:J,2,FALSE)</f>
        <v>KS</v>
      </c>
      <c r="C44" s="95" t="str">
        <f>VLOOKUP(E44&amp;D44,Lists!C:E,3,FALSE)</f>
        <v>Crossbow/Dagger</v>
      </c>
      <c r="D44" s="35" t="s">
        <v>40</v>
      </c>
      <c r="E44" s="36" t="s">
        <v>159</v>
      </c>
      <c r="F44" s="35" t="s">
        <v>476</v>
      </c>
      <c r="G44" s="32">
        <v>19</v>
      </c>
      <c r="H44" s="32">
        <v>37</v>
      </c>
      <c r="I44" s="96">
        <f t="shared" si="0"/>
        <v>56</v>
      </c>
      <c r="J44" s="37">
        <v>1053793</v>
      </c>
      <c r="K44" s="37">
        <v>623442</v>
      </c>
      <c r="L44" s="37">
        <v>8420</v>
      </c>
      <c r="M44" s="38">
        <f>I44/(HLOOKUP(F44,Team_Composition_23[[#All],[Yellow]:[Red]],10,FALSE)+HLOOKUP(F44,Team_Composition_23[[#All],[Yellow]:[Red]],11,FALSE))</f>
        <v>1.3996500874781305E-2</v>
      </c>
      <c r="N44" s="38">
        <f>J44/HLOOKUP(F44,Team_Composition_23[[#All],[Yellow]:[Red]],6,FALSE)</f>
        <v>2.3753555026688439E-2</v>
      </c>
      <c r="O44" s="38">
        <f>K44/HLOOKUP(F44,Team_Composition_23[[#All],[Yellow]:[Red]],8,FALSE)</f>
        <v>3.5587101669221737E-2</v>
      </c>
      <c r="P44" s="38">
        <f>L44/HLOOKUP(F44,Team_Composition_23[[#All],[Yellow]:[Red]],7,FALSE)</f>
        <v>6.5045554290866722E-4</v>
      </c>
      <c r="Q44" s="31"/>
      <c r="R44" s="45" t="s">
        <v>58</v>
      </c>
      <c r="S44" s="46">
        <f t="shared" si="6"/>
        <v>3</v>
      </c>
      <c r="T44" s="47">
        <f t="shared" si="7"/>
        <v>0</v>
      </c>
      <c r="U44" s="31"/>
      <c r="V44" s="31"/>
      <c r="W44" s="31"/>
      <c r="X44" s="31"/>
      <c r="Y44" s="31"/>
      <c r="Z44" s="31"/>
      <c r="AA44" s="31"/>
      <c r="AB44" s="45" t="s">
        <v>58</v>
      </c>
      <c r="AC44" s="50">
        <f t="shared" si="8"/>
        <v>0</v>
      </c>
      <c r="AD44" s="51">
        <f t="shared" si="9"/>
        <v>0</v>
      </c>
    </row>
    <row r="45" spans="1:30" ht="22.5" customHeight="1">
      <c r="A45" s="32">
        <v>35</v>
      </c>
      <c r="B45" s="94" t="str">
        <f>VLOOKUP(C45,Lists!I:J,2,FALSE)</f>
        <v>Tank</v>
      </c>
      <c r="C45" s="95" t="str">
        <f>VLOOKUP(E45&amp;D45,Lists!C:E,3,FALSE)</f>
        <v>SnS/Greatsword</v>
      </c>
      <c r="D45" s="35" t="s">
        <v>40</v>
      </c>
      <c r="E45" s="36" t="s">
        <v>173</v>
      </c>
      <c r="F45" s="35" t="s">
        <v>476</v>
      </c>
      <c r="G45" s="32">
        <v>10</v>
      </c>
      <c r="H45" s="32">
        <v>46</v>
      </c>
      <c r="I45" s="96">
        <f t="shared" si="0"/>
        <v>56</v>
      </c>
      <c r="J45" s="37">
        <v>532029</v>
      </c>
      <c r="K45" s="37">
        <v>711176</v>
      </c>
      <c r="L45" s="37">
        <v>54978</v>
      </c>
      <c r="M45" s="38">
        <f>I45/(HLOOKUP(F45,Team_Composition_23[[#All],[Yellow]:[Red]],10,FALSE)+HLOOKUP(F45,Team_Composition_23[[#All],[Yellow]:[Red]],11,FALSE))</f>
        <v>1.3996500874781305E-2</v>
      </c>
      <c r="N45" s="38">
        <f>J45/HLOOKUP(F45,Team_Composition_23[[#All],[Yellow]:[Red]],6,FALSE)</f>
        <v>1.1992469230004398E-2</v>
      </c>
      <c r="O45" s="38">
        <f>K45/HLOOKUP(F45,Team_Composition_23[[#All],[Yellow]:[Red]],8,FALSE)</f>
        <v>4.0595103661143196E-2</v>
      </c>
      <c r="P45" s="38">
        <f>L45/HLOOKUP(F45,Team_Composition_23[[#All],[Yellow]:[Red]],7,FALSE)</f>
        <v>4.2471193394338132E-3</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67</v>
      </c>
      <c r="B46" s="94" t="str">
        <f>VLOOKUP(C46,Lists!I:J,2,FALSE)</f>
        <v>Healer</v>
      </c>
      <c r="C46" s="95" t="str">
        <f>VLOOKUP(E46&amp;D46,Lists!C:E,3,FALSE)</f>
        <v>Wand/Orb</v>
      </c>
      <c r="D46" s="35" t="s">
        <v>40</v>
      </c>
      <c r="E46" s="36" t="s">
        <v>121</v>
      </c>
      <c r="F46" s="35" t="s">
        <v>476</v>
      </c>
      <c r="G46" s="32">
        <v>0</v>
      </c>
      <c r="H46" s="32">
        <v>55</v>
      </c>
      <c r="I46" s="96">
        <f t="shared" si="0"/>
        <v>55</v>
      </c>
      <c r="J46" s="37">
        <v>14572</v>
      </c>
      <c r="K46" s="37">
        <v>374195</v>
      </c>
      <c r="L46" s="37">
        <v>1001537</v>
      </c>
      <c r="M46" s="38">
        <f>I46/(HLOOKUP(F46,Team_Composition_23[[#All],[Yellow]:[Red]],10,FALSE)+HLOOKUP(F46,Team_Composition_23[[#All],[Yellow]:[Red]],11,FALSE))</f>
        <v>1.374656335916021E-2</v>
      </c>
      <c r="N46" s="38">
        <f>J46/HLOOKUP(F46,Team_Composition_23[[#All],[Yellow]:[Red]],6,FALSE)</f>
        <v>3.2846754898628475E-4</v>
      </c>
      <c r="O46" s="38">
        <f>K46/HLOOKUP(F46,Team_Composition_23[[#All],[Yellow]:[Red]],8,FALSE)</f>
        <v>2.1359670200458789E-2</v>
      </c>
      <c r="P46" s="38">
        <f>L46/HLOOKUP(F46,Team_Composition_23[[#All],[Yellow]:[Red]],7,FALSE)</f>
        <v>7.736998730143918E-2</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44</v>
      </c>
      <c r="B47" s="94" t="str">
        <f>VLOOKUP(C47,Lists!I:J,2,FALSE)</f>
        <v>Healer</v>
      </c>
      <c r="C47" s="95" t="str">
        <f>VLOOKUP(E47&amp;D47,Lists!C:E,3,FALSE)</f>
        <v>Wand/Longbow</v>
      </c>
      <c r="D47" s="35" t="s">
        <v>40</v>
      </c>
      <c r="E47" s="36" t="s">
        <v>106</v>
      </c>
      <c r="F47" s="35" t="s">
        <v>476</v>
      </c>
      <c r="G47" s="32">
        <v>2</v>
      </c>
      <c r="H47" s="32">
        <v>52</v>
      </c>
      <c r="I47" s="96">
        <f t="shared" si="0"/>
        <v>54</v>
      </c>
      <c r="J47" s="37">
        <v>31736</v>
      </c>
      <c r="K47" s="37">
        <v>597070</v>
      </c>
      <c r="L47" s="37">
        <v>1252316</v>
      </c>
      <c r="M47" s="38">
        <f>I47/(HLOOKUP(F47,Team_Composition_23[[#All],[Yellow]:[Red]],10,FALSE)+HLOOKUP(F47,Team_Composition_23[[#All],[Yellow]:[Red]],11,FALSE))</f>
        <v>1.3496625843539115E-2</v>
      </c>
      <c r="N47" s="38">
        <f>J47/HLOOKUP(F47,Team_Composition_23[[#All],[Yellow]:[Red]],6,FALSE)</f>
        <v>7.1536138722404143E-4</v>
      </c>
      <c r="O47" s="38">
        <f>K47/HLOOKUP(F47,Team_Composition_23[[#All],[Yellow]:[Red]],8,FALSE)</f>
        <v>3.4081744241873699E-2</v>
      </c>
      <c r="P47" s="38">
        <f>L47/HLOOKUP(F47,Team_Composition_23[[#All],[Yellow]:[Red]],7,FALSE)</f>
        <v>9.6742979058576067E-2</v>
      </c>
      <c r="Q47" s="31"/>
      <c r="R47" s="48"/>
      <c r="S47" s="63"/>
      <c r="T47" s="63"/>
      <c r="U47" s="31"/>
      <c r="V47" s="31"/>
      <c r="W47" s="31"/>
      <c r="X47" s="31"/>
      <c r="Y47" s="31"/>
      <c r="Z47" s="31"/>
      <c r="AA47" s="31"/>
      <c r="AB47" s="48"/>
      <c r="AC47" s="63"/>
      <c r="AD47" s="63"/>
    </row>
    <row r="48" spans="1:30" ht="22.5" customHeight="1">
      <c r="A48" s="32">
        <v>50</v>
      </c>
      <c r="B48" s="94" t="str">
        <f>VLOOKUP(C48,Lists!I:J,2,FALSE)</f>
        <v>Healer</v>
      </c>
      <c r="C48" s="95" t="str">
        <f>VLOOKUP(E48&amp;D48,Lists!C:E,3,FALSE)</f>
        <v>Wand/Longbow</v>
      </c>
      <c r="D48" s="35" t="s">
        <v>30</v>
      </c>
      <c r="E48" s="36" t="s">
        <v>414</v>
      </c>
      <c r="F48" s="35" t="s">
        <v>483</v>
      </c>
      <c r="G48" s="32">
        <v>1</v>
      </c>
      <c r="H48" s="32">
        <v>53</v>
      </c>
      <c r="I48" s="96">
        <f t="shared" si="0"/>
        <v>54</v>
      </c>
      <c r="J48" s="37">
        <v>28929</v>
      </c>
      <c r="K48" s="37">
        <v>137487</v>
      </c>
      <c r="L48" s="37">
        <v>521408</v>
      </c>
      <c r="M48" s="38">
        <f>I48/(HLOOKUP(F48,Team_Composition_23[[#All],[Yellow]:[Red]],10,FALSE)+HLOOKUP(F48,Team_Composition_23[[#All],[Yellow]:[Red]],11,FALSE))</f>
        <v>6.5773447015834346E-2</v>
      </c>
      <c r="N48" s="38">
        <f>J48/HLOOKUP(F48,Team_Composition_23[[#All],[Yellow]:[Red]],6,FALSE)</f>
        <v>1.6394636450679369E-3</v>
      </c>
      <c r="O48" s="38">
        <f>K48/HLOOKUP(F48,Team_Composition_23[[#All],[Yellow]:[Red]],8,FALSE)</f>
        <v>3.1235731020886116E-3</v>
      </c>
      <c r="P48" s="38">
        <f>L48/HLOOKUP(F48,Team_Composition_23[[#All],[Yellow]:[Red]],7,FALSE)</f>
        <v>2.1485050791751531E-2</v>
      </c>
      <c r="Q48" s="31"/>
      <c r="R48" s="31"/>
      <c r="S48" s="64"/>
      <c r="T48" s="64"/>
      <c r="U48" s="31"/>
      <c r="V48" s="31"/>
      <c r="W48" s="31"/>
      <c r="X48" s="31"/>
      <c r="Y48" s="31"/>
      <c r="Z48" s="31"/>
      <c r="AA48" s="31"/>
      <c r="AB48" s="31"/>
      <c r="AC48" s="64"/>
      <c r="AD48" s="64"/>
    </row>
    <row r="49" spans="1:30" ht="22.5" customHeight="1">
      <c r="A49" s="32">
        <v>68</v>
      </c>
      <c r="B49" s="94" t="str">
        <f>VLOOKUP(C49,Lists!I:J,2,FALSE)</f>
        <v>Healer</v>
      </c>
      <c r="C49" s="95" t="str">
        <f>VLOOKUP(E49&amp;D49,Lists!C:E,3,FALSE)</f>
        <v>Wand/Orb</v>
      </c>
      <c r="D49" s="35" t="s">
        <v>30</v>
      </c>
      <c r="E49" s="36" t="s">
        <v>505</v>
      </c>
      <c r="F49" s="35" t="s">
        <v>483</v>
      </c>
      <c r="G49" s="32">
        <v>0</v>
      </c>
      <c r="H49" s="32">
        <v>53</v>
      </c>
      <c r="I49" s="96">
        <f t="shared" si="0"/>
        <v>53</v>
      </c>
      <c r="J49" s="37">
        <v>11145</v>
      </c>
      <c r="K49" s="37">
        <v>344983</v>
      </c>
      <c r="L49" s="37">
        <v>913822</v>
      </c>
      <c r="M49" s="38">
        <f>I49/(HLOOKUP(F49,Team_Composition_23[[#All],[Yellow]:[Red]],10,FALSE)+HLOOKUP(F49,Team_Composition_23[[#All],[Yellow]:[Red]],11,FALSE))</f>
        <v>6.4555420219244819E-2</v>
      </c>
      <c r="N49" s="38">
        <f>J49/HLOOKUP(F49,Team_Composition_23[[#All],[Yellow]:[Red]],6,FALSE)</f>
        <v>6.3160919230813913E-4</v>
      </c>
      <c r="O49" s="38">
        <f>K49/HLOOKUP(F49,Team_Composition_23[[#All],[Yellow]:[Red]],8,FALSE)</f>
        <v>7.8376837044799551E-3</v>
      </c>
      <c r="P49" s="38">
        <f>L49/HLOOKUP(F49,Team_Composition_23[[#All],[Yellow]:[Red]],7,FALSE)</f>
        <v>3.7654796406307478E-2</v>
      </c>
      <c r="Q49" s="31"/>
      <c r="R49" s="227" t="s">
        <v>67</v>
      </c>
      <c r="S49" s="228"/>
      <c r="T49" s="228"/>
      <c r="U49" s="31"/>
      <c r="V49" s="31"/>
      <c r="W49" s="31"/>
      <c r="X49" s="31"/>
      <c r="Y49" s="31"/>
      <c r="Z49" s="31"/>
      <c r="AA49" s="31"/>
      <c r="AB49" s="227" t="s">
        <v>67</v>
      </c>
      <c r="AC49" s="228"/>
      <c r="AD49" s="228"/>
    </row>
    <row r="50" spans="1:30" ht="22.5" customHeight="1">
      <c r="A50" s="32">
        <v>31</v>
      </c>
      <c r="B50" s="94" t="str">
        <f>VLOOKUP(C50,Lists!I:J,2,FALSE)</f>
        <v>Ranged DPS</v>
      </c>
      <c r="C50" s="95" t="str">
        <f>VLOOKUP(E50&amp;D50,Lists!C:E,3,FALSE)</f>
        <v>Staff/Orb</v>
      </c>
      <c r="D50" s="35" t="s">
        <v>40</v>
      </c>
      <c r="E50" s="36" t="s">
        <v>160</v>
      </c>
      <c r="F50" s="35" t="s">
        <v>476</v>
      </c>
      <c r="G50" s="32">
        <v>13</v>
      </c>
      <c r="H50" s="32">
        <v>39</v>
      </c>
      <c r="I50" s="96">
        <f t="shared" si="0"/>
        <v>52</v>
      </c>
      <c r="J50" s="37">
        <v>1495105</v>
      </c>
      <c r="K50" s="37">
        <v>680970</v>
      </c>
      <c r="L50" s="37">
        <v>20817</v>
      </c>
      <c r="M50" s="38">
        <f>I50/(HLOOKUP(F50,Team_Composition_23[[#All],[Yellow]:[Red]],10,FALSE)+HLOOKUP(F50,Team_Composition_23[[#All],[Yellow]:[Red]],11,FALSE))</f>
        <v>1.2996750812296926E-2</v>
      </c>
      <c r="N50" s="38">
        <f>J50/HLOOKUP(F50,Team_Composition_23[[#All],[Yellow]:[Red]],6,FALSE)</f>
        <v>3.370117175591128E-2</v>
      </c>
      <c r="O50" s="38">
        <f>K50/HLOOKUP(F50,Team_Composition_23[[#All],[Yellow]:[Red]],8,FALSE)</f>
        <v>3.8870895165372121E-2</v>
      </c>
      <c r="P50" s="38">
        <f>L50/HLOOKUP(F50,Team_Composition_23[[#All],[Yellow]:[Red]],7,FALSE)</f>
        <v>1.6081393155260957E-3</v>
      </c>
      <c r="Q50" s="31"/>
      <c r="R50" s="41" t="s">
        <v>482</v>
      </c>
      <c r="S50" s="42" t="s">
        <v>476</v>
      </c>
      <c r="T50" s="42" t="s">
        <v>483</v>
      </c>
      <c r="U50" s="31"/>
      <c r="V50" s="31"/>
      <c r="W50" s="31"/>
      <c r="X50" s="31"/>
      <c r="Y50" s="31"/>
      <c r="Z50" s="31"/>
      <c r="AA50" s="31"/>
      <c r="AB50" s="41" t="s">
        <v>482</v>
      </c>
      <c r="AC50" s="42" t="s">
        <v>485</v>
      </c>
      <c r="AD50" s="42" t="s">
        <v>36</v>
      </c>
    </row>
    <row r="51" spans="1:30" ht="22.5" customHeight="1">
      <c r="A51" s="32">
        <v>41</v>
      </c>
      <c r="B51" s="94" t="str">
        <f>VLOOKUP(C51,Lists!I:J,2,FALSE)</f>
        <v>Tank</v>
      </c>
      <c r="C51" s="95" t="str">
        <f>VLOOKUP(E51&amp;D51,Lists!C:E,3,FALSE)</f>
        <v>SnS/Greatsword</v>
      </c>
      <c r="D51" s="35" t="s">
        <v>40</v>
      </c>
      <c r="E51" s="36" t="s">
        <v>93</v>
      </c>
      <c r="F51" s="35" t="s">
        <v>476</v>
      </c>
      <c r="G51" s="32">
        <v>3</v>
      </c>
      <c r="H51" s="32">
        <v>49</v>
      </c>
      <c r="I51" s="96">
        <f t="shared" si="0"/>
        <v>52</v>
      </c>
      <c r="J51" s="37">
        <v>187432</v>
      </c>
      <c r="K51" s="37">
        <v>552406</v>
      </c>
      <c r="L51" s="37">
        <v>57108</v>
      </c>
      <c r="M51" s="38">
        <f>I51/(HLOOKUP(F51,Team_Composition_23[[#All],[Yellow]:[Red]],10,FALSE)+HLOOKUP(F51,Team_Composition_23[[#All],[Yellow]:[Red]],11,FALSE))</f>
        <v>1.2996750812296926E-2</v>
      </c>
      <c r="N51" s="38">
        <f>J51/HLOOKUP(F51,Team_Composition_23[[#All],[Yellow]:[Red]],6,FALSE)</f>
        <v>4.2249059594837574E-3</v>
      </c>
      <c r="O51" s="38">
        <f>K51/HLOOKUP(F51,Team_Composition_23[[#All],[Yellow]:[Red]],8,FALSE)</f>
        <v>3.1532249166222527E-2</v>
      </c>
      <c r="P51" s="38">
        <f>L51/HLOOKUP(F51,Team_Composition_23[[#All],[Yellow]:[Red]],7,FALSE)</f>
        <v>4.4116645064641528E-3</v>
      </c>
      <c r="Q51" s="31"/>
      <c r="R51" s="45" t="s">
        <v>468</v>
      </c>
      <c r="S51" s="46">
        <f>SUMIFS(Scoreboard_40[Damage Dealt],Scoreboard_40[Role],"Tank",Scoreboard_40[Team],"Yellow")</f>
        <v>1586992</v>
      </c>
      <c r="T51" s="47">
        <f>SUMIFS(Scoreboard_40[Damage Dealt],Scoreboard_40[Role],"Tank",Scoreboard_40[Team],"Red")</f>
        <v>3829932</v>
      </c>
      <c r="U51" s="31"/>
      <c r="V51" s="31"/>
      <c r="W51" s="31"/>
      <c r="X51" s="31"/>
      <c r="Y51" s="31"/>
      <c r="Z51" s="31"/>
      <c r="AA51" s="31"/>
      <c r="AB51" s="45" t="s">
        <v>468</v>
      </c>
      <c r="AC51" s="50">
        <f>SUMIFS(Scoreboard_40[Damage Dealt],Scoreboard_40[Role],"Tank",Scoreboard_40[Guild],"Best Regards")</f>
        <v>0</v>
      </c>
      <c r="AD51" s="51">
        <f>SUMIFS(Scoreboard_40[Damage Dealt],Scoreboard_40[Role],"Tank",Scoreboard_40[Guild],"Unhinged肉")</f>
        <v>0</v>
      </c>
    </row>
    <row r="52" spans="1:30" ht="22.5" customHeight="1">
      <c r="A52" s="32">
        <v>32</v>
      </c>
      <c r="B52" s="94" t="str">
        <f>VLOOKUP(C52,Lists!I:J,2,FALSE)</f>
        <v>Melee DPS</v>
      </c>
      <c r="C52" s="95" t="str">
        <f>VLOOKUP(E52&amp;D52,Lists!C:E,3,FALSE)</f>
        <v>Spear/Dagger</v>
      </c>
      <c r="D52" s="35" t="s">
        <v>40</v>
      </c>
      <c r="E52" s="36" t="s">
        <v>169</v>
      </c>
      <c r="F52" s="35" t="s">
        <v>476</v>
      </c>
      <c r="G52" s="32">
        <v>13</v>
      </c>
      <c r="H52" s="32">
        <v>38</v>
      </c>
      <c r="I52" s="96">
        <f t="shared" si="0"/>
        <v>51</v>
      </c>
      <c r="J52" s="37">
        <v>886559</v>
      </c>
      <c r="K52" s="37">
        <v>1627110</v>
      </c>
      <c r="L52" s="37">
        <v>53125</v>
      </c>
      <c r="M52" s="38">
        <f>I52/(HLOOKUP(F52,Team_Composition_23[[#All],[Yellow]:[Red]],10,FALSE)+HLOOKUP(F52,Team_Composition_23[[#All],[Yellow]:[Red]],11,FALSE))</f>
        <v>1.2746813296675831E-2</v>
      </c>
      <c r="N52" s="38">
        <f>J52/HLOOKUP(F52,Team_Composition_23[[#All],[Yellow]:[Red]],6,FALSE)</f>
        <v>1.9983932319635713E-2</v>
      </c>
      <c r="O52" s="38">
        <f>K52/HLOOKUP(F52,Team_Composition_23[[#All],[Yellow]:[Red]],8,FALSE)</f>
        <v>9.2878133005167091E-2</v>
      </c>
      <c r="P52" s="38">
        <f>L52/HLOOKUP(F52,Team_Composition_23[[#All],[Yellow]:[Red]],7,FALSE)</f>
        <v>4.1039727692426305E-3</v>
      </c>
      <c r="Q52" s="31"/>
      <c r="R52" s="45" t="s">
        <v>469</v>
      </c>
      <c r="S52" s="46">
        <f>SUMIFS(Scoreboard_40[Damage Taken],Scoreboard_40[Role],"Tank",Scoreboard_40[Team],"Yellow")</f>
        <v>11274656</v>
      </c>
      <c r="T52" s="47">
        <f>SUMIFS(Scoreboard_40[Damage Taken],Scoreboard_40[Role],"Tank",Scoreboard_40[Team],"Red")</f>
        <v>4780256</v>
      </c>
      <c r="U52" s="31"/>
      <c r="V52" s="31"/>
      <c r="W52" s="31"/>
      <c r="X52" s="31"/>
      <c r="Y52" s="31"/>
      <c r="Z52" s="31"/>
      <c r="AA52" s="31"/>
      <c r="AB52" s="45" t="s">
        <v>469</v>
      </c>
      <c r="AC52" s="50">
        <f>SUMIFS(Scoreboard_40[Damage Taken],Scoreboard_40[Role],"Tank",Scoreboard_40[Guild],"Best Regards")</f>
        <v>0</v>
      </c>
      <c r="AD52" s="51">
        <f>SUMIFS(Scoreboard_40[Damage Taken],Scoreboard_40[Role],"Tank",Scoreboard_40[Guild],"Unhinged肉")</f>
        <v>0</v>
      </c>
    </row>
    <row r="53" spans="1:30" ht="22.5" customHeight="1">
      <c r="A53" s="32">
        <v>45</v>
      </c>
      <c r="B53" s="94" t="str">
        <f>VLOOKUP(C53,Lists!I:J,2,FALSE)</f>
        <v>Tank</v>
      </c>
      <c r="C53" s="95" t="str">
        <f>VLOOKUP(E53&amp;D53,Lists!C:E,3,FALSE)</f>
        <v>SnS/Greatsword</v>
      </c>
      <c r="D53" s="35" t="s">
        <v>30</v>
      </c>
      <c r="E53" s="36" t="s">
        <v>407</v>
      </c>
      <c r="F53" s="35" t="s">
        <v>483</v>
      </c>
      <c r="G53" s="32">
        <v>2</v>
      </c>
      <c r="H53" s="32">
        <v>47</v>
      </c>
      <c r="I53" s="96">
        <f t="shared" si="0"/>
        <v>49</v>
      </c>
      <c r="J53" s="37">
        <v>583566</v>
      </c>
      <c r="K53" s="37">
        <v>393910</v>
      </c>
      <c r="L53" s="37">
        <v>106330</v>
      </c>
      <c r="M53" s="38">
        <f>I53/(HLOOKUP(F53,Team_Composition_23[[#All],[Yellow]:[Red]],10,FALSE)+HLOOKUP(F53,Team_Composition_23[[#All],[Yellow]:[Red]],11,FALSE))</f>
        <v>5.9683313032886723E-2</v>
      </c>
      <c r="N53" s="38">
        <f>J53/HLOOKUP(F53,Team_Composition_23[[#All],[Yellow]:[Red]],6,FALSE)</f>
        <v>3.3071839382547465E-2</v>
      </c>
      <c r="O53" s="38">
        <f>K53/HLOOKUP(F53,Team_Composition_23[[#All],[Yellow]:[Red]],8,FALSE)</f>
        <v>8.9492583345605406E-3</v>
      </c>
      <c r="P53" s="38">
        <f>L53/HLOOKUP(F53,Team_Composition_23[[#All],[Yellow]:[Red]],7,FALSE)</f>
        <v>4.3814161859559893E-3</v>
      </c>
      <c r="Q53" s="31"/>
      <c r="R53" s="45" t="s">
        <v>470</v>
      </c>
      <c r="S53" s="46">
        <f>SUMIFS(Scoreboard_40[Amount Healed],Scoreboard_40[Role],"Tank",Scoreboard_40[Team],"Yellow")</f>
        <v>901727</v>
      </c>
      <c r="T53" s="47">
        <f>SUMIFS(Scoreboard_40[Amount Healed],Scoreboard_40[Role],"Tank",Scoreboard_40[Team],"Red")</f>
        <v>1027379</v>
      </c>
      <c r="U53" s="31"/>
      <c r="V53" s="31"/>
      <c r="W53" s="31"/>
      <c r="X53" s="31"/>
      <c r="Y53" s="31"/>
      <c r="Z53" s="31"/>
      <c r="AA53" s="31"/>
      <c r="AB53" s="45" t="s">
        <v>470</v>
      </c>
      <c r="AC53" s="50">
        <f>SUMIFS(Scoreboard_40[Amount Healed],Scoreboard_40[Role],"Tank",Scoreboard_40[Guild],"Best Regards")</f>
        <v>0</v>
      </c>
      <c r="AD53" s="51">
        <f>SUMIFS(Scoreboard_40[Amount Healed],Scoreboard_40[Role],"Tank",Scoreboard_40[Guild],"Unhinged肉")</f>
        <v>0</v>
      </c>
    </row>
    <row r="54" spans="1:30" ht="22.5" customHeight="1">
      <c r="A54" s="32">
        <v>33</v>
      </c>
      <c r="B54" s="94" t="str">
        <f>VLOOKUP(C54,Lists!I:J,2,FALSE)</f>
        <v>KS</v>
      </c>
      <c r="C54" s="95" t="str">
        <f>VLOOKUP(E54&amp;D54,Lists!C:E,3,FALSE)</f>
        <v>Crossbow/Dagger</v>
      </c>
      <c r="D54" s="35" t="s">
        <v>30</v>
      </c>
      <c r="E54" s="36" t="s">
        <v>402</v>
      </c>
      <c r="F54" s="35" t="s">
        <v>483</v>
      </c>
      <c r="G54" s="32">
        <v>13</v>
      </c>
      <c r="H54" s="32">
        <v>33</v>
      </c>
      <c r="I54" s="96">
        <f t="shared" si="0"/>
        <v>46</v>
      </c>
      <c r="J54" s="37">
        <v>544464</v>
      </c>
      <c r="K54" s="37">
        <v>636680</v>
      </c>
      <c r="L54" s="37">
        <v>37886</v>
      </c>
      <c r="M54" s="38">
        <f>I54/(HLOOKUP(F54,Team_Composition_23[[#All],[Yellow]:[Red]],10,FALSE)+HLOOKUP(F54,Team_Composition_23[[#All],[Yellow]:[Red]],11,FALSE))</f>
        <v>5.6029232643118147E-2</v>
      </c>
      <c r="N54" s="38">
        <f>J54/HLOOKUP(F54,Team_Composition_23[[#All],[Yellow]:[Red]],6,FALSE)</f>
        <v>3.0855851707569194E-2</v>
      </c>
      <c r="O54" s="38">
        <f>K54/HLOOKUP(F54,Team_Composition_23[[#All],[Yellow]:[Red]],8,FALSE)</f>
        <v>1.4464760469264565E-2</v>
      </c>
      <c r="P54" s="38">
        <f>L54/HLOOKUP(F54,Team_Composition_23[[#All],[Yellow]:[Red]],7,FALSE)</f>
        <v>1.5611241758781962E-3</v>
      </c>
      <c r="Q54" s="31"/>
      <c r="R54" s="45" t="s">
        <v>465</v>
      </c>
      <c r="S54" s="46">
        <f>SUMIFS(Scoreboard_40[Kills],Scoreboard_40[Role],"Tank",Scoreboard_40[Team],"Yellow")</f>
        <v>16</v>
      </c>
      <c r="T54" s="47">
        <f>SUMIFS(Scoreboard_40[Kills],Scoreboard_40[Role],"Tank",Scoreboard_40[Team],"Red")</f>
        <v>37</v>
      </c>
      <c r="U54" s="31"/>
      <c r="V54" s="31"/>
      <c r="W54" s="31"/>
      <c r="X54" s="31"/>
      <c r="Y54" s="31"/>
      <c r="Z54" s="31"/>
      <c r="AA54" s="31"/>
      <c r="AB54" s="45" t="s">
        <v>465</v>
      </c>
      <c r="AC54" s="50">
        <f>SUMIFS(Scoreboard_40[Kills],Scoreboard_40[Role],"Tank",Scoreboard_40[Guild],"Best Regards")</f>
        <v>0</v>
      </c>
      <c r="AD54" s="51">
        <f>SUMIFS(Scoreboard_40[Kills],Scoreboard_40[Role],"Tank",Scoreboard_40[Guild],"Unhinged肉")</f>
        <v>0</v>
      </c>
    </row>
    <row r="55" spans="1:30" ht="22.5" customHeight="1">
      <c r="A55" s="32">
        <v>69</v>
      </c>
      <c r="B55" s="94" t="str">
        <f>VLOOKUP(C55,Lists!I:J,2,FALSE)</f>
        <v>Healer</v>
      </c>
      <c r="C55" s="95" t="str">
        <f>VLOOKUP(E55&amp;D55,Lists!C:E,3,FALSE)</f>
        <v>Wand/Orb</v>
      </c>
      <c r="D55" s="35" t="s">
        <v>30</v>
      </c>
      <c r="E55" s="36" t="s">
        <v>453</v>
      </c>
      <c r="F55" s="35" t="s">
        <v>483</v>
      </c>
      <c r="G55" s="32">
        <v>0</v>
      </c>
      <c r="H55" s="32">
        <v>46</v>
      </c>
      <c r="I55" s="96">
        <f t="shared" si="0"/>
        <v>46</v>
      </c>
      <c r="J55" s="37">
        <v>7086</v>
      </c>
      <c r="K55" s="37">
        <v>181242</v>
      </c>
      <c r="L55" s="37">
        <v>718274</v>
      </c>
      <c r="M55" s="38">
        <f>I55/(HLOOKUP(F55,Team_Composition_23[[#All],[Yellow]:[Red]],10,FALSE)+HLOOKUP(F55,Team_Composition_23[[#All],[Yellow]:[Red]],11,FALSE))</f>
        <v>5.6029232643118147E-2</v>
      </c>
      <c r="N55" s="38">
        <f>J55/HLOOKUP(F55,Team_Composition_23[[#All],[Yellow]:[Red]],6,FALSE)</f>
        <v>4.0157763451731485E-4</v>
      </c>
      <c r="O55" s="38">
        <f>K55/HLOOKUP(F55,Team_Composition_23[[#All],[Yellow]:[Red]],8,FALSE)</f>
        <v>4.1176448403757752E-3</v>
      </c>
      <c r="P55" s="38">
        <f>L55/HLOOKUP(F55,Team_Composition_23[[#All],[Yellow]:[Red]],7,FALSE)</f>
        <v>2.9597078242747599E-2</v>
      </c>
      <c r="Q55" s="31"/>
      <c r="R55" s="45" t="s">
        <v>466</v>
      </c>
      <c r="S55" s="46">
        <f>SUMIFS(Scoreboard_40[Assists],Scoreboard_40[Role],"Tank",Scoreboard_40[Team],"Yellow")</f>
        <v>298</v>
      </c>
      <c r="T55" s="47">
        <f>SUMIFS(Scoreboard_40[Assists],Scoreboard_40[Role],"Tank",Scoreboard_40[Team],"Red")</f>
        <v>390</v>
      </c>
      <c r="U55" s="31"/>
      <c r="V55" s="31"/>
      <c r="W55" s="31"/>
      <c r="X55" s="31"/>
      <c r="Y55" s="31"/>
      <c r="Z55" s="31"/>
      <c r="AA55" s="31"/>
      <c r="AB55" s="45" t="s">
        <v>466</v>
      </c>
      <c r="AC55" s="50">
        <f>SUMIFS(Scoreboard_40[Assists],Scoreboard_40[Role],"Tank",Scoreboard_40[Guild],"Best Regards")</f>
        <v>0</v>
      </c>
      <c r="AD55" s="51">
        <f>SUMIFS(Scoreboard_40[Assists],Scoreboard_40[Role],"Tank",Scoreboard_40[Guild],"Unhinged肉")</f>
        <v>0</v>
      </c>
    </row>
    <row r="56" spans="1:30" ht="22.5" customHeight="1">
      <c r="A56" s="32">
        <v>42</v>
      </c>
      <c r="B56" s="94" t="str">
        <f>VLOOKUP(C56,Lists!I:J,2,FALSE)</f>
        <v>Tank</v>
      </c>
      <c r="C56" s="95" t="str">
        <f>VLOOKUP(E56&amp;D56,Lists!C:E,3,FALSE)</f>
        <v>SnS/Greatsword</v>
      </c>
      <c r="D56" s="35" t="s">
        <v>30</v>
      </c>
      <c r="E56" s="36" t="s">
        <v>408</v>
      </c>
      <c r="F56" s="35" t="s">
        <v>483</v>
      </c>
      <c r="G56" s="32">
        <v>3</v>
      </c>
      <c r="H56" s="32">
        <v>41</v>
      </c>
      <c r="I56" s="96">
        <f t="shared" si="0"/>
        <v>44</v>
      </c>
      <c r="J56" s="37">
        <v>217631</v>
      </c>
      <c r="K56" s="37">
        <v>374205</v>
      </c>
      <c r="L56" s="37">
        <v>29209</v>
      </c>
      <c r="M56" s="38">
        <f>I56/(HLOOKUP(F56,Team_Composition_23[[#All],[Yellow]:[Red]],10,FALSE)+HLOOKUP(F56,Team_Composition_23[[#All],[Yellow]:[Red]],11,FALSE))</f>
        <v>5.3593179049939099E-2</v>
      </c>
      <c r="N56" s="38">
        <f>J56/HLOOKUP(F56,Team_Composition_23[[#All],[Yellow]:[Red]],6,FALSE)</f>
        <v>1.2333579195263582E-2</v>
      </c>
      <c r="O56" s="38">
        <f>K56/HLOOKUP(F56,Team_Composition_23[[#All],[Yellow]:[Red]],8,FALSE)</f>
        <v>8.5015795869214459E-3</v>
      </c>
      <c r="P56" s="38">
        <f>L56/HLOOKUP(F56,Team_Composition_23[[#All],[Yellow]:[Red]],7,FALSE)</f>
        <v>1.2035811659511756E-3</v>
      </c>
      <c r="Q56" s="31"/>
      <c r="R56" s="45" t="s">
        <v>62</v>
      </c>
      <c r="S56" s="46">
        <f t="shared" ref="S56:S60" si="10">COUNTIFS(C:C,R56,F:F,"Yellow")</f>
        <v>3</v>
      </c>
      <c r="T56" s="47">
        <f t="shared" ref="T56:T60" si="11">COUNTIFS(C:C,R56,F:F,"Red")</f>
        <v>2</v>
      </c>
      <c r="U56" s="31"/>
      <c r="V56" s="31"/>
      <c r="W56" s="31"/>
      <c r="X56" s="31"/>
      <c r="Y56" s="31"/>
      <c r="Z56" s="31"/>
      <c r="AA56" s="31"/>
      <c r="AB56" s="45" t="s">
        <v>62</v>
      </c>
      <c r="AC56" s="50">
        <f t="shared" ref="AC56:AC60" si="12">COUNTIFS(C:C,AB56,D:D,"Best Regards")</f>
        <v>0</v>
      </c>
      <c r="AD56" s="51">
        <f t="shared" ref="AD56:AD60" si="13">COUNTIFS(C:C,AB56,D:D,"Unhinged肉")</f>
        <v>0</v>
      </c>
    </row>
    <row r="57" spans="1:30" ht="22.5" customHeight="1">
      <c r="A57" s="32">
        <v>28</v>
      </c>
      <c r="B57" s="94" t="str">
        <f>VLOOKUP(C57,Lists!I:J,2,FALSE)</f>
        <v>Ranged DPS</v>
      </c>
      <c r="C57" s="95" t="str">
        <f>VLOOKUP(E57&amp;D57,Lists!C:E,3,FALSE)</f>
        <v>Staff/Orb</v>
      </c>
      <c r="D57" s="35" t="s">
        <v>40</v>
      </c>
      <c r="E57" s="36" t="s">
        <v>156</v>
      </c>
      <c r="F57" s="35" t="s">
        <v>476</v>
      </c>
      <c r="G57" s="32">
        <v>17</v>
      </c>
      <c r="H57" s="32">
        <v>26</v>
      </c>
      <c r="I57" s="96">
        <f t="shared" si="0"/>
        <v>43</v>
      </c>
      <c r="J57" s="37">
        <v>1582225</v>
      </c>
      <c r="K57" s="37">
        <v>913531</v>
      </c>
      <c r="L57" s="37">
        <v>23835</v>
      </c>
      <c r="M57" s="38">
        <f>I57/(HLOOKUP(F57,Team_Composition_23[[#All],[Yellow]:[Red]],10,FALSE)+HLOOKUP(F57,Team_Composition_23[[#All],[Yellow]:[Red]],11,FALSE))</f>
        <v>1.0747313171707074E-2</v>
      </c>
      <c r="N57" s="38">
        <f>J57/HLOOKUP(F57,Team_Composition_23[[#All],[Yellow]:[Red]],6,FALSE)</f>
        <v>3.5664944255752423E-2</v>
      </c>
      <c r="O57" s="38">
        <f>K57/HLOOKUP(F57,Team_Composition_23[[#All],[Yellow]:[Red]],8,FALSE)</f>
        <v>5.2145862125082688E-2</v>
      </c>
      <c r="P57" s="38">
        <f>L57/HLOOKUP(F57,Team_Composition_23[[#All],[Yellow]:[Red]],7,FALSE)</f>
        <v>1.8412835944451407E-3</v>
      </c>
      <c r="Q57" s="31"/>
      <c r="R57" s="45" t="s">
        <v>70</v>
      </c>
      <c r="S57" s="46">
        <f t="shared" si="10"/>
        <v>1</v>
      </c>
      <c r="T57" s="47">
        <f t="shared" si="11"/>
        <v>0</v>
      </c>
      <c r="U57" s="31"/>
      <c r="V57" s="31"/>
      <c r="W57" s="31"/>
      <c r="X57" s="31"/>
      <c r="Y57" s="31"/>
      <c r="Z57" s="31"/>
      <c r="AA57" s="31"/>
      <c r="AB57" s="45" t="s">
        <v>70</v>
      </c>
      <c r="AC57" s="50">
        <f t="shared" si="12"/>
        <v>0</v>
      </c>
      <c r="AD57" s="51">
        <f t="shared" si="13"/>
        <v>0</v>
      </c>
    </row>
    <row r="58" spans="1:30" ht="22.5" customHeight="1">
      <c r="A58" s="32">
        <v>70</v>
      </c>
      <c r="B58" s="94" t="str">
        <f>VLOOKUP(C58,Lists!I:J,2,FALSE)</f>
        <v>Healer</v>
      </c>
      <c r="C58" s="95" t="str">
        <f>VLOOKUP(E58&amp;D58,Lists!C:E,3,FALSE)</f>
        <v>Wand/Longbow</v>
      </c>
      <c r="D58" s="35" t="s">
        <v>30</v>
      </c>
      <c r="E58" s="97" t="s">
        <v>444</v>
      </c>
      <c r="F58" s="35" t="s">
        <v>483</v>
      </c>
      <c r="G58" s="32">
        <v>0</v>
      </c>
      <c r="H58" s="32">
        <v>43</v>
      </c>
      <c r="I58" s="96">
        <f t="shared" si="0"/>
        <v>43</v>
      </c>
      <c r="J58" s="37">
        <v>109867</v>
      </c>
      <c r="K58" s="37">
        <v>159334</v>
      </c>
      <c r="L58" s="37">
        <v>1426095</v>
      </c>
      <c r="M58" s="38">
        <f>I58/(HLOOKUP(F58,Team_Composition_23[[#All],[Yellow]:[Red]],10,FALSE)+HLOOKUP(F58,Team_Composition_23[[#All],[Yellow]:[Red]],11,FALSE))</f>
        <v>5.2375152253349572E-2</v>
      </c>
      <c r="N58" s="38">
        <f>J58/HLOOKUP(F58,Team_Composition_23[[#All],[Yellow]:[Red]],6,FALSE)</f>
        <v>6.2263801822627475E-3</v>
      </c>
      <c r="O58" s="38">
        <f>K58/HLOOKUP(F58,Team_Composition_23[[#All],[Yellow]:[Red]],8,FALSE)</f>
        <v>3.6199160404124524E-3</v>
      </c>
      <c r="P58" s="38">
        <f>L58/HLOOKUP(F58,Team_Composition_23[[#All],[Yellow]:[Red]],7,FALSE)</f>
        <v>5.8763431916777076E-2</v>
      </c>
      <c r="Q58" s="31"/>
      <c r="R58" s="45" t="s">
        <v>14</v>
      </c>
      <c r="S58" s="46">
        <f t="shared" si="10"/>
        <v>11</v>
      </c>
      <c r="T58" s="47">
        <f t="shared" si="11"/>
        <v>7</v>
      </c>
      <c r="U58" s="31"/>
      <c r="V58" s="31"/>
      <c r="W58" s="31"/>
      <c r="X58" s="31"/>
      <c r="Y58" s="31"/>
      <c r="Z58" s="31"/>
      <c r="AA58" s="31"/>
      <c r="AB58" s="45" t="s">
        <v>14</v>
      </c>
      <c r="AC58" s="50">
        <f t="shared" si="12"/>
        <v>0</v>
      </c>
      <c r="AD58" s="51">
        <f t="shared" si="13"/>
        <v>0</v>
      </c>
    </row>
    <row r="59" spans="1:30" ht="22.5" customHeight="1">
      <c r="A59" s="32">
        <v>71</v>
      </c>
      <c r="B59" s="94" t="str">
        <f>VLOOKUP(C59,Lists!I:J,2,FALSE)</f>
        <v>Healer</v>
      </c>
      <c r="C59" s="95" t="str">
        <f>VLOOKUP(E59&amp;D59,Lists!C:E,3,FALSE)</f>
        <v>Wand/Longbow</v>
      </c>
      <c r="D59" s="35" t="s">
        <v>40</v>
      </c>
      <c r="E59" s="36" t="s">
        <v>149</v>
      </c>
      <c r="F59" s="35" t="s">
        <v>476</v>
      </c>
      <c r="G59" s="32">
        <v>0</v>
      </c>
      <c r="H59" s="32">
        <v>43</v>
      </c>
      <c r="I59" s="96">
        <f t="shared" si="0"/>
        <v>43</v>
      </c>
      <c r="J59" s="37">
        <v>36225</v>
      </c>
      <c r="K59" s="37">
        <v>1084294</v>
      </c>
      <c r="L59" s="37">
        <v>3301865</v>
      </c>
      <c r="M59" s="38">
        <f>I59/(HLOOKUP(F59,Team_Composition_23[[#All],[Yellow]:[Red]],10,FALSE)+HLOOKUP(F59,Team_Composition_23[[#All],[Yellow]:[Red]],11,FALSE))</f>
        <v>1.0747313171707074E-2</v>
      </c>
      <c r="N59" s="38">
        <f>J59/HLOOKUP(F59,Team_Composition_23[[#All],[Yellow]:[Red]],6,FALSE)</f>
        <v>8.1654796610130143E-4</v>
      </c>
      <c r="O59" s="38">
        <f>K59/HLOOKUP(F59,Team_Composition_23[[#All],[Yellow]:[Red]],8,FALSE)</f>
        <v>6.1893296918281271E-2</v>
      </c>
      <c r="P59" s="38">
        <f>L59/HLOOKUP(F59,Team_Composition_23[[#All],[Yellow]:[Red]],7,FALSE)</f>
        <v>0.25507320560405305</v>
      </c>
      <c r="Q59" s="31"/>
      <c r="R59" s="45" t="s">
        <v>73</v>
      </c>
      <c r="S59" s="46">
        <f t="shared" si="10"/>
        <v>0</v>
      </c>
      <c r="T59" s="47">
        <f t="shared" si="11"/>
        <v>1</v>
      </c>
      <c r="U59" s="31"/>
      <c r="V59" s="31"/>
      <c r="W59" s="31"/>
      <c r="X59" s="31"/>
      <c r="Y59" s="31"/>
      <c r="Z59" s="31"/>
      <c r="AA59" s="31"/>
      <c r="AB59" s="45" t="s">
        <v>73</v>
      </c>
      <c r="AC59" s="50">
        <f t="shared" si="12"/>
        <v>0</v>
      </c>
      <c r="AD59" s="51">
        <f t="shared" si="13"/>
        <v>0</v>
      </c>
    </row>
    <row r="60" spans="1:30" ht="22.5" customHeight="1">
      <c r="A60" s="32">
        <v>72</v>
      </c>
      <c r="B60" s="94" t="str">
        <f>VLOOKUP(C60,Lists!I:J,2,FALSE)</f>
        <v>Healer</v>
      </c>
      <c r="C60" s="95" t="str">
        <f>VLOOKUP(E60&amp;D60,Lists!C:E,3,FALSE)</f>
        <v>Wand/Longbow</v>
      </c>
      <c r="D60" s="35" t="s">
        <v>30</v>
      </c>
      <c r="E60" s="36" t="s">
        <v>191</v>
      </c>
      <c r="F60" s="35" t="s">
        <v>483</v>
      </c>
      <c r="G60" s="32">
        <v>0</v>
      </c>
      <c r="H60" s="32">
        <v>41</v>
      </c>
      <c r="I60" s="96">
        <f t="shared" si="0"/>
        <v>41</v>
      </c>
      <c r="J60" s="37">
        <v>4567</v>
      </c>
      <c r="K60" s="37">
        <v>181519</v>
      </c>
      <c r="L60" s="37">
        <v>433044</v>
      </c>
      <c r="M60" s="38">
        <f>I60/(HLOOKUP(F60,Team_Composition_23[[#All],[Yellow]:[Red]],10,FALSE)+HLOOKUP(F60,Team_Composition_23[[#All],[Yellow]:[Red]],11,FALSE))</f>
        <v>4.9939098660170524E-2</v>
      </c>
      <c r="N60" s="38">
        <f>J60/HLOOKUP(F60,Team_Composition_23[[#All],[Yellow]:[Red]],6,FALSE)</f>
        <v>2.5882092250078701E-4</v>
      </c>
      <c r="O60" s="38">
        <f>K60/HLOOKUP(F60,Team_Composition_23[[#All],[Yellow]:[Red]],8,FALSE)</f>
        <v>4.1239380153616171E-3</v>
      </c>
      <c r="P60" s="38">
        <f>L60/HLOOKUP(F60,Team_Composition_23[[#All],[Yellow]:[Red]],7,FALSE)</f>
        <v>1.7843938595233005E-2</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73</v>
      </c>
      <c r="B61" s="94" t="str">
        <f>VLOOKUP(C61,Lists!I:J,2,FALSE)</f>
        <v>Healer</v>
      </c>
      <c r="C61" s="95" t="str">
        <f>VLOOKUP(E61&amp;D61,Lists!C:E,3,FALSE)</f>
        <v>Wand/Longbow</v>
      </c>
      <c r="D61" s="35" t="s">
        <v>30</v>
      </c>
      <c r="E61" s="36" t="s">
        <v>426</v>
      </c>
      <c r="F61" s="35" t="s">
        <v>483</v>
      </c>
      <c r="G61" s="32">
        <v>0</v>
      </c>
      <c r="H61" s="32">
        <v>39</v>
      </c>
      <c r="I61" s="96">
        <f t="shared" si="0"/>
        <v>39</v>
      </c>
      <c r="J61" s="37">
        <v>4730</v>
      </c>
      <c r="K61" s="37">
        <v>604541</v>
      </c>
      <c r="L61" s="37">
        <v>828581</v>
      </c>
      <c r="M61" s="38">
        <f>I61/(HLOOKUP(F61,Team_Composition_23[[#All],[Yellow]:[Red]],10,FALSE)+HLOOKUP(F61,Team_Composition_23[[#All],[Yellow]:[Red]],11,FALSE))</f>
        <v>4.7503045066991476E-2</v>
      </c>
      <c r="N61" s="38">
        <f>J61/HLOOKUP(F61,Team_Composition_23[[#All],[Yellow]:[Red]],6,FALSE)</f>
        <v>2.6805845487819631E-4</v>
      </c>
      <c r="O61" s="38">
        <f>K61/HLOOKUP(F61,Team_Composition_23[[#All],[Yellow]:[Red]],8,FALSE)</f>
        <v>1.3734593137603928E-2</v>
      </c>
      <c r="P61" s="38">
        <f>L61/HLOOKUP(F61,Team_Composition_23[[#All],[Yellow]:[Red]],7,FALSE)</f>
        <v>3.4142370025163168E-2</v>
      </c>
      <c r="Q61" s="31"/>
      <c r="R61" s="48"/>
      <c r="S61" s="63"/>
      <c r="T61" s="63"/>
      <c r="U61" s="31"/>
      <c r="V61" s="31"/>
      <c r="W61" s="31"/>
      <c r="X61" s="31"/>
      <c r="Y61" s="31"/>
      <c r="Z61" s="31"/>
      <c r="AA61" s="31"/>
      <c r="AB61" s="48"/>
      <c r="AC61" s="63"/>
      <c r="AD61" s="63"/>
    </row>
    <row r="62" spans="1:30" ht="22.5" customHeight="1">
      <c r="A62" s="32">
        <v>40</v>
      </c>
      <c r="B62" s="94" t="str">
        <f>VLOOKUP(C62,Lists!I:J,2,FALSE)</f>
        <v>Tank</v>
      </c>
      <c r="C62" s="95" t="str">
        <f>VLOOKUP(E62&amp;D62,Lists!C:E,3,FALSE)</f>
        <v>SnS/Greatsword</v>
      </c>
      <c r="D62" s="35" t="s">
        <v>30</v>
      </c>
      <c r="E62" s="36" t="s">
        <v>214</v>
      </c>
      <c r="F62" s="35" t="s">
        <v>483</v>
      </c>
      <c r="G62" s="32">
        <v>4</v>
      </c>
      <c r="H62" s="32">
        <v>34</v>
      </c>
      <c r="I62" s="96">
        <f t="shared" si="0"/>
        <v>38</v>
      </c>
      <c r="J62" s="37">
        <v>754954</v>
      </c>
      <c r="K62" s="37">
        <v>1000689</v>
      </c>
      <c r="L62" s="37">
        <v>45161</v>
      </c>
      <c r="M62" s="38">
        <f>I62/(HLOOKUP(F62,Team_Composition_23[[#All],[Yellow]:[Red]],10,FALSE)+HLOOKUP(F62,Team_Composition_23[[#All],[Yellow]:[Red]],11,FALSE))</f>
        <v>4.6285018270401948E-2</v>
      </c>
      <c r="N62" s="38">
        <f>J62/HLOOKUP(F62,Team_Composition_23[[#All],[Yellow]:[Red]],6,FALSE)</f>
        <v>4.2784736309537809E-2</v>
      </c>
      <c r="O62" s="38">
        <f>K62/HLOOKUP(F62,Team_Composition_23[[#All],[Yellow]:[Red]],8,FALSE)</f>
        <v>2.2734696691003153E-2</v>
      </c>
      <c r="P62" s="38">
        <f>L62/HLOOKUP(F62,Team_Composition_23[[#All],[Yellow]:[Red]],7,FALSE)</f>
        <v>1.8608966084262054E-3</v>
      </c>
      <c r="Q62" s="31"/>
      <c r="R62" s="31"/>
      <c r="S62" s="64"/>
      <c r="T62" s="64"/>
      <c r="U62" s="31"/>
      <c r="V62" s="31"/>
      <c r="W62" s="31"/>
      <c r="X62" s="31"/>
      <c r="Y62" s="31"/>
      <c r="Z62" s="31"/>
      <c r="AA62" s="31"/>
      <c r="AB62" s="31"/>
      <c r="AC62" s="64"/>
      <c r="AD62" s="64"/>
    </row>
    <row r="63" spans="1:30" ht="22.5" customHeight="1">
      <c r="A63" s="32">
        <v>74</v>
      </c>
      <c r="B63" s="94" t="str">
        <f>VLOOKUP(C63,Lists!I:J,2,FALSE)</f>
        <v>Tank</v>
      </c>
      <c r="C63" s="95" t="str">
        <f>VLOOKUP(E63&amp;D63,Lists!C:E,3,FALSE)</f>
        <v>SnS/Longbow</v>
      </c>
      <c r="D63" s="35" t="s">
        <v>30</v>
      </c>
      <c r="E63" s="36" t="s">
        <v>409</v>
      </c>
      <c r="F63" s="35" t="s">
        <v>483</v>
      </c>
      <c r="G63" s="32">
        <v>0</v>
      </c>
      <c r="H63" s="32">
        <v>38</v>
      </c>
      <c r="I63" s="96">
        <f t="shared" si="0"/>
        <v>38</v>
      </c>
      <c r="J63" s="37">
        <v>157944</v>
      </c>
      <c r="K63" s="37">
        <v>556643</v>
      </c>
      <c r="L63" s="37">
        <v>413588</v>
      </c>
      <c r="M63" s="38">
        <f>I63/(HLOOKUP(F63,Team_Composition_23[[#All],[Yellow]:[Red]],10,FALSE)+HLOOKUP(F63,Team_Composition_23[[#All],[Yellow]:[Red]],11,FALSE))</f>
        <v>4.6285018270401948E-2</v>
      </c>
      <c r="N63" s="38">
        <f>J63/HLOOKUP(F63,Team_Composition_23[[#All],[Yellow]:[Red]],6,FALSE)</f>
        <v>8.9509988577762874E-3</v>
      </c>
      <c r="O63" s="38">
        <f>K63/HLOOKUP(F63,Team_Composition_23[[#All],[Yellow]:[Red]],8,FALSE)</f>
        <v>1.2646396403048368E-2</v>
      </c>
      <c r="P63" s="38">
        <f>L63/HLOOKUP(F63,Team_Composition_23[[#All],[Yellow]:[Red]],7,FALSE)</f>
        <v>1.7042237915143098E-2</v>
      </c>
      <c r="Q63" s="31"/>
      <c r="R63" s="227" t="s">
        <v>11</v>
      </c>
      <c r="S63" s="228"/>
      <c r="T63" s="228"/>
      <c r="U63" s="31"/>
      <c r="V63" s="31"/>
      <c r="W63" s="31"/>
      <c r="X63" s="31"/>
      <c r="Y63" s="31"/>
      <c r="Z63" s="31"/>
      <c r="AA63" s="31"/>
      <c r="AB63" s="227" t="s">
        <v>11</v>
      </c>
      <c r="AC63" s="228"/>
      <c r="AD63" s="228"/>
    </row>
    <row r="64" spans="1:30" ht="22.5" customHeight="1">
      <c r="A64" s="32">
        <v>75</v>
      </c>
      <c r="B64" s="94" t="str">
        <f>VLOOKUP(C64,Lists!I:J,2,FALSE)</f>
        <v>Healer</v>
      </c>
      <c r="C64" s="95" t="str">
        <f>VLOOKUP(E64&amp;D64,Lists!C:E,3,FALSE)</f>
        <v>Wand/Orb</v>
      </c>
      <c r="D64" s="35" t="s">
        <v>40</v>
      </c>
      <c r="E64" s="36" t="s">
        <v>146</v>
      </c>
      <c r="F64" s="35" t="s">
        <v>476</v>
      </c>
      <c r="G64" s="32">
        <v>0</v>
      </c>
      <c r="H64" s="32">
        <v>37</v>
      </c>
      <c r="I64" s="96">
        <f t="shared" si="0"/>
        <v>37</v>
      </c>
      <c r="J64" s="37">
        <v>8425</v>
      </c>
      <c r="K64" s="37">
        <v>656216</v>
      </c>
      <c r="L64" s="37">
        <v>1371768</v>
      </c>
      <c r="M64" s="38">
        <f>I64/(HLOOKUP(F64,Team_Composition_23[[#All],[Yellow]:[Red]],10,FALSE)+HLOOKUP(F64,Team_Composition_23[[#All],[Yellow]:[Red]],11,FALSE))</f>
        <v>9.2476880779805044E-3</v>
      </c>
      <c r="N64" s="38">
        <f>J64/HLOOKUP(F64,Team_Composition_23[[#All],[Yellow]:[Red]],6,FALSE)</f>
        <v>1.8990798107393965E-4</v>
      </c>
      <c r="O64" s="38">
        <f>K64/HLOOKUP(F64,Team_Composition_23[[#All],[Yellow]:[Red]],8,FALSE)</f>
        <v>3.7457895857144707E-2</v>
      </c>
      <c r="P64" s="38">
        <f>L64/HLOOKUP(F64,Team_Composition_23[[#All],[Yellow]:[Red]],7,FALSE)</f>
        <v>0.10597079562764093</v>
      </c>
      <c r="Q64" s="31"/>
      <c r="R64" s="41" t="s">
        <v>482</v>
      </c>
      <c r="S64" s="42" t="s">
        <v>476</v>
      </c>
      <c r="T64" s="42" t="s">
        <v>483</v>
      </c>
      <c r="U64" s="31"/>
      <c r="V64" s="31"/>
      <c r="W64" s="31"/>
      <c r="X64" s="31"/>
      <c r="Y64" s="31"/>
      <c r="Z64" s="31"/>
      <c r="AA64" s="31"/>
      <c r="AB64" s="41" t="s">
        <v>482</v>
      </c>
      <c r="AC64" s="42" t="s">
        <v>485</v>
      </c>
      <c r="AD64" s="42" t="s">
        <v>36</v>
      </c>
    </row>
    <row r="65" spans="1:30" ht="22.5" customHeight="1">
      <c r="A65" s="32">
        <v>36</v>
      </c>
      <c r="B65" s="94" t="str">
        <f>VLOOKUP(C65,Lists!I:J,2,FALSE)</f>
        <v>Ranged DPS</v>
      </c>
      <c r="C65" s="95" t="str">
        <f>VLOOKUP(E65&amp;D65,Lists!C:E,3,FALSE)</f>
        <v>Crossbow/SnS</v>
      </c>
      <c r="D65" s="35" t="s">
        <v>40</v>
      </c>
      <c r="E65" s="36" t="s">
        <v>141</v>
      </c>
      <c r="F65" s="35" t="s">
        <v>476</v>
      </c>
      <c r="G65" s="32">
        <v>10</v>
      </c>
      <c r="H65" s="32">
        <v>23</v>
      </c>
      <c r="I65" s="96">
        <f t="shared" si="0"/>
        <v>33</v>
      </c>
      <c r="J65" s="37">
        <v>624801</v>
      </c>
      <c r="K65" s="37">
        <v>1127575</v>
      </c>
      <c r="L65" s="37">
        <v>80069</v>
      </c>
      <c r="M65" s="38">
        <f>I65/(HLOOKUP(F65,Team_Composition_23[[#All],[Yellow]:[Red]],10,FALSE)+HLOOKUP(F65,Team_Composition_23[[#All],[Yellow]:[Red]],11,FALSE))</f>
        <v>8.2479380154961267E-3</v>
      </c>
      <c r="N65" s="38">
        <f>J65/HLOOKUP(F65,Team_Composition_23[[#All],[Yellow]:[Red]],6,FALSE)</f>
        <v>1.4083643499463332E-2</v>
      </c>
      <c r="O65" s="38">
        <f>K65/HLOOKUP(F65,Team_Composition_23[[#All],[Yellow]:[Red]],8,FALSE)</f>
        <v>6.4363848063930085E-2</v>
      </c>
      <c r="P65" s="38">
        <f>L65/HLOOKUP(F65,Team_Composition_23[[#All],[Yellow]:[Red]],7,FALSE)</f>
        <v>6.1854305065503655E-3</v>
      </c>
      <c r="Q65" s="31"/>
      <c r="R65" s="45" t="s">
        <v>468</v>
      </c>
      <c r="S65" s="46">
        <f>SUMIFS(Scoreboard_40[Damage Dealt],Scoreboard_40[Role],"Healer",Scoreboard_40[Team],"Yellow")</f>
        <v>264566</v>
      </c>
      <c r="T65" s="47">
        <f>SUMIFS(Scoreboard_40[Damage Dealt],Scoreboard_40[Role],"Healer",Scoreboard_40[Team],"Red")</f>
        <v>1024123</v>
      </c>
      <c r="U65" s="31"/>
      <c r="V65" s="31"/>
      <c r="W65" s="31"/>
      <c r="X65" s="31"/>
      <c r="Y65" s="31"/>
      <c r="Z65" s="31"/>
      <c r="AA65" s="31"/>
      <c r="AB65" s="45" t="s">
        <v>468</v>
      </c>
      <c r="AC65" s="50">
        <f>SUMIFS(Scoreboard_40[Damage Dealt],Scoreboard_40[Role],"Healer",Scoreboard_40[Guild],"Best Regards")</f>
        <v>0</v>
      </c>
      <c r="AD65" s="51">
        <f>SUMIFS(Scoreboard_40[Damage Dealt],Scoreboard_40[Role],"Healer",Scoreboard_40[Guild],"Unhinged肉")</f>
        <v>0</v>
      </c>
    </row>
    <row r="66" spans="1:30" ht="22.5" customHeight="1">
      <c r="A66" s="32">
        <v>51</v>
      </c>
      <c r="B66" s="94" t="str">
        <f>VLOOKUP(C66,Lists!I:J,2,FALSE)</f>
        <v>Ranged DPS</v>
      </c>
      <c r="C66" s="95" t="str">
        <f>VLOOKUP(E66&amp;D66,Lists!C:E,3,FALSE)</f>
        <v>SnS/Wand</v>
      </c>
      <c r="D66" s="35" t="s">
        <v>30</v>
      </c>
      <c r="E66" s="36" t="s">
        <v>424</v>
      </c>
      <c r="F66" s="35" t="s">
        <v>483</v>
      </c>
      <c r="G66" s="32">
        <v>1</v>
      </c>
      <c r="H66" s="32">
        <v>29</v>
      </c>
      <c r="I66" s="96">
        <f t="shared" si="0"/>
        <v>30</v>
      </c>
      <c r="J66" s="37">
        <v>54157</v>
      </c>
      <c r="K66" s="37">
        <v>248611</v>
      </c>
      <c r="L66" s="37">
        <v>407960</v>
      </c>
      <c r="M66" s="38">
        <f>I66/(HLOOKUP(F66,Team_Composition_23[[#All],[Yellow]:[Red]],10,FALSE)+HLOOKUP(F66,Team_Composition_23[[#All],[Yellow]:[Red]],11,FALSE))</f>
        <v>3.6540803897685749E-2</v>
      </c>
      <c r="N66" s="38">
        <f>J66/HLOOKUP(F66,Team_Composition_23[[#All],[Yellow]:[Red]],6,FALSE)</f>
        <v>3.0691843003886848E-3</v>
      </c>
      <c r="O66" s="38">
        <f>K66/HLOOKUP(F66,Team_Composition_23[[#All],[Yellow]:[Red]],8,FALSE)</f>
        <v>5.6482040664452048E-3</v>
      </c>
      <c r="P66" s="38">
        <f>L66/HLOOKUP(F66,Team_Composition_23[[#All],[Yellow]:[Red]],7,FALSE)</f>
        <v>1.6810331488973998E-2</v>
      </c>
      <c r="Q66" s="31"/>
      <c r="R66" s="45" t="s">
        <v>469</v>
      </c>
      <c r="S66" s="46">
        <f>SUMIFS(Scoreboard_40[Damage Taken],Scoreboard_40[Role],"Healer",Scoreboard_40[Team],"Yellow")</f>
        <v>9195618</v>
      </c>
      <c r="T66" s="47">
        <f>SUMIFS(Scoreboard_40[Damage Taken],Scoreboard_40[Role],"Healer",Scoreboard_40[Team],"Red")</f>
        <v>5085813</v>
      </c>
      <c r="U66" s="31"/>
      <c r="V66" s="31"/>
      <c r="W66" s="31"/>
      <c r="X66" s="31"/>
      <c r="Y66" s="31"/>
      <c r="Z66" s="31"/>
      <c r="AA66" s="31"/>
      <c r="AB66" s="45" t="s">
        <v>469</v>
      </c>
      <c r="AC66" s="50">
        <f>SUMIFS(Scoreboard_40[Damage Taken],Scoreboard_40[Role],"Healer",Scoreboard_40[Guild],"Best Regards")</f>
        <v>0</v>
      </c>
      <c r="AD66" s="51">
        <f>SUMIFS(Scoreboard_40[Damage Taken],Scoreboard_40[Role],"Healer",Scoreboard_40[Guild],"Unhinged肉")</f>
        <v>0</v>
      </c>
    </row>
    <row r="67" spans="1:30" ht="22.5" customHeight="1">
      <c r="A67" s="32">
        <v>76</v>
      </c>
      <c r="B67" s="94" t="str">
        <f>VLOOKUP(C67,Lists!I:J,2,FALSE)</f>
        <v>Healer</v>
      </c>
      <c r="C67" s="95" t="str">
        <f>VLOOKUP(E67&amp;D67,Lists!C:E,3,FALSE)</f>
        <v>Wand/Orb</v>
      </c>
      <c r="D67" s="35" t="s">
        <v>40</v>
      </c>
      <c r="E67" s="36" t="s">
        <v>181</v>
      </c>
      <c r="F67" s="35" t="s">
        <v>476</v>
      </c>
      <c r="G67" s="32">
        <v>0</v>
      </c>
      <c r="H67" s="32">
        <v>29</v>
      </c>
      <c r="I67" s="96">
        <f t="shared" si="0"/>
        <v>29</v>
      </c>
      <c r="J67" s="37">
        <v>2892</v>
      </c>
      <c r="K67" s="37">
        <v>379582</v>
      </c>
      <c r="L67" s="37">
        <v>941920</v>
      </c>
      <c r="M67" s="38">
        <f>I67/(HLOOKUP(F67,Team_Composition_23[[#All],[Yellow]:[Red]],10,FALSE)+HLOOKUP(F67,Team_Composition_23[[#All],[Yellow]:[Red]],11,FALSE))</f>
        <v>7.2481879530117473E-3</v>
      </c>
      <c r="N67" s="38">
        <f>J67/HLOOKUP(F67,Team_Composition_23[[#All],[Yellow]:[Red]],6,FALSE)</f>
        <v>6.5188591248170147E-5</v>
      </c>
      <c r="O67" s="38">
        <f>K67/HLOOKUP(F67,Team_Composition_23[[#All],[Yellow]:[Red]],8,FALSE)</f>
        <v>2.1667169080373996E-2</v>
      </c>
      <c r="P67" s="38">
        <f>L67/HLOOKUP(F67,Team_Composition_23[[#All],[Yellow]:[Red]],7,FALSE)</f>
        <v>7.2764499403388583E-2</v>
      </c>
      <c r="Q67" s="31"/>
      <c r="R67" s="45" t="s">
        <v>470</v>
      </c>
      <c r="S67" s="46">
        <f>SUMIFS(Scoreboard_40[Amount Healed],Scoreboard_40[Role],"Healer",Scoreboard_40[Team],"Yellow")</f>
        <v>21898973</v>
      </c>
      <c r="T67" s="47">
        <f>SUMIFS(Scoreboard_40[Amount Healed],Scoreboard_40[Role],"Healer",Scoreboard_40[Team],"Red")</f>
        <v>12482862</v>
      </c>
      <c r="U67" s="31"/>
      <c r="V67" s="31"/>
      <c r="W67" s="31"/>
      <c r="X67" s="31"/>
      <c r="Y67" s="31"/>
      <c r="Z67" s="31"/>
      <c r="AA67" s="31"/>
      <c r="AB67" s="45" t="s">
        <v>470</v>
      </c>
      <c r="AC67" s="50">
        <f>SUMIFS(Scoreboard_40[Amount Healed],Scoreboard_40[Role],"Healer",Scoreboard_40[Guild],"Best Regards")</f>
        <v>0</v>
      </c>
      <c r="AD67" s="51">
        <f>SUMIFS(Scoreboard_40[Amount Healed],Scoreboard_40[Role],"Healer",Scoreboard_40[Guild],"Unhinged肉")</f>
        <v>0</v>
      </c>
    </row>
    <row r="68" spans="1:30" ht="22.5" customHeight="1">
      <c r="A68" s="32">
        <v>77</v>
      </c>
      <c r="B68" s="94" t="str">
        <f>VLOOKUP(C68,Lists!I:J,2,FALSE)</f>
        <v>Healer</v>
      </c>
      <c r="C68" s="95" t="str">
        <f>VLOOKUP(E68&amp;D68,Lists!C:E,3,FALSE)</f>
        <v>Wand/Orb</v>
      </c>
      <c r="D68" s="35" t="s">
        <v>40</v>
      </c>
      <c r="E68" s="36" t="s">
        <v>164</v>
      </c>
      <c r="F68" s="35" t="s">
        <v>476</v>
      </c>
      <c r="G68" s="32">
        <v>0</v>
      </c>
      <c r="H68" s="32">
        <v>29</v>
      </c>
      <c r="I68" s="96">
        <f t="shared" si="0"/>
        <v>29</v>
      </c>
      <c r="J68" s="37">
        <v>2699</v>
      </c>
      <c r="K68" s="37">
        <v>415823</v>
      </c>
      <c r="L68" s="37">
        <v>1067460</v>
      </c>
      <c r="M68" s="38">
        <f>I68/(HLOOKUP(F68,Team_Composition_23[[#All],[Yellow]:[Red]],10,FALSE)+HLOOKUP(F68,Team_Composition_23[[#All],[Yellow]:[Red]],11,FALSE))</f>
        <v>7.2481879530117473E-3</v>
      </c>
      <c r="N68" s="38">
        <f>J68/HLOOKUP(F68,Team_Composition_23[[#All],[Yellow]:[Red]],6,FALSE)</f>
        <v>6.0838176963627674E-5</v>
      </c>
      <c r="O68" s="38">
        <f>K68/HLOOKUP(F68,Team_Composition_23[[#All],[Yellow]:[Red]],8,FALSE)</f>
        <v>2.3735865369033191E-2</v>
      </c>
      <c r="P68" s="38">
        <f>L68/HLOOKUP(F68,Team_Composition_23[[#All],[Yellow]:[Red]],7,FALSE)</f>
        <v>8.246262159540213E-2</v>
      </c>
      <c r="Q68" s="31"/>
      <c r="R68" s="45" t="s">
        <v>465</v>
      </c>
      <c r="S68" s="46">
        <f>SUMIFS(Scoreboard_40[Kills],Scoreboard_40[Role],"Healer",Scoreboard_40[Team],"Yellow")</f>
        <v>2</v>
      </c>
      <c r="T68" s="47">
        <f>SUMIFS(Scoreboard_40[Kills],Scoreboard_40[Role],"Healer",Scoreboard_40[Team],"Red")</f>
        <v>10</v>
      </c>
      <c r="U68" s="31"/>
      <c r="V68" s="31"/>
      <c r="W68" s="31"/>
      <c r="X68" s="31"/>
      <c r="Y68" s="31"/>
      <c r="Z68" s="31"/>
      <c r="AA68" s="31"/>
      <c r="AB68" s="45" t="s">
        <v>465</v>
      </c>
      <c r="AC68" s="50">
        <f>SUMIFS(Scoreboard_40[Kills],Scoreboard_40[Role],"Healer",Scoreboard_40[Guild],"Best Regards")</f>
        <v>0</v>
      </c>
      <c r="AD68" s="51">
        <f>SUMIFS(Scoreboard_40[Kills],Scoreboard_40[Role],"Healer",Scoreboard_40[Guild],"Unhinged肉")</f>
        <v>0</v>
      </c>
    </row>
    <row r="69" spans="1:30" ht="22.5" customHeight="1">
      <c r="A69" s="32">
        <v>37</v>
      </c>
      <c r="B69" s="94" t="str">
        <f>VLOOKUP(C69,Lists!I:J,2,FALSE)</f>
        <v>Ranged DPS</v>
      </c>
      <c r="C69" s="95" t="str">
        <f>VLOOKUP(E69&amp;D69,Lists!C:E,3,FALSE)</f>
        <v>Staff/Dagger</v>
      </c>
      <c r="D69" s="35" t="s">
        <v>40</v>
      </c>
      <c r="E69" s="36" t="s">
        <v>172</v>
      </c>
      <c r="F69" s="35" t="s">
        <v>476</v>
      </c>
      <c r="G69" s="32">
        <v>9</v>
      </c>
      <c r="H69" s="32">
        <v>19</v>
      </c>
      <c r="I69" s="96">
        <f t="shared" si="0"/>
        <v>28</v>
      </c>
      <c r="J69" s="37">
        <v>936065</v>
      </c>
      <c r="K69" s="37">
        <v>1165808</v>
      </c>
      <c r="L69" s="37">
        <v>30674</v>
      </c>
      <c r="M69" s="38">
        <f>I69/(HLOOKUP(F69,Team_Composition_23[[#All],[Yellow]:[Red]],10,FALSE)+HLOOKUP(F69,Team_Composition_23[[#All],[Yellow]:[Red]],11,FALSE))</f>
        <v>6.9982504373906525E-3</v>
      </c>
      <c r="N69" s="38">
        <f>J69/HLOOKUP(F69,Team_Composition_23[[#All],[Yellow]:[Red]],6,FALSE)</f>
        <v>2.1099847395130839E-2</v>
      </c>
      <c r="O69" s="38">
        <f>K69/HLOOKUP(F69,Team_Composition_23[[#All],[Yellow]:[Red]],8,FALSE)</f>
        <v>6.6546251010987476E-2</v>
      </c>
      <c r="P69" s="38">
        <f>L69/HLOOKUP(F69,Team_Composition_23[[#All],[Yellow]:[Red]],7,FALSE)</f>
        <v>2.369604907741147E-3</v>
      </c>
      <c r="Q69" s="31"/>
      <c r="R69" s="45" t="s">
        <v>466</v>
      </c>
      <c r="S69" s="46">
        <f>SUMIFS(Scoreboard_40[Assists],Scoreboard_40[Role],"Healer",Scoreboard_40[Team],"Yellow")</f>
        <v>555</v>
      </c>
      <c r="T69" s="47">
        <f>SUMIFS(Scoreboard_40[Assists],Scoreboard_40[Role],"Healer",Scoreboard_40[Team],"Red")</f>
        <v>1050</v>
      </c>
      <c r="U69" s="31"/>
      <c r="V69" s="31"/>
      <c r="W69" s="31"/>
      <c r="X69" s="31"/>
      <c r="Y69" s="31"/>
      <c r="Z69" s="31"/>
      <c r="AA69" s="31"/>
      <c r="AB69" s="45" t="s">
        <v>466</v>
      </c>
      <c r="AC69" s="50">
        <f>SUMIFS(Scoreboard_40[Assists],Scoreboard_40[Role],"Healer",Scoreboard_40[Guild],"Best Regards")</f>
        <v>0</v>
      </c>
      <c r="AD69" s="51">
        <f>SUMIFS(Scoreboard_40[Assists],Scoreboard_40[Role],"Healer",Scoreboard_40[Guild],"Unhinged肉")</f>
        <v>0</v>
      </c>
    </row>
    <row r="70" spans="1:30" ht="22.5" customHeight="1">
      <c r="A70" s="32">
        <v>78</v>
      </c>
      <c r="B70" s="94" t="str">
        <f>VLOOKUP(C70,Lists!I:J,2,FALSE)</f>
        <v>Healer</v>
      </c>
      <c r="C70" s="95" t="str">
        <f>VLOOKUP(E70&amp;D70,Lists!C:E,3,FALSE)</f>
        <v>Wand/Longbow</v>
      </c>
      <c r="D70" s="35" t="s">
        <v>40</v>
      </c>
      <c r="E70" s="36" t="s">
        <v>506</v>
      </c>
      <c r="F70" s="35" t="s">
        <v>476</v>
      </c>
      <c r="G70" s="32">
        <v>0</v>
      </c>
      <c r="H70" s="32">
        <v>28</v>
      </c>
      <c r="I70" s="96">
        <f t="shared" si="0"/>
        <v>28</v>
      </c>
      <c r="J70" s="37">
        <v>26758</v>
      </c>
      <c r="K70" s="37">
        <v>865554</v>
      </c>
      <c r="L70" s="37">
        <v>1738688</v>
      </c>
      <c r="M70" s="38">
        <f>I70/(HLOOKUP(F70,Team_Composition_23[[#All],[Yellow]:[Red]],10,FALSE)+HLOOKUP(F70,Team_Composition_23[[#All],[Yellow]:[Red]],11,FALSE))</f>
        <v>6.9982504373906525E-3</v>
      </c>
      <c r="N70" s="38">
        <f>J70/HLOOKUP(F70,Team_Composition_23[[#All],[Yellow]:[Red]],6,FALSE)</f>
        <v>6.0315225609216345E-4</v>
      </c>
      <c r="O70" s="38">
        <f>K70/HLOOKUP(F70,Team_Composition_23[[#All],[Yellow]:[Red]],8,FALSE)</f>
        <v>4.9407255523691941E-2</v>
      </c>
      <c r="P70" s="38">
        <f>L70/HLOOKUP(F70,Team_Composition_23[[#All],[Yellow]:[Red]],7,FALSE)</f>
        <v>0.13431582505805045</v>
      </c>
      <c r="Q70" s="31"/>
      <c r="R70" s="45" t="s">
        <v>10</v>
      </c>
      <c r="S70" s="46">
        <f t="shared" ref="S70:S72" si="14">COUNTIFS(C:C,R70,F:F,"Yellow")</f>
        <v>5</v>
      </c>
      <c r="T70" s="47">
        <f t="shared" ref="T70:T72" si="15">COUNTIFS(C:C,R70,F:F,"Red")</f>
        <v>6</v>
      </c>
      <c r="U70" s="31"/>
      <c r="V70" s="31"/>
      <c r="W70" s="31"/>
      <c r="X70" s="31"/>
      <c r="Y70" s="31"/>
      <c r="Z70" s="31"/>
      <c r="AA70" s="31"/>
      <c r="AB70" s="45" t="s">
        <v>10</v>
      </c>
      <c r="AC70" s="50">
        <f t="shared" ref="AC70:AC72" si="16">COUNTIFS(C:C,AB70,D:D,"Best Regards")</f>
        <v>0</v>
      </c>
      <c r="AD70" s="51">
        <f t="shared" ref="AD70:AD72" si="17">COUNTIFS(C:C,AB70,D:D,"Unhinged肉")</f>
        <v>0</v>
      </c>
    </row>
    <row r="71" spans="1:30" ht="22.5" customHeight="1">
      <c r="A71" s="32">
        <v>79</v>
      </c>
      <c r="B71" s="94" t="str">
        <f>VLOOKUP(C71,Lists!I:J,2,FALSE)</f>
        <v>Healer</v>
      </c>
      <c r="C71" s="95" t="str">
        <f>VLOOKUP(E71&amp;D71,Lists!C:E,3,FALSE)</f>
        <v>Wand/Orb</v>
      </c>
      <c r="D71" s="35" t="s">
        <v>30</v>
      </c>
      <c r="E71" s="36" t="s">
        <v>451</v>
      </c>
      <c r="F71" s="35" t="s">
        <v>483</v>
      </c>
      <c r="G71" s="32">
        <v>0</v>
      </c>
      <c r="H71" s="32">
        <v>28</v>
      </c>
      <c r="I71" s="96">
        <f t="shared" si="0"/>
        <v>28</v>
      </c>
      <c r="J71" s="37">
        <v>5312</v>
      </c>
      <c r="K71" s="37">
        <v>458544</v>
      </c>
      <c r="L71" s="37">
        <v>860493</v>
      </c>
      <c r="M71" s="38">
        <f>I71/(HLOOKUP(F71,Team_Composition_23[[#All],[Yellow]:[Red]],10,FALSE)+HLOOKUP(F71,Team_Composition_23[[#All],[Yellow]:[Red]],11,FALSE))</f>
        <v>3.4104750304506701E-2</v>
      </c>
      <c r="N71" s="38">
        <f>J71/HLOOKUP(F71,Team_Composition_23[[#All],[Yellow]:[Red]],6,FALSE)</f>
        <v>3.0104154594354736E-4</v>
      </c>
      <c r="O71" s="38">
        <f>K71/HLOOKUP(F71,Team_Composition_23[[#All],[Yellow]:[Red]],8,FALSE)</f>
        <v>1.0417680977286001E-2</v>
      </c>
      <c r="P71" s="38">
        <f>L71/HLOOKUP(F71,Team_Composition_23[[#All],[Yellow]:[Red]],7,FALSE)</f>
        <v>3.5457330556774448E-2</v>
      </c>
      <c r="Q71" s="31"/>
      <c r="R71" s="45" t="s">
        <v>9</v>
      </c>
      <c r="S71" s="46">
        <f t="shared" si="14"/>
        <v>11</v>
      </c>
      <c r="T71" s="47">
        <f t="shared" si="15"/>
        <v>11</v>
      </c>
      <c r="U71" s="31"/>
      <c r="V71" s="31"/>
      <c r="W71" s="31"/>
      <c r="X71" s="31"/>
      <c r="Y71" s="31"/>
      <c r="Z71" s="31"/>
      <c r="AA71" s="31"/>
      <c r="AB71" s="45" t="s">
        <v>9</v>
      </c>
      <c r="AC71" s="50">
        <f t="shared" si="16"/>
        <v>0</v>
      </c>
      <c r="AD71" s="51">
        <f t="shared" si="17"/>
        <v>0</v>
      </c>
    </row>
    <row r="72" spans="1:30" ht="22.5" customHeight="1">
      <c r="A72" s="32">
        <v>46</v>
      </c>
      <c r="B72" s="94" t="str">
        <f>VLOOKUP(C72,Lists!I:J,2,FALSE)</f>
        <v>Tank</v>
      </c>
      <c r="C72" s="95" t="str">
        <f>VLOOKUP(E72&amp;D72,Lists!C:E,3,FALSE)</f>
        <v>SnS/Greatsword</v>
      </c>
      <c r="D72" s="35" t="s">
        <v>30</v>
      </c>
      <c r="E72" s="36" t="s">
        <v>209</v>
      </c>
      <c r="F72" s="35" t="s">
        <v>483</v>
      </c>
      <c r="G72" s="32">
        <v>2</v>
      </c>
      <c r="H72" s="32">
        <v>25</v>
      </c>
      <c r="I72" s="96">
        <f t="shared" si="0"/>
        <v>27</v>
      </c>
      <c r="J72" s="37">
        <v>107539</v>
      </c>
      <c r="K72" s="37">
        <v>146698</v>
      </c>
      <c r="L72" s="37">
        <v>7439</v>
      </c>
      <c r="M72" s="38">
        <f>I72/(HLOOKUP(F72,Team_Composition_23[[#All],[Yellow]:[Red]],10,FALSE)+HLOOKUP(F72,Team_Composition_23[[#All],[Yellow]:[Red]],11,FALSE))</f>
        <v>3.2886723507917173E-2</v>
      </c>
      <c r="N72" s="38">
        <f>J72/HLOOKUP(F72,Team_Composition_23[[#All],[Yellow]:[Red]],6,FALSE)</f>
        <v>6.094447818001344E-3</v>
      </c>
      <c r="O72" s="38">
        <f>K72/HLOOKUP(F72,Team_Composition_23[[#All],[Yellow]:[Red]],8,FALSE)</f>
        <v>3.3328382096503317E-3</v>
      </c>
      <c r="P72" s="38">
        <f>L72/HLOOKUP(F72,Team_Composition_23[[#All],[Yellow]:[Red]],7,FALSE)</f>
        <v>3.065301891030434E-4</v>
      </c>
      <c r="Q72" s="31"/>
      <c r="R72" s="45" t="s">
        <v>18</v>
      </c>
      <c r="S72" s="46">
        <f t="shared" si="14"/>
        <v>0</v>
      </c>
      <c r="T72" s="47">
        <f t="shared" si="15"/>
        <v>1</v>
      </c>
      <c r="U72" s="31"/>
      <c r="V72" s="31"/>
      <c r="W72" s="31"/>
      <c r="X72" s="31"/>
      <c r="Y72" s="31"/>
      <c r="Z72" s="31"/>
      <c r="AA72" s="31"/>
      <c r="AB72" s="45" t="s">
        <v>18</v>
      </c>
      <c r="AC72" s="50">
        <f t="shared" si="16"/>
        <v>0</v>
      </c>
      <c r="AD72" s="51">
        <f t="shared" si="17"/>
        <v>0</v>
      </c>
    </row>
    <row r="73" spans="1:30" ht="22.5" customHeight="1">
      <c r="A73" s="32">
        <v>80</v>
      </c>
      <c r="B73" s="94" t="str">
        <f>VLOOKUP(C73,Lists!I:J,2,FALSE)</f>
        <v>Healer</v>
      </c>
      <c r="C73" s="95" t="str">
        <f>VLOOKUP(E73&amp;D73,Lists!C:E,3,FALSE)</f>
        <v>Wand/Longbow</v>
      </c>
      <c r="D73" s="35" t="s">
        <v>40</v>
      </c>
      <c r="E73" s="36" t="s">
        <v>44</v>
      </c>
      <c r="F73" s="35" t="s">
        <v>476</v>
      </c>
      <c r="G73" s="32">
        <v>0</v>
      </c>
      <c r="H73" s="32">
        <v>27</v>
      </c>
      <c r="I73" s="96">
        <f t="shared" si="0"/>
        <v>27</v>
      </c>
      <c r="J73" s="37">
        <v>34247</v>
      </c>
      <c r="K73" s="37">
        <v>964610</v>
      </c>
      <c r="L73" s="37">
        <v>3226189</v>
      </c>
      <c r="M73" s="38">
        <f>I73/(HLOOKUP(F73,Team_Composition_23[[#All],[Yellow]:[Red]],10,FALSE)+HLOOKUP(F73,Team_Composition_23[[#All],[Yellow]:[Red]],11,FALSE))</f>
        <v>6.7483129217695576E-3</v>
      </c>
      <c r="N73" s="38">
        <f>J73/HLOOKUP(F73,Team_Composition_23[[#All],[Yellow]:[Red]],6,FALSE)</f>
        <v>7.7196185493640492E-4</v>
      </c>
      <c r="O73" s="38">
        <f>K73/HLOOKUP(F73,Team_Composition_23[[#All],[Yellow]:[Red]],8,FALSE)</f>
        <v>5.5061536022834486E-2</v>
      </c>
      <c r="P73" s="38">
        <f>L73/HLOOKUP(F73,Team_Composition_23[[#All],[Yellow]:[Red]],7,FALSE)</f>
        <v>0.24922713984809622</v>
      </c>
      <c r="Q73" s="31"/>
      <c r="R73" s="31"/>
      <c r="S73" s="31"/>
      <c r="T73" s="31"/>
      <c r="U73" s="31"/>
      <c r="V73" s="31"/>
      <c r="W73" s="31"/>
      <c r="X73" s="31"/>
      <c r="Y73" s="31"/>
      <c r="Z73" s="31"/>
      <c r="AA73" s="31"/>
      <c r="AB73" s="31"/>
      <c r="AC73" s="31"/>
      <c r="AD73" s="31"/>
    </row>
    <row r="74" spans="1:30" ht="22.5" customHeight="1">
      <c r="A74" s="32">
        <v>81</v>
      </c>
      <c r="B74" s="94" t="str">
        <f>VLOOKUP(C74,Lists!I:J,2,FALSE)</f>
        <v>Healer</v>
      </c>
      <c r="C74" s="95" t="str">
        <f>VLOOKUP(E74&amp;D74,Lists!C:E,3,FALSE)</f>
        <v>Wand/Orb</v>
      </c>
      <c r="D74" s="35" t="s">
        <v>40</v>
      </c>
      <c r="E74" s="36" t="s">
        <v>74</v>
      </c>
      <c r="F74" s="35" t="s">
        <v>476</v>
      </c>
      <c r="G74" s="32">
        <v>0</v>
      </c>
      <c r="H74" s="32">
        <v>27</v>
      </c>
      <c r="I74" s="96">
        <f t="shared" si="0"/>
        <v>27</v>
      </c>
      <c r="J74" s="37">
        <v>11743</v>
      </c>
      <c r="K74" s="37">
        <v>390635</v>
      </c>
      <c r="L74" s="37">
        <v>625865</v>
      </c>
      <c r="M74" s="38">
        <f>I74/(HLOOKUP(F74,Team_Composition_23[[#All],[Yellow]:[Red]],10,FALSE)+HLOOKUP(F74,Team_Composition_23[[#All],[Yellow]:[Red]],11,FALSE))</f>
        <v>6.7483129217695576E-3</v>
      </c>
      <c r="N74" s="38">
        <f>J74/HLOOKUP(F74,Team_Composition_23[[#All],[Yellow]:[Red]],6,FALSE)</f>
        <v>2.6469904115742119E-4</v>
      </c>
      <c r="O74" s="38">
        <f>K74/HLOOKUP(F74,Team_Composition_23[[#All],[Yellow]:[Red]],8,FALSE)</f>
        <v>2.2298092622178859E-2</v>
      </c>
      <c r="P74" s="38">
        <f>L74/HLOOKUP(F74,Team_Composition_23[[#All],[Yellow]:[Red]],7,FALSE)</f>
        <v>4.8348854912414849E-2</v>
      </c>
      <c r="Q74" s="31"/>
    </row>
    <row r="75" spans="1:30" ht="22.5" customHeight="1">
      <c r="A75" s="32">
        <v>52</v>
      </c>
      <c r="B75" s="94" t="str">
        <f>VLOOKUP(C75,Lists!I:J,2,FALSE)</f>
        <v>Tank</v>
      </c>
      <c r="C75" s="95" t="str">
        <f>VLOOKUP(E75&amp;D75,Lists!C:E,3,FALSE)</f>
        <v>SnS/Greatsword</v>
      </c>
      <c r="D75" s="35" t="s">
        <v>40</v>
      </c>
      <c r="E75" s="36" t="s">
        <v>57</v>
      </c>
      <c r="F75" s="35" t="s">
        <v>476</v>
      </c>
      <c r="G75" s="32">
        <v>1</v>
      </c>
      <c r="H75" s="32">
        <v>24</v>
      </c>
      <c r="I75" s="96">
        <f t="shared" si="0"/>
        <v>25</v>
      </c>
      <c r="J75" s="37">
        <v>43635</v>
      </c>
      <c r="K75" s="37">
        <v>539225</v>
      </c>
      <c r="L75" s="37">
        <v>125034</v>
      </c>
      <c r="M75" s="38">
        <f>I75/(HLOOKUP(F75,Team_Composition_23[[#All],[Yellow]:[Red]],10,FALSE)+HLOOKUP(F75,Team_Composition_23[[#All],[Yellow]:[Red]],11,FALSE))</f>
        <v>6.2484378905273679E-3</v>
      </c>
      <c r="N75" s="38">
        <f>J75/HLOOKUP(F75,Team_Composition_23[[#All],[Yellow]:[Red]],6,FALSE)</f>
        <v>9.8357682541974569E-4</v>
      </c>
      <c r="O75" s="38">
        <f>K75/HLOOKUP(F75,Team_Composition_23[[#All],[Yellow]:[Red]],8,FALSE)</f>
        <v>3.0779855860827616E-2</v>
      </c>
      <c r="P75" s="38">
        <f>L75/HLOOKUP(F75,Team_Composition_23[[#All],[Yellow]:[Red]],7,FALSE)</f>
        <v>9.6590330584373271E-3</v>
      </c>
      <c r="Q75" s="31"/>
      <c r="R75" s="227" t="s">
        <v>78</v>
      </c>
      <c r="S75" s="228"/>
      <c r="T75" s="228"/>
      <c r="U75" s="31"/>
      <c r="V75" s="31"/>
      <c r="W75" s="31"/>
      <c r="X75" s="31"/>
      <c r="Y75" s="31"/>
      <c r="Z75" s="31"/>
      <c r="AA75" s="31"/>
      <c r="AB75" s="227" t="s">
        <v>78</v>
      </c>
      <c r="AC75" s="228"/>
      <c r="AD75" s="228"/>
    </row>
    <row r="76" spans="1:30" ht="22.5" customHeight="1">
      <c r="A76" s="32">
        <v>53</v>
      </c>
      <c r="B76" s="94" t="str">
        <f>VLOOKUP(C76,Lists!I:J,2,FALSE)</f>
        <v>Tank</v>
      </c>
      <c r="C76" s="95" t="str">
        <f>VLOOKUP(E76&amp;D76,Lists!C:E,3,FALSE)</f>
        <v>SnS/Greatsword</v>
      </c>
      <c r="D76" s="35" t="s">
        <v>40</v>
      </c>
      <c r="E76" s="36" t="s">
        <v>148</v>
      </c>
      <c r="F76" s="35" t="s">
        <v>476</v>
      </c>
      <c r="G76" s="32">
        <v>1</v>
      </c>
      <c r="H76" s="32">
        <v>23</v>
      </c>
      <c r="I76" s="96">
        <f t="shared" si="0"/>
        <v>24</v>
      </c>
      <c r="J76" s="37">
        <v>92042</v>
      </c>
      <c r="K76" s="37">
        <v>929479</v>
      </c>
      <c r="L76" s="37">
        <v>35300</v>
      </c>
      <c r="M76" s="38">
        <f>I76/(HLOOKUP(F76,Team_Composition_23[[#All],[Yellow]:[Red]],10,FALSE)+HLOOKUP(F76,Team_Composition_23[[#All],[Yellow]:[Red]],11,FALSE))</f>
        <v>5.9985003749062731E-3</v>
      </c>
      <c r="N76" s="38">
        <f>J76/HLOOKUP(F76,Team_Composition_23[[#All],[Yellow]:[Red]],6,FALSE)</f>
        <v>2.0747193346003032E-3</v>
      </c>
      <c r="O76" s="38">
        <f>K76/HLOOKUP(F76,Team_Composition_23[[#All],[Yellow]:[Red]],8,FALSE)</f>
        <v>5.3056200372138144E-2</v>
      </c>
      <c r="P76" s="38">
        <f>L76/HLOOKUP(F76,Team_Composition_23[[#All],[Yellow]:[Red]],7,FALSE)</f>
        <v>2.7269692000802797E-3</v>
      </c>
      <c r="Q76" s="31"/>
      <c r="R76" s="27" t="s">
        <v>482</v>
      </c>
      <c r="S76" s="72" t="s">
        <v>476</v>
      </c>
      <c r="T76" s="72" t="s">
        <v>483</v>
      </c>
      <c r="U76" s="31"/>
      <c r="V76" s="31"/>
      <c r="W76" s="31"/>
      <c r="X76" s="31"/>
      <c r="Y76" s="31"/>
      <c r="Z76" s="31"/>
      <c r="AA76" s="31"/>
      <c r="AB76" s="27" t="s">
        <v>482</v>
      </c>
      <c r="AC76" s="72" t="s">
        <v>485</v>
      </c>
      <c r="AD76" s="72" t="s">
        <v>36</v>
      </c>
    </row>
    <row r="77" spans="1:30" ht="22.5" customHeight="1">
      <c r="A77" s="32">
        <v>47</v>
      </c>
      <c r="B77" s="94" t="str">
        <f>VLOOKUP(C77,Lists!I:J,2,FALSE)</f>
        <v>Healer</v>
      </c>
      <c r="C77" s="95" t="str">
        <f>VLOOKUP(E77&amp;D77,Lists!C:E,3,FALSE)</f>
        <v>Wand/Orb</v>
      </c>
      <c r="D77" s="35" t="s">
        <v>30</v>
      </c>
      <c r="E77" s="36" t="s">
        <v>460</v>
      </c>
      <c r="F77" s="35" t="s">
        <v>483</v>
      </c>
      <c r="G77" s="32">
        <v>2</v>
      </c>
      <c r="H77" s="32">
        <v>21</v>
      </c>
      <c r="I77" s="96">
        <f t="shared" si="0"/>
        <v>23</v>
      </c>
      <c r="J77" s="37">
        <v>347095</v>
      </c>
      <c r="K77" s="37">
        <v>779240</v>
      </c>
      <c r="L77" s="37">
        <v>32961</v>
      </c>
      <c r="M77" s="38">
        <f>I77/(HLOOKUP(F77,Team_Composition_23[[#All],[Yellow]:[Red]],10,FALSE)+HLOOKUP(F77,Team_Composition_23[[#All],[Yellow]:[Red]],11,FALSE))</f>
        <v>2.8014616321559074E-2</v>
      </c>
      <c r="N77" s="38">
        <f>J77/HLOOKUP(F77,Team_Composition_23[[#All],[Yellow]:[Red]],6,FALSE)</f>
        <v>1.967056012599314E-2</v>
      </c>
      <c r="O77" s="38">
        <f>K77/HLOOKUP(F77,Team_Composition_23[[#All],[Yellow]:[Red]],8,FALSE)</f>
        <v>1.7703587277862851E-2</v>
      </c>
      <c r="P77" s="38">
        <f>L77/HLOOKUP(F77,Team_Composition_23[[#All],[Yellow]:[Red]],7,FALSE)</f>
        <v>1.3581854500639083E-3</v>
      </c>
      <c r="Q77" s="31"/>
      <c r="R77" s="74" t="s">
        <v>468</v>
      </c>
      <c r="S77" s="75">
        <f>SUMIFS('House R v HR aelon 2 2182026'!$J$2:$J$163,'House R v HR aelon 2 2182026'!$B$2:$B$163,"KS",'House R v HR aelon 2 2182026'!$F$2:$F$163,"Yellow")</f>
        <v>6311044</v>
      </c>
      <c r="T77" s="76">
        <f>SUMIFS('House R v HR aelon 2 2182026'!$J$2:$J$163,'House R v HR aelon 2 2182026'!$B$2:$B$163,"KS",'House R v HR aelon 2 2182026'!$F$2:$F$163,"Red")</f>
        <v>8461055</v>
      </c>
      <c r="U77" s="31"/>
      <c r="V77" s="31"/>
      <c r="W77" s="31"/>
      <c r="X77" s="31"/>
      <c r="Y77" s="31"/>
      <c r="Z77" s="31"/>
      <c r="AA77" s="31"/>
      <c r="AB77" s="74" t="s">
        <v>468</v>
      </c>
      <c r="AC77" s="75">
        <f>SUMIFS('House R v HR aelon 2 2182026'!$J$2:$J$163,'House R v HR aelon 2 2182026'!$B$2:$B$163,"KS",'House R v HR aelon 2 2182026'!$D$2:$D$163,"Best Regards")</f>
        <v>0</v>
      </c>
      <c r="AD77" s="76">
        <f>SUMIFS('House R v HR aelon 2 2182026'!$J$2:$J$163,'House R v HR aelon 2 2182026'!$B$2:$B$163,"KS",'House R v HR aelon 2 2182026'!$D$2:$D$163,"Unhinged肉")</f>
        <v>0</v>
      </c>
    </row>
    <row r="78" spans="1:30" ht="22.5" customHeight="1">
      <c r="A78" s="32">
        <v>54</v>
      </c>
      <c r="B78" s="94" t="str">
        <f>VLOOKUP(C78,Lists!I:J,2,FALSE)</f>
        <v>Tank</v>
      </c>
      <c r="C78" s="95" t="str">
        <f>VLOOKUP(E78&amp;D78,Lists!C:E,3,FALSE)</f>
        <v>SnS/Greatsword</v>
      </c>
      <c r="D78" s="35" t="s">
        <v>30</v>
      </c>
      <c r="E78" s="36" t="s">
        <v>448</v>
      </c>
      <c r="F78" s="35" t="s">
        <v>483</v>
      </c>
      <c r="G78" s="32">
        <v>1</v>
      </c>
      <c r="H78" s="32">
        <v>21</v>
      </c>
      <c r="I78" s="96">
        <f t="shared" si="0"/>
        <v>22</v>
      </c>
      <c r="J78" s="37">
        <v>263632</v>
      </c>
      <c r="K78" s="37">
        <v>691539</v>
      </c>
      <c r="L78" s="37">
        <v>93593</v>
      </c>
      <c r="M78" s="38">
        <f>I78/(HLOOKUP(F78,Team_Composition_23[[#All],[Yellow]:[Red]],10,FALSE)+HLOOKUP(F78,Team_Composition_23[[#All],[Yellow]:[Red]],11,FALSE))</f>
        <v>2.679658952496955E-2</v>
      </c>
      <c r="N78" s="38">
        <f>J78/HLOOKUP(F78,Team_Composition_23[[#All],[Yellow]:[Red]],6,FALSE)</f>
        <v>1.4940546844915149E-2</v>
      </c>
      <c r="O78" s="38">
        <f>K78/HLOOKUP(F78,Team_Composition_23[[#All],[Yellow]:[Red]],8,FALSE)</f>
        <v>1.5711104464023917E-2</v>
      </c>
      <c r="P78" s="38">
        <f>L78/HLOOKUP(F78,Team_Composition_23[[#All],[Yellow]:[Red]],7,FALSE)</f>
        <v>3.8565774954592204E-3</v>
      </c>
      <c r="Q78" s="31"/>
      <c r="R78" s="78" t="s">
        <v>469</v>
      </c>
      <c r="S78" s="75">
        <f>SUMIFS('House R v HR aelon 2 2182026'!$K$2:$K$163,'House R v HR aelon 2 2182026'!$B$2:$B$163,"KS",'House R v HR aelon 2 2182026'!$F$2:$F$163,"Yellow")</f>
        <v>5202175</v>
      </c>
      <c r="T78" s="76">
        <f>SUMIFS('House R v HR aelon 2 2182026'!$K$2:$K$163,'House R v HR aelon 2 2182026'!$B$2:$B$163,"KS",'House R v HR aelon 2 2182026'!$F$2:$F$163,"Red")</f>
        <v>5277220</v>
      </c>
      <c r="U78" s="31"/>
      <c r="V78" s="31"/>
      <c r="W78" s="31"/>
      <c r="X78" s="31"/>
      <c r="Y78" s="31"/>
      <c r="Z78" s="31"/>
      <c r="AA78" s="31"/>
      <c r="AB78" s="78" t="s">
        <v>469</v>
      </c>
      <c r="AC78" s="75">
        <f>SUMIFS('House R v HR aelon 2 2182026'!$K$2:$K$163,'House R v HR aelon 2 2182026'!$B$2:$B$163,"KS",'House R v HR aelon 2 2182026'!$D$2:$D$163,"Best Regards")</f>
        <v>0</v>
      </c>
      <c r="AD78" s="76">
        <f>SUMIFS('House R v HR aelon 2 2182026'!$K$2:$K$163,'House R v HR aelon 2 2182026'!$B$2:$B$163,"KS",'House R v HR aelon 2 2182026'!$D$2:$D$163,"Unhinged肉")</f>
        <v>0</v>
      </c>
    </row>
    <row r="79" spans="1:30" ht="22.5" customHeight="1">
      <c r="A79" s="32">
        <v>82</v>
      </c>
      <c r="B79" s="94" t="str">
        <f>VLOOKUP(C79,Lists!I:J,2,FALSE)</f>
        <v>Tank</v>
      </c>
      <c r="C79" s="95" t="str">
        <f>VLOOKUP(E79&amp;D79,Lists!C:E,3,FALSE)</f>
        <v>SnS/Greatsword</v>
      </c>
      <c r="D79" s="35" t="s">
        <v>40</v>
      </c>
      <c r="E79" s="98" t="s">
        <v>176</v>
      </c>
      <c r="F79" s="35" t="s">
        <v>476</v>
      </c>
      <c r="G79" s="32">
        <v>0</v>
      </c>
      <c r="H79" s="32">
        <v>21</v>
      </c>
      <c r="I79" s="96">
        <f t="shared" si="0"/>
        <v>21</v>
      </c>
      <c r="J79" s="37">
        <v>78129</v>
      </c>
      <c r="K79" s="37">
        <v>752301</v>
      </c>
      <c r="L79" s="37">
        <v>79100</v>
      </c>
      <c r="M79" s="38">
        <f>I79/(HLOOKUP(F79,Team_Composition_23[[#All],[Yellow]:[Red]],10,FALSE)+HLOOKUP(F79,Team_Composition_23[[#All],[Yellow]:[Red]],11,FALSE))</f>
        <v>5.2486878280429894E-3</v>
      </c>
      <c r="N79" s="38">
        <f>J79/HLOOKUP(F79,Team_Composition_23[[#All],[Yellow]:[Red]],6,FALSE)</f>
        <v>1.7611063090000989E-3</v>
      </c>
      <c r="O79" s="38">
        <f>K79/HLOOKUP(F79,Team_Composition_23[[#All],[Yellow]:[Red]],8,FALSE)</f>
        <v>4.2942586756838937E-2</v>
      </c>
      <c r="P79" s="38">
        <f>L79/HLOOKUP(F79,Team_Composition_23[[#All],[Yellow]:[Red]],7,FALSE)</f>
        <v>6.1105740432393797E-3</v>
      </c>
      <c r="Q79" s="31"/>
      <c r="R79" s="74" t="s">
        <v>470</v>
      </c>
      <c r="S79" s="75">
        <f>SUMIFS('House R v HR aelon 2 2182026'!$L$2:$L$163,'House R v HR aelon 2 2182026'!$B$2:$B$163,"KS",'House R v HR aelon 2 2182026'!$F$2:$F$163,"Yellow")</f>
        <v>112387</v>
      </c>
      <c r="T79" s="76">
        <f>SUMIFS('House R v HR aelon 2 2182026'!$L$2:$L$163,'House R v HR aelon 2 2182026'!$B$2:$B$163,"KS",'House R v HR aelon 2 2182026'!$F$2:$F$163,"Red")</f>
        <v>193947</v>
      </c>
      <c r="U79" s="31"/>
      <c r="V79" s="31"/>
      <c r="W79" s="31"/>
      <c r="X79" s="31"/>
      <c r="Y79" s="31"/>
      <c r="Z79" s="31"/>
      <c r="AA79" s="31"/>
      <c r="AB79" s="74" t="s">
        <v>470</v>
      </c>
      <c r="AC79" s="75">
        <f>SUMIFS('House R v HR aelon 2 2182026'!$L$2:$L$163,'House R v HR aelon 2 2182026'!$B$2:$B$163,"KS",'House R v HR aelon 2 2182026'!$D$2:$D$163,"Best Regards")</f>
        <v>0</v>
      </c>
      <c r="AD79" s="76">
        <f>SUMIFS('House R v HR aelon 2 2182026'!$L$2:$L$163,'House R v HR aelon 2 2182026'!$B$2:$B$163,"KS",'House R v HR aelon 2 2182026'!$D$2:$D$163,"Unhinged肉")</f>
        <v>0</v>
      </c>
    </row>
    <row r="80" spans="1:30" ht="22.5" customHeight="1">
      <c r="A80" s="32">
        <v>83</v>
      </c>
      <c r="B80" s="94" t="str">
        <f>VLOOKUP(C80,Lists!I:J,2,FALSE)</f>
        <v>Healer</v>
      </c>
      <c r="C80" s="95" t="str">
        <f>VLOOKUP(E80&amp;D80,Lists!C:E,3,FALSE)</f>
        <v>Wand/Orb</v>
      </c>
      <c r="D80" s="35" t="s">
        <v>40</v>
      </c>
      <c r="E80" s="36" t="s">
        <v>144</v>
      </c>
      <c r="F80" s="35" t="s">
        <v>476</v>
      </c>
      <c r="G80" s="32">
        <v>0</v>
      </c>
      <c r="H80" s="32">
        <v>20</v>
      </c>
      <c r="I80" s="96">
        <f t="shared" si="0"/>
        <v>20</v>
      </c>
      <c r="J80" s="37">
        <v>6060</v>
      </c>
      <c r="K80" s="37">
        <v>236004</v>
      </c>
      <c r="L80" s="37">
        <v>584464</v>
      </c>
      <c r="M80" s="38">
        <f>I80/(HLOOKUP(F80,Team_Composition_23[[#All],[Yellow]:[Red]],10,FALSE)+HLOOKUP(F80,Team_Composition_23[[#All],[Yellow]:[Red]],11,FALSE))</f>
        <v>4.9987503124218945E-3</v>
      </c>
      <c r="N80" s="38">
        <f>J80/HLOOKUP(F80,Team_Composition_23[[#All],[Yellow]:[Red]],6,FALSE)</f>
        <v>1.365985003333026E-4</v>
      </c>
      <c r="O80" s="38">
        <f>K80/HLOOKUP(F80,Team_Composition_23[[#All],[Yellow]:[Red]],8,FALSE)</f>
        <v>1.3471499100707053E-2</v>
      </c>
      <c r="P80" s="38">
        <f>L80/HLOOKUP(F80,Team_Composition_23[[#All],[Yellow]:[Red]],7,FALSE)</f>
        <v>4.5150575823108226E-2</v>
      </c>
      <c r="Q80" s="31"/>
      <c r="R80" s="78" t="s">
        <v>465</v>
      </c>
      <c r="S80" s="75">
        <f>SUMIFS('House R v HR aelon 2 2182026'!$G$2:$G$163,'House R v HR aelon 2 2182026'!$B$2:$B$163,"KS",'House R v HR aelon 2 2182026'!$F$2:$F$163,"Yellow")</f>
        <v>147</v>
      </c>
      <c r="T80" s="76">
        <f>SUMIFS('House R v HR aelon 2 2182026'!$G$2:$G$163,'House R v HR aelon 2 2182026'!$B$2:$B$163,"KS",'House R v HR aelon 2 2182026'!$F$2:$F$163,"Red")</f>
        <v>246</v>
      </c>
      <c r="U80" s="31"/>
      <c r="V80" s="31"/>
      <c r="W80" s="31"/>
      <c r="X80" s="31"/>
      <c r="Y80" s="31"/>
      <c r="Z80" s="31"/>
      <c r="AA80" s="31"/>
      <c r="AB80" s="78" t="s">
        <v>465</v>
      </c>
      <c r="AC80" s="75">
        <f>SUMIFS('House R v HR aelon 2 2182026'!$G$2:$G$163,'House R v HR aelon 2 2182026'!$B$2:$B$163,"KS",'House R v HR aelon 2 2182026'!$D$2:$D$163,"Best Regards")</f>
        <v>0</v>
      </c>
      <c r="AD80" s="76">
        <f>SUMIFS('House R v HR aelon 2 2182026'!$G$2:$G$163,'House R v HR aelon 2 2182026'!$B$2:$B$163,"KS",'House R v HR aelon 2 2182026'!$D$2:$D$163,"Unhinged肉")</f>
        <v>0</v>
      </c>
    </row>
    <row r="81" spans="1:30" ht="22.5" customHeight="1">
      <c r="A81" s="32">
        <v>84</v>
      </c>
      <c r="B81" s="94" t="str">
        <f>VLOOKUP(C81,Lists!I:J,2,FALSE)</f>
        <v>Tank</v>
      </c>
      <c r="C81" s="95" t="str">
        <f>VLOOKUP(E81&amp;D81,Lists!C:E,3,FALSE)</f>
        <v>SnS/Dagger</v>
      </c>
      <c r="D81" s="35" t="s">
        <v>40</v>
      </c>
      <c r="E81" s="36" t="s">
        <v>177</v>
      </c>
      <c r="F81" s="35" t="s">
        <v>476</v>
      </c>
      <c r="G81" s="32">
        <v>0</v>
      </c>
      <c r="H81" s="32">
        <v>19</v>
      </c>
      <c r="I81" s="96">
        <f t="shared" si="0"/>
        <v>19</v>
      </c>
      <c r="J81" s="37">
        <v>43638</v>
      </c>
      <c r="K81" s="37">
        <v>280790</v>
      </c>
      <c r="L81" s="37">
        <v>25434</v>
      </c>
      <c r="M81" s="38">
        <f>I81/(HLOOKUP(F81,Team_Composition_23[[#All],[Yellow]:[Red]],10,FALSE)+HLOOKUP(F81,Team_Composition_23[[#All],[Yellow]:[Red]],11,FALSE))</f>
        <v>4.7488127968007996E-3</v>
      </c>
      <c r="N81" s="38">
        <f>J81/HLOOKUP(F81,Team_Composition_23[[#All],[Yellow]:[Red]],6,FALSE)</f>
        <v>9.8364444843971255E-4</v>
      </c>
      <c r="O81" s="38">
        <f>K81/HLOOKUP(F81,Team_Composition_23[[#All],[Yellow]:[Red]],8,FALSE)</f>
        <v>1.6027958138368558E-2</v>
      </c>
      <c r="P81" s="38">
        <f>L81/HLOOKUP(F81,Team_Composition_23[[#All],[Yellow]:[Red]],7,FALSE)</f>
        <v>1.9648083465960858E-3</v>
      </c>
      <c r="Q81" s="31"/>
      <c r="R81" s="79" t="s">
        <v>466</v>
      </c>
      <c r="S81" s="80">
        <f>SUMIFS('House R v HR aelon 2 2182026'!$H$2:$H$163,'House R v HR aelon 2 2182026'!$B$2:$B$163,"KS",'House R v HR aelon 2 2182026'!$F$2:$F$163,"Yellow")</f>
        <v>232</v>
      </c>
      <c r="T81" s="81">
        <f>SUMIFS('House R v HR aelon 2 2182026'!$H$2:$H$163,'House R v HR aelon 2 2182026'!$B$2:$B$163,"KS",'House R v HR aelon 2 2182026'!$F$2:$F$163,"Red")</f>
        <v>463</v>
      </c>
      <c r="U81" s="31"/>
      <c r="V81" s="31"/>
      <c r="W81" s="31"/>
      <c r="X81" s="31"/>
      <c r="Y81" s="31"/>
      <c r="Z81" s="31"/>
      <c r="AA81" s="31"/>
      <c r="AB81" s="79" t="s">
        <v>466</v>
      </c>
      <c r="AC81" s="80">
        <f>SUMIFS('House R v HR aelon 2 2182026'!$H$2:$H$163,'House R v HR aelon 2 2182026'!$B$2:$B$163,"KS",'House R v HR aelon 2 2182026'!$D$2:$D$163,"Best Regards")</f>
        <v>0</v>
      </c>
      <c r="AD81" s="81">
        <f>SUMIFS('House R v HR aelon 2 2182026'!$H$2:$H$163,'House R v HR aelon 2 2182026'!$B$2:$B$163,"KS",'House R v HR aelon 2 2182026'!$D$2:$D$163,"Unhinged肉")</f>
        <v>0</v>
      </c>
    </row>
    <row r="82" spans="1:30" ht="22.5" customHeight="1">
      <c r="A82" s="32">
        <v>85</v>
      </c>
      <c r="B82" s="94" t="str">
        <f>VLOOKUP(C82,Lists!I:J,2,FALSE)</f>
        <v>Healer</v>
      </c>
      <c r="C82" s="95" t="str">
        <f>VLOOKUP(E82&amp;D82,Lists!C:E,3,FALSE)</f>
        <v>Wand/Longbow</v>
      </c>
      <c r="D82" s="35" t="s">
        <v>40</v>
      </c>
      <c r="E82" s="36" t="s">
        <v>157</v>
      </c>
      <c r="F82" s="35" t="s">
        <v>476</v>
      </c>
      <c r="G82" s="32">
        <v>0</v>
      </c>
      <c r="H82" s="32">
        <v>19</v>
      </c>
      <c r="I82" s="96">
        <f t="shared" si="0"/>
        <v>19</v>
      </c>
      <c r="J82" s="37">
        <v>7706</v>
      </c>
      <c r="K82" s="37">
        <v>707425</v>
      </c>
      <c r="L82" s="37">
        <v>1927591</v>
      </c>
      <c r="M82" s="38">
        <f>I82/(HLOOKUP(F82,Team_Composition_23[[#All],[Yellow]:[Red]],10,FALSE)+HLOOKUP(F82,Team_Composition_23[[#All],[Yellow]:[Red]],11,FALSE))</f>
        <v>4.7488127968007996E-3</v>
      </c>
      <c r="N82" s="38">
        <f>J82/HLOOKUP(F82,Team_Composition_23[[#All],[Yellow]:[Red]],6,FALSE)</f>
        <v>1.7370099728851977E-4</v>
      </c>
      <c r="O82" s="38">
        <f>K82/HLOOKUP(F82,Team_Composition_23[[#All],[Yellow]:[Red]],8,FALSE)</f>
        <v>4.038099037015342E-2</v>
      </c>
      <c r="P82" s="38">
        <f>L82/HLOOKUP(F82,Team_Composition_23[[#All],[Yellow]:[Red]],7,FALSE)</f>
        <v>0.14890881833858205</v>
      </c>
      <c r="Q82" s="31"/>
      <c r="R82" s="78" t="s">
        <v>54</v>
      </c>
      <c r="S82" s="75">
        <f t="shared" ref="S82:S84" si="18">COUNTIFS(C:C,R82,F:F,"Yellow")</f>
        <v>3</v>
      </c>
      <c r="T82" s="76">
        <f t="shared" ref="T82:T84" si="19">COUNTIFS(C:C,R82,F:F,"Red")</f>
        <v>5</v>
      </c>
      <c r="U82" s="31"/>
      <c r="V82" s="31"/>
      <c r="W82" s="31"/>
      <c r="X82" s="31"/>
      <c r="Y82" s="31"/>
      <c r="Z82" s="31"/>
      <c r="AA82" s="31"/>
      <c r="AB82" s="78" t="s">
        <v>54</v>
      </c>
      <c r="AC82" s="75">
        <f t="shared" ref="AC82:AC84" si="20">COUNTIFS(M:M,AB82,P:P,"Yellow")</f>
        <v>0</v>
      </c>
      <c r="AD82" s="76">
        <f t="shared" ref="AD82:AD84" si="21">COUNTIFS(M:M,AB82,P:P,"Red")</f>
        <v>0</v>
      </c>
    </row>
    <row r="83" spans="1:30" ht="22.5" customHeight="1">
      <c r="A83" s="32">
        <v>43</v>
      </c>
      <c r="B83" s="94" t="str">
        <f>VLOOKUP(C83,Lists!I:J,2,FALSE)</f>
        <v>Ranged DPS</v>
      </c>
      <c r="C83" s="95" t="str">
        <f>VLOOKUP(E83&amp;D83,Lists!C:E,3,FALSE)</f>
        <v>Crossbow/SnS</v>
      </c>
      <c r="D83" s="35" t="s">
        <v>40</v>
      </c>
      <c r="E83" s="36" t="s">
        <v>83</v>
      </c>
      <c r="F83" s="35" t="s">
        <v>476</v>
      </c>
      <c r="G83" s="32">
        <v>3</v>
      </c>
      <c r="H83" s="32">
        <v>15</v>
      </c>
      <c r="I83" s="96">
        <f t="shared" si="0"/>
        <v>18</v>
      </c>
      <c r="J83" s="37">
        <v>127547</v>
      </c>
      <c r="K83" s="37">
        <v>597598</v>
      </c>
      <c r="L83" s="37">
        <v>113938</v>
      </c>
      <c r="M83" s="38">
        <f>I83/(HLOOKUP(F83,Team_Composition_23[[#All],[Yellow]:[Red]],10,FALSE)+HLOOKUP(F83,Team_Composition_23[[#All],[Yellow]:[Red]],11,FALSE))</f>
        <v>4.4988752811797048E-3</v>
      </c>
      <c r="N83" s="38">
        <f>J83/HLOOKUP(F83,Team_Composition_23[[#All],[Yellow]:[Red]],6,FALSE)</f>
        <v>2.8750377759095289E-3</v>
      </c>
      <c r="O83" s="38">
        <f>K83/HLOOKUP(F83,Team_Composition_23[[#All],[Yellow]:[Red]],8,FALSE)</f>
        <v>3.4111883356147919E-2</v>
      </c>
      <c r="P83" s="38">
        <f>L83/HLOOKUP(F83,Team_Composition_23[[#All],[Yellow]:[Red]],7,FALSE)</f>
        <v>8.8018531648370226E-3</v>
      </c>
      <c r="Q83" s="31"/>
      <c r="R83" s="74" t="s">
        <v>69</v>
      </c>
      <c r="S83" s="75">
        <f t="shared" si="18"/>
        <v>2</v>
      </c>
      <c r="T83" s="76">
        <f t="shared" si="19"/>
        <v>2</v>
      </c>
      <c r="U83" s="31"/>
      <c r="V83" s="31"/>
      <c r="W83" s="31"/>
      <c r="X83" s="31"/>
      <c r="Y83" s="31"/>
      <c r="Z83" s="31"/>
      <c r="AA83" s="31"/>
      <c r="AB83" s="74" t="s">
        <v>69</v>
      </c>
      <c r="AC83" s="75">
        <f t="shared" si="20"/>
        <v>0</v>
      </c>
      <c r="AD83" s="76">
        <f t="shared" si="21"/>
        <v>0</v>
      </c>
    </row>
    <row r="84" spans="1:30" ht="22.5" customHeight="1">
      <c r="A84" s="32">
        <v>86</v>
      </c>
      <c r="B84" s="94" t="str">
        <f>VLOOKUP(C84,Lists!I:J,2,FALSE)</f>
        <v>Healer</v>
      </c>
      <c r="C84" s="95" t="str">
        <f>VLOOKUP(E84&amp;D84,Lists!C:E,3,FALSE)</f>
        <v>Wand/Orb</v>
      </c>
      <c r="D84" s="35" t="s">
        <v>40</v>
      </c>
      <c r="E84" s="36" t="s">
        <v>168</v>
      </c>
      <c r="F84" s="35" t="s">
        <v>476</v>
      </c>
      <c r="G84" s="32">
        <v>0</v>
      </c>
      <c r="H84" s="32">
        <v>18</v>
      </c>
      <c r="I84" s="96">
        <f t="shared" si="0"/>
        <v>18</v>
      </c>
      <c r="J84" s="37">
        <v>4070</v>
      </c>
      <c r="K84" s="37">
        <v>342244</v>
      </c>
      <c r="L84" s="37">
        <v>665900</v>
      </c>
      <c r="M84" s="38">
        <f>I84/(HLOOKUP(F84,Team_Composition_23[[#All],[Yellow]:[Red]],10,FALSE)+HLOOKUP(F84,Team_Composition_23[[#All],[Yellow]:[Red]],11,FALSE))</f>
        <v>4.4988752811797048E-3</v>
      </c>
      <c r="N84" s="38">
        <f>J84/HLOOKUP(F84,Team_Composition_23[[#All],[Yellow]:[Red]],6,FALSE)</f>
        <v>9.1741897088538208E-5</v>
      </c>
      <c r="O84" s="38">
        <f>K84/HLOOKUP(F84,Team_Composition_23[[#All],[Yellow]:[Red]],8,FALSE)</f>
        <v>1.9535854215277641E-2</v>
      </c>
      <c r="P84" s="38">
        <f>L84/HLOOKUP(F84,Team_Composition_23[[#All],[Yellow]:[Red]],7,FALSE)</f>
        <v>5.1441608791316096E-2</v>
      </c>
      <c r="Q84" s="31"/>
      <c r="R84" s="78" t="s">
        <v>81</v>
      </c>
      <c r="S84" s="75">
        <f t="shared" si="18"/>
        <v>1</v>
      </c>
      <c r="T84" s="76">
        <f t="shared" si="19"/>
        <v>1</v>
      </c>
      <c r="U84" s="31"/>
      <c r="V84" s="31"/>
      <c r="W84" s="31"/>
      <c r="X84" s="31"/>
      <c r="Y84" s="31"/>
      <c r="Z84" s="31"/>
      <c r="AA84" s="31"/>
      <c r="AB84" s="78" t="s">
        <v>81</v>
      </c>
      <c r="AC84" s="75">
        <f t="shared" si="20"/>
        <v>0</v>
      </c>
      <c r="AD84" s="76">
        <f t="shared" si="21"/>
        <v>0</v>
      </c>
    </row>
    <row r="85" spans="1:30" ht="22.5" customHeight="1">
      <c r="A85" s="32">
        <v>87</v>
      </c>
      <c r="B85" s="94" t="str">
        <f>VLOOKUP(C85,Lists!I:J,2,FALSE)</f>
        <v>Tank</v>
      </c>
      <c r="C85" s="95" t="str">
        <f>VLOOKUP(E85&amp;D85,Lists!C:E,3,FALSE)</f>
        <v>SnS/Greatsword</v>
      </c>
      <c r="D85" s="35" t="s">
        <v>40</v>
      </c>
      <c r="E85" s="36" t="s">
        <v>178</v>
      </c>
      <c r="F85" s="35" t="s">
        <v>476</v>
      </c>
      <c r="G85" s="32">
        <v>0</v>
      </c>
      <c r="H85" s="32">
        <v>17</v>
      </c>
      <c r="I85" s="96">
        <f t="shared" si="0"/>
        <v>17</v>
      </c>
      <c r="J85" s="37">
        <v>92861</v>
      </c>
      <c r="K85" s="37">
        <v>696152</v>
      </c>
      <c r="L85" s="37">
        <v>110875</v>
      </c>
      <c r="M85" s="38">
        <f>I85/(HLOOKUP(F85,Team_Composition_23[[#All],[Yellow]:[Red]],10,FALSE)+HLOOKUP(F85,Team_Composition_23[[#All],[Yellow]:[Red]],11,FALSE))</f>
        <v>4.2489377655586099E-3</v>
      </c>
      <c r="N85" s="38">
        <f>J85/HLOOKUP(F85,Team_Composition_23[[#All],[Yellow]:[Red]],6,FALSE)</f>
        <v>2.0931804190512894E-3</v>
      </c>
      <c r="O85" s="38">
        <f>K85/HLOOKUP(F85,Team_Composition_23[[#All],[Yellow]:[Red]],8,FALSE)</f>
        <v>3.9737508864067628E-2</v>
      </c>
      <c r="P85" s="38">
        <f>L85/HLOOKUP(F85,Team_Composition_23[[#All],[Yellow]:[Red]],7,FALSE)</f>
        <v>8.5652325795722659E-3</v>
      </c>
      <c r="Q85" s="31"/>
      <c r="R85" s="31"/>
      <c r="S85" s="31"/>
      <c r="T85" s="31"/>
      <c r="U85" s="31"/>
      <c r="V85" s="31"/>
      <c r="W85" s="31"/>
      <c r="X85" s="31"/>
      <c r="Y85" s="31"/>
      <c r="Z85" s="31"/>
      <c r="AA85" s="31"/>
      <c r="AB85" s="31"/>
      <c r="AC85" s="31"/>
      <c r="AD85" s="31"/>
    </row>
    <row r="86" spans="1:30" ht="22.5" customHeight="1">
      <c r="A86" s="32">
        <v>88</v>
      </c>
      <c r="B86" s="94" t="str">
        <f>VLOOKUP(C86,Lists!I:J,2,FALSE)</f>
        <v>Tank</v>
      </c>
      <c r="C86" s="95" t="str">
        <f>VLOOKUP(E86&amp;D86,Lists!C:E,3,FALSE)</f>
        <v>SnS/Spear</v>
      </c>
      <c r="D86" s="35" t="s">
        <v>40</v>
      </c>
      <c r="E86" s="36" t="s">
        <v>61</v>
      </c>
      <c r="F86" s="35" t="s">
        <v>476</v>
      </c>
      <c r="G86" s="32">
        <v>0</v>
      </c>
      <c r="H86" s="32">
        <v>17</v>
      </c>
      <c r="I86" s="96">
        <f t="shared" si="0"/>
        <v>17</v>
      </c>
      <c r="J86" s="37">
        <v>73388</v>
      </c>
      <c r="K86" s="37">
        <v>322980</v>
      </c>
      <c r="L86" s="37">
        <v>38180</v>
      </c>
      <c r="M86" s="38">
        <f>I86/(HLOOKUP(F86,Team_Composition_23[[#All],[Yellow]:[Red]],10,FALSE)+HLOOKUP(F86,Team_Composition_23[[#All],[Yellow]:[Red]],11,FALSE))</f>
        <v>4.2489377655586099E-3</v>
      </c>
      <c r="N86" s="38">
        <f>J86/HLOOKUP(F86,Team_Composition_23[[#All],[Yellow]:[Red]],6,FALSE)</f>
        <v>1.6542393964456123E-3</v>
      </c>
      <c r="O86" s="38">
        <f>K86/HLOOKUP(F86,Team_Composition_23[[#All],[Yellow]:[Red]],8,FALSE)</f>
        <v>1.8436233197515143E-2</v>
      </c>
      <c r="P86" s="38">
        <f>L86/HLOOKUP(F86,Team_Composition_23[[#All],[Yellow]:[Red]],7,FALSE)</f>
        <v>2.9494528062058096E-3</v>
      </c>
      <c r="Q86" s="31"/>
      <c r="R86" s="31"/>
      <c r="S86" s="31"/>
      <c r="T86" s="31"/>
      <c r="U86" s="31"/>
      <c r="V86" s="31"/>
      <c r="W86" s="31"/>
      <c r="X86" s="31"/>
      <c r="Y86" s="31"/>
      <c r="Z86" s="31"/>
      <c r="AA86" s="31"/>
      <c r="AB86" s="31"/>
      <c r="AC86" s="31"/>
      <c r="AD86" s="31"/>
    </row>
    <row r="87" spans="1:30" ht="22.5" customHeight="1">
      <c r="A87" s="32">
        <v>89</v>
      </c>
      <c r="B87" s="94" t="str">
        <f>VLOOKUP(C87,Lists!I:J,2,FALSE)</f>
        <v>Tank</v>
      </c>
      <c r="C87" s="95" t="str">
        <f>VLOOKUP(E87&amp;D87,Lists!C:E,3,FALSE)</f>
        <v>SnS/Spear</v>
      </c>
      <c r="D87" s="35" t="s">
        <v>40</v>
      </c>
      <c r="E87" s="36" t="s">
        <v>79</v>
      </c>
      <c r="F87" s="35" t="s">
        <v>476</v>
      </c>
      <c r="G87" s="32">
        <v>0</v>
      </c>
      <c r="H87" s="32">
        <v>16</v>
      </c>
      <c r="I87" s="96">
        <f t="shared" si="0"/>
        <v>16</v>
      </c>
      <c r="J87" s="37">
        <v>114772</v>
      </c>
      <c r="K87" s="37">
        <v>513221</v>
      </c>
      <c r="L87" s="37">
        <v>47246</v>
      </c>
      <c r="M87" s="38">
        <f>I87/(HLOOKUP(F87,Team_Composition_23[[#All],[Yellow]:[Red]],10,FALSE)+HLOOKUP(F87,Team_Composition_23[[#All],[Yellow]:[Red]],11,FALSE))</f>
        <v>3.9990002499375159E-3</v>
      </c>
      <c r="N87" s="38">
        <f>J87/HLOOKUP(F87,Team_Composition_23[[#All],[Yellow]:[Red]],6,FALSE)</f>
        <v>2.5870764158834663E-3</v>
      </c>
      <c r="O87" s="38">
        <f>K87/HLOOKUP(F87,Team_Composition_23[[#All],[Yellow]:[Red]],8,FALSE)</f>
        <v>2.9295504482822216E-2</v>
      </c>
      <c r="P87" s="38">
        <f>L87/HLOOKUP(F87,Team_Composition_23[[#All],[Yellow]:[Red]],7,FALSE)</f>
        <v>3.6498126579884672E-3</v>
      </c>
      <c r="Q87" s="31"/>
      <c r="R87" s="31"/>
      <c r="S87" s="31"/>
      <c r="T87" s="31"/>
      <c r="U87" s="31"/>
      <c r="V87" s="31"/>
      <c r="W87" s="31"/>
      <c r="X87" s="31"/>
      <c r="Y87" s="31"/>
      <c r="Z87" s="31"/>
      <c r="AA87" s="31"/>
      <c r="AB87" s="31"/>
      <c r="AC87" s="31"/>
      <c r="AD87" s="31"/>
    </row>
    <row r="88" spans="1:30" ht="22.5" customHeight="1">
      <c r="A88" s="32">
        <v>55</v>
      </c>
      <c r="B88" s="94" t="str">
        <f>VLOOKUP(C88,Lists!I:J,2,FALSE)</f>
        <v>Tank</v>
      </c>
      <c r="C88" s="95" t="str">
        <f>VLOOKUP(E88&amp;D88,Lists!C:E,3,FALSE)</f>
        <v>SnS/Spear</v>
      </c>
      <c r="D88" s="35" t="s">
        <v>30</v>
      </c>
      <c r="E88" s="36" t="s">
        <v>421</v>
      </c>
      <c r="F88" s="35" t="s">
        <v>483</v>
      </c>
      <c r="G88" s="32">
        <v>1</v>
      </c>
      <c r="H88" s="32">
        <v>14</v>
      </c>
      <c r="I88" s="96">
        <f t="shared" si="0"/>
        <v>15</v>
      </c>
      <c r="J88" s="37">
        <v>160813</v>
      </c>
      <c r="K88" s="37">
        <v>573530</v>
      </c>
      <c r="L88" s="37">
        <v>74063</v>
      </c>
      <c r="M88" s="38">
        <f>I88/(HLOOKUP(F88,Team_Composition_23[[#All],[Yellow]:[Red]],10,FALSE)+HLOOKUP(F88,Team_Composition_23[[#All],[Yellow]:[Red]],11,FALSE))</f>
        <v>1.8270401948842874E-2</v>
      </c>
      <c r="N88" s="38">
        <f>J88/HLOOKUP(F88,Team_Composition_23[[#All],[Yellow]:[Red]],6,FALSE)</f>
        <v>9.1135907620142464E-3</v>
      </c>
      <c r="O88" s="38">
        <f>K88/HLOOKUP(F88,Team_Composition_23[[#All],[Yellow]:[Red]],8,FALSE)</f>
        <v>1.3030052886752066E-2</v>
      </c>
      <c r="P88" s="38">
        <f>L88/HLOOKUP(F88,Team_Composition_23[[#All],[Yellow]:[Red]],7,FALSE)</f>
        <v>3.0518275837530182E-3</v>
      </c>
      <c r="Q88" s="31"/>
      <c r="R88" s="31"/>
      <c r="S88" s="31"/>
      <c r="T88" s="31"/>
      <c r="U88" s="31"/>
      <c r="V88" s="31"/>
      <c r="W88" s="31"/>
      <c r="X88" s="31"/>
      <c r="Y88" s="31"/>
      <c r="Z88" s="31"/>
      <c r="AA88" s="31"/>
      <c r="AB88" s="31"/>
      <c r="AC88" s="31"/>
      <c r="AD88" s="31"/>
    </row>
    <row r="89" spans="1:30" ht="22.5" customHeight="1">
      <c r="A89" s="32">
        <v>90</v>
      </c>
      <c r="B89" s="94" t="str">
        <f>VLOOKUP(C89,Lists!I:J,2,FALSE)</f>
        <v>Tank</v>
      </c>
      <c r="C89" s="95" t="str">
        <f>VLOOKUP(E89&amp;D89,Lists!C:E,3,FALSE)</f>
        <v>SnS/Greatsword</v>
      </c>
      <c r="D89" s="35" t="s">
        <v>40</v>
      </c>
      <c r="E89" s="36" t="s">
        <v>123</v>
      </c>
      <c r="F89" s="35" t="s">
        <v>476</v>
      </c>
      <c r="G89" s="32">
        <v>0</v>
      </c>
      <c r="H89" s="32">
        <v>15</v>
      </c>
      <c r="I89" s="96">
        <f t="shared" si="0"/>
        <v>15</v>
      </c>
      <c r="J89" s="37">
        <v>89856</v>
      </c>
      <c r="K89" s="37">
        <v>953618</v>
      </c>
      <c r="L89" s="37">
        <v>74172</v>
      </c>
      <c r="M89" s="38">
        <f>I89/(HLOOKUP(F89,Team_Composition_23[[#All],[Yellow]:[Red]],10,FALSE)+HLOOKUP(F89,Team_Composition_23[[#All],[Yellow]:[Red]],11,FALSE))</f>
        <v>3.7490627343164211E-3</v>
      </c>
      <c r="N89" s="38">
        <f>J89/HLOOKUP(F89,Team_Composition_23[[#All],[Yellow]:[Red]],6,FALSE)</f>
        <v>2.0254446940510293E-3</v>
      </c>
      <c r="O89" s="38">
        <f>K89/HLOOKUP(F89,Team_Composition_23[[#All],[Yellow]:[Red]],8,FALSE)</f>
        <v>5.4434094462034788E-2</v>
      </c>
      <c r="P89" s="38">
        <f>L89/HLOOKUP(F89,Team_Composition_23[[#All],[Yellow]:[Red]],7,FALSE)</f>
        <v>5.7298798727579174E-3</v>
      </c>
      <c r="Q89" s="31"/>
      <c r="R89" s="31"/>
      <c r="S89" s="31"/>
      <c r="T89" s="31"/>
      <c r="U89" s="31"/>
      <c r="V89" s="31"/>
      <c r="W89" s="31"/>
      <c r="X89" s="31"/>
      <c r="Y89" s="31"/>
      <c r="Z89" s="31"/>
      <c r="AA89" s="31"/>
      <c r="AB89" s="31"/>
      <c r="AC89" s="31"/>
      <c r="AD89" s="31"/>
    </row>
    <row r="90" spans="1:30" ht="22.5" customHeight="1">
      <c r="A90" s="32">
        <v>91</v>
      </c>
      <c r="B90" s="94" t="str">
        <f>VLOOKUP(C90,Lists!I:J,2,FALSE)</f>
        <v>Tank</v>
      </c>
      <c r="C90" s="95" t="str">
        <f>VLOOKUP(E90&amp;D90,Lists!C:E,3,FALSE)</f>
        <v>SnS/Greatsword</v>
      </c>
      <c r="D90" s="35" t="s">
        <v>40</v>
      </c>
      <c r="E90" s="36" t="s">
        <v>109</v>
      </c>
      <c r="F90" s="35" t="s">
        <v>476</v>
      </c>
      <c r="G90" s="32">
        <v>0</v>
      </c>
      <c r="H90" s="32">
        <v>15</v>
      </c>
      <c r="I90" s="96">
        <f t="shared" si="0"/>
        <v>15</v>
      </c>
      <c r="J90" s="37">
        <v>55210</v>
      </c>
      <c r="K90" s="37">
        <v>1407659</v>
      </c>
      <c r="L90" s="37">
        <v>51661</v>
      </c>
      <c r="M90" s="38">
        <f>I90/(HLOOKUP(F90,Team_Composition_23[[#All],[Yellow]:[Red]],10,FALSE)+HLOOKUP(F90,Team_Composition_23[[#All],[Yellow]:[Red]],11,FALSE))</f>
        <v>3.7490627343164211E-3</v>
      </c>
      <c r="N90" s="38">
        <f>J90/HLOOKUP(F90,Team_Composition_23[[#All],[Yellow]:[Red]],6,FALSE)</f>
        <v>1.2444889774590158E-3</v>
      </c>
      <c r="O90" s="38">
        <f>K90/HLOOKUP(F90,Team_Composition_23[[#All],[Yellow]:[Red]],8,FALSE)</f>
        <v>8.0351506553288043E-2</v>
      </c>
      <c r="P90" s="38">
        <f>L90/HLOOKUP(F90,Team_Composition_23[[#All],[Yellow]:[Red]],7,FALSE)</f>
        <v>3.9908769361288194E-3</v>
      </c>
      <c r="Q90" s="31"/>
      <c r="R90" s="31"/>
      <c r="S90" s="31"/>
      <c r="T90" s="31"/>
      <c r="U90" s="31"/>
      <c r="V90" s="31"/>
      <c r="W90" s="31"/>
      <c r="X90" s="31"/>
      <c r="Y90" s="31"/>
      <c r="Z90" s="31"/>
      <c r="AA90" s="31"/>
      <c r="AB90" s="31"/>
      <c r="AC90" s="31"/>
      <c r="AD90" s="31"/>
    </row>
    <row r="91" spans="1:30" ht="22.5" customHeight="1">
      <c r="A91" s="32">
        <v>56</v>
      </c>
      <c r="B91" s="94" t="str">
        <f>VLOOKUP(C91,Lists!I:J,2,FALSE)</f>
        <v>Tank</v>
      </c>
      <c r="C91" s="95" t="str">
        <f>VLOOKUP(E91&amp;D91,Lists!C:E,3,FALSE)</f>
        <v>SnS/Greatsword</v>
      </c>
      <c r="D91" s="35" t="s">
        <v>40</v>
      </c>
      <c r="E91" s="36" t="s">
        <v>163</v>
      </c>
      <c r="F91" s="35" t="s">
        <v>476</v>
      </c>
      <c r="G91" s="32">
        <v>1</v>
      </c>
      <c r="H91" s="32">
        <v>12</v>
      </c>
      <c r="I91" s="96">
        <f t="shared" si="0"/>
        <v>13</v>
      </c>
      <c r="J91" s="37">
        <v>68297</v>
      </c>
      <c r="K91" s="37">
        <v>1091651</v>
      </c>
      <c r="L91" s="37">
        <v>53092</v>
      </c>
      <c r="M91" s="38">
        <f>I91/(HLOOKUP(F91,Team_Composition_23[[#All],[Yellow]:[Red]],10,FALSE)+HLOOKUP(F91,Team_Composition_23[[#All],[Yellow]:[Red]],11,FALSE))</f>
        <v>3.2491877030742314E-3</v>
      </c>
      <c r="N91" s="38">
        <f>J91/HLOOKUP(F91,Team_Composition_23[[#All],[Yellow]:[Red]],6,FALSE)</f>
        <v>1.5394831315616447E-3</v>
      </c>
      <c r="O91" s="38">
        <f>K91/HLOOKUP(F91,Team_Composition_23[[#All],[Yellow]:[Red]],8,FALSE)</f>
        <v>6.2313246660166591E-2</v>
      </c>
      <c r="P91" s="38">
        <f>L91/HLOOKUP(F91,Team_Composition_23[[#All],[Yellow]:[Red]],7,FALSE)</f>
        <v>4.1014234779224419E-3</v>
      </c>
      <c r="Q91" s="31"/>
      <c r="R91" s="31"/>
      <c r="S91" s="31"/>
      <c r="T91" s="31"/>
      <c r="U91" s="31"/>
      <c r="V91" s="31"/>
      <c r="W91" s="31"/>
      <c r="X91" s="31"/>
      <c r="Y91" s="31"/>
      <c r="Z91" s="31"/>
      <c r="AA91" s="31"/>
      <c r="AB91" s="31"/>
      <c r="AC91" s="31"/>
      <c r="AD91" s="31"/>
    </row>
    <row r="92" spans="1:30" ht="22.5" customHeight="1">
      <c r="A92" s="32">
        <v>92</v>
      </c>
      <c r="B92" s="94" t="str">
        <f>VLOOKUP(C92,Lists!I:J,2,FALSE)</f>
        <v>Healer</v>
      </c>
      <c r="C92" s="95" t="str">
        <f>VLOOKUP(E92&amp;D92,Lists!C:E,3,FALSE)</f>
        <v>Wand/Orb</v>
      </c>
      <c r="D92" s="35" t="s">
        <v>40</v>
      </c>
      <c r="E92" s="36" t="s">
        <v>136</v>
      </c>
      <c r="F92" s="35" t="s">
        <v>476</v>
      </c>
      <c r="G92" s="32">
        <v>0</v>
      </c>
      <c r="H92" s="32">
        <v>12</v>
      </c>
      <c r="I92" s="96">
        <f t="shared" si="0"/>
        <v>12</v>
      </c>
      <c r="J92" s="37">
        <v>54692</v>
      </c>
      <c r="K92" s="37">
        <v>396364</v>
      </c>
      <c r="L92" s="37">
        <v>1380755</v>
      </c>
      <c r="M92" s="38">
        <f>I92/(HLOOKUP(F92,Team_Composition_23[[#All],[Yellow]:[Red]],10,FALSE)+HLOOKUP(F92,Team_Composition_23[[#All],[Yellow]:[Red]],11,FALSE))</f>
        <v>2.9992501874531365E-3</v>
      </c>
      <c r="N92" s="38">
        <f>J92/HLOOKUP(F92,Team_Composition_23[[#All],[Yellow]:[Red]],6,FALSE)</f>
        <v>1.2328127360113838E-3</v>
      </c>
      <c r="O92" s="38">
        <f>K92/HLOOKUP(F92,Team_Composition_23[[#All],[Yellow]:[Red]],8,FALSE)</f>
        <v>2.2625113428385326E-2</v>
      </c>
      <c r="P92" s="38">
        <f>L92/HLOOKUP(F92,Team_Composition_23[[#All],[Yellow]:[Red]],7,FALSE)</f>
        <v>0.10666505263050556</v>
      </c>
      <c r="Q92" s="31"/>
      <c r="R92" s="31"/>
      <c r="S92" s="31"/>
      <c r="T92" s="31"/>
      <c r="U92" s="31"/>
      <c r="V92" s="31"/>
      <c r="W92" s="31"/>
      <c r="X92" s="31"/>
      <c r="Y92" s="31"/>
      <c r="Z92" s="31"/>
      <c r="AA92" s="31"/>
      <c r="AB92" s="31"/>
      <c r="AC92" s="31"/>
      <c r="AD92" s="31"/>
    </row>
    <row r="93" spans="1:30" ht="22.5" customHeight="1">
      <c r="A93" s="32">
        <v>93</v>
      </c>
      <c r="B93" s="94" t="str">
        <f>VLOOKUP(C93,Lists!I:J,2,FALSE)</f>
        <v>Tank</v>
      </c>
      <c r="C93" s="95" t="str">
        <f>VLOOKUP(E93&amp;D93,Lists!C:E,3,FALSE)</f>
        <v>SnS/Greatsword</v>
      </c>
      <c r="D93" s="35" t="s">
        <v>40</v>
      </c>
      <c r="E93" s="36" t="s">
        <v>118</v>
      </c>
      <c r="F93" s="35" t="s">
        <v>476</v>
      </c>
      <c r="G93" s="32">
        <v>0</v>
      </c>
      <c r="H93" s="32">
        <v>9</v>
      </c>
      <c r="I93" s="96">
        <f t="shared" si="0"/>
        <v>9</v>
      </c>
      <c r="J93" s="37">
        <v>55294</v>
      </c>
      <c r="K93" s="37">
        <v>1027381</v>
      </c>
      <c r="L93" s="37">
        <v>66913</v>
      </c>
      <c r="M93" s="38">
        <f>I93/(HLOOKUP(F93,Team_Composition_23[[#All],[Yellow]:[Red]],10,FALSE)+HLOOKUP(F93,Team_Composition_23[[#All],[Yellow]:[Red]],11,FALSE))</f>
        <v>2.2494376405898524E-3</v>
      </c>
      <c r="N93" s="38">
        <f>J93/HLOOKUP(F93,Team_Composition_23[[#All],[Yellow]:[Red]],6,FALSE)</f>
        <v>1.2463824220180914E-3</v>
      </c>
      <c r="O93" s="38">
        <f>K93/HLOOKUP(F93,Team_Composition_23[[#All],[Yellow]:[Red]],8,FALSE)</f>
        <v>5.8644608640461657E-2</v>
      </c>
      <c r="P93" s="38">
        <f>L93/HLOOKUP(F93,Team_Composition_23[[#All],[Yellow]:[Red]],7,FALSE)</f>
        <v>5.1691130335686048E-3</v>
      </c>
      <c r="Q93" s="31"/>
      <c r="R93" s="31"/>
      <c r="S93" s="31"/>
      <c r="T93" s="31"/>
      <c r="U93" s="31"/>
      <c r="V93" s="31"/>
      <c r="W93" s="31"/>
      <c r="X93" s="31"/>
      <c r="Y93" s="31"/>
      <c r="Z93" s="31"/>
      <c r="AA93" s="31"/>
      <c r="AB93" s="31"/>
      <c r="AC93" s="31"/>
      <c r="AD93" s="31"/>
    </row>
    <row r="94" spans="1:30" ht="22.5" customHeight="1">
      <c r="A94" s="32">
        <v>94</v>
      </c>
      <c r="B94" s="94" t="str">
        <f>VLOOKUP(C94,Lists!I:J,2,FALSE)</f>
        <v>Tank</v>
      </c>
      <c r="C94" s="95" t="str">
        <f>VLOOKUP(E94&amp;D94,Lists!C:E,3,FALSE)</f>
        <v>SnS/Spear</v>
      </c>
      <c r="D94" s="35" t="s">
        <v>40</v>
      </c>
      <c r="E94" s="36" t="s">
        <v>175</v>
      </c>
      <c r="F94" s="35" t="s">
        <v>476</v>
      </c>
      <c r="G94" s="32">
        <v>0</v>
      </c>
      <c r="H94" s="32">
        <v>9</v>
      </c>
      <c r="I94" s="96">
        <f t="shared" si="0"/>
        <v>9</v>
      </c>
      <c r="J94" s="37">
        <v>23249</v>
      </c>
      <c r="K94" s="37">
        <v>468138</v>
      </c>
      <c r="L94" s="37">
        <v>27069</v>
      </c>
      <c r="M94" s="38">
        <f>I94/(HLOOKUP(F94,Team_Composition_23[[#All],[Yellow]:[Red]],10,FALSE)+HLOOKUP(F94,Team_Composition_23[[#All],[Yellow]:[Red]],11,FALSE))</f>
        <v>2.2494376405898524E-3</v>
      </c>
      <c r="N94" s="38">
        <f>J94/HLOOKUP(F94,Team_Composition_23[[#All],[Yellow]:[Red]],6,FALSE)</f>
        <v>5.2405586373745086E-4</v>
      </c>
      <c r="O94" s="38">
        <f>K94/HLOOKUP(F94,Team_Composition_23[[#All],[Yellow]:[Red]],8,FALSE)</f>
        <v>2.6722092193381463E-2</v>
      </c>
      <c r="P94" s="38">
        <f>L94/HLOOKUP(F94,Team_Composition_23[[#All],[Yellow]:[Red]],7,FALSE)</f>
        <v>2.0911141438236E-3</v>
      </c>
      <c r="Q94" s="31"/>
      <c r="R94" s="31"/>
      <c r="S94" s="31"/>
      <c r="T94" s="31"/>
      <c r="U94" s="31"/>
      <c r="V94" s="31"/>
      <c r="W94" s="31"/>
      <c r="X94" s="31"/>
      <c r="Y94" s="31"/>
      <c r="Z94" s="31"/>
      <c r="AA94" s="31"/>
      <c r="AB94" s="31"/>
      <c r="AC94" s="31"/>
      <c r="AD94" s="31"/>
    </row>
    <row r="95" spans="1:30" ht="22.5" customHeight="1">
      <c r="A95" s="32">
        <v>57</v>
      </c>
      <c r="B95" s="94" t="str">
        <f>VLOOKUP(C95,Lists!I:J,2,FALSE)</f>
        <v>Tank</v>
      </c>
      <c r="C95" s="95" t="str">
        <f>VLOOKUP(E95&amp;D95,Lists!C:E,3,FALSE)</f>
        <v>SnS/Spear</v>
      </c>
      <c r="D95" s="35" t="s">
        <v>30</v>
      </c>
      <c r="E95" s="36" t="s">
        <v>427</v>
      </c>
      <c r="F95" s="35" t="s">
        <v>483</v>
      </c>
      <c r="G95" s="32">
        <v>1</v>
      </c>
      <c r="H95" s="32">
        <v>6</v>
      </c>
      <c r="I95" s="96">
        <f t="shared" si="0"/>
        <v>7</v>
      </c>
      <c r="J95" s="37">
        <v>14496</v>
      </c>
      <c r="K95" s="37">
        <v>243160</v>
      </c>
      <c r="L95" s="37">
        <v>34203</v>
      </c>
      <c r="M95" s="38">
        <f>I95/(HLOOKUP(F95,Team_Composition_23[[#All],[Yellow]:[Red]],10,FALSE)+HLOOKUP(F95,Team_Composition_23[[#All],[Yellow]:[Red]],11,FALSE))</f>
        <v>8.5261875761266752E-3</v>
      </c>
      <c r="N95" s="38">
        <f>J95/HLOOKUP(F95,Team_Composition_23[[#All],[Yellow]:[Red]],6,FALSE)</f>
        <v>8.2151698983389725E-4</v>
      </c>
      <c r="O95" s="38">
        <f>K95/HLOOKUP(F95,Team_Composition_23[[#All],[Yellow]:[Red]],8,FALSE)</f>
        <v>5.524362561579399E-3</v>
      </c>
      <c r="P95" s="38">
        <f>L95/HLOOKUP(F95,Team_Composition_23[[#All],[Yellow]:[Red]],7,FALSE)</f>
        <v>1.4093630942184961E-3</v>
      </c>
      <c r="Q95" s="31"/>
      <c r="R95" s="31"/>
      <c r="S95" s="31"/>
      <c r="T95" s="31"/>
      <c r="U95" s="31"/>
      <c r="V95" s="31"/>
      <c r="W95" s="31"/>
      <c r="X95" s="31"/>
      <c r="Y95" s="31"/>
      <c r="Z95" s="31"/>
      <c r="AA95" s="31"/>
      <c r="AB95" s="31"/>
      <c r="AC95" s="31"/>
      <c r="AD95" s="31"/>
    </row>
    <row r="96" spans="1:30" ht="22.5" customHeight="1">
      <c r="A96" s="32">
        <v>95</v>
      </c>
      <c r="B96" s="94" t="str">
        <f>VLOOKUP(C96,Lists!I:J,2,FALSE)</f>
        <v>Tank</v>
      </c>
      <c r="C96" s="95" t="str">
        <f>VLOOKUP(E96&amp;D96,Lists!C:E,3,FALSE)</f>
        <v>SnS/Greatsword</v>
      </c>
      <c r="D96" s="35" t="s">
        <v>40</v>
      </c>
      <c r="E96" s="36" t="s">
        <v>166</v>
      </c>
      <c r="F96" s="35" t="s">
        <v>476</v>
      </c>
      <c r="G96" s="32">
        <v>0</v>
      </c>
      <c r="H96" s="32">
        <v>6</v>
      </c>
      <c r="I96" s="96">
        <f t="shared" si="0"/>
        <v>6</v>
      </c>
      <c r="J96" s="37">
        <v>37160</v>
      </c>
      <c r="K96" s="37">
        <v>1028479</v>
      </c>
      <c r="L96" s="37">
        <v>55565</v>
      </c>
      <c r="M96" s="38">
        <f>I96/(HLOOKUP(F96,Team_Composition_23[[#All],[Yellow]:[Red]],10,FALSE)+HLOOKUP(F96,Team_Composition_23[[#All],[Yellow]:[Red]],11,FALSE))</f>
        <v>1.4996250937265683E-3</v>
      </c>
      <c r="N96" s="38">
        <f>J96/HLOOKUP(F96,Team_Composition_23[[#All],[Yellow]:[Red]],6,FALSE)</f>
        <v>8.37623807324344E-4</v>
      </c>
      <c r="O96" s="38">
        <f>K96/HLOOKUP(F96,Team_Composition_23[[#All],[Yellow]:[Red]],8,FALSE)</f>
        <v>5.8707284298554638E-2</v>
      </c>
      <c r="P96" s="38">
        <f>L96/HLOOKUP(F96,Team_Composition_23[[#All],[Yellow]:[Red]],7,FALSE)</f>
        <v>4.2924658244323155E-3</v>
      </c>
      <c r="Q96" s="31"/>
      <c r="R96" s="31"/>
      <c r="S96" s="31"/>
      <c r="T96" s="31"/>
      <c r="U96" s="31"/>
      <c r="V96" s="31"/>
      <c r="W96" s="31"/>
      <c r="X96" s="31"/>
      <c r="Y96" s="31"/>
      <c r="Z96" s="31"/>
      <c r="AA96" s="31"/>
      <c r="AB96" s="31"/>
      <c r="AC96" s="31"/>
      <c r="AD96" s="31"/>
    </row>
    <row r="97" spans="1:30" ht="22.5" customHeight="1">
      <c r="A97" s="32">
        <v>96</v>
      </c>
      <c r="B97" s="94" t="str">
        <f>VLOOKUP(C97,Lists!I:J,2,FALSE)</f>
        <v>Healer</v>
      </c>
      <c r="C97" s="95" t="str">
        <f>VLOOKUP(E97&amp;D97,Lists!C:E,3,FALSE)</f>
        <v>Wand/Orb</v>
      </c>
      <c r="D97" s="35" t="s">
        <v>40</v>
      </c>
      <c r="E97" s="36" t="s">
        <v>183</v>
      </c>
      <c r="F97" s="35" t="s">
        <v>476</v>
      </c>
      <c r="G97" s="32">
        <v>0</v>
      </c>
      <c r="H97" s="32">
        <v>3</v>
      </c>
      <c r="I97" s="96">
        <f t="shared" si="0"/>
        <v>3</v>
      </c>
      <c r="J97" s="37">
        <v>4628</v>
      </c>
      <c r="K97" s="37">
        <v>625703</v>
      </c>
      <c r="L97" s="37">
        <v>488297</v>
      </c>
      <c r="M97" s="38">
        <f>I97/(HLOOKUP(F97,Team_Composition_23[[#All],[Yellow]:[Red]],10,FALSE)+HLOOKUP(F97,Team_Composition_23[[#All],[Yellow]:[Red]],11,FALSE))</f>
        <v>7.4981254686328413E-4</v>
      </c>
      <c r="N97" s="38">
        <f>J97/HLOOKUP(F97,Team_Composition_23[[#All],[Yellow]:[Red]],6,FALSE)</f>
        <v>1.0431977880239676E-4</v>
      </c>
      <c r="O97" s="38">
        <f>K97/HLOOKUP(F97,Team_Composition_23[[#All],[Yellow]:[Red]],8,FALSE)</f>
        <v>3.571616329303616E-2</v>
      </c>
      <c r="P97" s="38">
        <f>L97/HLOOKUP(F97,Team_Composition_23[[#All],[Yellow]:[Red]],7,FALSE)</f>
        <v>3.7721554659818704E-2</v>
      </c>
      <c r="Q97" s="31"/>
      <c r="R97" s="31"/>
      <c r="S97" s="31"/>
      <c r="T97" s="31"/>
      <c r="U97" s="31"/>
      <c r="V97" s="31"/>
      <c r="W97" s="31"/>
      <c r="X97" s="31"/>
      <c r="Y97" s="31"/>
      <c r="Z97" s="31"/>
      <c r="AA97" s="31"/>
      <c r="AB97" s="31"/>
      <c r="AC97" s="31"/>
      <c r="AD97" s="31"/>
    </row>
    <row r="98" spans="1:30" ht="22.5" customHeight="1">
      <c r="A98" s="99"/>
      <c r="B98" s="100" t="e">
        <f>VLOOKUP(C98,Lists!I:J,2,FALSE)</f>
        <v>#N/A</v>
      </c>
      <c r="C98" s="101"/>
      <c r="D98" s="102"/>
      <c r="E98" s="103"/>
      <c r="F98" s="102"/>
      <c r="G98" s="99"/>
      <c r="H98" s="99"/>
      <c r="I98" s="104"/>
      <c r="J98" s="105"/>
      <c r="K98" s="105"/>
      <c r="L98" s="105"/>
      <c r="M98" s="87"/>
      <c r="N98" s="87"/>
      <c r="O98" s="87"/>
      <c r="P98" s="87"/>
      <c r="Q98" s="31"/>
      <c r="R98" s="31"/>
      <c r="S98" s="31"/>
      <c r="T98" s="31"/>
      <c r="U98" s="31"/>
      <c r="V98" s="31"/>
      <c r="W98" s="31"/>
      <c r="X98" s="31"/>
      <c r="Y98" s="31"/>
      <c r="Z98" s="31"/>
      <c r="AA98" s="31"/>
      <c r="AB98" s="31"/>
      <c r="AC98" s="31"/>
      <c r="AD98" s="31"/>
    </row>
    <row r="99" spans="1:30" ht="22.5" customHeight="1">
      <c r="A99" s="99"/>
      <c r="B99" s="106" t="e">
        <f>VLOOKUP(C99,Lists!I:J,2,FALSE)</f>
        <v>#N/A</v>
      </c>
      <c r="C99" s="107"/>
      <c r="D99" s="102"/>
      <c r="E99" s="103"/>
      <c r="F99" s="102"/>
      <c r="G99" s="99"/>
      <c r="H99" s="99"/>
      <c r="I99" s="104"/>
      <c r="J99" s="105"/>
      <c r="K99" s="105"/>
      <c r="L99" s="105"/>
      <c r="M99" s="87"/>
      <c r="N99" s="87"/>
      <c r="O99" s="87"/>
      <c r="P99" s="87"/>
      <c r="Q99" s="31"/>
      <c r="R99" s="31"/>
      <c r="S99" s="31"/>
      <c r="T99" s="31"/>
      <c r="U99" s="31"/>
      <c r="V99" s="31"/>
      <c r="W99" s="31"/>
      <c r="X99" s="31"/>
      <c r="Y99" s="31"/>
      <c r="Z99" s="31"/>
      <c r="AA99" s="31"/>
      <c r="AB99" s="31"/>
      <c r="AC99" s="31"/>
      <c r="AD99" s="31"/>
    </row>
    <row r="100" spans="1:30" ht="22.5" customHeight="1">
      <c r="A100" s="99"/>
      <c r="B100" s="100" t="e">
        <f>VLOOKUP(C100,Lists!I:J,2,FALSE)</f>
        <v>#N/A</v>
      </c>
      <c r="C100" s="101"/>
      <c r="D100" s="102"/>
      <c r="E100" s="103"/>
      <c r="F100" s="102"/>
      <c r="G100" s="99"/>
      <c r="H100" s="99"/>
      <c r="I100" s="104"/>
      <c r="J100" s="105"/>
      <c r="K100" s="105"/>
      <c r="L100" s="105"/>
      <c r="M100" s="87"/>
      <c r="N100" s="87"/>
      <c r="O100" s="87"/>
      <c r="P100" s="87"/>
      <c r="Q100" s="31"/>
      <c r="R100" s="31"/>
      <c r="S100" s="31"/>
      <c r="T100" s="31"/>
      <c r="U100" s="31"/>
      <c r="V100" s="31"/>
      <c r="W100" s="31"/>
      <c r="X100" s="31"/>
      <c r="Y100" s="31"/>
      <c r="Z100" s="31"/>
      <c r="AA100" s="31"/>
      <c r="AB100" s="31"/>
      <c r="AC100" s="31"/>
      <c r="AD100" s="31"/>
    </row>
    <row r="101" spans="1:30" ht="22.5" customHeight="1">
      <c r="A101" s="99"/>
      <c r="B101" s="106" t="e">
        <f>VLOOKUP(C101,Lists!I:J,2,FALSE)</f>
        <v>#N/A</v>
      </c>
      <c r="C101" s="107"/>
      <c r="D101" s="102"/>
      <c r="E101" s="103"/>
      <c r="F101" s="102"/>
      <c r="G101" s="99"/>
      <c r="H101" s="99"/>
      <c r="I101" s="104"/>
      <c r="J101" s="105"/>
      <c r="K101" s="105"/>
      <c r="L101" s="105"/>
      <c r="M101" s="87"/>
      <c r="N101" s="87"/>
      <c r="O101" s="87"/>
      <c r="P101" s="87"/>
      <c r="Q101" s="31"/>
      <c r="R101" s="31"/>
      <c r="S101" s="31"/>
      <c r="T101" s="31"/>
      <c r="U101" s="31"/>
      <c r="V101" s="31"/>
      <c r="W101" s="31"/>
      <c r="X101" s="31"/>
      <c r="Y101" s="31"/>
      <c r="Z101" s="31"/>
      <c r="AA101" s="31"/>
      <c r="AB101" s="31"/>
      <c r="AC101" s="31"/>
      <c r="AD101" s="31"/>
    </row>
    <row r="102" spans="1:30" ht="22.5" customHeight="1">
      <c r="A102" s="99"/>
      <c r="B102" s="100" t="e">
        <f>VLOOKUP(C102,Lists!I:J,2,FALSE)</f>
        <v>#N/A</v>
      </c>
      <c r="C102" s="101"/>
      <c r="D102" s="102"/>
      <c r="E102" s="103"/>
      <c r="F102" s="102"/>
      <c r="G102" s="99"/>
      <c r="H102" s="99"/>
      <c r="I102" s="104"/>
      <c r="J102" s="105"/>
      <c r="K102" s="105"/>
      <c r="L102" s="105"/>
      <c r="M102" s="87"/>
      <c r="N102" s="87"/>
      <c r="O102" s="87"/>
      <c r="P102" s="87"/>
      <c r="Q102" s="31"/>
      <c r="R102" s="31"/>
      <c r="S102" s="31"/>
      <c r="T102" s="31"/>
      <c r="U102" s="31"/>
      <c r="V102" s="31"/>
      <c r="W102" s="31"/>
      <c r="X102" s="31"/>
      <c r="Y102" s="31"/>
      <c r="Z102" s="31"/>
      <c r="AA102" s="31"/>
      <c r="AB102" s="31"/>
      <c r="AC102" s="31"/>
      <c r="AD102" s="31"/>
    </row>
    <row r="103" spans="1:30" ht="22.5" customHeight="1">
      <c r="A103" s="99"/>
      <c r="B103" s="106" t="e">
        <f>VLOOKUP(C103,Lists!I:J,2,FALSE)</f>
        <v>#N/A</v>
      </c>
      <c r="C103" s="107"/>
      <c r="D103" s="102"/>
      <c r="E103" s="103"/>
      <c r="F103" s="102"/>
      <c r="G103" s="99"/>
      <c r="H103" s="99"/>
      <c r="I103" s="104"/>
      <c r="J103" s="105"/>
      <c r="K103" s="105"/>
      <c r="L103" s="105"/>
      <c r="M103" s="87"/>
      <c r="N103" s="87"/>
      <c r="O103" s="87"/>
      <c r="P103" s="87"/>
      <c r="Q103" s="31"/>
      <c r="R103" s="31"/>
      <c r="S103" s="31"/>
      <c r="T103" s="31"/>
      <c r="U103" s="31"/>
      <c r="V103" s="31"/>
      <c r="W103" s="31"/>
      <c r="X103" s="31"/>
      <c r="Y103" s="31"/>
      <c r="Z103" s="31"/>
      <c r="AA103" s="31"/>
      <c r="AB103" s="31"/>
      <c r="AC103" s="31"/>
      <c r="AD103" s="31"/>
    </row>
    <row r="104" spans="1:30" ht="22.5" customHeight="1">
      <c r="A104" s="99"/>
      <c r="B104" s="100" t="e">
        <f>VLOOKUP(C104,Lists!I:J,2,FALSE)</f>
        <v>#N/A</v>
      </c>
      <c r="C104" s="101"/>
      <c r="D104" s="102"/>
      <c r="E104" s="103"/>
      <c r="F104" s="102"/>
      <c r="G104" s="99"/>
      <c r="H104" s="99"/>
      <c r="I104" s="104"/>
      <c r="J104" s="105"/>
      <c r="K104" s="105"/>
      <c r="L104" s="105"/>
      <c r="M104" s="87"/>
      <c r="N104" s="87"/>
      <c r="O104" s="87"/>
      <c r="P104" s="87"/>
      <c r="Q104" s="31"/>
      <c r="R104" s="31"/>
      <c r="S104" s="31"/>
      <c r="T104" s="31"/>
      <c r="U104" s="31"/>
      <c r="V104" s="31"/>
      <c r="W104" s="31"/>
      <c r="X104" s="31"/>
      <c r="Y104" s="31"/>
      <c r="Z104" s="31"/>
      <c r="AA104" s="31"/>
      <c r="AB104" s="31"/>
      <c r="AC104" s="31"/>
      <c r="AD104" s="31"/>
    </row>
    <row r="105" spans="1:30" ht="22.5" customHeight="1">
      <c r="A105" s="99"/>
      <c r="B105" s="106" t="e">
        <f>VLOOKUP(C105,Lists!I:J,2,FALSE)</f>
        <v>#N/A</v>
      </c>
      <c r="C105" s="107"/>
      <c r="D105" s="102"/>
      <c r="E105" s="103"/>
      <c r="F105" s="102"/>
      <c r="G105" s="99"/>
      <c r="H105" s="99"/>
      <c r="I105" s="104"/>
      <c r="J105" s="105"/>
      <c r="K105" s="105"/>
      <c r="L105" s="105"/>
      <c r="M105" s="87"/>
      <c r="N105" s="87"/>
      <c r="O105" s="87"/>
      <c r="P105" s="87"/>
      <c r="Q105" s="31"/>
      <c r="R105" s="31"/>
      <c r="S105" s="31"/>
      <c r="T105" s="31"/>
      <c r="U105" s="31"/>
      <c r="V105" s="31"/>
      <c r="W105" s="31"/>
      <c r="X105" s="31"/>
      <c r="Y105" s="31"/>
      <c r="Z105" s="31"/>
      <c r="AA105" s="31"/>
      <c r="AB105" s="31"/>
      <c r="AC105" s="31"/>
      <c r="AD105" s="31"/>
    </row>
    <row r="106" spans="1:30" ht="22.5" customHeight="1">
      <c r="A106" s="99"/>
      <c r="B106" s="100" t="e">
        <f>VLOOKUP(C106,Lists!I:J,2,FALSE)</f>
        <v>#N/A</v>
      </c>
      <c r="C106" s="101"/>
      <c r="D106" s="102"/>
      <c r="E106" s="103"/>
      <c r="F106" s="102"/>
      <c r="G106" s="99"/>
      <c r="H106" s="99"/>
      <c r="I106" s="104"/>
      <c r="J106" s="105"/>
      <c r="K106" s="105"/>
      <c r="L106" s="105"/>
      <c r="M106" s="87"/>
      <c r="N106" s="87"/>
      <c r="O106" s="87"/>
      <c r="P106" s="87"/>
      <c r="Q106" s="31"/>
      <c r="R106" s="31"/>
      <c r="S106" s="31"/>
      <c r="T106" s="31"/>
      <c r="U106" s="31"/>
      <c r="V106" s="31"/>
      <c r="W106" s="31"/>
      <c r="X106" s="31"/>
      <c r="Y106" s="31"/>
      <c r="Z106" s="31"/>
      <c r="AA106" s="31"/>
      <c r="AB106" s="31"/>
      <c r="AC106" s="31"/>
      <c r="AD106" s="31"/>
    </row>
    <row r="107" spans="1:30" ht="22.5" customHeight="1">
      <c r="A107" s="99"/>
      <c r="B107" s="106" t="e">
        <f>VLOOKUP(C107,Lists!I:J,2,FALSE)</f>
        <v>#N/A</v>
      </c>
      <c r="C107" s="107"/>
      <c r="D107" s="102"/>
      <c r="E107" s="103"/>
      <c r="F107" s="102"/>
      <c r="G107" s="99"/>
      <c r="H107" s="99"/>
      <c r="I107" s="104"/>
      <c r="J107" s="105"/>
      <c r="K107" s="105"/>
      <c r="L107" s="105"/>
      <c r="M107" s="87"/>
      <c r="N107" s="87"/>
      <c r="O107" s="87"/>
      <c r="P107" s="87"/>
      <c r="Q107" s="31"/>
      <c r="R107" s="31"/>
      <c r="S107" s="31"/>
      <c r="T107" s="31"/>
      <c r="U107" s="31"/>
      <c r="V107" s="31"/>
      <c r="W107" s="31"/>
      <c r="X107" s="31"/>
      <c r="Y107" s="31"/>
      <c r="Z107" s="31"/>
      <c r="AA107" s="31"/>
      <c r="AB107" s="31"/>
      <c r="AC107" s="31"/>
      <c r="AD107" s="31"/>
    </row>
    <row r="108" spans="1:30" ht="22.5" customHeight="1">
      <c r="A108" s="99"/>
      <c r="B108" s="100" t="e">
        <f>VLOOKUP(C108,Lists!I:J,2,FALSE)</f>
        <v>#N/A</v>
      </c>
      <c r="C108" s="101"/>
      <c r="D108" s="102"/>
      <c r="E108" s="103"/>
      <c r="F108" s="102"/>
      <c r="G108" s="99"/>
      <c r="H108" s="99"/>
      <c r="I108" s="104"/>
      <c r="J108" s="105"/>
      <c r="K108" s="105"/>
      <c r="L108" s="105"/>
      <c r="M108" s="87"/>
      <c r="N108" s="87"/>
      <c r="O108" s="87"/>
      <c r="P108" s="87"/>
      <c r="Q108" s="31"/>
      <c r="R108" s="31"/>
      <c r="S108" s="31"/>
      <c r="T108" s="31"/>
      <c r="U108" s="31"/>
      <c r="V108" s="31"/>
      <c r="W108" s="31"/>
      <c r="X108" s="31"/>
      <c r="Y108" s="31"/>
      <c r="Z108" s="31"/>
      <c r="AA108" s="31"/>
      <c r="AB108" s="31"/>
      <c r="AC108" s="31"/>
      <c r="AD108" s="31"/>
    </row>
    <row r="109" spans="1:30" ht="22.5" customHeight="1">
      <c r="A109" s="99"/>
      <c r="B109" s="106" t="e">
        <f>VLOOKUP(C109,Lists!I:J,2,FALSE)</f>
        <v>#N/A</v>
      </c>
      <c r="C109" s="108"/>
      <c r="D109" s="102"/>
      <c r="E109" s="103"/>
      <c r="F109" s="102"/>
      <c r="G109" s="99"/>
      <c r="H109" s="99"/>
      <c r="I109" s="104"/>
      <c r="J109" s="105"/>
      <c r="K109" s="105"/>
      <c r="L109" s="105"/>
      <c r="M109" s="87"/>
      <c r="N109" s="87"/>
      <c r="O109" s="87"/>
      <c r="P109" s="87"/>
      <c r="Q109" s="31"/>
      <c r="R109" s="31"/>
      <c r="S109" s="31"/>
      <c r="T109" s="31"/>
      <c r="U109" s="31"/>
      <c r="V109" s="31"/>
      <c r="W109" s="31"/>
      <c r="X109" s="31"/>
      <c r="Y109" s="31"/>
      <c r="Z109" s="31"/>
      <c r="AA109" s="31"/>
      <c r="AB109" s="31"/>
      <c r="AC109" s="31"/>
      <c r="AD109" s="31"/>
    </row>
    <row r="110" spans="1:30" ht="22.5" customHeight="1">
      <c r="A110" s="99"/>
      <c r="B110" s="100" t="e">
        <f>VLOOKUP(C110,Lists!I:J,2,FALSE)</f>
        <v>#N/A</v>
      </c>
      <c r="C110" s="101"/>
      <c r="D110" s="102"/>
      <c r="E110" s="103"/>
      <c r="F110" s="102"/>
      <c r="G110" s="99"/>
      <c r="H110" s="99"/>
      <c r="I110" s="104"/>
      <c r="J110" s="105"/>
      <c r="K110" s="105"/>
      <c r="L110" s="105"/>
      <c r="M110" s="87"/>
      <c r="N110" s="87"/>
      <c r="O110" s="87"/>
      <c r="P110" s="87"/>
      <c r="Q110" s="31"/>
      <c r="R110" s="31"/>
      <c r="S110" s="31"/>
      <c r="T110" s="31"/>
      <c r="U110" s="31"/>
      <c r="V110" s="31"/>
      <c r="W110" s="31"/>
      <c r="X110" s="31"/>
      <c r="Y110" s="31"/>
      <c r="Z110" s="31"/>
      <c r="AA110" s="31"/>
      <c r="AB110" s="31"/>
      <c r="AC110" s="31"/>
      <c r="AD110" s="31"/>
    </row>
    <row r="111" spans="1:30" ht="22.5" customHeight="1">
      <c r="A111" s="99"/>
      <c r="B111" s="106" t="e">
        <f>VLOOKUP(C111,Lists!I:J,2,FALSE)</f>
        <v>#N/A</v>
      </c>
      <c r="C111" s="108"/>
      <c r="D111" s="102"/>
      <c r="E111" s="103"/>
      <c r="F111" s="102"/>
      <c r="G111" s="99"/>
      <c r="H111" s="99"/>
      <c r="I111" s="104"/>
      <c r="J111" s="105"/>
      <c r="K111" s="105"/>
      <c r="L111" s="105"/>
      <c r="M111" s="87"/>
      <c r="N111" s="87"/>
      <c r="O111" s="87"/>
      <c r="P111" s="87"/>
      <c r="Q111" s="31"/>
      <c r="R111" s="31"/>
      <c r="S111" s="31"/>
      <c r="T111" s="31"/>
      <c r="U111" s="31"/>
      <c r="V111" s="31"/>
      <c r="W111" s="31"/>
      <c r="X111" s="31"/>
      <c r="Y111" s="31"/>
      <c r="Z111" s="31"/>
      <c r="AA111" s="31"/>
      <c r="AB111" s="31"/>
      <c r="AC111" s="31"/>
      <c r="AD111" s="31"/>
    </row>
    <row r="112" spans="1:30" ht="22.5" customHeight="1">
      <c r="A112" s="99"/>
      <c r="B112" s="100" t="e">
        <f>VLOOKUP(C112,Lists!I:J,2,FALSE)</f>
        <v>#N/A</v>
      </c>
      <c r="C112" s="101"/>
      <c r="D112" s="102"/>
      <c r="E112" s="103"/>
      <c r="F112" s="102"/>
      <c r="G112" s="99"/>
      <c r="H112" s="99"/>
      <c r="I112" s="104"/>
      <c r="J112" s="105"/>
      <c r="K112" s="105"/>
      <c r="L112" s="105"/>
      <c r="M112" s="87"/>
      <c r="N112" s="87"/>
      <c r="O112" s="87"/>
      <c r="P112" s="87"/>
      <c r="Q112" s="31"/>
      <c r="R112" s="31"/>
      <c r="S112" s="31"/>
      <c r="T112" s="31"/>
      <c r="U112" s="31"/>
      <c r="V112" s="31"/>
      <c r="W112" s="31"/>
      <c r="X112" s="31"/>
      <c r="Y112" s="31"/>
      <c r="Z112" s="31"/>
      <c r="AA112" s="31"/>
      <c r="AB112" s="31"/>
      <c r="AC112" s="31"/>
      <c r="AD112" s="31"/>
    </row>
    <row r="113" spans="1:30" ht="22.5" customHeight="1">
      <c r="A113" s="99"/>
      <c r="B113" s="106" t="e">
        <f>VLOOKUP(C113,Lists!I:J,2,FALSE)</f>
        <v>#N/A</v>
      </c>
      <c r="C113" s="108"/>
      <c r="D113" s="102"/>
      <c r="E113" s="103"/>
      <c r="F113" s="102"/>
      <c r="G113" s="99"/>
      <c r="H113" s="99"/>
      <c r="I113" s="104"/>
      <c r="J113" s="105"/>
      <c r="K113" s="105"/>
      <c r="L113" s="105"/>
      <c r="M113" s="87"/>
      <c r="N113" s="87"/>
      <c r="O113" s="87"/>
      <c r="P113" s="87"/>
      <c r="Q113" s="31"/>
      <c r="R113" s="31"/>
      <c r="S113" s="31"/>
      <c r="T113" s="31"/>
      <c r="U113" s="31"/>
      <c r="V113" s="31"/>
      <c r="W113" s="31"/>
      <c r="X113" s="31"/>
      <c r="Y113" s="31"/>
      <c r="Z113" s="31"/>
      <c r="AA113" s="31"/>
      <c r="AB113" s="31"/>
      <c r="AC113" s="31"/>
      <c r="AD113" s="31"/>
    </row>
    <row r="114" spans="1:30" ht="22.5" customHeight="1">
      <c r="A114" s="99"/>
      <c r="B114" s="100" t="e">
        <f>VLOOKUP(C114,Lists!I:J,2,FALSE)</f>
        <v>#N/A</v>
      </c>
      <c r="C114" s="101"/>
      <c r="D114" s="102"/>
      <c r="E114" s="103"/>
      <c r="F114" s="102"/>
      <c r="G114" s="99"/>
      <c r="H114" s="99"/>
      <c r="I114" s="104"/>
      <c r="J114" s="105"/>
      <c r="K114" s="105"/>
      <c r="L114" s="105"/>
      <c r="M114" s="87"/>
      <c r="N114" s="87"/>
      <c r="O114" s="87"/>
      <c r="P114" s="87"/>
      <c r="Q114" s="31"/>
      <c r="R114" s="31"/>
      <c r="S114" s="31"/>
      <c r="T114" s="31"/>
      <c r="U114" s="31"/>
      <c r="V114" s="31"/>
      <c r="W114" s="31"/>
      <c r="X114" s="31"/>
      <c r="Y114" s="31"/>
      <c r="Z114" s="31"/>
      <c r="AA114" s="31"/>
      <c r="AB114" s="31"/>
      <c r="AC114" s="31"/>
      <c r="AD114" s="31"/>
    </row>
    <row r="115" spans="1:30" ht="22.5" customHeight="1">
      <c r="A115" s="99"/>
      <c r="B115" s="106" t="e">
        <f>VLOOKUP(C115,Lists!I:J,2,FALSE)</f>
        <v>#N/A</v>
      </c>
      <c r="C115" s="108"/>
      <c r="D115" s="102"/>
      <c r="E115" s="103"/>
      <c r="F115" s="102"/>
      <c r="G115" s="99"/>
      <c r="H115" s="99"/>
      <c r="I115" s="104"/>
      <c r="J115" s="105"/>
      <c r="K115" s="105"/>
      <c r="L115" s="105"/>
      <c r="M115" s="87"/>
      <c r="N115" s="87"/>
      <c r="O115" s="87"/>
      <c r="P115" s="87"/>
      <c r="Q115" s="31"/>
      <c r="R115" s="31"/>
      <c r="S115" s="31"/>
      <c r="T115" s="31"/>
      <c r="U115" s="31"/>
      <c r="V115" s="31"/>
      <c r="W115" s="31"/>
      <c r="X115" s="31"/>
      <c r="Y115" s="31"/>
      <c r="Z115" s="31"/>
      <c r="AA115" s="31"/>
      <c r="AB115" s="31"/>
      <c r="AC115" s="31"/>
      <c r="AD115" s="31"/>
    </row>
    <row r="116" spans="1:30" ht="22.5" customHeight="1">
      <c r="A116" s="99"/>
      <c r="B116" s="100" t="e">
        <f>VLOOKUP(C116,Lists!I:J,2,FALSE)</f>
        <v>#N/A</v>
      </c>
      <c r="C116" s="101"/>
      <c r="D116" s="102"/>
      <c r="E116" s="103"/>
      <c r="F116" s="102"/>
      <c r="G116" s="99"/>
      <c r="H116" s="99"/>
      <c r="I116" s="104"/>
      <c r="J116" s="105"/>
      <c r="K116" s="105"/>
      <c r="L116" s="105"/>
      <c r="M116" s="87"/>
      <c r="N116" s="87"/>
      <c r="O116" s="87"/>
      <c r="P116" s="87"/>
      <c r="Q116" s="31"/>
      <c r="R116" s="31"/>
      <c r="S116" s="31"/>
      <c r="T116" s="31"/>
      <c r="U116" s="31"/>
      <c r="V116" s="31"/>
      <c r="W116" s="31"/>
      <c r="X116" s="31"/>
      <c r="Y116" s="31"/>
      <c r="Z116" s="31"/>
      <c r="AA116" s="31"/>
      <c r="AB116" s="31"/>
      <c r="AC116" s="31"/>
      <c r="AD116" s="31"/>
    </row>
    <row r="117" spans="1:30" ht="22.5" customHeight="1">
      <c r="A117" s="99"/>
      <c r="B117" s="106" t="e">
        <f>VLOOKUP(C117,Lists!I:J,2,FALSE)</f>
        <v>#N/A</v>
      </c>
      <c r="C117" s="108"/>
      <c r="D117" s="102"/>
      <c r="E117" s="103"/>
      <c r="F117" s="102"/>
      <c r="G117" s="99"/>
      <c r="H117" s="99"/>
      <c r="I117" s="104"/>
      <c r="J117" s="105"/>
      <c r="K117" s="105"/>
      <c r="L117" s="105"/>
      <c r="M117" s="87"/>
      <c r="N117" s="87"/>
      <c r="O117" s="87"/>
      <c r="P117" s="87"/>
      <c r="Q117" s="31"/>
      <c r="R117" s="31"/>
      <c r="S117" s="31"/>
      <c r="T117" s="31"/>
      <c r="U117" s="31"/>
      <c r="V117" s="31"/>
      <c r="W117" s="31"/>
      <c r="X117" s="31"/>
      <c r="Y117" s="31"/>
      <c r="Z117" s="31"/>
      <c r="AA117" s="31"/>
      <c r="AB117" s="31"/>
      <c r="AC117" s="31"/>
      <c r="AD117" s="31"/>
    </row>
    <row r="118" spans="1:30" ht="22.5" customHeight="1">
      <c r="A118" s="99"/>
      <c r="B118" s="100" t="e">
        <f>VLOOKUP(C118,Lists!I:J,2,FALSE)</f>
        <v>#N/A</v>
      </c>
      <c r="C118" s="101"/>
      <c r="D118" s="102"/>
      <c r="E118" s="103"/>
      <c r="F118" s="102"/>
      <c r="G118" s="99"/>
      <c r="H118" s="99"/>
      <c r="I118" s="104"/>
      <c r="J118" s="105"/>
      <c r="K118" s="105"/>
      <c r="L118" s="105"/>
      <c r="M118" s="87"/>
      <c r="N118" s="87"/>
      <c r="O118" s="87"/>
      <c r="P118" s="87"/>
      <c r="Q118" s="31"/>
      <c r="R118" s="31"/>
      <c r="S118" s="31"/>
      <c r="T118" s="31"/>
      <c r="U118" s="31"/>
      <c r="V118" s="31"/>
      <c r="W118" s="31"/>
      <c r="X118" s="31"/>
      <c r="Y118" s="31"/>
      <c r="Z118" s="31"/>
      <c r="AA118" s="31"/>
      <c r="AB118" s="31"/>
      <c r="AC118" s="31"/>
      <c r="AD118" s="31"/>
    </row>
    <row r="119" spans="1:30" ht="22.5" customHeight="1">
      <c r="A119" s="99"/>
      <c r="B119" s="106" t="e">
        <f>VLOOKUP(C119,Lists!I:J,2,FALSE)</f>
        <v>#N/A</v>
      </c>
      <c r="C119" s="108"/>
      <c r="D119" s="102"/>
      <c r="E119" s="103"/>
      <c r="F119" s="102"/>
      <c r="G119" s="99"/>
      <c r="H119" s="99"/>
      <c r="I119" s="104"/>
      <c r="J119" s="105"/>
      <c r="K119" s="105"/>
      <c r="L119" s="105"/>
      <c r="M119" s="87"/>
      <c r="N119" s="87"/>
      <c r="O119" s="87"/>
      <c r="P119" s="87"/>
      <c r="Q119" s="31"/>
      <c r="R119" s="31"/>
      <c r="S119" s="31"/>
      <c r="T119" s="31"/>
      <c r="U119" s="31"/>
      <c r="V119" s="31"/>
      <c r="W119" s="31"/>
      <c r="X119" s="31"/>
      <c r="Y119" s="31"/>
      <c r="Z119" s="31"/>
      <c r="AA119" s="31"/>
      <c r="AB119" s="31"/>
      <c r="AC119" s="31"/>
      <c r="AD119" s="31"/>
    </row>
    <row r="120" spans="1:30" ht="22.5" customHeight="1">
      <c r="A120" s="99"/>
      <c r="B120" s="100" t="e">
        <f>VLOOKUP(C120,Lists!I:J,2,FALSE)</f>
        <v>#N/A</v>
      </c>
      <c r="C120" s="101"/>
      <c r="D120" s="102"/>
      <c r="E120" s="103"/>
      <c r="F120" s="102"/>
      <c r="G120" s="99"/>
      <c r="H120" s="99"/>
      <c r="I120" s="104"/>
      <c r="J120" s="105"/>
      <c r="K120" s="105"/>
      <c r="L120" s="105"/>
      <c r="M120" s="87"/>
      <c r="N120" s="87"/>
      <c r="O120" s="87"/>
      <c r="P120" s="87"/>
      <c r="Q120" s="31"/>
      <c r="R120" s="31"/>
      <c r="S120" s="31"/>
      <c r="T120" s="31"/>
      <c r="U120" s="31"/>
      <c r="V120" s="31"/>
      <c r="W120" s="31"/>
      <c r="X120" s="31"/>
      <c r="Y120" s="31"/>
      <c r="Z120" s="31"/>
      <c r="AA120" s="31"/>
      <c r="AB120" s="31"/>
      <c r="AC120" s="31"/>
      <c r="AD120" s="31"/>
    </row>
    <row r="121" spans="1:30" ht="22.5" customHeight="1">
      <c r="A121" s="99"/>
      <c r="B121" s="106" t="e">
        <f>VLOOKUP(C121,Lists!I:J,2,FALSE)</f>
        <v>#N/A</v>
      </c>
      <c r="C121" s="108"/>
      <c r="D121" s="102"/>
      <c r="E121" s="103"/>
      <c r="F121" s="102"/>
      <c r="G121" s="99"/>
      <c r="H121" s="99"/>
      <c r="I121" s="104"/>
      <c r="J121" s="105"/>
      <c r="K121" s="105"/>
      <c r="L121" s="105"/>
      <c r="M121" s="87"/>
      <c r="N121" s="87"/>
      <c r="O121" s="87"/>
      <c r="P121" s="87"/>
      <c r="Q121" s="31"/>
      <c r="R121" s="31"/>
      <c r="S121" s="31"/>
      <c r="T121" s="31"/>
      <c r="U121" s="31"/>
      <c r="V121" s="31"/>
      <c r="W121" s="31"/>
      <c r="X121" s="31"/>
      <c r="Y121" s="31"/>
      <c r="Z121" s="31"/>
      <c r="AA121" s="31"/>
      <c r="AB121" s="31"/>
      <c r="AC121" s="31"/>
      <c r="AD121" s="31"/>
    </row>
    <row r="122" spans="1:30" ht="22.5" customHeight="1">
      <c r="A122" s="99"/>
      <c r="B122" s="100" t="e">
        <f>VLOOKUP(C122,Lists!I:J,2,FALSE)</f>
        <v>#N/A</v>
      </c>
      <c r="C122" s="101"/>
      <c r="D122" s="102"/>
      <c r="E122" s="103"/>
      <c r="F122" s="102"/>
      <c r="G122" s="99"/>
      <c r="H122" s="99"/>
      <c r="I122" s="104"/>
      <c r="J122" s="105"/>
      <c r="K122" s="105"/>
      <c r="L122" s="105"/>
      <c r="M122" s="87"/>
      <c r="N122" s="87"/>
      <c r="O122" s="87"/>
      <c r="P122" s="87"/>
      <c r="Q122" s="31"/>
      <c r="R122" s="31"/>
      <c r="S122" s="31"/>
      <c r="T122" s="31"/>
      <c r="U122" s="31"/>
      <c r="V122" s="31"/>
      <c r="W122" s="31"/>
      <c r="X122" s="31"/>
      <c r="Y122" s="31"/>
      <c r="Z122" s="31"/>
      <c r="AA122" s="31"/>
      <c r="AB122" s="31"/>
      <c r="AC122" s="31"/>
      <c r="AD122" s="31"/>
    </row>
    <row r="123" spans="1:30" ht="22.5" customHeight="1">
      <c r="A123" s="99"/>
      <c r="B123" s="106" t="e">
        <f>VLOOKUP(C123,Lists!I:J,2,FALSE)</f>
        <v>#N/A</v>
      </c>
      <c r="C123" s="108"/>
      <c r="D123" s="102"/>
      <c r="E123" s="103"/>
      <c r="F123" s="102"/>
      <c r="G123" s="99"/>
      <c r="H123" s="99"/>
      <c r="I123" s="104"/>
      <c r="J123" s="105"/>
      <c r="K123" s="105"/>
      <c r="L123" s="105"/>
      <c r="M123" s="87"/>
      <c r="N123" s="87"/>
      <c r="O123" s="87"/>
      <c r="P123" s="87"/>
      <c r="Q123" s="31"/>
      <c r="R123" s="31"/>
      <c r="S123" s="31"/>
      <c r="T123" s="31"/>
      <c r="U123" s="31"/>
      <c r="V123" s="31"/>
      <c r="W123" s="31"/>
      <c r="X123" s="31"/>
      <c r="Y123" s="31"/>
      <c r="Z123" s="31"/>
      <c r="AA123" s="31"/>
      <c r="AB123" s="31"/>
      <c r="AC123" s="31"/>
      <c r="AD123" s="31"/>
    </row>
    <row r="124" spans="1:30" ht="22.5" customHeight="1">
      <c r="A124" s="99"/>
      <c r="B124" s="100" t="e">
        <f>VLOOKUP(C124,Lists!I:J,2,FALSE)</f>
        <v>#N/A</v>
      </c>
      <c r="C124" s="101"/>
      <c r="D124" s="102"/>
      <c r="E124" s="103"/>
      <c r="F124" s="102"/>
      <c r="G124" s="99"/>
      <c r="H124" s="99"/>
      <c r="I124" s="104"/>
      <c r="J124" s="105"/>
      <c r="K124" s="105"/>
      <c r="L124" s="105"/>
      <c r="M124" s="87"/>
      <c r="N124" s="87"/>
      <c r="O124" s="87"/>
      <c r="P124" s="87"/>
      <c r="Q124" s="31"/>
      <c r="R124" s="31"/>
      <c r="S124" s="31"/>
      <c r="T124" s="31"/>
      <c r="U124" s="31"/>
      <c r="V124" s="31"/>
      <c r="W124" s="31"/>
      <c r="X124" s="31"/>
      <c r="Y124" s="31"/>
      <c r="Z124" s="31"/>
      <c r="AA124" s="31"/>
      <c r="AB124" s="31"/>
      <c r="AC124" s="31"/>
      <c r="AD124" s="31"/>
    </row>
    <row r="125" spans="1:30" ht="22.5" customHeight="1">
      <c r="A125" s="99"/>
      <c r="B125" s="106" t="e">
        <f>VLOOKUP(C125,Lists!I:J,2,FALSE)</f>
        <v>#N/A</v>
      </c>
      <c r="C125" s="108"/>
      <c r="D125" s="102"/>
      <c r="E125" s="103"/>
      <c r="F125" s="102"/>
      <c r="G125" s="99"/>
      <c r="H125" s="99"/>
      <c r="I125" s="104"/>
      <c r="J125" s="105"/>
      <c r="K125" s="105"/>
      <c r="L125" s="105"/>
      <c r="M125" s="87"/>
      <c r="N125" s="87"/>
      <c r="O125" s="87"/>
      <c r="P125" s="87"/>
      <c r="Q125" s="31"/>
      <c r="R125" s="31"/>
      <c r="S125" s="31"/>
      <c r="T125" s="31"/>
      <c r="U125" s="31"/>
      <c r="V125" s="31"/>
      <c r="W125" s="31"/>
      <c r="X125" s="31"/>
      <c r="Y125" s="31"/>
      <c r="Z125" s="31"/>
      <c r="AA125" s="31"/>
      <c r="AB125" s="31"/>
      <c r="AC125" s="31"/>
      <c r="AD125" s="31"/>
    </row>
    <row r="126" spans="1:30" ht="22.5" customHeight="1">
      <c r="A126" s="99"/>
      <c r="B126" s="100" t="e">
        <f>VLOOKUP(C126,Lists!I:J,2,FALSE)</f>
        <v>#N/A</v>
      </c>
      <c r="C126" s="101"/>
      <c r="D126" s="102"/>
      <c r="E126" s="103"/>
      <c r="F126" s="102"/>
      <c r="G126" s="99"/>
      <c r="H126" s="99"/>
      <c r="I126" s="104"/>
      <c r="J126" s="105"/>
      <c r="K126" s="105"/>
      <c r="L126" s="105"/>
      <c r="M126" s="87"/>
      <c r="N126" s="87"/>
      <c r="O126" s="87"/>
      <c r="P126" s="87"/>
      <c r="Q126" s="31"/>
      <c r="R126" s="31"/>
      <c r="S126" s="31"/>
      <c r="T126" s="31"/>
      <c r="U126" s="31"/>
      <c r="V126" s="31"/>
      <c r="W126" s="31"/>
      <c r="X126" s="31"/>
      <c r="Y126" s="31"/>
      <c r="Z126" s="31"/>
      <c r="AA126" s="31"/>
      <c r="AB126" s="31"/>
      <c r="AC126" s="31"/>
      <c r="AD126" s="31"/>
    </row>
    <row r="127" spans="1:30" ht="22.5" customHeight="1">
      <c r="A127" s="99"/>
      <c r="B127" s="106" t="e">
        <f>VLOOKUP(C127,Lists!I:J,2,FALSE)</f>
        <v>#N/A</v>
      </c>
      <c r="C127" s="108"/>
      <c r="D127" s="102"/>
      <c r="E127" s="103"/>
      <c r="F127" s="102"/>
      <c r="G127" s="99"/>
      <c r="H127" s="99"/>
      <c r="I127" s="104"/>
      <c r="J127" s="105"/>
      <c r="K127" s="105"/>
      <c r="L127" s="105"/>
      <c r="M127" s="87"/>
      <c r="N127" s="87"/>
      <c r="O127" s="87"/>
      <c r="P127" s="87"/>
      <c r="Q127" s="31"/>
      <c r="R127" s="31"/>
      <c r="S127" s="31"/>
      <c r="T127" s="31"/>
      <c r="U127" s="31"/>
      <c r="V127" s="31"/>
      <c r="W127" s="31"/>
      <c r="X127" s="31"/>
      <c r="Y127" s="31"/>
      <c r="Z127" s="31"/>
      <c r="AA127" s="31"/>
      <c r="AB127" s="31"/>
      <c r="AC127" s="31"/>
      <c r="AD127" s="31"/>
    </row>
    <row r="128" spans="1:30" ht="22.5" customHeight="1">
      <c r="A128" s="99"/>
      <c r="B128" s="100" t="e">
        <f>VLOOKUP(C128,Lists!I:J,2,FALSE)</f>
        <v>#N/A</v>
      </c>
      <c r="C128" s="101"/>
      <c r="D128" s="102"/>
      <c r="E128" s="103"/>
      <c r="F128" s="102"/>
      <c r="G128" s="99"/>
      <c r="H128" s="99"/>
      <c r="I128" s="104"/>
      <c r="J128" s="105"/>
      <c r="K128" s="105"/>
      <c r="L128" s="105"/>
      <c r="M128" s="87"/>
      <c r="N128" s="87"/>
      <c r="O128" s="87"/>
      <c r="P128" s="87"/>
      <c r="Q128" s="31"/>
      <c r="R128" s="31"/>
      <c r="S128" s="31"/>
      <c r="T128" s="31"/>
      <c r="U128" s="31"/>
      <c r="V128" s="31"/>
      <c r="W128" s="31"/>
      <c r="X128" s="31"/>
      <c r="Y128" s="31"/>
      <c r="Z128" s="31"/>
      <c r="AA128" s="31"/>
      <c r="AB128" s="31"/>
      <c r="AC128" s="31"/>
      <c r="AD128" s="31"/>
    </row>
    <row r="129" spans="1:30" ht="22.5" customHeight="1">
      <c r="A129" s="99"/>
      <c r="B129" s="106" t="e">
        <f>VLOOKUP(C129,Lists!I:J,2,FALSE)</f>
        <v>#N/A</v>
      </c>
      <c r="C129" s="108"/>
      <c r="D129" s="102"/>
      <c r="E129" s="103"/>
      <c r="F129" s="102"/>
      <c r="G129" s="99"/>
      <c r="H129" s="99"/>
      <c r="I129" s="104"/>
      <c r="J129" s="105"/>
      <c r="K129" s="105"/>
      <c r="L129" s="105"/>
      <c r="M129" s="87"/>
      <c r="N129" s="87"/>
      <c r="O129" s="87"/>
      <c r="P129" s="87"/>
      <c r="Q129" s="31"/>
      <c r="R129" s="31"/>
      <c r="S129" s="31"/>
      <c r="T129" s="31"/>
      <c r="U129" s="31"/>
      <c r="V129" s="31"/>
      <c r="W129" s="31"/>
      <c r="X129" s="31"/>
      <c r="Y129" s="31"/>
      <c r="Z129" s="31"/>
      <c r="AA129" s="31"/>
      <c r="AB129" s="31"/>
      <c r="AC129" s="31"/>
      <c r="AD129" s="31"/>
    </row>
    <row r="130" spans="1:30" ht="22.5" customHeight="1">
      <c r="A130" s="99"/>
      <c r="B130" s="100" t="e">
        <f>VLOOKUP(C130,Lists!I:J,2,FALSE)</f>
        <v>#N/A</v>
      </c>
      <c r="C130" s="101"/>
      <c r="D130" s="102"/>
      <c r="E130" s="103"/>
      <c r="F130" s="102"/>
      <c r="G130" s="99"/>
      <c r="H130" s="99"/>
      <c r="I130" s="104"/>
      <c r="J130" s="105"/>
      <c r="K130" s="105"/>
      <c r="L130" s="105"/>
      <c r="M130" s="87"/>
      <c r="N130" s="87"/>
      <c r="O130" s="87"/>
      <c r="P130" s="87"/>
      <c r="Q130" s="31"/>
      <c r="R130" s="31"/>
      <c r="S130" s="31"/>
      <c r="T130" s="31"/>
      <c r="U130" s="31"/>
      <c r="V130" s="31"/>
      <c r="W130" s="31"/>
      <c r="X130" s="31"/>
      <c r="Y130" s="31"/>
      <c r="Z130" s="31"/>
      <c r="AA130" s="31"/>
      <c r="AB130" s="31"/>
      <c r="AC130" s="31"/>
      <c r="AD130" s="31"/>
    </row>
    <row r="131" spans="1:30" ht="22.5" customHeight="1">
      <c r="A131" s="99"/>
      <c r="B131" s="106" t="e">
        <f>VLOOKUP(C131,Lists!I:J,2,FALSE)</f>
        <v>#N/A</v>
      </c>
      <c r="C131" s="108"/>
      <c r="D131" s="102"/>
      <c r="E131" s="103"/>
      <c r="F131" s="102"/>
      <c r="G131" s="99"/>
      <c r="H131" s="99"/>
      <c r="I131" s="104"/>
      <c r="J131" s="105"/>
      <c r="K131" s="105"/>
      <c r="L131" s="105"/>
      <c r="M131" s="87"/>
      <c r="N131" s="87"/>
      <c r="O131" s="87"/>
      <c r="P131" s="87"/>
      <c r="Q131" s="31"/>
      <c r="R131" s="31"/>
      <c r="S131" s="31"/>
      <c r="T131" s="31"/>
      <c r="U131" s="31"/>
      <c r="V131" s="31"/>
      <c r="W131" s="31"/>
      <c r="X131" s="31"/>
      <c r="Y131" s="31"/>
      <c r="Z131" s="31"/>
      <c r="AA131" s="31"/>
      <c r="AB131" s="31"/>
      <c r="AC131" s="31"/>
      <c r="AD131" s="31"/>
    </row>
    <row r="132" spans="1:30" ht="22.5" customHeight="1">
      <c r="A132" s="99"/>
      <c r="B132" s="100" t="e">
        <f>VLOOKUP(C132,Lists!I:J,2,FALSE)</f>
        <v>#N/A</v>
      </c>
      <c r="C132" s="101"/>
      <c r="D132" s="102"/>
      <c r="E132" s="103"/>
      <c r="F132" s="102"/>
      <c r="G132" s="99"/>
      <c r="H132" s="99"/>
      <c r="I132" s="104"/>
      <c r="J132" s="105"/>
      <c r="K132" s="105"/>
      <c r="L132" s="105"/>
      <c r="M132" s="87"/>
      <c r="N132" s="87"/>
      <c r="O132" s="87"/>
      <c r="P132" s="87"/>
      <c r="Q132" s="31"/>
      <c r="R132" s="31"/>
      <c r="S132" s="31"/>
      <c r="T132" s="31"/>
      <c r="U132" s="31"/>
      <c r="V132" s="31"/>
      <c r="W132" s="31"/>
      <c r="X132" s="31"/>
      <c r="Y132" s="31"/>
      <c r="Z132" s="31"/>
      <c r="AA132" s="31"/>
      <c r="AB132" s="31"/>
      <c r="AC132" s="31"/>
      <c r="AD132" s="31"/>
    </row>
    <row r="133" spans="1:30" ht="22.5" customHeight="1">
      <c r="A133" s="99"/>
      <c r="B133" s="106" t="e">
        <f>VLOOKUP(C133,Lists!I:J,2,FALSE)</f>
        <v>#N/A</v>
      </c>
      <c r="C133" s="108"/>
      <c r="D133" s="102"/>
      <c r="E133" s="103"/>
      <c r="F133" s="102"/>
      <c r="G133" s="99"/>
      <c r="H133" s="99"/>
      <c r="I133" s="104"/>
      <c r="J133" s="105"/>
      <c r="K133" s="105"/>
      <c r="L133" s="105"/>
      <c r="M133" s="87"/>
      <c r="N133" s="87"/>
      <c r="O133" s="87"/>
      <c r="P133" s="87"/>
      <c r="Q133" s="31"/>
      <c r="R133" s="31"/>
      <c r="S133" s="31"/>
      <c r="T133" s="31"/>
      <c r="U133" s="31"/>
      <c r="V133" s="31"/>
      <c r="W133" s="31"/>
      <c r="X133" s="31"/>
      <c r="Y133" s="31"/>
      <c r="Z133" s="31"/>
      <c r="AA133" s="31"/>
      <c r="AB133" s="31"/>
      <c r="AC133" s="31"/>
      <c r="AD133" s="31"/>
    </row>
    <row r="134" spans="1:30" ht="22.5" customHeight="1">
      <c r="A134" s="99"/>
      <c r="B134" s="100" t="e">
        <f>VLOOKUP(C134,Lists!I:J,2,FALSE)</f>
        <v>#N/A</v>
      </c>
      <c r="C134" s="101"/>
      <c r="D134" s="102"/>
      <c r="E134" s="103"/>
      <c r="F134" s="102"/>
      <c r="G134" s="99"/>
      <c r="H134" s="99"/>
      <c r="I134" s="104"/>
      <c r="J134" s="105"/>
      <c r="K134" s="105"/>
      <c r="L134" s="105"/>
      <c r="M134" s="87"/>
      <c r="N134" s="87"/>
      <c r="O134" s="87"/>
      <c r="P134" s="87"/>
      <c r="Q134" s="31"/>
      <c r="R134" s="31"/>
      <c r="S134" s="31"/>
      <c r="T134" s="31"/>
      <c r="U134" s="31"/>
      <c r="V134" s="31"/>
      <c r="W134" s="31"/>
      <c r="X134" s="31"/>
      <c r="Y134" s="31"/>
      <c r="Z134" s="31"/>
      <c r="AA134" s="31"/>
      <c r="AB134" s="31"/>
      <c r="AC134" s="31"/>
      <c r="AD134" s="31"/>
    </row>
    <row r="135" spans="1:30" ht="22.5" customHeight="1">
      <c r="A135" s="99"/>
      <c r="B135" s="106" t="e">
        <f>VLOOKUP(C135,Lists!I:J,2,FALSE)</f>
        <v>#N/A</v>
      </c>
      <c r="C135" s="108"/>
      <c r="D135" s="102"/>
      <c r="E135" s="103"/>
      <c r="F135" s="102"/>
      <c r="G135" s="99"/>
      <c r="H135" s="99"/>
      <c r="I135" s="104"/>
      <c r="J135" s="105"/>
      <c r="K135" s="105"/>
      <c r="L135" s="105"/>
      <c r="M135" s="87"/>
      <c r="N135" s="87"/>
      <c r="O135" s="87"/>
      <c r="P135" s="87"/>
      <c r="Q135" s="31"/>
      <c r="R135" s="31"/>
      <c r="S135" s="31"/>
      <c r="T135" s="31"/>
      <c r="U135" s="31"/>
      <c r="V135" s="31"/>
      <c r="W135" s="31"/>
      <c r="X135" s="31"/>
      <c r="Y135" s="31"/>
      <c r="Z135" s="31"/>
      <c r="AA135" s="31"/>
      <c r="AB135" s="31"/>
      <c r="AC135" s="31"/>
      <c r="AD135" s="31"/>
    </row>
    <row r="136" spans="1:30" ht="22.5" customHeight="1">
      <c r="A136" s="99"/>
      <c r="B136" s="100" t="e">
        <f>VLOOKUP(C136,Lists!I:J,2,FALSE)</f>
        <v>#N/A</v>
      </c>
      <c r="C136" s="101"/>
      <c r="D136" s="102"/>
      <c r="E136" s="103"/>
      <c r="F136" s="102"/>
      <c r="G136" s="99"/>
      <c r="H136" s="99"/>
      <c r="I136" s="104"/>
      <c r="J136" s="105"/>
      <c r="K136" s="105"/>
      <c r="L136" s="105"/>
      <c r="M136" s="87"/>
      <c r="N136" s="87"/>
      <c r="O136" s="87"/>
      <c r="P136" s="87"/>
      <c r="Q136" s="31"/>
      <c r="R136" s="31"/>
      <c r="S136" s="31"/>
      <c r="T136" s="31"/>
      <c r="U136" s="31"/>
      <c r="V136" s="31"/>
      <c r="W136" s="31"/>
      <c r="X136" s="31"/>
      <c r="Y136" s="31"/>
      <c r="Z136" s="31"/>
      <c r="AA136" s="31"/>
      <c r="AB136" s="31"/>
      <c r="AC136" s="31"/>
      <c r="AD136" s="31"/>
    </row>
    <row r="137" spans="1:30" ht="22.5" customHeight="1">
      <c r="A137" s="99"/>
      <c r="B137" s="106" t="e">
        <f>VLOOKUP(C137,Lists!I:J,2,FALSE)</f>
        <v>#N/A</v>
      </c>
      <c r="C137" s="108"/>
      <c r="D137" s="102"/>
      <c r="E137" s="103"/>
      <c r="F137" s="102"/>
      <c r="G137" s="99"/>
      <c r="H137" s="99"/>
      <c r="I137" s="104"/>
      <c r="J137" s="105"/>
      <c r="K137" s="105"/>
      <c r="L137" s="105"/>
      <c r="M137" s="87"/>
      <c r="N137" s="87"/>
      <c r="O137" s="87"/>
      <c r="P137" s="87"/>
      <c r="Q137" s="31"/>
      <c r="R137" s="31"/>
      <c r="S137" s="31"/>
      <c r="T137" s="31"/>
      <c r="U137" s="31"/>
      <c r="V137" s="31"/>
      <c r="W137" s="31"/>
      <c r="X137" s="31"/>
      <c r="Y137" s="31"/>
      <c r="Z137" s="31"/>
      <c r="AA137" s="31"/>
      <c r="AB137" s="31"/>
      <c r="AC137" s="31"/>
      <c r="AD137" s="31"/>
    </row>
    <row r="138" spans="1:30" ht="22.5" customHeight="1">
      <c r="A138" s="99"/>
      <c r="B138" s="100" t="e">
        <f>VLOOKUP(C138,Lists!I:J,2,FALSE)</f>
        <v>#N/A</v>
      </c>
      <c r="C138" s="101"/>
      <c r="D138" s="102"/>
      <c r="E138" s="103"/>
      <c r="F138" s="102"/>
      <c r="G138" s="99"/>
      <c r="H138" s="99"/>
      <c r="I138" s="104"/>
      <c r="J138" s="105"/>
      <c r="K138" s="105"/>
      <c r="L138" s="105"/>
      <c r="M138" s="87"/>
      <c r="N138" s="87"/>
      <c r="O138" s="87"/>
      <c r="P138" s="87"/>
      <c r="Q138" s="31"/>
      <c r="R138" s="31"/>
      <c r="S138" s="31"/>
      <c r="T138" s="31"/>
      <c r="U138" s="31"/>
      <c r="V138" s="31"/>
      <c r="W138" s="31"/>
      <c r="X138" s="31"/>
      <c r="Y138" s="31"/>
      <c r="Z138" s="31"/>
      <c r="AA138" s="31"/>
      <c r="AB138" s="31"/>
      <c r="AC138" s="31"/>
      <c r="AD138" s="31"/>
    </row>
    <row r="139" spans="1:30" ht="22.5" customHeight="1">
      <c r="A139" s="99"/>
      <c r="B139" s="106" t="e">
        <f>VLOOKUP(C139,Lists!I:J,2,FALSE)</f>
        <v>#N/A</v>
      </c>
      <c r="C139" s="108"/>
      <c r="D139" s="102"/>
      <c r="E139" s="103"/>
      <c r="F139" s="102"/>
      <c r="G139" s="99"/>
      <c r="H139" s="99"/>
      <c r="I139" s="104"/>
      <c r="J139" s="105"/>
      <c r="K139" s="105"/>
      <c r="L139" s="105"/>
      <c r="M139" s="87"/>
      <c r="N139" s="87"/>
      <c r="O139" s="87"/>
      <c r="P139" s="87"/>
      <c r="Q139" s="31"/>
      <c r="R139" s="31"/>
      <c r="S139" s="31"/>
      <c r="T139" s="31"/>
      <c r="U139" s="31"/>
      <c r="V139" s="31"/>
      <c r="W139" s="31"/>
      <c r="X139" s="31"/>
      <c r="Y139" s="31"/>
      <c r="Z139" s="31"/>
      <c r="AA139" s="31"/>
      <c r="AB139" s="31"/>
      <c r="AC139" s="31"/>
      <c r="AD139" s="31"/>
    </row>
    <row r="140" spans="1:30" ht="22.5" customHeight="1">
      <c r="A140" s="99"/>
      <c r="B140" s="100" t="e">
        <f>VLOOKUP(C140,Lists!I:J,2,FALSE)</f>
        <v>#N/A</v>
      </c>
      <c r="C140" s="101"/>
      <c r="D140" s="102"/>
      <c r="E140" s="103"/>
      <c r="F140" s="102"/>
      <c r="G140" s="99"/>
      <c r="H140" s="99"/>
      <c r="I140" s="104"/>
      <c r="J140" s="105"/>
      <c r="K140" s="105"/>
      <c r="L140" s="105"/>
      <c r="M140" s="87"/>
      <c r="N140" s="87"/>
      <c r="O140" s="87"/>
      <c r="P140" s="87"/>
      <c r="Q140" s="31"/>
      <c r="R140" s="31"/>
      <c r="S140" s="31"/>
      <c r="T140" s="31"/>
      <c r="U140" s="31"/>
      <c r="V140" s="31"/>
      <c r="W140" s="31"/>
      <c r="X140" s="31"/>
      <c r="Y140" s="31"/>
      <c r="Z140" s="31"/>
      <c r="AA140" s="31"/>
      <c r="AB140" s="31"/>
      <c r="AC140" s="31"/>
      <c r="AD140" s="31"/>
    </row>
    <row r="141" spans="1:30" ht="22.5" customHeight="1">
      <c r="A141" s="99"/>
      <c r="B141" s="106" t="e">
        <f>VLOOKUP(C141,Lists!I:J,2,FALSE)</f>
        <v>#N/A</v>
      </c>
      <c r="C141" s="108"/>
      <c r="D141" s="102"/>
      <c r="E141" s="103"/>
      <c r="F141" s="102"/>
      <c r="G141" s="99"/>
      <c r="H141" s="99"/>
      <c r="I141" s="104"/>
      <c r="J141" s="105"/>
      <c r="K141" s="105"/>
      <c r="L141" s="105"/>
      <c r="M141" s="87"/>
      <c r="N141" s="87"/>
      <c r="O141" s="87"/>
      <c r="P141" s="87"/>
      <c r="Q141" s="31"/>
      <c r="R141" s="31"/>
      <c r="S141" s="31"/>
      <c r="T141" s="31"/>
      <c r="U141" s="31"/>
      <c r="V141" s="31"/>
      <c r="W141" s="31"/>
      <c r="X141" s="31"/>
      <c r="Y141" s="31"/>
      <c r="Z141" s="31"/>
      <c r="AA141" s="31"/>
      <c r="AB141" s="31"/>
      <c r="AC141" s="31"/>
      <c r="AD141" s="31"/>
    </row>
    <row r="142" spans="1:30" ht="22.5" customHeight="1">
      <c r="A142" s="99"/>
      <c r="B142" s="100" t="e">
        <f>VLOOKUP(C142,Lists!I:J,2,FALSE)</f>
        <v>#N/A</v>
      </c>
      <c r="C142" s="101"/>
      <c r="D142" s="102"/>
      <c r="E142" s="103"/>
      <c r="F142" s="102"/>
      <c r="G142" s="99"/>
      <c r="H142" s="99"/>
      <c r="I142" s="104"/>
      <c r="J142" s="105"/>
      <c r="K142" s="105"/>
      <c r="L142" s="105"/>
      <c r="M142" s="87"/>
      <c r="N142" s="87"/>
      <c r="O142" s="87"/>
      <c r="P142" s="87"/>
      <c r="Q142" s="31"/>
      <c r="R142" s="31"/>
      <c r="S142" s="31"/>
      <c r="T142" s="31"/>
      <c r="U142" s="31"/>
      <c r="V142" s="31"/>
      <c r="W142" s="31"/>
      <c r="X142" s="31"/>
      <c r="Y142" s="31"/>
      <c r="Z142" s="31"/>
      <c r="AA142" s="31"/>
      <c r="AB142" s="31"/>
      <c r="AC142" s="31"/>
      <c r="AD142" s="31"/>
    </row>
    <row r="143" spans="1:30" ht="22.5" customHeight="1">
      <c r="A143" s="99"/>
      <c r="B143" s="106" t="e">
        <f>VLOOKUP(C143,Lists!I:J,2,FALSE)</f>
        <v>#N/A</v>
      </c>
      <c r="C143" s="108"/>
      <c r="D143" s="102"/>
      <c r="E143" s="103"/>
      <c r="F143" s="102"/>
      <c r="G143" s="99"/>
      <c r="H143" s="99"/>
      <c r="I143" s="104"/>
      <c r="J143" s="105"/>
      <c r="K143" s="105"/>
      <c r="L143" s="105"/>
      <c r="M143" s="87"/>
      <c r="N143" s="87"/>
      <c r="O143" s="87"/>
      <c r="P143" s="87"/>
      <c r="Q143" s="31"/>
      <c r="R143" s="31"/>
      <c r="S143" s="31"/>
      <c r="T143" s="31"/>
      <c r="U143" s="31"/>
      <c r="V143" s="31"/>
      <c r="W143" s="31"/>
      <c r="X143" s="31"/>
      <c r="Y143" s="31"/>
      <c r="Z143" s="31"/>
      <c r="AA143" s="31"/>
      <c r="AB143" s="31"/>
      <c r="AC143" s="31"/>
      <c r="AD143" s="31"/>
    </row>
    <row r="144" spans="1:30" ht="22.5" customHeight="1">
      <c r="A144" s="99"/>
      <c r="B144" s="100" t="e">
        <f>VLOOKUP(C144,Lists!I:J,2,FALSE)</f>
        <v>#N/A</v>
      </c>
      <c r="C144" s="101"/>
      <c r="D144" s="102"/>
      <c r="E144" s="103"/>
      <c r="F144" s="102"/>
      <c r="G144" s="99"/>
      <c r="H144" s="99"/>
      <c r="I144" s="104"/>
      <c r="J144" s="105"/>
      <c r="K144" s="105"/>
      <c r="L144" s="105"/>
      <c r="M144" s="87"/>
      <c r="N144" s="87"/>
      <c r="O144" s="87"/>
      <c r="P144" s="87"/>
      <c r="Q144" s="31"/>
      <c r="R144" s="31"/>
      <c r="S144" s="31"/>
      <c r="T144" s="31"/>
      <c r="U144" s="31"/>
      <c r="V144" s="31"/>
      <c r="W144" s="31"/>
      <c r="X144" s="31"/>
      <c r="Y144" s="31"/>
      <c r="Z144" s="31"/>
      <c r="AA144" s="31"/>
      <c r="AB144" s="31"/>
      <c r="AC144" s="31"/>
      <c r="AD144" s="31"/>
    </row>
    <row r="145" spans="1:30" ht="22.5" customHeight="1">
      <c r="A145" s="99"/>
      <c r="B145" s="106" t="e">
        <f>VLOOKUP(C145,Lists!I:J,2,FALSE)</f>
        <v>#N/A</v>
      </c>
      <c r="C145" s="108"/>
      <c r="D145" s="102"/>
      <c r="E145" s="103"/>
      <c r="F145" s="102"/>
      <c r="G145" s="99"/>
      <c r="H145" s="99"/>
      <c r="I145" s="104"/>
      <c r="J145" s="105"/>
      <c r="K145" s="105"/>
      <c r="L145" s="105"/>
      <c r="M145" s="87"/>
      <c r="N145" s="87"/>
      <c r="O145" s="87"/>
      <c r="P145" s="87"/>
      <c r="Q145" s="31"/>
      <c r="R145" s="31"/>
      <c r="S145" s="31"/>
      <c r="T145" s="31"/>
      <c r="U145" s="31"/>
      <c r="V145" s="31"/>
      <c r="W145" s="31"/>
      <c r="X145" s="31"/>
      <c r="Y145" s="31"/>
      <c r="Z145" s="31"/>
      <c r="AA145" s="31"/>
      <c r="AB145" s="31"/>
      <c r="AC145" s="31"/>
      <c r="AD145" s="31"/>
    </row>
    <row r="146" spans="1:30" ht="22.5" customHeight="1">
      <c r="A146" s="99"/>
      <c r="B146" s="100" t="e">
        <f>VLOOKUP(C146,Lists!I:J,2,FALSE)</f>
        <v>#N/A</v>
      </c>
      <c r="C146" s="101"/>
      <c r="D146" s="102"/>
      <c r="E146" s="103"/>
      <c r="F146" s="102"/>
      <c r="G146" s="99"/>
      <c r="H146" s="99"/>
      <c r="I146" s="104"/>
      <c r="J146" s="105"/>
      <c r="K146" s="105"/>
      <c r="L146" s="105"/>
      <c r="M146" s="87"/>
      <c r="N146" s="87"/>
      <c r="O146" s="87"/>
      <c r="P146" s="87"/>
      <c r="Q146" s="31"/>
      <c r="R146" s="31"/>
      <c r="S146" s="31"/>
      <c r="T146" s="31"/>
      <c r="U146" s="31"/>
      <c r="V146" s="31"/>
      <c r="W146" s="31"/>
      <c r="X146" s="31"/>
      <c r="Y146" s="31"/>
      <c r="Z146" s="31"/>
      <c r="AA146" s="31"/>
      <c r="AB146" s="31"/>
      <c r="AC146" s="31"/>
      <c r="AD146" s="31"/>
    </row>
    <row r="147" spans="1:30" ht="22.5" customHeight="1">
      <c r="A147" s="99"/>
      <c r="B147" s="106" t="e">
        <f>VLOOKUP(C147,Lists!I:J,2,FALSE)</f>
        <v>#N/A</v>
      </c>
      <c r="C147" s="108"/>
      <c r="D147" s="102"/>
      <c r="E147" s="103"/>
      <c r="F147" s="102"/>
      <c r="G147" s="99"/>
      <c r="H147" s="99"/>
      <c r="I147" s="104"/>
      <c r="J147" s="105"/>
      <c r="K147" s="105"/>
      <c r="L147" s="105"/>
      <c r="M147" s="87"/>
      <c r="N147" s="87"/>
      <c r="O147" s="87"/>
      <c r="P147" s="87"/>
      <c r="Q147" s="31"/>
      <c r="R147" s="31"/>
      <c r="S147" s="31"/>
      <c r="T147" s="31"/>
      <c r="U147" s="31"/>
      <c r="V147" s="31"/>
      <c r="W147" s="31"/>
      <c r="X147" s="31"/>
      <c r="Y147" s="31"/>
      <c r="Z147" s="31"/>
      <c r="AA147" s="31"/>
      <c r="AB147" s="31"/>
      <c r="AC147" s="31"/>
      <c r="AD147" s="31"/>
    </row>
    <row r="148" spans="1:30" ht="22.5" customHeight="1">
      <c r="A148" s="99"/>
      <c r="B148" s="100" t="e">
        <f>VLOOKUP(C148,Lists!I:J,2,FALSE)</f>
        <v>#N/A</v>
      </c>
      <c r="C148" s="101"/>
      <c r="D148" s="102"/>
      <c r="E148" s="103"/>
      <c r="F148" s="102"/>
      <c r="G148" s="99"/>
      <c r="H148" s="99"/>
      <c r="I148" s="104"/>
      <c r="J148" s="105"/>
      <c r="K148" s="105"/>
      <c r="L148" s="105"/>
      <c r="M148" s="87"/>
      <c r="N148" s="87"/>
      <c r="O148" s="87"/>
      <c r="P148" s="87"/>
      <c r="Q148" s="31"/>
      <c r="R148" s="31"/>
      <c r="S148" s="31"/>
      <c r="T148" s="31"/>
      <c r="U148" s="31"/>
      <c r="V148" s="31"/>
      <c r="W148" s="31"/>
      <c r="X148" s="31"/>
      <c r="Y148" s="31"/>
      <c r="Z148" s="31"/>
      <c r="AA148" s="31"/>
      <c r="AB148" s="31"/>
      <c r="AC148" s="31"/>
      <c r="AD148" s="31"/>
    </row>
    <row r="149" spans="1:30" ht="22.5" customHeight="1">
      <c r="A149" s="99"/>
      <c r="B149" s="106" t="e">
        <f>VLOOKUP(C149,Lists!I:J,2,FALSE)</f>
        <v>#N/A</v>
      </c>
      <c r="C149" s="108"/>
      <c r="D149" s="102"/>
      <c r="E149" s="103"/>
      <c r="F149" s="102"/>
      <c r="G149" s="99"/>
      <c r="H149" s="99"/>
      <c r="I149" s="104"/>
      <c r="J149" s="105"/>
      <c r="K149" s="105"/>
      <c r="L149" s="105"/>
      <c r="M149" s="87"/>
      <c r="N149" s="87"/>
      <c r="O149" s="87"/>
      <c r="P149" s="87"/>
      <c r="Q149" s="31"/>
      <c r="R149" s="31"/>
      <c r="S149" s="31"/>
      <c r="T149" s="31"/>
      <c r="U149" s="31"/>
      <c r="V149" s="31"/>
      <c r="W149" s="31"/>
      <c r="X149" s="31"/>
      <c r="Y149" s="31"/>
      <c r="Z149" s="31"/>
      <c r="AA149" s="31"/>
      <c r="AB149" s="31"/>
      <c r="AC149" s="31"/>
      <c r="AD149" s="31"/>
    </row>
    <row r="150" spans="1:30" ht="22.5" customHeight="1">
      <c r="A150" s="99"/>
      <c r="B150" s="100" t="e">
        <f>VLOOKUP(C150,Lists!I:J,2,FALSE)</f>
        <v>#N/A</v>
      </c>
      <c r="C150" s="101"/>
      <c r="D150" s="102"/>
      <c r="E150" s="103"/>
      <c r="F150" s="102"/>
      <c r="G150" s="99"/>
      <c r="H150" s="99"/>
      <c r="I150" s="104"/>
      <c r="J150" s="105"/>
      <c r="K150" s="105"/>
      <c r="L150" s="105"/>
      <c r="M150" s="87"/>
      <c r="N150" s="87"/>
      <c r="O150" s="87"/>
      <c r="P150" s="87"/>
      <c r="Q150" s="31"/>
      <c r="R150" s="31"/>
      <c r="S150" s="31"/>
      <c r="T150" s="31"/>
      <c r="U150" s="31"/>
      <c r="V150" s="31"/>
      <c r="W150" s="31"/>
      <c r="X150" s="31"/>
      <c r="Y150" s="31"/>
      <c r="Z150" s="31"/>
      <c r="AA150" s="31"/>
      <c r="AB150" s="31"/>
      <c r="AC150" s="31"/>
      <c r="AD150" s="31"/>
    </row>
    <row r="151" spans="1:30" ht="22.5" customHeight="1">
      <c r="A151" s="99"/>
      <c r="B151" s="106" t="e">
        <f>VLOOKUP(C151,Lists!I:J,2,FALSE)</f>
        <v>#N/A</v>
      </c>
      <c r="C151" s="108"/>
      <c r="D151" s="102"/>
      <c r="E151" s="103"/>
      <c r="F151" s="102"/>
      <c r="G151" s="99"/>
      <c r="H151" s="99"/>
      <c r="I151" s="104"/>
      <c r="J151" s="105"/>
      <c r="K151" s="105"/>
      <c r="L151" s="105"/>
      <c r="M151" s="87"/>
      <c r="N151" s="87"/>
      <c r="O151" s="87"/>
      <c r="P151" s="87"/>
      <c r="Q151" s="31"/>
      <c r="R151" s="31"/>
      <c r="S151" s="31"/>
      <c r="T151" s="31"/>
      <c r="U151" s="31"/>
      <c r="V151" s="31"/>
      <c r="W151" s="31"/>
      <c r="X151" s="31"/>
      <c r="Y151" s="31"/>
      <c r="Z151" s="31"/>
      <c r="AA151" s="31"/>
      <c r="AB151" s="31"/>
      <c r="AC151" s="31"/>
      <c r="AD151" s="31"/>
    </row>
    <row r="152" spans="1:30" ht="22.5" customHeight="1">
      <c r="A152" s="99"/>
      <c r="B152" s="100" t="e">
        <f>VLOOKUP(C152,Lists!I:J,2,FALSE)</f>
        <v>#N/A</v>
      </c>
      <c r="C152" s="101"/>
      <c r="D152" s="102"/>
      <c r="E152" s="103"/>
      <c r="F152" s="102"/>
      <c r="G152" s="99"/>
      <c r="H152" s="99"/>
      <c r="I152" s="104"/>
      <c r="J152" s="105"/>
      <c r="K152" s="105"/>
      <c r="L152" s="105"/>
      <c r="M152" s="87"/>
      <c r="N152" s="87"/>
      <c r="O152" s="87"/>
      <c r="P152" s="87"/>
      <c r="Q152" s="31"/>
      <c r="R152" s="31"/>
      <c r="S152" s="31"/>
      <c r="T152" s="31"/>
      <c r="U152" s="31"/>
      <c r="V152" s="31"/>
      <c r="W152" s="31"/>
      <c r="X152" s="31"/>
      <c r="Y152" s="31"/>
      <c r="Z152" s="31"/>
      <c r="AA152" s="31"/>
      <c r="AB152" s="31"/>
      <c r="AC152" s="31"/>
      <c r="AD152" s="31"/>
    </row>
    <row r="153" spans="1:30" ht="22.5" customHeight="1">
      <c r="A153" s="99"/>
      <c r="B153" s="109"/>
      <c r="C153" s="106"/>
      <c r="D153" s="102"/>
      <c r="E153" s="103"/>
      <c r="F153" s="102"/>
      <c r="G153" s="99"/>
      <c r="H153" s="99"/>
      <c r="I153" s="110"/>
      <c r="J153" s="105"/>
      <c r="K153" s="105"/>
      <c r="L153" s="105"/>
      <c r="M153" s="87"/>
      <c r="N153" s="87"/>
      <c r="O153" s="87"/>
      <c r="P153" s="87"/>
      <c r="Q153" s="31"/>
      <c r="R153" s="31"/>
      <c r="S153" s="31"/>
      <c r="T153" s="31"/>
      <c r="U153" s="31"/>
      <c r="V153" s="31"/>
      <c r="W153" s="31"/>
      <c r="X153" s="31"/>
      <c r="Y153" s="31"/>
      <c r="Z153" s="31"/>
      <c r="AA153" s="31"/>
      <c r="AB153" s="31"/>
      <c r="AC153" s="31"/>
      <c r="AD153" s="31"/>
    </row>
    <row r="154" spans="1:30" ht="22.5" customHeight="1">
      <c r="A154" s="99"/>
      <c r="B154" s="100"/>
      <c r="C154" s="95"/>
      <c r="D154" s="102"/>
      <c r="E154" s="103"/>
      <c r="F154" s="102"/>
      <c r="G154" s="99"/>
      <c r="H154" s="99"/>
      <c r="I154" s="110"/>
      <c r="J154" s="105"/>
      <c r="K154" s="105"/>
      <c r="L154" s="105"/>
      <c r="M154" s="87"/>
      <c r="N154" s="87"/>
      <c r="O154" s="87"/>
      <c r="P154" s="87"/>
      <c r="Q154" s="31"/>
      <c r="R154" s="31"/>
      <c r="S154" s="31"/>
      <c r="T154" s="31"/>
      <c r="U154" s="31"/>
      <c r="V154" s="31"/>
      <c r="W154" s="31"/>
      <c r="X154" s="31"/>
      <c r="Y154" s="31"/>
      <c r="Z154" s="31"/>
      <c r="AA154" s="31"/>
      <c r="AB154" s="31"/>
      <c r="AC154" s="31"/>
      <c r="AD154" s="31"/>
    </row>
    <row r="155" spans="1:30" ht="22.5" customHeight="1">
      <c r="A155" s="99"/>
      <c r="B155" s="106"/>
      <c r="C155" s="106"/>
      <c r="D155" s="102"/>
      <c r="E155" s="103"/>
      <c r="F155" s="102"/>
      <c r="G155" s="99"/>
      <c r="H155" s="99"/>
      <c r="I155" s="110"/>
      <c r="J155" s="105"/>
      <c r="K155" s="105"/>
      <c r="L155" s="105"/>
      <c r="M155" s="87"/>
      <c r="N155" s="87"/>
      <c r="O155" s="87"/>
      <c r="P155" s="87"/>
      <c r="Q155" s="31"/>
      <c r="R155" s="31"/>
      <c r="S155" s="31"/>
      <c r="T155" s="31"/>
      <c r="U155" s="31"/>
      <c r="V155" s="31"/>
      <c r="W155" s="31"/>
      <c r="X155" s="31"/>
      <c r="Y155" s="31"/>
      <c r="Z155" s="31"/>
      <c r="AA155" s="31"/>
      <c r="AB155" s="31"/>
      <c r="AC155" s="31"/>
      <c r="AD155" s="31"/>
    </row>
    <row r="156" spans="1:30" ht="22.5" customHeight="1">
      <c r="A156" s="99"/>
      <c r="B156" s="95"/>
      <c r="C156" s="95"/>
      <c r="D156" s="102"/>
      <c r="E156" s="103"/>
      <c r="F156" s="102"/>
      <c r="G156" s="99"/>
      <c r="H156" s="99"/>
      <c r="I156" s="110"/>
      <c r="J156" s="105"/>
      <c r="K156" s="105"/>
      <c r="L156" s="105"/>
      <c r="M156" s="87"/>
      <c r="N156" s="87"/>
      <c r="O156" s="87"/>
      <c r="P156" s="87"/>
      <c r="Q156" s="31"/>
      <c r="R156" s="31"/>
      <c r="S156" s="31"/>
      <c r="T156" s="31"/>
      <c r="U156" s="31"/>
      <c r="V156" s="31"/>
      <c r="W156" s="31"/>
      <c r="X156" s="31"/>
      <c r="Y156" s="31"/>
      <c r="Z156" s="31"/>
      <c r="AA156" s="31"/>
      <c r="AB156" s="31"/>
      <c r="AC156" s="31"/>
      <c r="AD156" s="31"/>
    </row>
    <row r="157" spans="1:30" ht="22.5" customHeight="1">
      <c r="A157" s="99"/>
      <c r="B157" s="106"/>
      <c r="C157" s="106"/>
      <c r="D157" s="102"/>
      <c r="E157" s="103"/>
      <c r="F157" s="102"/>
      <c r="G157" s="99"/>
      <c r="H157" s="99"/>
      <c r="I157" s="110"/>
      <c r="J157" s="105"/>
      <c r="K157" s="105"/>
      <c r="L157" s="105"/>
      <c r="M157" s="87"/>
      <c r="N157" s="87"/>
      <c r="O157" s="87"/>
      <c r="P157" s="87"/>
      <c r="Q157" s="31"/>
      <c r="R157" s="31"/>
      <c r="S157" s="31"/>
      <c r="T157" s="31"/>
      <c r="U157" s="31"/>
      <c r="V157" s="31"/>
      <c r="W157" s="31"/>
      <c r="X157" s="31"/>
      <c r="Y157" s="31"/>
      <c r="Z157" s="31"/>
      <c r="AA157" s="31"/>
      <c r="AB157" s="31"/>
      <c r="AC157" s="31"/>
      <c r="AD157" s="31"/>
    </row>
    <row r="158" spans="1:30" ht="22.5" customHeight="1">
      <c r="A158" s="99"/>
      <c r="B158" s="100"/>
      <c r="C158" s="95"/>
      <c r="D158" s="102"/>
      <c r="E158" s="103"/>
      <c r="F158" s="102"/>
      <c r="G158" s="99"/>
      <c r="H158" s="99"/>
      <c r="I158" s="110"/>
      <c r="J158" s="105"/>
      <c r="K158" s="105"/>
      <c r="L158" s="105"/>
      <c r="M158" s="87"/>
      <c r="N158" s="87"/>
      <c r="O158" s="87"/>
      <c r="P158" s="87"/>
      <c r="Q158" s="31"/>
      <c r="R158" s="31"/>
      <c r="S158" s="31"/>
      <c r="T158" s="31"/>
      <c r="U158" s="31"/>
      <c r="V158" s="31"/>
      <c r="W158" s="31"/>
      <c r="X158" s="31"/>
      <c r="Y158" s="31"/>
      <c r="Z158" s="31"/>
      <c r="AA158" s="31"/>
      <c r="AB158" s="31"/>
      <c r="AC158" s="31"/>
      <c r="AD158" s="31"/>
    </row>
    <row r="159" spans="1:30" ht="22.5" customHeight="1">
      <c r="A159" s="99"/>
      <c r="B159" s="111"/>
      <c r="C159" s="106"/>
      <c r="D159" s="102"/>
      <c r="E159" s="103"/>
      <c r="F159" s="102"/>
      <c r="G159" s="99"/>
      <c r="H159" s="99"/>
      <c r="I159" s="110"/>
      <c r="J159" s="105"/>
      <c r="K159" s="105"/>
      <c r="L159" s="105"/>
      <c r="M159" s="87"/>
      <c r="N159" s="87"/>
      <c r="O159" s="87"/>
      <c r="P159" s="87"/>
      <c r="Q159" s="31"/>
      <c r="R159" s="31"/>
      <c r="S159" s="31"/>
      <c r="T159" s="31"/>
      <c r="U159" s="31"/>
      <c r="V159" s="31"/>
      <c r="W159" s="31"/>
      <c r="X159" s="31"/>
      <c r="Y159" s="31"/>
      <c r="Z159" s="31"/>
      <c r="AA159" s="31"/>
      <c r="AB159" s="31"/>
      <c r="AC159" s="31"/>
      <c r="AD159" s="31"/>
    </row>
    <row r="160" spans="1:30" ht="22.5" customHeight="1">
      <c r="A160" s="99"/>
      <c r="B160" s="100"/>
      <c r="C160" s="95"/>
      <c r="D160" s="102"/>
      <c r="E160" s="103"/>
      <c r="F160" s="102"/>
      <c r="G160" s="99"/>
      <c r="H160" s="99"/>
      <c r="I160" s="110"/>
      <c r="J160" s="105"/>
      <c r="K160" s="105"/>
      <c r="L160" s="105"/>
      <c r="M160" s="87"/>
      <c r="N160" s="87"/>
      <c r="O160" s="87"/>
      <c r="P160" s="87"/>
      <c r="Q160" s="31"/>
      <c r="R160" s="31"/>
      <c r="S160" s="31"/>
      <c r="T160" s="31"/>
      <c r="U160" s="31"/>
      <c r="V160" s="31"/>
      <c r="W160" s="31"/>
      <c r="X160" s="31"/>
      <c r="Y160" s="31"/>
      <c r="Z160" s="31"/>
      <c r="AA160" s="31"/>
      <c r="AB160" s="31"/>
      <c r="AC160" s="31"/>
      <c r="AD160" s="31"/>
    </row>
    <row r="161" spans="1:30" ht="22.5" customHeight="1">
      <c r="A161" s="99"/>
      <c r="B161" s="106"/>
      <c r="C161" s="106"/>
      <c r="D161" s="102"/>
      <c r="E161" s="103"/>
      <c r="F161" s="102"/>
      <c r="G161" s="99"/>
      <c r="H161" s="99"/>
      <c r="I161" s="110"/>
      <c r="J161" s="105"/>
      <c r="K161" s="105"/>
      <c r="L161" s="105"/>
      <c r="M161" s="87"/>
      <c r="N161" s="87"/>
      <c r="O161" s="87"/>
      <c r="P161" s="87"/>
      <c r="Q161" s="31"/>
      <c r="R161" s="31"/>
      <c r="S161" s="31"/>
      <c r="T161" s="31"/>
      <c r="U161" s="31"/>
      <c r="V161" s="31"/>
      <c r="W161" s="31"/>
      <c r="X161" s="31"/>
      <c r="Y161" s="31"/>
      <c r="Z161" s="31"/>
      <c r="AA161" s="31"/>
      <c r="AB161" s="31"/>
      <c r="AC161" s="31"/>
      <c r="AD161" s="31"/>
    </row>
    <row r="162" spans="1:30" ht="22.5" customHeight="1">
      <c r="A162" s="99"/>
      <c r="B162" s="100"/>
      <c r="C162" s="95"/>
      <c r="D162" s="102"/>
      <c r="E162" s="103"/>
      <c r="F162" s="102"/>
      <c r="G162" s="99"/>
      <c r="H162" s="99"/>
      <c r="I162" s="110"/>
      <c r="J162" s="105"/>
      <c r="K162" s="105"/>
      <c r="L162" s="105"/>
      <c r="M162" s="87"/>
      <c r="N162" s="87"/>
      <c r="O162" s="87"/>
      <c r="P162" s="87"/>
      <c r="Q162" s="31"/>
      <c r="R162" s="31"/>
      <c r="S162" s="31"/>
      <c r="T162" s="31"/>
      <c r="U162" s="31"/>
      <c r="V162" s="31"/>
      <c r="W162" s="31"/>
      <c r="X162" s="31"/>
      <c r="Y162" s="31"/>
      <c r="Z162" s="31"/>
      <c r="AA162" s="31"/>
      <c r="AB162" s="31"/>
      <c r="AC162" s="31"/>
      <c r="AD162" s="31"/>
    </row>
    <row r="163" spans="1:30" ht="22.5" customHeight="1">
      <c r="A163" s="99"/>
      <c r="B163" s="112"/>
      <c r="C163" s="112"/>
      <c r="D163" s="102"/>
      <c r="E163" s="103"/>
      <c r="F163" s="102"/>
      <c r="G163" s="99"/>
      <c r="H163" s="99"/>
      <c r="I163" s="110"/>
      <c r="J163" s="105"/>
      <c r="K163" s="105"/>
      <c r="L163" s="10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300-000000000000}">
      <formula1>#REF!</formula1>
    </dataValidation>
    <dataValidation type="list" allowBlank="1" sqref="F2:F163" xr:uid="{00000000-0002-0000-0300-000002000000}">
      <formula1>"Yellow,Red"</formula1>
    </dataValidation>
    <dataValidation type="custom" allowBlank="1" showDropDown="1" sqref="S4:T14 AC4:AD14 AC17:AD25 S17:T25 AC30:AD46 S30:T46 AC51:AD60 S51:T60 S65:T72 AC65:AD72 S77:T84 AC77:AD84 A2:A163 G2:L163" xr:uid="{00000000-0002-0000-0300-000003000000}">
      <formula1>AND(ISNUMBER(A2),(NOT(OR(NOT(ISERROR(DATEVALUE(A2))), AND(ISNUMBER(A2), LEFT(CELL("format", A2))="D")))))</formula1>
    </dataValidation>
    <dataValidation allowBlank="1" showDropDown="1" sqref="E2:E163" xr:uid="{00000000-0002-0000-03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4" customWidth="1"/>
    <col min="3" max="3" width="18.88671875" customWidth="1"/>
    <col min="4" max="4" width="16.6640625" customWidth="1"/>
    <col min="5" max="5" width="17.109375" customWidth="1"/>
    <col min="6" max="6" width="12.44140625" customWidth="1"/>
    <col min="7" max="7" width="11.6640625" customWidth="1"/>
    <col min="8" max="8" width="13.77734375" customWidth="1"/>
    <col min="9" max="9" width="12.21875" customWidth="1"/>
    <col min="10" max="10" width="18.109375" customWidth="1"/>
    <col min="11" max="11" width="18.77734375" customWidth="1"/>
    <col min="12" max="12" width="19.109375" customWidth="1"/>
    <col min="13"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91" t="s">
        <v>463</v>
      </c>
      <c r="B1" s="91" t="s">
        <v>5</v>
      </c>
      <c r="C1" s="91" t="s">
        <v>2</v>
      </c>
      <c r="D1" s="91" t="s">
        <v>3</v>
      </c>
      <c r="E1" s="91" t="s">
        <v>1</v>
      </c>
      <c r="F1" s="91" t="s">
        <v>464</v>
      </c>
      <c r="G1" s="91" t="s">
        <v>465</v>
      </c>
      <c r="H1" s="92" t="s">
        <v>466</v>
      </c>
      <c r="I1" s="93" t="s">
        <v>467</v>
      </c>
      <c r="J1" s="92" t="s">
        <v>468</v>
      </c>
      <c r="K1" s="92" t="s">
        <v>469</v>
      </c>
      <c r="L1" s="92"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3</v>
      </c>
      <c r="B2" s="94" t="str">
        <f>VLOOKUP(C2,Lists!I:J,2,FALSE)</f>
        <v>Melee DPS</v>
      </c>
      <c r="C2" s="95" t="str">
        <f>VLOOKUP(E2&amp;D2,Lists!C:E,3,FALSE)</f>
        <v>Spear/Dagger</v>
      </c>
      <c r="D2" s="35" t="s">
        <v>40</v>
      </c>
      <c r="E2" s="36" t="s">
        <v>104</v>
      </c>
      <c r="F2" s="35" t="s">
        <v>476</v>
      </c>
      <c r="G2" s="32">
        <v>57</v>
      </c>
      <c r="H2" s="32">
        <v>108</v>
      </c>
      <c r="I2" s="96">
        <f t="shared" ref="I2:I97" si="0">SUM(G2:H2)</f>
        <v>165</v>
      </c>
      <c r="J2" s="37">
        <v>3015226</v>
      </c>
      <c r="K2" s="37">
        <v>1252869</v>
      </c>
      <c r="L2" s="37">
        <v>29976</v>
      </c>
      <c r="M2" s="38">
        <f>I2/(HLOOKUP(F2,Team_Composition_23[[#All],[Yellow]:[Red]],10,FALSE)+HLOOKUP(F2,Team_Composition_23[[#All],[Yellow]:[Red]],11,FALSE))</f>
        <v>4.1239690077480629E-2</v>
      </c>
      <c r="N2" s="38">
        <f>J2/HLOOKUP(F2,Team_Composition_23[[#All],[Yellow]:[Red]],6,FALSE)</f>
        <v>6.7966229334320574E-2</v>
      </c>
      <c r="O2" s="38">
        <f>K2/HLOOKUP(F2,Team_Composition_23[[#All],[Yellow]:[Red]],8,FALSE)</f>
        <v>7.1515837048540476E-2</v>
      </c>
      <c r="P2" s="38">
        <f>L2/HLOOKUP(F2,Team_Composition_23[[#All],[Yellow]:[Red]],7,FALSE)</f>
        <v>2.315683533756557E-3</v>
      </c>
      <c r="Q2" s="31"/>
      <c r="R2" s="227" t="s">
        <v>477</v>
      </c>
      <c r="S2" s="228"/>
      <c r="T2" s="228"/>
      <c r="U2" s="31"/>
      <c r="V2" s="229" t="s">
        <v>478</v>
      </c>
      <c r="W2" s="228"/>
      <c r="X2" s="39"/>
      <c r="Y2" s="229" t="s">
        <v>479</v>
      </c>
      <c r="Z2" s="228"/>
      <c r="AA2" s="31"/>
      <c r="AB2" s="227" t="s">
        <v>480</v>
      </c>
      <c r="AC2" s="228"/>
      <c r="AD2" s="228"/>
    </row>
    <row r="3" spans="1:30" ht="22.5" customHeight="1">
      <c r="A3" s="32">
        <v>1</v>
      </c>
      <c r="B3" s="94" t="str">
        <f>VLOOKUP(C3,Lists!I:J,2,FALSE)</f>
        <v>Ranged DPS</v>
      </c>
      <c r="C3" s="95" t="str">
        <f>VLOOKUP(E3&amp;D3,Lists!C:E,3,FALSE)</f>
        <v>Crossbow/SnS</v>
      </c>
      <c r="D3" s="35" t="s">
        <v>40</v>
      </c>
      <c r="E3" s="36" t="s">
        <v>167</v>
      </c>
      <c r="F3" s="35" t="s">
        <v>476</v>
      </c>
      <c r="G3" s="32">
        <v>72</v>
      </c>
      <c r="H3" s="32">
        <v>80</v>
      </c>
      <c r="I3" s="96">
        <f t="shared" si="0"/>
        <v>152</v>
      </c>
      <c r="J3" s="37">
        <v>3299917</v>
      </c>
      <c r="K3" s="37">
        <v>640081</v>
      </c>
      <c r="L3" s="37">
        <v>21972</v>
      </c>
      <c r="M3" s="38">
        <f>I3/(HLOOKUP(F3,Team_Composition_23[[#All],[Yellow]:[Red]],10,FALSE)+HLOOKUP(F3,Team_Composition_23[[#All],[Yellow]:[Red]],11,FALSE))</f>
        <v>3.7990502374406397E-2</v>
      </c>
      <c r="N3" s="38">
        <f>J3/HLOOKUP(F3,Team_Composition_23[[#All],[Yellow]:[Red]],6,FALSE)</f>
        <v>7.4383451060127212E-2</v>
      </c>
      <c r="O3" s="38">
        <f>K3/HLOOKUP(F3,Team_Composition_23[[#All],[Yellow]:[Red]],8,FALSE)</f>
        <v>3.6536883340450466E-2</v>
      </c>
      <c r="P3" s="38">
        <f>L3/HLOOKUP(F3,Team_Composition_23[[#All],[Yellow]:[Red]],7,FALSE)</f>
        <v>1.6973645117326884E-3</v>
      </c>
      <c r="Q3" s="31"/>
      <c r="R3" s="41" t="s">
        <v>482</v>
      </c>
      <c r="S3" s="42" t="s">
        <v>476</v>
      </c>
      <c r="T3" s="42" t="s">
        <v>483</v>
      </c>
      <c r="U3" s="31"/>
      <c r="V3" s="43" t="s">
        <v>1</v>
      </c>
      <c r="W3" s="44" t="s">
        <v>467</v>
      </c>
      <c r="X3" s="31"/>
      <c r="Y3" s="43" t="s">
        <v>1</v>
      </c>
      <c r="Z3" s="44" t="s">
        <v>484</v>
      </c>
      <c r="AA3" s="31"/>
      <c r="AB3" s="41" t="s">
        <v>482</v>
      </c>
      <c r="AC3" s="42" t="s">
        <v>485</v>
      </c>
      <c r="AD3" s="42" t="s">
        <v>36</v>
      </c>
    </row>
    <row r="4" spans="1:30" ht="22.5" customHeight="1">
      <c r="A4" s="32">
        <v>2</v>
      </c>
      <c r="B4" s="94" t="str">
        <f>VLOOKUP(C4,Lists!I:J,2,FALSE)</f>
        <v>Ranged DPS</v>
      </c>
      <c r="C4" s="95" t="s">
        <v>48</v>
      </c>
      <c r="D4" s="35" t="s">
        <v>30</v>
      </c>
      <c r="E4" s="36" t="s">
        <v>412</v>
      </c>
      <c r="F4" s="35" t="s">
        <v>483</v>
      </c>
      <c r="G4" s="32">
        <v>66</v>
      </c>
      <c r="H4" s="32">
        <v>84</v>
      </c>
      <c r="I4" s="96">
        <f t="shared" si="0"/>
        <v>150</v>
      </c>
      <c r="J4" s="37">
        <v>5408799</v>
      </c>
      <c r="K4" s="37">
        <v>636338</v>
      </c>
      <c r="L4" s="37">
        <v>0</v>
      </c>
      <c r="M4" s="38">
        <f>I4/(HLOOKUP(F4,Team_Composition_23[[#All],[Yellow]:[Red]],10,FALSE)+HLOOKUP(F4,Team_Composition_23[[#All],[Yellow]:[Red]],11,FALSE))</f>
        <v>0.18270401948842874</v>
      </c>
      <c r="N4" s="38">
        <f>J4/HLOOKUP(F4,Team_Composition_23[[#All],[Yellow]:[Red]],6,FALSE)</f>
        <v>0.30652733672023963</v>
      </c>
      <c r="O4" s="38">
        <f>K4/HLOOKUP(F4,Team_Composition_23[[#All],[Yellow]:[Red]],8,FALSE)</f>
        <v>1.4456990556466161E-2</v>
      </c>
      <c r="P4" s="38">
        <f>L4/HLOOKUP(F4,Team_Composition_23[[#All],[Yellow]:[Red]],7,FALSE)</f>
        <v>0</v>
      </c>
      <c r="Q4" s="31"/>
      <c r="R4" s="45" t="s">
        <v>25</v>
      </c>
      <c r="S4" s="46">
        <f>COUNTIFS(Scoreboard_41[Role],R4,Scoreboard_41[Team],"Yellow")</f>
        <v>4</v>
      </c>
      <c r="T4" s="47">
        <f>COUNTIFS(Scoreboard_41[Role],R4,Scoreboard_41[Team],"Red")</f>
        <v>5</v>
      </c>
      <c r="U4" s="31"/>
      <c r="V4" s="48" t="str">
        <f ca="1">IFERROR(__xludf.DUMMYFUNCTION("query(A1:P238, ""Select E,I where B!='Healer' Order by I Desc Limit 10"", 0)"),"Superluigi")</f>
        <v>Superluigi</v>
      </c>
      <c r="W4" s="49">
        <f ca="1">IFERROR(__xludf.DUMMYFUNCTION("""COMPUTED_VALUE"""),165)</f>
        <v>165</v>
      </c>
      <c r="X4" s="31"/>
      <c r="Y4" s="48" t="str">
        <f ca="1">IFERROR(__xludf.DUMMYFUNCTION("query(A1:P238, ""Select E,J Order by J Desc Limit 10"", 0)"),"Artayy")</f>
        <v>Artayy</v>
      </c>
      <c r="Z4" s="49">
        <f ca="1">IFERROR(__xludf.DUMMYFUNCTION("""COMPUTED_VALUE"""),5408799)</f>
        <v>5408799</v>
      </c>
      <c r="AA4" s="31"/>
      <c r="AB4" s="45" t="s">
        <v>25</v>
      </c>
      <c r="AC4" s="50">
        <f>COUNTIFS(Scoreboard_41[Role],AB4,Scoreboard_41[Guild],"Best Regards")</f>
        <v>0</v>
      </c>
      <c r="AD4" s="51">
        <f>COUNTIFS(Scoreboard_41[Role],AB4,Scoreboard_41[Guild],"Unhinged肉")</f>
        <v>0</v>
      </c>
    </row>
    <row r="5" spans="1:30" ht="22.5" customHeight="1">
      <c r="A5" s="32">
        <v>4</v>
      </c>
      <c r="B5" s="94" t="str">
        <f>VLOOKUP(C5,Lists!I:J,2,FALSE)</f>
        <v>Melee DPS</v>
      </c>
      <c r="C5" s="95" t="str">
        <f>VLOOKUP(E5&amp;D5,Lists!C:E,3,FALSE)</f>
        <v>Greatsword/Spear</v>
      </c>
      <c r="D5" s="35" t="s">
        <v>40</v>
      </c>
      <c r="E5" s="36" t="s">
        <v>145</v>
      </c>
      <c r="F5" s="35" t="s">
        <v>476</v>
      </c>
      <c r="G5" s="32">
        <v>50</v>
      </c>
      <c r="H5" s="32">
        <v>87</v>
      </c>
      <c r="I5" s="96">
        <f t="shared" si="0"/>
        <v>137</v>
      </c>
      <c r="J5" s="37">
        <v>2304513</v>
      </c>
      <c r="K5" s="37">
        <v>2303502</v>
      </c>
      <c r="L5" s="37">
        <v>29955</v>
      </c>
      <c r="M5" s="38">
        <f>I5/(HLOOKUP(F5,Team_Composition_23[[#All],[Yellow]:[Red]],10,FALSE)+HLOOKUP(F5,Team_Composition_23[[#All],[Yellow]:[Red]],11,FALSE))</f>
        <v>3.424143964008998E-2</v>
      </c>
      <c r="N5" s="38">
        <f>J5/HLOOKUP(F5,Team_Composition_23[[#All],[Yellow]:[Red]],6,FALSE)</f>
        <v>5.1946042871056135E-2</v>
      </c>
      <c r="O5" s="38">
        <f>K5/HLOOKUP(F5,Team_Composition_23[[#All],[Yellow]:[Red]],8,FALSE)</f>
        <v>0.13148770835018431</v>
      </c>
      <c r="P5" s="38">
        <f>L5/HLOOKUP(F5,Team_Composition_23[[#All],[Yellow]:[Red]],7,FALSE)</f>
        <v>2.3140612574618917E-3</v>
      </c>
      <c r="Q5" s="31"/>
      <c r="R5" s="45" t="s">
        <v>39</v>
      </c>
      <c r="S5" s="46">
        <f>COUNTIFS(Scoreboard_41[Role],R5,Scoreboard_41[Team],"Yellow")</f>
        <v>8</v>
      </c>
      <c r="T5" s="47">
        <f>COUNTIFS(Scoreboard_41[Role],R5,Scoreboard_41[Team],"Red")</f>
        <v>7</v>
      </c>
      <c r="U5" s="31"/>
      <c r="V5" s="48" t="str">
        <f ca="1">IFERROR(__xludf.DUMMYFUNCTION("""COMPUTED_VALUE"""),"charigueya")</f>
        <v>charigueya</v>
      </c>
      <c r="W5" s="49">
        <f ca="1">IFERROR(__xludf.DUMMYFUNCTION("""COMPUTED_VALUE"""),152)</f>
        <v>152</v>
      </c>
      <c r="X5" s="31"/>
      <c r="Y5" s="48" t="str">
        <f ca="1">IFERROR(__xludf.DUMMYFUNCTION("""COMPUTED_VALUE"""),"GUNWALLET")</f>
        <v>GUNWALLET</v>
      </c>
      <c r="Z5" s="49">
        <f ca="1">IFERROR(__xludf.DUMMYFUNCTION("""COMPUTED_VALUE"""),4114195)</f>
        <v>4114195</v>
      </c>
      <c r="AA5" s="31"/>
      <c r="AB5" s="45" t="s">
        <v>39</v>
      </c>
      <c r="AC5" s="50">
        <f>COUNTIFS(Scoreboard_41[Role],AB5,Scoreboard_41[Guild],"Best Regards")</f>
        <v>0</v>
      </c>
      <c r="AD5" s="51">
        <f>COUNTIFS(Scoreboard_41[Role],AB5,Scoreboard_41[Guild],"Unhinged肉")</f>
        <v>0</v>
      </c>
    </row>
    <row r="6" spans="1:30" ht="22.5" customHeight="1">
      <c r="A6" s="32">
        <v>8</v>
      </c>
      <c r="B6" s="94" t="str">
        <f>VLOOKUP(C6,Lists!I:J,2,FALSE)</f>
        <v>Ranged DPS</v>
      </c>
      <c r="C6" s="95" t="str">
        <f>VLOOKUP(E6&amp;D6,Lists!C:E,3,FALSE)</f>
        <v>Staff/Dagger</v>
      </c>
      <c r="D6" s="35" t="s">
        <v>40</v>
      </c>
      <c r="E6" s="36" t="s">
        <v>158</v>
      </c>
      <c r="F6" s="35" t="s">
        <v>476</v>
      </c>
      <c r="G6" s="32">
        <v>42</v>
      </c>
      <c r="H6" s="32">
        <v>92</v>
      </c>
      <c r="I6" s="96">
        <f t="shared" si="0"/>
        <v>134</v>
      </c>
      <c r="J6" s="37">
        <v>3057163</v>
      </c>
      <c r="K6" s="37">
        <v>1225136</v>
      </c>
      <c r="L6" s="37">
        <v>30828</v>
      </c>
      <c r="M6" s="38">
        <f>I6/(HLOOKUP(F6,Team_Composition_23[[#All],[Yellow]:[Red]],10,FALSE)+HLOOKUP(F6,Team_Composition_23[[#All],[Yellow]:[Red]],11,FALSE))</f>
        <v>3.3491627093226693E-2</v>
      </c>
      <c r="N6" s="38">
        <f>J6/HLOOKUP(F6,Team_Composition_23[[#All],[Yellow]:[Red]],6,FALSE)</f>
        <v>6.891153153043901E-2</v>
      </c>
      <c r="O6" s="38">
        <f>K6/HLOOKUP(F6,Team_Composition_23[[#All],[Yellow]:[Red]],8,FALSE)</f>
        <v>6.9932791487618162E-2</v>
      </c>
      <c r="P6" s="38">
        <f>L6/HLOOKUP(F6,Team_Composition_23[[#All],[Yellow]:[Red]],7,FALSE)</f>
        <v>2.3815016005686927E-3</v>
      </c>
      <c r="Q6" s="31"/>
      <c r="R6" s="45" t="s">
        <v>67</v>
      </c>
      <c r="S6" s="46">
        <f>COUNTIFS(Scoreboard_41[Role],R6,Scoreboard_41[Team],"Yellow")</f>
        <v>14</v>
      </c>
      <c r="T6" s="47">
        <f>COUNTIFS(Scoreboard_41[Role],R6,Scoreboard_41[Team],"Red")</f>
        <v>10</v>
      </c>
      <c r="U6" s="31"/>
      <c r="V6" s="48" t="str">
        <f ca="1">IFERROR(__xludf.DUMMYFUNCTION("""COMPUTED_VALUE"""),"Artayy")</f>
        <v>Artayy</v>
      </c>
      <c r="W6" s="49">
        <f ca="1">IFERROR(__xludf.DUMMYFUNCTION("""COMPUTED_VALUE"""),150)</f>
        <v>150</v>
      </c>
      <c r="X6" s="31"/>
      <c r="Y6" s="48" t="str">
        <f ca="1">IFERROR(__xludf.DUMMYFUNCTION("""COMPUTED_VALUE"""),"charigueya")</f>
        <v>charigueya</v>
      </c>
      <c r="Z6" s="49">
        <f ca="1">IFERROR(__xludf.DUMMYFUNCTION("""COMPUTED_VALUE"""),3299917)</f>
        <v>3299917</v>
      </c>
      <c r="AA6" s="31"/>
      <c r="AB6" s="45" t="s">
        <v>67</v>
      </c>
      <c r="AC6" s="50">
        <f>COUNTIFS(Scoreboard_41[Role],AB6,Scoreboard_41[Guild],"Best Regards")</f>
        <v>0</v>
      </c>
      <c r="AD6" s="51">
        <f>COUNTIFS(Scoreboard_41[Role],AB6,Scoreboard_41[Guild],"Unhinged肉")</f>
        <v>0</v>
      </c>
    </row>
    <row r="7" spans="1:30" ht="22.5" customHeight="1">
      <c r="A7" s="32">
        <v>21</v>
      </c>
      <c r="B7" s="94" t="str">
        <f>VLOOKUP(C7,Lists!I:J,2,FALSE)</f>
        <v>Melee DPS</v>
      </c>
      <c r="C7" s="95" t="str">
        <f>VLOOKUP(E7&amp;D7,Lists!C:E,3,FALSE)</f>
        <v>Greatsword/Spear</v>
      </c>
      <c r="D7" s="35" t="s">
        <v>40</v>
      </c>
      <c r="E7" s="36" t="s">
        <v>22</v>
      </c>
      <c r="F7" s="35" t="s">
        <v>476</v>
      </c>
      <c r="G7" s="32">
        <v>20</v>
      </c>
      <c r="H7" s="32">
        <v>114</v>
      </c>
      <c r="I7" s="96">
        <f t="shared" si="0"/>
        <v>134</v>
      </c>
      <c r="J7" s="37">
        <v>1447698</v>
      </c>
      <c r="K7" s="37">
        <v>2445143</v>
      </c>
      <c r="L7" s="37">
        <v>74037</v>
      </c>
      <c r="M7" s="38">
        <f>I7/(HLOOKUP(F7,Team_Composition_23[[#All],[Yellow]:[Red]],10,FALSE)+HLOOKUP(F7,Team_Composition_23[[#All],[Yellow]:[Red]],11,FALSE))</f>
        <v>3.3491627093226693E-2</v>
      </c>
      <c r="N7" s="38">
        <f>J7/HLOOKUP(F7,Team_Composition_23[[#All],[Yellow]:[Red]],6,FALSE)</f>
        <v>3.2632570253386388E-2</v>
      </c>
      <c r="O7" s="38">
        <f>K7/HLOOKUP(F7,Team_Composition_23[[#All],[Yellow]:[Red]],8,FALSE)</f>
        <v>0.13957281116252329</v>
      </c>
      <c r="P7" s="38">
        <f>L7/HLOOKUP(F7,Team_Composition_23[[#All],[Yellow]:[Red]],7,FALSE)</f>
        <v>5.719450953720783E-3</v>
      </c>
      <c r="Q7" s="31"/>
      <c r="R7" s="45" t="s">
        <v>11</v>
      </c>
      <c r="S7" s="46">
        <f>COUNTIFS(Scoreboard_41[Role],R7,Scoreboard_41[Team],"Yellow")</f>
        <v>16</v>
      </c>
      <c r="T7" s="47">
        <f>COUNTIFS(Scoreboard_41[Role],R7,Scoreboard_41[Team],"Red")</f>
        <v>19</v>
      </c>
      <c r="U7" s="31"/>
      <c r="V7" s="48" t="str">
        <f ca="1">IFERROR(__xludf.DUMMYFUNCTION("""COMPUTED_VALUE"""),"B")</f>
        <v>B</v>
      </c>
      <c r="W7" s="49">
        <f ca="1">IFERROR(__xludf.DUMMYFUNCTION("""COMPUTED_VALUE"""),137)</f>
        <v>137</v>
      </c>
      <c r="X7" s="31"/>
      <c r="Y7" s="48" t="str">
        <f ca="1">IFERROR(__xludf.DUMMYFUNCTION("""COMPUTED_VALUE"""),"Ceviche")</f>
        <v>Ceviche</v>
      </c>
      <c r="Z7" s="49">
        <f ca="1">IFERROR(__xludf.DUMMYFUNCTION("""COMPUTED_VALUE"""),3057163)</f>
        <v>3057163</v>
      </c>
      <c r="AA7" s="31"/>
      <c r="AB7" s="45" t="s">
        <v>11</v>
      </c>
      <c r="AC7" s="50">
        <f>COUNTIFS(Scoreboard_41[Role],AB7,Scoreboard_41[Guild],"Best Regards")</f>
        <v>0</v>
      </c>
      <c r="AD7" s="51">
        <f>COUNTIFS(Scoreboard_41[Role],AB7,Scoreboard_41[Guild],"Unhinged肉")</f>
        <v>0</v>
      </c>
    </row>
    <row r="8" spans="1:30" ht="22.5" customHeight="1">
      <c r="A8" s="32">
        <v>15</v>
      </c>
      <c r="B8" s="94" t="str">
        <f>VLOOKUP(C8,Lists!I:J,2,FALSE)</f>
        <v>Ranged DPS</v>
      </c>
      <c r="C8" s="95" t="str">
        <f>VLOOKUP(E8&amp;D8,Lists!C:E,3,FALSE)</f>
        <v>Crossbow/SnS</v>
      </c>
      <c r="D8" s="35" t="s">
        <v>30</v>
      </c>
      <c r="E8" s="36" t="s">
        <v>455</v>
      </c>
      <c r="F8" s="35" t="s">
        <v>483</v>
      </c>
      <c r="G8" s="32">
        <v>30</v>
      </c>
      <c r="H8" s="32">
        <v>94</v>
      </c>
      <c r="I8" s="96">
        <f t="shared" si="0"/>
        <v>124</v>
      </c>
      <c r="J8" s="37">
        <v>2888824</v>
      </c>
      <c r="K8" s="37">
        <v>707417</v>
      </c>
      <c r="L8" s="37">
        <v>29321</v>
      </c>
      <c r="M8" s="38">
        <f>I8/(HLOOKUP(F8,Team_Composition_23[[#All],[Yellow]:[Red]],10,FALSE)+HLOOKUP(F8,Team_Composition_23[[#All],[Yellow]:[Red]],11,FALSE))</f>
        <v>0.15103532277710111</v>
      </c>
      <c r="N8" s="38">
        <f>J8/HLOOKUP(F8,Team_Composition_23[[#All],[Yellow]:[Red]],6,FALSE)</f>
        <v>0.16371536952538068</v>
      </c>
      <c r="O8" s="38">
        <f>K8/HLOOKUP(F8,Team_Composition_23[[#All],[Yellow]:[Red]],8,FALSE)</f>
        <v>1.6071837433067993E-2</v>
      </c>
      <c r="P8" s="38">
        <f>L8/HLOOKUP(F8,Team_Composition_23[[#All],[Yellow]:[Red]],7,FALSE)</f>
        <v>1.2081962192082719E-3</v>
      </c>
      <c r="Q8" s="31"/>
      <c r="R8" s="45" t="s">
        <v>468</v>
      </c>
      <c r="S8" s="46">
        <f>SUMIFS(Scoreboard_41[Damage Dealt],Scoreboard_41[Team],"Yellow")</f>
        <v>31453831</v>
      </c>
      <c r="T8" s="47">
        <f>SUMIFS(Scoreboard_41[Damage Dealt],Scoreboard_41[Team],"Red")</f>
        <v>41254038</v>
      </c>
      <c r="U8" s="31"/>
      <c r="V8" s="48" t="str">
        <f ca="1">IFERROR(__xludf.DUMMYFUNCTION("""COMPUTED_VALUE"""),"Ceviche")</f>
        <v>Ceviche</v>
      </c>
      <c r="W8" s="49">
        <f ca="1">IFERROR(__xludf.DUMMYFUNCTION("""COMPUTED_VALUE"""),134)</f>
        <v>134</v>
      </c>
      <c r="X8" s="31"/>
      <c r="Y8" s="48" t="str">
        <f ca="1">IFERROR(__xludf.DUMMYFUNCTION("""COMPUTED_VALUE"""),"SuperSaiyanAndy")</f>
        <v>SuperSaiyanAndy</v>
      </c>
      <c r="Z8" s="49">
        <f ca="1">IFERROR(__xludf.DUMMYFUNCTION("""COMPUTED_VALUE"""),3055075)</f>
        <v>3055075</v>
      </c>
      <c r="AA8" s="31"/>
      <c r="AB8" s="45" t="s">
        <v>468</v>
      </c>
      <c r="AC8" s="50">
        <f>SUMIFS(Scoreboard_41[Damage Dealt],Scoreboard_41[Guild],"Best Regards")</f>
        <v>0</v>
      </c>
      <c r="AD8" s="51">
        <f>SUMIFS(Scoreboard_41[Damage Dealt],Scoreboard_41[Guild],"Unhinged肉")</f>
        <v>0</v>
      </c>
    </row>
    <row r="9" spans="1:30" ht="22.5" customHeight="1">
      <c r="A9" s="32">
        <v>11</v>
      </c>
      <c r="B9" s="94" t="str">
        <f>VLOOKUP(C9,Lists!I:J,2,FALSE)</f>
        <v>Melee DPS</v>
      </c>
      <c r="C9" s="95" t="str">
        <f>VLOOKUP(E9&amp;D9,Lists!C:E,3,FALSE)</f>
        <v>Spear/Dagger</v>
      </c>
      <c r="D9" s="35" t="s">
        <v>30</v>
      </c>
      <c r="E9" s="36" t="s">
        <v>217</v>
      </c>
      <c r="F9" s="35" t="s">
        <v>483</v>
      </c>
      <c r="G9" s="32">
        <v>32</v>
      </c>
      <c r="H9" s="32">
        <v>86</v>
      </c>
      <c r="I9" s="96">
        <f t="shared" si="0"/>
        <v>118</v>
      </c>
      <c r="J9" s="37">
        <v>2496258</v>
      </c>
      <c r="K9" s="37">
        <v>765901</v>
      </c>
      <c r="L9" s="37">
        <v>0</v>
      </c>
      <c r="M9" s="38">
        <f>I9/(HLOOKUP(F9,Team_Composition_23[[#All],[Yellow]:[Red]],10,FALSE)+HLOOKUP(F9,Team_Composition_23[[#All],[Yellow]:[Red]],11,FALSE))</f>
        <v>0.14372716199756394</v>
      </c>
      <c r="N9" s="38">
        <f>J9/HLOOKUP(F9,Team_Composition_23[[#All],[Yellow]:[Red]],6,FALSE)</f>
        <v>0.14146787789795701</v>
      </c>
      <c r="O9" s="38">
        <f>K9/HLOOKUP(F9,Team_Composition_23[[#All],[Yellow]:[Red]],8,FALSE)</f>
        <v>1.7400537959681786E-2</v>
      </c>
      <c r="P9" s="38">
        <f>L9/HLOOKUP(F9,Team_Composition_23[[#All],[Yellow]:[Red]],7,FALSE)</f>
        <v>0</v>
      </c>
      <c r="Q9" s="31"/>
      <c r="R9" s="45" t="s">
        <v>470</v>
      </c>
      <c r="S9" s="46">
        <f>SUMIFS(Scoreboard_41[Amount Healed],Scoreboard_41[Team],"Yellow")</f>
        <v>28127027</v>
      </c>
      <c r="T9" s="47">
        <f>SUMIFS(Scoreboard_41[Amount Healed],Scoreboard_41[Team],"Red")</f>
        <v>19562117</v>
      </c>
      <c r="U9" s="31"/>
      <c r="V9" s="48" t="str">
        <f ca="1">IFERROR(__xludf.DUMMYFUNCTION("""COMPUTED_VALUE"""),"Baozer")</f>
        <v>Baozer</v>
      </c>
      <c r="W9" s="49">
        <f ca="1">IFERROR(__xludf.DUMMYFUNCTION("""COMPUTED_VALUE"""),134)</f>
        <v>134</v>
      </c>
      <c r="X9" s="31"/>
      <c r="Y9" s="48" t="str">
        <f ca="1">IFERROR(__xludf.DUMMYFUNCTION("""COMPUTED_VALUE"""),"Superluigi")</f>
        <v>Superluigi</v>
      </c>
      <c r="Z9" s="49">
        <f ca="1">IFERROR(__xludf.DUMMYFUNCTION("""COMPUTED_VALUE"""),3015226)</f>
        <v>3015226</v>
      </c>
      <c r="AA9" s="31"/>
      <c r="AB9" s="45" t="s">
        <v>470</v>
      </c>
      <c r="AC9" s="50">
        <f>SUMIFS(Scoreboard_41[Amount Healed],Scoreboard_41[Guild],"Best Regards")</f>
        <v>0</v>
      </c>
      <c r="AD9" s="51">
        <f>SUMIFS(Scoreboard_41[Amount Healed],Scoreboard_41[Guild],"Unhinged肉")</f>
        <v>0</v>
      </c>
    </row>
    <row r="10" spans="1:30" ht="22.5" customHeight="1">
      <c r="A10" s="32">
        <v>5</v>
      </c>
      <c r="B10" s="94" t="str">
        <f>VLOOKUP(C10,Lists!I:J,2,FALSE)</f>
        <v>Ranged DPS</v>
      </c>
      <c r="C10" s="95" t="s">
        <v>48</v>
      </c>
      <c r="D10" s="35" t="s">
        <v>30</v>
      </c>
      <c r="E10" s="36" t="s">
        <v>224</v>
      </c>
      <c r="F10" s="35" t="s">
        <v>483</v>
      </c>
      <c r="G10" s="32">
        <v>48</v>
      </c>
      <c r="H10" s="32">
        <v>67</v>
      </c>
      <c r="I10" s="96">
        <f t="shared" si="0"/>
        <v>115</v>
      </c>
      <c r="J10" s="37">
        <v>4114195</v>
      </c>
      <c r="K10" s="37">
        <v>878788</v>
      </c>
      <c r="L10" s="37">
        <v>0</v>
      </c>
      <c r="M10" s="38">
        <f>I10/(HLOOKUP(F10,Team_Composition_23[[#All],[Yellow]:[Red]],10,FALSE)+HLOOKUP(F10,Team_Composition_23[[#All],[Yellow]:[Red]],11,FALSE))</f>
        <v>0.14007308160779536</v>
      </c>
      <c r="N10" s="38">
        <f>J10/HLOOKUP(F10,Team_Composition_23[[#All],[Yellow]:[Red]],6,FALSE)</f>
        <v>0.23315956760414397</v>
      </c>
      <c r="O10" s="38">
        <f>K10/HLOOKUP(F10,Team_Composition_23[[#All],[Yellow]:[Red]],8,FALSE)</f>
        <v>1.9965222597323723E-2</v>
      </c>
      <c r="P10" s="38">
        <f>L10/HLOOKUP(F10,Team_Composition_23[[#All],[Yellow]:[Red]],7,FALSE)</f>
        <v>0</v>
      </c>
      <c r="Q10" s="31"/>
      <c r="R10" s="45" t="s">
        <v>469</v>
      </c>
      <c r="S10" s="46">
        <f>SUMIFS(Scoreboard_41[Damage Taken],Scoreboard_41[Team],"Yellow")</f>
        <v>41259262</v>
      </c>
      <c r="T10" s="47">
        <f>SUMIFS(Scoreboard_41[Damage Taken],Scoreboard_41[Team],"Red")</f>
        <v>31448607</v>
      </c>
      <c r="U10" s="31"/>
      <c r="V10" s="48" t="str">
        <f ca="1">IFERROR(__xludf.DUMMYFUNCTION("""COMPUTED_VALUE"""),"hzrd")</f>
        <v>hzrd</v>
      </c>
      <c r="W10" s="49">
        <f ca="1">IFERROR(__xludf.DUMMYFUNCTION("""COMPUTED_VALUE"""),124)</f>
        <v>124</v>
      </c>
      <c r="X10" s="31"/>
      <c r="Y10" s="48" t="str">
        <f ca="1">IFERROR(__xludf.DUMMYFUNCTION("""COMPUTED_VALUE"""),"hzrd")</f>
        <v>hzrd</v>
      </c>
      <c r="Z10" s="49">
        <f ca="1">IFERROR(__xludf.DUMMYFUNCTION("""COMPUTED_VALUE"""),2888824)</f>
        <v>2888824</v>
      </c>
      <c r="AA10" s="31"/>
      <c r="AB10" s="45" t="s">
        <v>469</v>
      </c>
      <c r="AC10" s="50">
        <f>SUMIFS(Scoreboard_41[Damage Taken],Scoreboard_41[Guild],"Best Regards")</f>
        <v>0</v>
      </c>
      <c r="AD10" s="51">
        <f>SUMIFS(Scoreboard_41[Damage Taken],Scoreboard_41[Guild],"Unhinged肉")</f>
        <v>0</v>
      </c>
    </row>
    <row r="11" spans="1:30" ht="22.5" customHeight="1">
      <c r="A11" s="32">
        <v>9</v>
      </c>
      <c r="B11" s="94" t="str">
        <f>VLOOKUP(C11,Lists!I:J,2,FALSE)</f>
        <v>Ranged DPS</v>
      </c>
      <c r="C11" s="95" t="str">
        <f>VLOOKUP(E11&amp;D11,Lists!C:E,3,FALSE)</f>
        <v>Staff/Dagger</v>
      </c>
      <c r="D11" s="35" t="s">
        <v>40</v>
      </c>
      <c r="E11" s="36" t="s">
        <v>31</v>
      </c>
      <c r="F11" s="35" t="s">
        <v>476</v>
      </c>
      <c r="G11" s="32">
        <v>40</v>
      </c>
      <c r="H11" s="32">
        <v>72</v>
      </c>
      <c r="I11" s="96">
        <f t="shared" si="0"/>
        <v>112</v>
      </c>
      <c r="J11" s="37">
        <v>1975765</v>
      </c>
      <c r="K11" s="37">
        <v>1718343</v>
      </c>
      <c r="L11" s="37">
        <v>0</v>
      </c>
      <c r="M11" s="38">
        <f>I11/(HLOOKUP(F11,Team_Composition_23[[#All],[Yellow]:[Red]],10,FALSE)+HLOOKUP(F11,Team_Composition_23[[#All],[Yellow]:[Red]],11,FALSE))</f>
        <v>2.799300174956261E-2</v>
      </c>
      <c r="N11" s="38">
        <f>J11/HLOOKUP(F11,Team_Composition_23[[#All],[Yellow]:[Red]],6,FALSE)</f>
        <v>4.4535732015021055E-2</v>
      </c>
      <c r="O11" s="38">
        <f>K11/HLOOKUP(F11,Team_Composition_23[[#All],[Yellow]:[Red]],8,FALSE)</f>
        <v>9.8085863710811086E-2</v>
      </c>
      <c r="P11" s="38">
        <f>L11/HLOOKUP(F11,Team_Composition_23[[#All],[Yellow]:[Red]],7,FALSE)</f>
        <v>0</v>
      </c>
      <c r="Q11" s="31"/>
      <c r="R11" s="45" t="s">
        <v>495</v>
      </c>
      <c r="S11" s="46">
        <f ca="1">IFERROR(DIVIDE(SUMIFS(Scoreboard_41[Amount Healed],Scoreboard_41[Team],"Yellow"), SUMIFS(Scoreboard_41[Damage Taken],Scoreboard_41[Team],"Yellow"))*(100),0)</f>
        <v>0</v>
      </c>
      <c r="T11" s="47">
        <f ca="1">IFERROR(DIVIDE(SUMIFS(Scoreboard_41[Amount Healed],Scoreboard_41[Team],"Red"), SUMIFS(Scoreboard_41[Damage Taken],Scoreboard_41[Team],"Red"))*(100),0)</f>
        <v>0</v>
      </c>
      <c r="U11" s="31"/>
      <c r="V11" s="48" t="str">
        <f ca="1">IFERROR(__xludf.DUMMYFUNCTION("""COMPUTED_VALUE"""),"Anrenn")</f>
        <v>Anrenn</v>
      </c>
      <c r="W11" s="49">
        <f ca="1">IFERROR(__xludf.DUMMYFUNCTION("""COMPUTED_VALUE"""),118)</f>
        <v>118</v>
      </c>
      <c r="X11" s="31"/>
      <c r="Y11" s="48" t="str">
        <f ca="1">IFERROR(__xludf.DUMMYFUNCTION("""COMPUTED_VALUE"""),"Anrenn")</f>
        <v>Anrenn</v>
      </c>
      <c r="Z11" s="49">
        <f ca="1">IFERROR(__xludf.DUMMYFUNCTION("""COMPUTED_VALUE"""),2496258)</f>
        <v>2496258</v>
      </c>
      <c r="AA11" s="31"/>
      <c r="AB11" s="45" t="s">
        <v>495</v>
      </c>
      <c r="AC11" s="50">
        <f ca="1">IFERROR(DIVIDE(SUMIFS(Scoreboard_41[Amount Healed],Scoreboard_41[Guild],"Best Regards"), SUMIFS(Scoreboard_41[Damage Taken],Scoreboard_41[Guild],"Best Regards"))*(100),0)</f>
        <v>0</v>
      </c>
      <c r="AD11" s="51">
        <f ca="1">IFERROR(DIVIDE(SUMIFS(Scoreboard_41[Amount Healed],Scoreboard_41[Guild],"Unhinged肉"), SUMIFS(Scoreboard_41[Damage Taken],Scoreboard_41[Guild],"Unhinged肉"))*(100),0)</f>
        <v>0</v>
      </c>
    </row>
    <row r="12" spans="1:30" ht="22.5" customHeight="1">
      <c r="A12" s="32">
        <v>6</v>
      </c>
      <c r="B12" s="94" t="str">
        <f>VLOOKUP(C12,Lists!I:J,2,FALSE)</f>
        <v>Ranged DPS</v>
      </c>
      <c r="C12" s="95" t="str">
        <f>VLOOKUP(E12&amp;D12,Lists!C:E,3,FALSE)</f>
        <v>Crossbow/SnS</v>
      </c>
      <c r="D12" s="35" t="s">
        <v>40</v>
      </c>
      <c r="E12" s="36" t="s">
        <v>141</v>
      </c>
      <c r="F12" s="35" t="s">
        <v>476</v>
      </c>
      <c r="G12" s="32">
        <v>44</v>
      </c>
      <c r="H12" s="32">
        <v>60</v>
      </c>
      <c r="I12" s="96">
        <f t="shared" si="0"/>
        <v>104</v>
      </c>
      <c r="J12" s="37">
        <v>2015480</v>
      </c>
      <c r="K12" s="37">
        <v>678079</v>
      </c>
      <c r="L12" s="37">
        <v>53832</v>
      </c>
      <c r="M12" s="38">
        <f>I12/(HLOOKUP(F12,Team_Composition_23[[#All],[Yellow]:[Red]],10,FALSE)+HLOOKUP(F12,Team_Composition_23[[#All],[Yellow]:[Red]],11,FALSE))</f>
        <v>2.5993501624593851E-2</v>
      </c>
      <c r="N12" s="38">
        <f>J12/HLOOKUP(F12,Team_Composition_23[[#All],[Yellow]:[Red]],6,FALSE)</f>
        <v>4.5430948094350609E-2</v>
      </c>
      <c r="O12" s="38">
        <f>K12/HLOOKUP(F12,Team_Composition_23[[#All],[Yellow]:[Red]],8,FALSE)</f>
        <v>3.8705872098389597E-2</v>
      </c>
      <c r="P12" s="38">
        <f>L12/HLOOKUP(F12,Team_Composition_23[[#All],[Yellow]:[Red]],7,FALSE)</f>
        <v>4.1585894044963625E-3</v>
      </c>
      <c r="Q12" s="31"/>
      <c r="R12" s="45" t="s">
        <v>465</v>
      </c>
      <c r="S12" s="46">
        <f>SUMIFS(Scoreboard_41[Kills],Scoreboard_41[Team],"Yellow")</f>
        <v>548</v>
      </c>
      <c r="T12" s="47">
        <f>SUMIFS(Scoreboard_41[Kills],Scoreboard_41[Team],"Red")</f>
        <v>544</v>
      </c>
      <c r="U12" s="31"/>
      <c r="V12" s="48" t="str">
        <f ca="1">IFERROR(__xludf.DUMMYFUNCTION("""COMPUTED_VALUE"""),"GUNWALLET")</f>
        <v>GUNWALLET</v>
      </c>
      <c r="W12" s="49">
        <f ca="1">IFERROR(__xludf.DUMMYFUNCTION("""COMPUTED_VALUE"""),115)</f>
        <v>115</v>
      </c>
      <c r="X12" s="31"/>
      <c r="Y12" s="48" t="str">
        <f ca="1">IFERROR(__xludf.DUMMYFUNCTION("""COMPUTED_VALUE"""),"PhoPapi")</f>
        <v>PhoPapi</v>
      </c>
      <c r="Z12" s="49">
        <f ca="1">IFERROR(__xludf.DUMMYFUNCTION("""COMPUTED_VALUE"""),2464060)</f>
        <v>2464060</v>
      </c>
      <c r="AA12" s="31"/>
      <c r="AB12" s="45" t="s">
        <v>465</v>
      </c>
      <c r="AC12" s="50">
        <f>SUMIFS(Scoreboard_41[Kills],Scoreboard_41[Guild],"Best Regards")</f>
        <v>0</v>
      </c>
      <c r="AD12" s="51">
        <f>SUMIFS(Scoreboard_41[Kills],Scoreboard_41[Guild],"Unhinged肉")</f>
        <v>0</v>
      </c>
    </row>
    <row r="13" spans="1:30" ht="22.5" customHeight="1">
      <c r="A13" s="32">
        <v>12</v>
      </c>
      <c r="B13" s="94" t="str">
        <f>VLOOKUP(C13,Lists!I:J,2,FALSE)</f>
        <v>Melee DPS</v>
      </c>
      <c r="C13" s="95" t="str">
        <f>VLOOKUP(E13&amp;D13,Lists!C:E,3,FALSE)</f>
        <v>Spear/Dagger</v>
      </c>
      <c r="D13" s="35" t="s">
        <v>40</v>
      </c>
      <c r="E13" s="36" t="s">
        <v>169</v>
      </c>
      <c r="F13" s="35" t="s">
        <v>476</v>
      </c>
      <c r="G13" s="32">
        <v>32</v>
      </c>
      <c r="H13" s="32">
        <v>71</v>
      </c>
      <c r="I13" s="96">
        <f t="shared" si="0"/>
        <v>103</v>
      </c>
      <c r="J13" s="37">
        <v>1454946</v>
      </c>
      <c r="K13" s="37">
        <v>1832988</v>
      </c>
      <c r="L13" s="37">
        <v>30915</v>
      </c>
      <c r="M13" s="38">
        <f>I13/(HLOOKUP(F13,Team_Composition_23[[#All],[Yellow]:[Red]],10,FALSE)+HLOOKUP(F13,Team_Composition_23[[#All],[Yellow]:[Red]],11,FALSE))</f>
        <v>2.5743564108972758E-2</v>
      </c>
      <c r="N13" s="38">
        <f>J13/HLOOKUP(F13,Team_Composition_23[[#All],[Yellow]:[Red]],6,FALSE)</f>
        <v>3.2795947469626614E-2</v>
      </c>
      <c r="O13" s="38">
        <f>K13/HLOOKUP(F13,Team_Composition_23[[#All],[Yellow]:[Red]],8,FALSE)</f>
        <v>0.10462999014256885</v>
      </c>
      <c r="P13" s="38">
        <f>L13/HLOOKUP(F13,Team_Composition_23[[#All],[Yellow]:[Red]],7,FALSE)</f>
        <v>2.3882224595037347E-3</v>
      </c>
      <c r="Q13" s="31"/>
      <c r="R13" s="45" t="s">
        <v>466</v>
      </c>
      <c r="S13" s="46">
        <f>SUMIFS(Scoreboard_41[Assists],Scoreboard_41[Team],"Yellow")</f>
        <v>2360</v>
      </c>
      <c r="T13" s="47">
        <f>SUMIFS(Scoreboard_41[Assists],Scoreboard_41[Team],"Red")</f>
        <v>2287</v>
      </c>
      <c r="U13" s="31"/>
      <c r="V13" s="48" t="str">
        <f ca="1">IFERROR(__xludf.DUMMYFUNCTION("""COMPUTED_VALUE"""),"CLEM")</f>
        <v>CLEM</v>
      </c>
      <c r="W13" s="49">
        <f ca="1">IFERROR(__xludf.DUMMYFUNCTION("""COMPUTED_VALUE"""),112)</f>
        <v>112</v>
      </c>
      <c r="X13" s="31"/>
      <c r="Y13" s="48" t="str">
        <f ca="1">IFERROR(__xludf.DUMMYFUNCTION("""COMPUTED_VALUE"""),"Ryujin")</f>
        <v>Ryujin</v>
      </c>
      <c r="Z13" s="49">
        <f ca="1">IFERROR(__xludf.DUMMYFUNCTION("""COMPUTED_VALUE"""),2328129)</f>
        <v>2328129</v>
      </c>
      <c r="AA13" s="31"/>
      <c r="AB13" s="45" t="s">
        <v>466</v>
      </c>
      <c r="AC13" s="50">
        <f>SUMIFS(Scoreboard_41[Assists],Scoreboard_41[Guild],"Best Regards")</f>
        <v>0</v>
      </c>
      <c r="AD13" s="51">
        <f>SUMIFS(Scoreboard_41[Assists],Scoreboard_41[Guild],"Unhinged肉")</f>
        <v>0</v>
      </c>
    </row>
    <row r="14" spans="1:30" ht="22.5" customHeight="1">
      <c r="A14" s="32">
        <v>13</v>
      </c>
      <c r="B14" s="94" t="str">
        <f>VLOOKUP(C14,Lists!I:J,2,FALSE)</f>
        <v>KS</v>
      </c>
      <c r="C14" s="95" t="s">
        <v>69</v>
      </c>
      <c r="D14" s="35" t="s">
        <v>30</v>
      </c>
      <c r="E14" s="36" t="s">
        <v>228</v>
      </c>
      <c r="F14" s="35" t="s">
        <v>483</v>
      </c>
      <c r="G14" s="32">
        <v>32</v>
      </c>
      <c r="H14" s="32">
        <v>71</v>
      </c>
      <c r="I14" s="96">
        <f t="shared" si="0"/>
        <v>103</v>
      </c>
      <c r="J14" s="37">
        <v>1828842</v>
      </c>
      <c r="K14" s="37">
        <v>818579</v>
      </c>
      <c r="L14" s="37">
        <v>29738</v>
      </c>
      <c r="M14" s="38">
        <f>I14/(HLOOKUP(F14,Team_Composition_23[[#All],[Yellow]:[Red]],10,FALSE)+HLOOKUP(F14,Team_Composition_23[[#All],[Yellow]:[Red]],11,FALSE))</f>
        <v>0.12545676004872108</v>
      </c>
      <c r="N14" s="38">
        <f>J14/HLOOKUP(F14,Team_Composition_23[[#All],[Yellow]:[Red]],6,FALSE)</f>
        <v>0.10364409317893242</v>
      </c>
      <c r="O14" s="38">
        <f>K14/HLOOKUP(F14,Team_Composition_23[[#All],[Yellow]:[Red]],8,FALSE)</f>
        <v>1.8597331721068856E-2</v>
      </c>
      <c r="P14" s="38">
        <f>L14/HLOOKUP(F14,Team_Composition_23[[#All],[Yellow]:[Red]],7,FALSE)</f>
        <v>1.2253790514244259E-3</v>
      </c>
      <c r="Q14" s="31"/>
      <c r="R14" s="48"/>
      <c r="S14" s="58">
        <f t="shared" ref="S14:T14" si="1">SUM(S4:S7)</f>
        <v>42</v>
      </c>
      <c r="T14" s="58">
        <f t="shared" si="1"/>
        <v>41</v>
      </c>
      <c r="U14" s="31"/>
      <c r="V14" s="31"/>
      <c r="W14" s="31"/>
      <c r="X14" s="31"/>
      <c r="Y14" s="31"/>
      <c r="Z14" s="31"/>
      <c r="AA14" s="31"/>
      <c r="AB14" s="48"/>
      <c r="AC14" s="58"/>
      <c r="AD14" s="58"/>
    </row>
    <row r="15" spans="1:30" ht="22.5" customHeight="1">
      <c r="A15" s="32">
        <v>10</v>
      </c>
      <c r="B15" s="94" t="str">
        <f>VLOOKUP(C15,Lists!I:J,2,FALSE)</f>
        <v>Ranged DPS</v>
      </c>
      <c r="C15" s="95" t="s">
        <v>48</v>
      </c>
      <c r="D15" s="35" t="s">
        <v>30</v>
      </c>
      <c r="E15" s="36" t="s">
        <v>397</v>
      </c>
      <c r="F15" s="35" t="s">
        <v>483</v>
      </c>
      <c r="G15" s="32">
        <v>37</v>
      </c>
      <c r="H15" s="32">
        <v>63</v>
      </c>
      <c r="I15" s="96">
        <f t="shared" si="0"/>
        <v>100</v>
      </c>
      <c r="J15" s="37">
        <v>3055075</v>
      </c>
      <c r="K15" s="37">
        <v>745189</v>
      </c>
      <c r="L15" s="37">
        <v>0</v>
      </c>
      <c r="M15" s="38">
        <f>I15/(HLOOKUP(F15,Team_Composition_23[[#All],[Yellow]:[Red]],10,FALSE)+HLOOKUP(F15,Team_Composition_23[[#All],[Yellow]:[Red]],11,FALSE))</f>
        <v>0.1218026796589525</v>
      </c>
      <c r="N15" s="38">
        <f>J15/HLOOKUP(F15,Team_Composition_23[[#All],[Yellow]:[Red]],6,FALSE)</f>
        <v>0.1731371425025382</v>
      </c>
      <c r="O15" s="38">
        <f>K15/HLOOKUP(F15,Team_Composition_23[[#All],[Yellow]:[Red]],8,FALSE)</f>
        <v>1.6929981135469611E-2</v>
      </c>
      <c r="P15" s="38">
        <f>L15/HLOOKUP(F15,Team_Composition_23[[#All],[Yellow]:[Red]],7,FALSE)</f>
        <v>0</v>
      </c>
      <c r="Q15" s="31"/>
      <c r="R15" s="227" t="s">
        <v>25</v>
      </c>
      <c r="S15" s="228"/>
      <c r="T15" s="228"/>
      <c r="U15" s="31"/>
      <c r="V15" s="229" t="s">
        <v>496</v>
      </c>
      <c r="W15" s="228"/>
      <c r="X15" s="31"/>
      <c r="Y15" s="229" t="s">
        <v>497</v>
      </c>
      <c r="Z15" s="228"/>
      <c r="AA15" s="31"/>
      <c r="AB15" s="227" t="s">
        <v>25</v>
      </c>
      <c r="AC15" s="228"/>
      <c r="AD15" s="228"/>
    </row>
    <row r="16" spans="1:30" ht="22.5" customHeight="1">
      <c r="A16" s="32">
        <v>16</v>
      </c>
      <c r="B16" s="94" t="str">
        <f>VLOOKUP(C16,Lists!I:J,2,FALSE)</f>
        <v>Ranged DPS</v>
      </c>
      <c r="C16" s="95" t="str">
        <f>VLOOKUP(E16&amp;D16,Lists!C:E,3,FALSE)</f>
        <v>Staff/Orb</v>
      </c>
      <c r="D16" s="35" t="s">
        <v>40</v>
      </c>
      <c r="E16" s="36" t="s">
        <v>156</v>
      </c>
      <c r="F16" s="35" t="s">
        <v>476</v>
      </c>
      <c r="G16" s="32">
        <v>29</v>
      </c>
      <c r="H16" s="32">
        <v>70</v>
      </c>
      <c r="I16" s="96">
        <f t="shared" si="0"/>
        <v>99</v>
      </c>
      <c r="J16" s="37">
        <v>2328129</v>
      </c>
      <c r="K16" s="37">
        <v>1166727</v>
      </c>
      <c r="L16" s="37">
        <v>16529</v>
      </c>
      <c r="M16" s="38">
        <f>I16/(HLOOKUP(F16,Team_Composition_23[[#All],[Yellow]:[Red]],10,FALSE)+HLOOKUP(F16,Team_Composition_23[[#All],[Yellow]:[Red]],11,FALSE))</f>
        <v>2.4743814046488379E-2</v>
      </c>
      <c r="N16" s="38">
        <f>J16/HLOOKUP(F16,Team_Composition_23[[#All],[Yellow]:[Red]],6,FALSE)</f>
        <v>5.2478371284236214E-2</v>
      </c>
      <c r="O16" s="38">
        <f>K16/HLOOKUP(F16,Team_Composition_23[[#All],[Yellow]:[Red]],8,FALSE)</f>
        <v>6.6598709052688249E-2</v>
      </c>
      <c r="P16" s="38">
        <f>L16/HLOOKUP(F16,Team_Composition_23[[#All],[Yellow]:[Red]],7,FALSE)</f>
        <v>1.2768859464058623E-3</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32">
        <v>26</v>
      </c>
      <c r="B17" s="94" t="str">
        <f>VLOOKUP(C17,Lists!I:J,2,FALSE)</f>
        <v>Melee DPS</v>
      </c>
      <c r="C17" s="95" t="str">
        <f>VLOOKUP(E17&amp;D17,Lists!C:E,3,FALSE)</f>
        <v>Greatsword/Spear</v>
      </c>
      <c r="D17" s="35" t="s">
        <v>30</v>
      </c>
      <c r="E17" s="36" t="s">
        <v>398</v>
      </c>
      <c r="F17" s="35" t="s">
        <v>483</v>
      </c>
      <c r="G17" s="32">
        <v>18</v>
      </c>
      <c r="H17" s="32">
        <v>79</v>
      </c>
      <c r="I17" s="96">
        <f t="shared" si="0"/>
        <v>97</v>
      </c>
      <c r="J17" s="37">
        <v>2305818</v>
      </c>
      <c r="K17" s="37">
        <v>1140460</v>
      </c>
      <c r="L17" s="37">
        <v>23844</v>
      </c>
      <c r="M17" s="38">
        <f>I17/(HLOOKUP(F17,Team_Composition_23[[#All],[Yellow]:[Red]],10,FALSE)+HLOOKUP(F17,Team_Composition_23[[#All],[Yellow]:[Red]],11,FALSE))</f>
        <v>0.11814859926918392</v>
      </c>
      <c r="N17" s="38">
        <f>J17/HLOOKUP(F17,Team_Composition_23[[#All],[Yellow]:[Red]],6,FALSE)</f>
        <v>0.13067526645038752</v>
      </c>
      <c r="O17" s="38">
        <f>K17/HLOOKUP(F17,Team_Composition_23[[#All],[Yellow]:[Red]],8,FALSE)</f>
        <v>2.591016008792088E-2</v>
      </c>
      <c r="P17" s="38">
        <f>L17/HLOOKUP(F17,Team_Composition_23[[#All],[Yellow]:[Red]],7,FALSE)</f>
        <v>9.8251187376972252E-4</v>
      </c>
      <c r="Q17" s="31"/>
      <c r="R17" s="45" t="s">
        <v>468</v>
      </c>
      <c r="S17" s="46">
        <f>SUMIFS(Scoreboard_41[Damage Dealt],Scoreboard_41[Role],"Melee DPS",Scoreboard_41[Team],"Yellow")</f>
        <v>8222383</v>
      </c>
      <c r="T17" s="47">
        <f>SUMIFS(Scoreboard_41[Damage Dealt],Scoreboard_41[Role],"Melee DPS",Scoreboard_41[Team],"Red")</f>
        <v>9952866</v>
      </c>
      <c r="U17" s="31"/>
      <c r="V17" s="48" t="str">
        <f ca="1">IFERROR(__xludf.DUMMYFUNCTION("query(A1:P238, ""Select E,K Order by K Desc Limit 10"", 0)"),"Baozer")</f>
        <v>Baozer</v>
      </c>
      <c r="W17" s="49">
        <f ca="1">IFERROR(__xludf.DUMMYFUNCTION("""COMPUTED_VALUE"""),2445143)</f>
        <v>2445143</v>
      </c>
      <c r="X17" s="31"/>
      <c r="Y17" s="48" t="str">
        <f ca="1">IFERROR(__xludf.DUMMYFUNCTION("query(A1:P238, ""Select E,L Order by L Desc Limit 10"", 0)"),"apgonzo")</f>
        <v>apgonzo</v>
      </c>
      <c r="Z17" s="49">
        <f ca="1">IFERROR(__xludf.DUMMYFUNCTION("""COMPUTED_VALUE"""),4113510)</f>
        <v>4113510</v>
      </c>
      <c r="AA17" s="31"/>
      <c r="AB17" s="45" t="s">
        <v>468</v>
      </c>
      <c r="AC17" s="50">
        <f>SUMIFS(Scoreboard_41[Damage Dealt],Scoreboard_41[Role],"Melee DPS",Scoreboard_41[Guild],"Best Regards")</f>
        <v>0</v>
      </c>
      <c r="AD17" s="51">
        <f>SUMIFS(Scoreboard_41[Damage Dealt],Scoreboard_41[Role],"Melee DPS",Scoreboard_41[Guild],"Unhinged肉")</f>
        <v>0</v>
      </c>
    </row>
    <row r="18" spans="1:30" ht="22.5" customHeight="1">
      <c r="A18" s="32">
        <v>7</v>
      </c>
      <c r="B18" s="94" t="str">
        <f>VLOOKUP(C18,Lists!I:J,2,FALSE)</f>
        <v>KS</v>
      </c>
      <c r="C18" s="95" t="str">
        <f>VLOOKUP(E18&amp;D18,Lists!C:E,3,FALSE)</f>
        <v>Greatsword/Dagger</v>
      </c>
      <c r="D18" s="35" t="s">
        <v>30</v>
      </c>
      <c r="E18" s="36" t="s">
        <v>394</v>
      </c>
      <c r="F18" s="35" t="s">
        <v>483</v>
      </c>
      <c r="G18" s="32">
        <v>43</v>
      </c>
      <c r="H18" s="32">
        <v>50</v>
      </c>
      <c r="I18" s="96">
        <f t="shared" si="0"/>
        <v>93</v>
      </c>
      <c r="J18" s="37">
        <v>1625299</v>
      </c>
      <c r="K18" s="37">
        <v>965393</v>
      </c>
      <c r="L18" s="37">
        <v>36604</v>
      </c>
      <c r="M18" s="38">
        <f>I18/(HLOOKUP(F18,Team_Composition_23[[#All],[Yellow]:[Red]],10,FALSE)+HLOOKUP(F18,Team_Composition_23[[#All],[Yellow]:[Red]],11,FALSE))</f>
        <v>0.11327649208282582</v>
      </c>
      <c r="N18" s="38">
        <f>J18/HLOOKUP(F18,Team_Composition_23[[#All],[Yellow]:[Red]],6,FALSE)</f>
        <v>9.2108908806570328E-2</v>
      </c>
      <c r="O18" s="38">
        <f>K18/HLOOKUP(F18,Team_Composition_23[[#All],[Yellow]:[Red]],8,FALSE)</f>
        <v>2.1932805339738529E-2</v>
      </c>
      <c r="P18" s="38">
        <f>L18/HLOOKUP(F18,Team_Composition_23[[#All],[Yellow]:[Red]],7,FALSE)</f>
        <v>1.5082982984175024E-3</v>
      </c>
      <c r="Q18" s="31"/>
      <c r="R18" s="45" t="s">
        <v>469</v>
      </c>
      <c r="S18" s="46">
        <f>SUMIFS(Scoreboard_41[Damage Taken],Scoreboard_41[Role],"Melee DPS",Scoreboard_41[Team],"Yellow")</f>
        <v>7834502</v>
      </c>
      <c r="T18" s="47">
        <f>SUMIFS(Scoreboard_41[Damage Taken],Scoreboard_41[Role],"Melee DPS",Scoreboard_41[Team],"Red")</f>
        <v>4655593</v>
      </c>
      <c r="U18" s="31"/>
      <c r="V18" s="48" t="str">
        <f ca="1">IFERROR(__xludf.DUMMYFUNCTION("""COMPUTED_VALUE"""),"B")</f>
        <v>B</v>
      </c>
      <c r="W18" s="49">
        <f ca="1">IFERROR(__xludf.DUMMYFUNCTION("""COMPUTED_VALUE"""),2303502)</f>
        <v>2303502</v>
      </c>
      <c r="X18" s="31"/>
      <c r="Y18" s="48" t="str">
        <f ca="1">IFERROR(__xludf.DUMMYFUNCTION("""COMPUTED_VALUE"""),"Boharding")</f>
        <v>Boharding</v>
      </c>
      <c r="Z18" s="49">
        <f ca="1">IFERROR(__xludf.DUMMYFUNCTION("""COMPUTED_VALUE"""),3533920)</f>
        <v>3533920</v>
      </c>
      <c r="AA18" s="31"/>
      <c r="AB18" s="45" t="s">
        <v>469</v>
      </c>
      <c r="AC18" s="50">
        <f>SUMIFS(Scoreboard_41[Damage Taken],Scoreboard_41[Role],"Melee DPS",Scoreboard_41[Guild],"Best Regards")</f>
        <v>0</v>
      </c>
      <c r="AD18" s="51">
        <f>SUMIFS(Scoreboard_41[Damage Taken],Scoreboard_41[Role],"Melee DPS",Scoreboard_41[Guild],"Unhinged肉")</f>
        <v>0</v>
      </c>
    </row>
    <row r="19" spans="1:30" ht="22.5" customHeight="1">
      <c r="A19" s="32">
        <v>62</v>
      </c>
      <c r="B19" s="94" t="str">
        <f>VLOOKUP(C19,Lists!I:J,2,FALSE)</f>
        <v>Healer</v>
      </c>
      <c r="C19" s="95" t="str">
        <f>VLOOKUP(E19&amp;D19,Lists!C:E,3,FALSE)</f>
        <v>Wand/Orb</v>
      </c>
      <c r="D19" s="35" t="s">
        <v>40</v>
      </c>
      <c r="E19" s="36" t="s">
        <v>181</v>
      </c>
      <c r="F19" s="35" t="s">
        <v>476</v>
      </c>
      <c r="G19" s="32">
        <v>0</v>
      </c>
      <c r="H19" s="32">
        <v>91</v>
      </c>
      <c r="I19" s="96">
        <f t="shared" si="0"/>
        <v>91</v>
      </c>
      <c r="J19" s="37">
        <v>7126</v>
      </c>
      <c r="K19" s="37">
        <v>293159</v>
      </c>
      <c r="L19" s="37">
        <v>659309</v>
      </c>
      <c r="M19" s="38">
        <f>I19/(HLOOKUP(F19,Team_Composition_23[[#All],[Yellow]:[Red]],10,FALSE)+HLOOKUP(F19,Team_Composition_23[[#All],[Yellow]:[Red]],11,FALSE))</f>
        <v>2.274431392151962E-2</v>
      </c>
      <c r="N19" s="38">
        <f>J19/HLOOKUP(F19,Team_Composition_23[[#All],[Yellow]:[Red]],6,FALSE)</f>
        <v>1.6062721342823669E-4</v>
      </c>
      <c r="O19" s="38">
        <f>K19/HLOOKUP(F19,Team_Composition_23[[#All],[Yellow]:[Red]],8,FALSE)</f>
        <v>1.6734001139235687E-2</v>
      </c>
      <c r="P19" s="38">
        <f>L19/HLOOKUP(F19,Team_Composition_23[[#All],[Yellow]:[Red]],7,FALSE)</f>
        <v>5.093244578854756E-2</v>
      </c>
      <c r="Q19" s="31"/>
      <c r="R19" s="45" t="s">
        <v>470</v>
      </c>
      <c r="S19" s="46">
        <f>SUMIFS(Scoreboard_41[Amount Healed],Scoreboard_41[Role],"Melee DPS",Scoreboard_41[Team],"Yellow")</f>
        <v>164883</v>
      </c>
      <c r="T19" s="47">
        <f>SUMIFS(Scoreboard_41[Amount Healed],Scoreboard_41[Role],"Melee DPS",Scoreboard_41[Team],"Red")</f>
        <v>112855</v>
      </c>
      <c r="U19" s="31"/>
      <c r="V19" s="48" t="str">
        <f ca="1">IFERROR(__xludf.DUMMYFUNCTION("""COMPUTED_VALUE"""),"H612")</f>
        <v>H612</v>
      </c>
      <c r="W19" s="49">
        <f ca="1">IFERROR(__xludf.DUMMYFUNCTION("""COMPUTED_VALUE"""),1832988)</f>
        <v>1832988</v>
      </c>
      <c r="X19" s="31"/>
      <c r="Y19" s="48" t="str">
        <f ca="1">IFERROR(__xludf.DUMMYFUNCTION("""COMPUTED_VALUE"""),"EgirlWaifu")</f>
        <v>EgirlWaifu</v>
      </c>
      <c r="Z19" s="49">
        <f ca="1">IFERROR(__xludf.DUMMYFUNCTION("""COMPUTED_VALUE"""),3447191)</f>
        <v>3447191</v>
      </c>
      <c r="AA19" s="31"/>
      <c r="AB19" s="45" t="s">
        <v>470</v>
      </c>
      <c r="AC19" s="50">
        <f>SUMIFS(Scoreboard_41[Amount Healed],Scoreboard_41[Role],"Melee DPS",Scoreboard_41[Guild],"Best Regards")</f>
        <v>0</v>
      </c>
      <c r="AD19" s="51">
        <f>SUMIFS(Scoreboard_41[Amount Healed],Scoreboard_41[Role],"Melee DPS",Scoreboard_41[Guild],"Unhinged肉")</f>
        <v>0</v>
      </c>
    </row>
    <row r="20" spans="1:30" ht="22.5" customHeight="1">
      <c r="A20" s="32">
        <v>17</v>
      </c>
      <c r="B20" s="94" t="str">
        <f>VLOOKUP(C20,Lists!I:J,2,FALSE)</f>
        <v>Melee DPS</v>
      </c>
      <c r="C20" s="95" t="s">
        <v>23</v>
      </c>
      <c r="D20" s="35" t="s">
        <v>30</v>
      </c>
      <c r="E20" s="36" t="s">
        <v>400</v>
      </c>
      <c r="F20" s="35" t="s">
        <v>483</v>
      </c>
      <c r="G20" s="32">
        <v>28</v>
      </c>
      <c r="H20" s="32">
        <v>60</v>
      </c>
      <c r="I20" s="96">
        <f t="shared" si="0"/>
        <v>88</v>
      </c>
      <c r="J20" s="37">
        <v>2464060</v>
      </c>
      <c r="K20" s="37">
        <v>1255043</v>
      </c>
      <c r="L20" s="37">
        <v>86794</v>
      </c>
      <c r="M20" s="38">
        <f>I20/(HLOOKUP(F20,Team_Composition_23[[#All],[Yellow]:[Red]],10,FALSE)+HLOOKUP(F20,Team_Composition_23[[#All],[Yellow]:[Red]],11,FALSE))</f>
        <v>0.1071863580998782</v>
      </c>
      <c r="N20" s="38">
        <f>J20/HLOOKUP(F20,Team_Composition_23[[#All],[Yellow]:[Red]],6,FALSE)</f>
        <v>0.13964315355754089</v>
      </c>
      <c r="O20" s="38">
        <f>K20/HLOOKUP(F20,Team_Composition_23[[#All],[Yellow]:[Red]],8,FALSE)</f>
        <v>2.8513376222949059E-2</v>
      </c>
      <c r="P20" s="38">
        <f>L20/HLOOKUP(F20,Team_Composition_23[[#All],[Yellow]:[Red]],7,FALSE)</f>
        <v>3.5764190392538709E-3</v>
      </c>
      <c r="Q20" s="31"/>
      <c r="R20" s="45" t="s">
        <v>465</v>
      </c>
      <c r="S20" s="46">
        <f>SUMIFS(Scoreboard_41[Kills],Scoreboard_41[Role],"Melee DPS",Scoreboard_41[Team],"Yellow")</f>
        <v>159</v>
      </c>
      <c r="T20" s="47">
        <f>SUMIFS(Scoreboard_41[Kills],Scoreboard_41[Role],"Melee DPS",Scoreboard_41[Team],"Red")</f>
        <v>123</v>
      </c>
      <c r="U20" s="31"/>
      <c r="V20" s="48" t="str">
        <f ca="1">IFERROR(__xludf.DUMMYFUNCTION("""COMPUTED_VALUE"""),"CLEM")</f>
        <v>CLEM</v>
      </c>
      <c r="W20" s="49">
        <f ca="1">IFERROR(__xludf.DUMMYFUNCTION("""COMPUTED_VALUE"""),1718343)</f>
        <v>1718343</v>
      </c>
      <c r="X20" s="31"/>
      <c r="Y20" s="48" t="str">
        <f ca="1">IFERROR(__xludf.DUMMYFUNCTION("""COMPUTED_VALUE"""),"Purple")</f>
        <v>Purple</v>
      </c>
      <c r="Z20" s="49">
        <f ca="1">IFERROR(__xludf.DUMMYFUNCTION("""COMPUTED_VALUE"""),2108784)</f>
        <v>2108784</v>
      </c>
      <c r="AA20" s="31"/>
      <c r="AB20" s="45" t="s">
        <v>465</v>
      </c>
      <c r="AC20" s="50">
        <f>SUMIFS(Scoreboard_41[Kills],Scoreboard_41[Role],"Melee DPS",Scoreboard_41[Guild],"Best Regards")</f>
        <v>0</v>
      </c>
      <c r="AD20" s="51">
        <f>SUMIFS(Scoreboard_41[Kills],Scoreboard_41[Role],"Melee DPS",Scoreboard_41[Guild],"Unhinged肉")</f>
        <v>0</v>
      </c>
    </row>
    <row r="21" spans="1:30" ht="22.5" customHeight="1">
      <c r="A21" s="32">
        <v>14</v>
      </c>
      <c r="B21" s="94" t="str">
        <f>VLOOKUP(C21,Lists!I:J,2,FALSE)</f>
        <v>KS</v>
      </c>
      <c r="C21" s="95" t="str">
        <f>VLOOKUP(E21&amp;D21,Lists!C:E,3,FALSE)</f>
        <v>Crossbow/Dagger</v>
      </c>
      <c r="D21" s="35" t="s">
        <v>30</v>
      </c>
      <c r="E21" s="36" t="s">
        <v>229</v>
      </c>
      <c r="F21" s="35" t="s">
        <v>483</v>
      </c>
      <c r="G21" s="32">
        <v>31</v>
      </c>
      <c r="H21" s="32">
        <v>53</v>
      </c>
      <c r="I21" s="96">
        <f t="shared" si="0"/>
        <v>84</v>
      </c>
      <c r="J21" s="37">
        <v>1273645</v>
      </c>
      <c r="K21" s="37">
        <v>507235</v>
      </c>
      <c r="L21" s="37">
        <v>12224</v>
      </c>
      <c r="M21" s="38">
        <f>I21/(HLOOKUP(F21,Team_Composition_23[[#All],[Yellow]:[Red]],10,FALSE)+HLOOKUP(F21,Team_Composition_23[[#All],[Yellow]:[Red]],11,FALSE))</f>
        <v>0.1023142509135201</v>
      </c>
      <c r="N21" s="38">
        <f>J21/HLOOKUP(F21,Team_Composition_23[[#All],[Yellow]:[Red]],6,FALSE)</f>
        <v>7.2179981133898605E-2</v>
      </c>
      <c r="O21" s="38">
        <f>K21/HLOOKUP(F21,Team_Composition_23[[#All],[Yellow]:[Red]],8,FALSE)</f>
        <v>1.1523893913154821E-2</v>
      </c>
      <c r="P21" s="38">
        <f>L21/HLOOKUP(F21,Team_Composition_23[[#All],[Yellow]:[Red]],7,FALSE)</f>
        <v>5.0370009834596076E-4</v>
      </c>
      <c r="Q21" s="31"/>
      <c r="R21" s="45" t="s">
        <v>466</v>
      </c>
      <c r="S21" s="46">
        <f>SUMIFS(Scoreboard_41[Assists],Scoreboard_41[Role],"Melee DPS",Scoreboard_41[Team],"Yellow")</f>
        <v>380</v>
      </c>
      <c r="T21" s="47">
        <f>SUMIFS(Scoreboard_41[Assists],Scoreboard_41[Role],"Melee DPS",Scoreboard_41[Team],"Red")</f>
        <v>313</v>
      </c>
      <c r="U21" s="31"/>
      <c r="V21" s="48" t="str">
        <f ca="1">IFERROR(__xludf.DUMMYFUNCTION("""COMPUTED_VALUE"""),"RheGGie")</f>
        <v>RheGGie</v>
      </c>
      <c r="W21" s="49">
        <f ca="1">IFERROR(__xludf.DUMMYFUNCTION("""COMPUTED_VALUE"""),1623877)</f>
        <v>1623877</v>
      </c>
      <c r="X21" s="31"/>
      <c r="Y21" s="48" t="str">
        <f ca="1">IFERROR(__xludf.DUMMYFUNCTION("""COMPUTED_VALUE"""),"Reinnier")</f>
        <v>Reinnier</v>
      </c>
      <c r="Z21" s="49">
        <f ca="1">IFERROR(__xludf.DUMMYFUNCTION("""COMPUTED_VALUE"""),2064495)</f>
        <v>2064495</v>
      </c>
      <c r="AA21" s="31"/>
      <c r="AB21" s="45" t="s">
        <v>466</v>
      </c>
      <c r="AC21" s="50">
        <f>SUMIFS(Scoreboard_41[Assists],Scoreboard_41[Role],"Melee DPS",Scoreboard_41[Guild],"Best Regards")</f>
        <v>0</v>
      </c>
      <c r="AD21" s="51">
        <f>SUMIFS(Scoreboard_41[Assists],Scoreboard_41[Role],"Melee DPS",Scoreboard_41[Guild],"Unhinged肉")</f>
        <v>0</v>
      </c>
    </row>
    <row r="22" spans="1:30" ht="22.5" customHeight="1">
      <c r="A22" s="32">
        <v>27</v>
      </c>
      <c r="B22" s="94" t="str">
        <f>VLOOKUP(C22,Lists!I:J,2,FALSE)</f>
        <v>Ranged DPS</v>
      </c>
      <c r="C22" s="95" t="str">
        <f>VLOOKUP(E22&amp;D22,Lists!C:E,3,FALSE)</f>
        <v>Crossbow/SnS</v>
      </c>
      <c r="D22" s="35" t="s">
        <v>30</v>
      </c>
      <c r="E22" s="36" t="s">
        <v>405</v>
      </c>
      <c r="F22" s="35" t="s">
        <v>483</v>
      </c>
      <c r="G22" s="32">
        <v>18</v>
      </c>
      <c r="H22" s="32">
        <v>65</v>
      </c>
      <c r="I22" s="96">
        <f t="shared" si="0"/>
        <v>83</v>
      </c>
      <c r="J22" s="37">
        <v>2286017</v>
      </c>
      <c r="K22" s="37">
        <v>1140291</v>
      </c>
      <c r="L22" s="37">
        <v>86345</v>
      </c>
      <c r="M22" s="38">
        <f>I22/(HLOOKUP(F22,Team_Composition_23[[#All],[Yellow]:[Red]],10,FALSE)+HLOOKUP(F22,Team_Composition_23[[#All],[Yellow]:[Red]],11,FALSE))</f>
        <v>0.10109622411693057</v>
      </c>
      <c r="N22" s="38">
        <f>J22/HLOOKUP(F22,Team_Composition_23[[#All],[Yellow]:[Red]],6,FALSE)</f>
        <v>0.12955310461845448</v>
      </c>
      <c r="O22" s="38">
        <f>K22/HLOOKUP(F22,Team_Composition_23[[#All],[Yellow]:[Red]],8,FALSE)</f>
        <v>2.5906320569608218E-2</v>
      </c>
      <c r="P22" s="38">
        <f>L22/HLOOKUP(F22,Team_Composition_23[[#All],[Yellow]:[Red]],7,FALSE)</f>
        <v>3.5579176203928324E-3</v>
      </c>
      <c r="Q22" s="31"/>
      <c r="R22" s="45" t="s">
        <v>24</v>
      </c>
      <c r="S22" s="46">
        <f t="shared" ref="S22:S25" si="2">COUNTIFS(C:C,R22,F:F,"Yellow")</f>
        <v>2</v>
      </c>
      <c r="T22" s="47">
        <f t="shared" ref="T22:T25" si="3">COUNTIFS(C:C,R22,F:F,"Red")</f>
        <v>3</v>
      </c>
      <c r="U22" s="31"/>
      <c r="V22" s="48" t="str">
        <f ca="1">IFERROR(__xludf.DUMMYFUNCTION("""COMPUTED_VALUE"""),"Kiefblunt")</f>
        <v>Kiefblunt</v>
      </c>
      <c r="W22" s="49">
        <f ca="1">IFERROR(__xludf.DUMMYFUNCTION("""COMPUTED_VALUE"""),1618126)</f>
        <v>1618126</v>
      </c>
      <c r="X22" s="31"/>
      <c r="Y22" s="48" t="str">
        <f ca="1">IFERROR(__xludf.DUMMYFUNCTION("""COMPUTED_VALUE"""),"Curufinwei")</f>
        <v>Curufinwei</v>
      </c>
      <c r="Z22" s="49">
        <f ca="1">IFERROR(__xludf.DUMMYFUNCTION("""COMPUTED_VALUE"""),1789436)</f>
        <v>1789436</v>
      </c>
      <c r="AA22" s="31"/>
      <c r="AB22" s="45" t="s">
        <v>24</v>
      </c>
      <c r="AC22" s="50">
        <f t="shared" ref="AC22:AC25" si="4">COUNTIFS(C:C,AB22,D:D,"Best Regards")</f>
        <v>0</v>
      </c>
      <c r="AD22" s="51">
        <f t="shared" ref="AD22:AD25" si="5">COUNTIFS(C:C,AB22,D:D,"Unhinged肉")</f>
        <v>0</v>
      </c>
    </row>
    <row r="23" spans="1:30" ht="22.5" customHeight="1">
      <c r="A23" s="32">
        <v>34</v>
      </c>
      <c r="B23" s="94" t="str">
        <f>VLOOKUP(C23,Lists!I:J,2,FALSE)</f>
        <v>Ranged DPS</v>
      </c>
      <c r="C23" s="95" t="str">
        <f>VLOOKUP(E23&amp;D23,Lists!C:E,3,FALSE)</f>
        <v>SnS/Wand</v>
      </c>
      <c r="D23" s="35" t="s">
        <v>40</v>
      </c>
      <c r="E23" s="113" t="s">
        <v>65</v>
      </c>
      <c r="F23" s="35" t="s">
        <v>476</v>
      </c>
      <c r="G23" s="32">
        <v>11</v>
      </c>
      <c r="H23" s="32">
        <v>70</v>
      </c>
      <c r="I23" s="96">
        <f t="shared" si="0"/>
        <v>81</v>
      </c>
      <c r="J23" s="37">
        <v>1439180</v>
      </c>
      <c r="K23" s="37">
        <v>1254031</v>
      </c>
      <c r="L23" s="37">
        <v>696409</v>
      </c>
      <c r="M23" s="38">
        <f>I23/(HLOOKUP(F23,Team_Composition_23[[#All],[Yellow]:[Red]],10,FALSE)+HLOOKUP(F23,Team_Composition_23[[#All],[Yellow]:[Red]],11,FALSE))</f>
        <v>2.0244938765308671E-2</v>
      </c>
      <c r="N23" s="38">
        <f>J23/HLOOKUP(F23,Team_Composition_23[[#All],[Yellow]:[Red]],6,FALSE)</f>
        <v>3.2440565958693469E-2</v>
      </c>
      <c r="O23" s="38">
        <f>K23/HLOOKUP(F23,Team_Composition_23[[#All],[Yellow]:[Red]],8,FALSE)</f>
        <v>7.1582165932606093E-2</v>
      </c>
      <c r="P23" s="38">
        <f>L23/HLOOKUP(F23,Team_Composition_23[[#All],[Yellow]:[Red]],7,FALSE)</f>
        <v>5.3798467242456301E-2</v>
      </c>
      <c r="Q23" s="31"/>
      <c r="R23" s="45" t="s">
        <v>69</v>
      </c>
      <c r="S23" s="46">
        <f t="shared" si="2"/>
        <v>2</v>
      </c>
      <c r="T23" s="47">
        <f t="shared" si="3"/>
        <v>3</v>
      </c>
      <c r="U23" s="31"/>
      <c r="V23" s="48" t="str">
        <f ca="1">IFERROR(__xludf.DUMMYFUNCTION("""COMPUTED_VALUE"""),"Sovwang")</f>
        <v>Sovwang</v>
      </c>
      <c r="W23" s="49">
        <f ca="1">IFERROR(__xludf.DUMMYFUNCTION("""COMPUTED_VALUE"""),1401327)</f>
        <v>1401327</v>
      </c>
      <c r="X23" s="31"/>
      <c r="Y23" s="48" t="str">
        <f ca="1">IFERROR(__xludf.DUMMYFUNCTION("""COMPUTED_VALUE"""),"ToxicFell")</f>
        <v>ToxicFell</v>
      </c>
      <c r="Z23" s="49">
        <f ca="1">IFERROR(__xludf.DUMMYFUNCTION("""COMPUTED_VALUE"""),1730366)</f>
        <v>1730366</v>
      </c>
      <c r="AA23" s="31"/>
      <c r="AB23" s="45" t="s">
        <v>69</v>
      </c>
      <c r="AC23" s="50">
        <f t="shared" si="4"/>
        <v>0</v>
      </c>
      <c r="AD23" s="51">
        <f t="shared" si="5"/>
        <v>0</v>
      </c>
    </row>
    <row r="24" spans="1:30" ht="22.5" customHeight="1">
      <c r="A24" s="32">
        <v>48</v>
      </c>
      <c r="B24" s="94" t="str">
        <f>VLOOKUP(C24,Lists!I:J,2,FALSE)</f>
        <v>Healer</v>
      </c>
      <c r="C24" s="95" t="str">
        <f>VLOOKUP(E24&amp;D24,Lists!C:E,3,FALSE)</f>
        <v>Wand/Orb</v>
      </c>
      <c r="D24" s="35" t="s">
        <v>40</v>
      </c>
      <c r="E24" s="36" t="s">
        <v>74</v>
      </c>
      <c r="F24" s="35" t="s">
        <v>476</v>
      </c>
      <c r="G24" s="32">
        <v>1</v>
      </c>
      <c r="H24" s="32">
        <v>79</v>
      </c>
      <c r="I24" s="96">
        <f t="shared" si="0"/>
        <v>80</v>
      </c>
      <c r="J24" s="37">
        <v>18580</v>
      </c>
      <c r="K24" s="37">
        <v>444191</v>
      </c>
      <c r="L24" s="37">
        <v>654486</v>
      </c>
      <c r="M24" s="38">
        <f>I24/(HLOOKUP(F24,Team_Composition_23[[#All],[Yellow]:[Red]],10,FALSE)+HLOOKUP(F24,Team_Composition_23[[#All],[Yellow]:[Red]],11,FALSE))</f>
        <v>1.9995001249687578E-2</v>
      </c>
      <c r="N24" s="38">
        <f>J24/HLOOKUP(F24,Team_Composition_23[[#All],[Yellow]:[Red]],6,FALSE)</f>
        <v>4.18811903662172E-4</v>
      </c>
      <c r="O24" s="38">
        <f>K24/HLOOKUP(F24,Team_Composition_23[[#All],[Yellow]:[Red]],8,FALSE)</f>
        <v>2.5355157781402717E-2</v>
      </c>
      <c r="P24" s="38">
        <f>L24/HLOOKUP(F24,Team_Composition_23[[#All],[Yellow]:[Red]],7,FALSE)</f>
        <v>5.0559862999539427E-2</v>
      </c>
      <c r="Q24" s="31"/>
      <c r="R24" s="45" t="s">
        <v>23</v>
      </c>
      <c r="S24" s="46">
        <f t="shared" si="2"/>
        <v>3</v>
      </c>
      <c r="T24" s="47">
        <f t="shared" si="3"/>
        <v>2</v>
      </c>
      <c r="U24" s="31"/>
      <c r="V24" s="48" t="str">
        <f ca="1">IFERROR(__xludf.DUMMYFUNCTION("""COMPUTED_VALUE"""),"Basileus")</f>
        <v>Basileus</v>
      </c>
      <c r="W24" s="49">
        <f ca="1">IFERROR(__xludf.DUMMYFUNCTION("""COMPUTED_VALUE"""),1283272)</f>
        <v>1283272</v>
      </c>
      <c r="X24" s="31"/>
      <c r="Y24" s="48" t="str">
        <f ca="1">IFERROR(__xludf.DUMMYFUNCTION("""COMPUTED_VALUE"""),"Mostley")</f>
        <v>Mostley</v>
      </c>
      <c r="Z24" s="49">
        <f ca="1">IFERROR(__xludf.DUMMYFUNCTION("""COMPUTED_VALUE"""),1377991)</f>
        <v>1377991</v>
      </c>
      <c r="AA24" s="31"/>
      <c r="AB24" s="45" t="s">
        <v>23</v>
      </c>
      <c r="AC24" s="50">
        <f t="shared" si="4"/>
        <v>0</v>
      </c>
      <c r="AD24" s="51">
        <f t="shared" si="5"/>
        <v>0</v>
      </c>
    </row>
    <row r="25" spans="1:30" ht="22.5" customHeight="1">
      <c r="A25" s="32">
        <v>31</v>
      </c>
      <c r="B25" s="94" t="str">
        <f>VLOOKUP(C25,Lists!I:J,2,FALSE)</f>
        <v>Ranged DPS</v>
      </c>
      <c r="C25" s="95" t="str">
        <f>VLOOKUP(E25&amp;D25,Lists!C:E,3,FALSE)</f>
        <v>Crossbow/SnS</v>
      </c>
      <c r="D25" s="35" t="s">
        <v>30</v>
      </c>
      <c r="E25" s="36" t="s">
        <v>403</v>
      </c>
      <c r="F25" s="35" t="s">
        <v>483</v>
      </c>
      <c r="G25" s="32">
        <v>15</v>
      </c>
      <c r="H25" s="32">
        <v>61</v>
      </c>
      <c r="I25" s="96">
        <f t="shared" si="0"/>
        <v>76</v>
      </c>
      <c r="J25" s="37">
        <v>1675408</v>
      </c>
      <c r="K25" s="37">
        <v>802127</v>
      </c>
      <c r="L25" s="37">
        <v>30484</v>
      </c>
      <c r="M25" s="38">
        <f>I25/(HLOOKUP(F25,Team_Composition_23[[#All],[Yellow]:[Red]],10,FALSE)+HLOOKUP(F25,Team_Composition_23[[#All],[Yellow]:[Red]],11,FALSE))</f>
        <v>9.2570036540803896E-2</v>
      </c>
      <c r="N25" s="38">
        <f>J25/HLOOKUP(F25,Team_Composition_23[[#All],[Yellow]:[Red]],6,FALSE)</f>
        <v>9.4948684940923719E-2</v>
      </c>
      <c r="O25" s="38">
        <f>K25/HLOOKUP(F25,Team_Composition_23[[#All],[Yellow]:[Red]],8,FALSE)</f>
        <v>1.8223558021187688E-2</v>
      </c>
      <c r="P25" s="38">
        <f>L25/HLOOKUP(F25,Team_Composition_23[[#All],[Yellow]:[Red]],7,FALSE)</f>
        <v>1.2561186025833008E-3</v>
      </c>
      <c r="Q25" s="31"/>
      <c r="R25" s="45" t="s">
        <v>33</v>
      </c>
      <c r="S25" s="46">
        <f t="shared" si="2"/>
        <v>0</v>
      </c>
      <c r="T25" s="47">
        <f t="shared" si="3"/>
        <v>0</v>
      </c>
      <c r="U25" s="31"/>
      <c r="V25" s="48" t="str">
        <f ca="1">IFERROR(__xludf.DUMMYFUNCTION("""COMPUTED_VALUE"""),"PhoPapi")</f>
        <v>PhoPapi</v>
      </c>
      <c r="W25" s="49">
        <f ca="1">IFERROR(__xludf.DUMMYFUNCTION("""COMPUTED_VALUE"""),1255043)</f>
        <v>1255043</v>
      </c>
      <c r="X25" s="31"/>
      <c r="Y25" s="48" t="str">
        <f ca="1">IFERROR(__xludf.DUMMYFUNCTION("""COMPUTED_VALUE"""),"BombaTriX")</f>
        <v>BombaTriX</v>
      </c>
      <c r="Z25" s="49">
        <f ca="1">IFERROR(__xludf.DUMMYFUNCTION("""COMPUTED_VALUE"""),1343060)</f>
        <v>1343060</v>
      </c>
      <c r="AA25" s="31"/>
      <c r="AB25" s="45" t="s">
        <v>33</v>
      </c>
      <c r="AC25" s="50">
        <f t="shared" si="4"/>
        <v>0</v>
      </c>
      <c r="AD25" s="51">
        <f t="shared" si="5"/>
        <v>0</v>
      </c>
    </row>
    <row r="26" spans="1:30" ht="22.5" customHeight="1">
      <c r="A26" s="32">
        <v>19</v>
      </c>
      <c r="B26" s="94" t="str">
        <f>VLOOKUP(C26,Lists!I:J,2,FALSE)</f>
        <v>Melee DPS</v>
      </c>
      <c r="C26" s="95" t="s">
        <v>24</v>
      </c>
      <c r="D26" s="35" t="s">
        <v>30</v>
      </c>
      <c r="E26" s="36" t="s">
        <v>452</v>
      </c>
      <c r="F26" s="35" t="s">
        <v>483</v>
      </c>
      <c r="G26" s="32">
        <v>25</v>
      </c>
      <c r="H26" s="32">
        <v>48</v>
      </c>
      <c r="I26" s="96">
        <f t="shared" si="0"/>
        <v>73</v>
      </c>
      <c r="J26" s="37">
        <v>1258668</v>
      </c>
      <c r="K26" s="37">
        <v>635711</v>
      </c>
      <c r="L26" s="37">
        <v>0</v>
      </c>
      <c r="M26" s="38">
        <f>I26/(HLOOKUP(F26,Team_Composition_23[[#All],[Yellow]:[Red]],10,FALSE)+HLOOKUP(F26,Team_Composition_23[[#All],[Yellow]:[Red]],11,FALSE))</f>
        <v>8.8915956151035327E-2</v>
      </c>
      <c r="N26" s="38">
        <f>J26/HLOOKUP(F26,Team_Composition_23[[#All],[Yellow]:[Red]],6,FALSE)</f>
        <v>7.1331204922754674E-2</v>
      </c>
      <c r="O26" s="38">
        <f>K26/HLOOKUP(F26,Team_Composition_23[[#All],[Yellow]:[Red]],8,FALSE)</f>
        <v>1.4442745716335751E-2</v>
      </c>
      <c r="P26" s="38">
        <f>L26/HLOOKUP(F26,Team_Composition_23[[#All],[Yellow]:[Red]],7,FALSE)</f>
        <v>0</v>
      </c>
      <c r="Q26" s="31"/>
      <c r="R26" s="48"/>
      <c r="S26" s="63"/>
      <c r="T26" s="63"/>
      <c r="U26" s="31"/>
      <c r="V26" s="48" t="str">
        <f ca="1">IFERROR(__xludf.DUMMYFUNCTION("""COMPUTED_VALUE"""),"jaMESSSSS")</f>
        <v>jaMESSSSS</v>
      </c>
      <c r="W26" s="49">
        <f ca="1">IFERROR(__xludf.DUMMYFUNCTION("""COMPUTED_VALUE"""),1254031)</f>
        <v>1254031</v>
      </c>
      <c r="X26" s="31"/>
      <c r="Y26" s="48" t="str">
        <f ca="1">IFERROR(__xludf.DUMMYFUNCTION("""COMPUTED_VALUE"""),"Raye")</f>
        <v>Raye</v>
      </c>
      <c r="Z26" s="49">
        <f ca="1">IFERROR(__xludf.DUMMYFUNCTION("""COMPUTED_VALUE"""),1294430)</f>
        <v>1294430</v>
      </c>
      <c r="AA26" s="31"/>
      <c r="AB26" s="48"/>
      <c r="AC26" s="63"/>
      <c r="AD26" s="63"/>
    </row>
    <row r="27" spans="1:30" ht="22.5" customHeight="1">
      <c r="A27" s="32">
        <v>37</v>
      </c>
      <c r="B27" s="94" t="str">
        <f>VLOOKUP(C27,Lists!I:J,2,FALSE)</f>
        <v>Tank</v>
      </c>
      <c r="C27" s="95" t="str">
        <f>VLOOKUP(E27&amp;D27,Lists!C:E,3,FALSE)</f>
        <v>SnS/Greatsword</v>
      </c>
      <c r="D27" s="35" t="s">
        <v>30</v>
      </c>
      <c r="E27" s="36" t="s">
        <v>216</v>
      </c>
      <c r="F27" s="35" t="s">
        <v>483</v>
      </c>
      <c r="G27" s="32">
        <v>7</v>
      </c>
      <c r="H27" s="32">
        <v>66</v>
      </c>
      <c r="I27" s="96">
        <f t="shared" si="0"/>
        <v>73</v>
      </c>
      <c r="J27" s="37">
        <v>538952</v>
      </c>
      <c r="K27" s="37">
        <v>476048</v>
      </c>
      <c r="L27" s="37">
        <v>48613</v>
      </c>
      <c r="M27" s="38">
        <f>I27/(HLOOKUP(F27,Team_Composition_23[[#All],[Yellow]:[Red]],10,FALSE)+HLOOKUP(F27,Team_Composition_23[[#All],[Yellow]:[Red]],11,FALSE))</f>
        <v>8.8915956151035327E-2</v>
      </c>
      <c r="N27" s="38">
        <f>J27/HLOOKUP(F27,Team_Composition_23[[#All],[Yellow]:[Red]],6,FALSE)</f>
        <v>3.0543475766070544E-2</v>
      </c>
      <c r="O27" s="38">
        <f>K27/HLOOKUP(F27,Team_Composition_23[[#All],[Yellow]:[Red]],8,FALSE)</f>
        <v>1.0815355110687406E-2</v>
      </c>
      <c r="P27" s="38">
        <f>L27/HLOOKUP(F27,Team_Composition_23[[#All],[Yellow]:[Red]],7,FALSE)</f>
        <v>2.0031391427431438E-3</v>
      </c>
      <c r="Q27" s="31"/>
      <c r="R27" s="31"/>
      <c r="S27" s="64"/>
      <c r="T27" s="64"/>
      <c r="U27" s="31"/>
      <c r="V27" s="31"/>
      <c r="W27" s="31"/>
      <c r="X27" s="31"/>
      <c r="Y27" s="31"/>
      <c r="Z27" s="31"/>
      <c r="AA27" s="31"/>
      <c r="AB27" s="31"/>
      <c r="AC27" s="64"/>
      <c r="AD27" s="64"/>
    </row>
    <row r="28" spans="1:30" ht="22.5" customHeight="1">
      <c r="A28" s="32">
        <v>63</v>
      </c>
      <c r="B28" s="94" t="str">
        <f>VLOOKUP(C28,Lists!I:J,2,FALSE)</f>
        <v>Healer</v>
      </c>
      <c r="C28" s="95" t="str">
        <f>VLOOKUP(E28&amp;D28,Lists!C:E,3,FALSE)</f>
        <v>Wand/Longbow</v>
      </c>
      <c r="D28" s="35" t="s">
        <v>40</v>
      </c>
      <c r="E28" s="36" t="s">
        <v>44</v>
      </c>
      <c r="F28" s="35" t="s">
        <v>476</v>
      </c>
      <c r="G28" s="32">
        <v>0</v>
      </c>
      <c r="H28" s="32">
        <v>72</v>
      </c>
      <c r="I28" s="96">
        <f t="shared" si="0"/>
        <v>72</v>
      </c>
      <c r="J28" s="37">
        <v>46021</v>
      </c>
      <c r="K28" s="37">
        <v>753857</v>
      </c>
      <c r="L28" s="37">
        <v>3447191</v>
      </c>
      <c r="M28" s="38">
        <f>I28/(HLOOKUP(F28,Team_Composition_23[[#All],[Yellow]:[Red]],10,FALSE)+HLOOKUP(F28,Team_Composition_23[[#All],[Yellow]:[Red]],11,FALSE))</f>
        <v>1.7995501124718819E-2</v>
      </c>
      <c r="N28" s="38">
        <f>J28/HLOOKUP(F28,Team_Composition_23[[#All],[Yellow]:[Red]],6,FALSE)</f>
        <v>1.0373596673001516E-3</v>
      </c>
      <c r="O28" s="38">
        <f>K28/HLOOKUP(F28,Team_Composition_23[[#All],[Yellow]:[Red]],8,FALSE)</f>
        <v>4.3031405813298576E-2</v>
      </c>
      <c r="P28" s="38">
        <f>L28/HLOOKUP(F28,Team_Composition_23[[#All],[Yellow]:[Red]],7,FALSE)</f>
        <v>0.26629982107064981</v>
      </c>
      <c r="Q28" s="31"/>
      <c r="R28" s="227" t="s">
        <v>39</v>
      </c>
      <c r="S28" s="228"/>
      <c r="T28" s="228"/>
      <c r="U28" s="31"/>
      <c r="V28" s="31"/>
      <c r="W28" s="31"/>
      <c r="X28" s="31"/>
      <c r="Y28" s="31"/>
      <c r="Z28" s="31"/>
      <c r="AA28" s="31"/>
      <c r="AB28" s="227" t="s">
        <v>39</v>
      </c>
      <c r="AC28" s="228"/>
      <c r="AD28" s="228"/>
    </row>
    <row r="29" spans="1:30" ht="22.5" customHeight="1">
      <c r="A29" s="32">
        <v>22</v>
      </c>
      <c r="B29" s="94" t="str">
        <f>VLOOKUP(C29,Lists!I:J,2,FALSE)</f>
        <v>KS</v>
      </c>
      <c r="C29" s="95" t="str">
        <f>VLOOKUP(E29&amp;D29,Lists!C:E,3,FALSE)</f>
        <v>Crossbow/Dagger</v>
      </c>
      <c r="D29" s="35" t="s">
        <v>40</v>
      </c>
      <c r="E29" s="36" t="s">
        <v>161</v>
      </c>
      <c r="F29" s="35" t="s">
        <v>476</v>
      </c>
      <c r="G29" s="32">
        <v>20</v>
      </c>
      <c r="H29" s="32">
        <v>51</v>
      </c>
      <c r="I29" s="96">
        <f t="shared" si="0"/>
        <v>71</v>
      </c>
      <c r="J29" s="37">
        <v>959164</v>
      </c>
      <c r="K29" s="37">
        <v>552152</v>
      </c>
      <c r="L29" s="37">
        <v>9515</v>
      </c>
      <c r="M29" s="38">
        <f>I29/(HLOOKUP(F29,Team_Composition_23[[#All],[Yellow]:[Red]],10,FALSE)+HLOOKUP(F29,Team_Composition_23[[#All],[Yellow]:[Red]],11,FALSE))</f>
        <v>1.7745563609097726E-2</v>
      </c>
      <c r="N29" s="38">
        <f>J29/HLOOKUP(F29,Team_Composition_23[[#All],[Yellow]:[Red]],6,FALSE)</f>
        <v>2.1620522107869942E-2</v>
      </c>
      <c r="O29" s="38">
        <f>K29/HLOOKUP(F29,Team_Composition_23[[#All],[Yellow]:[Red]],8,FALSE)</f>
        <v>3.1517750425643636E-2</v>
      </c>
      <c r="P29" s="38">
        <f>L29/HLOOKUP(F29,Team_Composition_23[[#All],[Yellow]:[Red]],7,FALSE)</f>
        <v>7.3504566398764474E-4</v>
      </c>
      <c r="Q29" s="31"/>
      <c r="R29" s="41" t="s">
        <v>482</v>
      </c>
      <c r="S29" s="42" t="s">
        <v>476</v>
      </c>
      <c r="T29" s="42" t="s">
        <v>483</v>
      </c>
      <c r="U29" s="31"/>
      <c r="V29" s="31"/>
      <c r="W29" s="31"/>
      <c r="X29" s="31"/>
      <c r="Y29" s="31"/>
      <c r="Z29" s="31"/>
      <c r="AA29" s="31"/>
      <c r="AB29" s="41" t="s">
        <v>482</v>
      </c>
      <c r="AC29" s="42" t="s">
        <v>485</v>
      </c>
      <c r="AD29" s="42" t="s">
        <v>36</v>
      </c>
    </row>
    <row r="30" spans="1:30" ht="22.5" customHeight="1">
      <c r="A30" s="32">
        <v>64</v>
      </c>
      <c r="B30" s="94" t="str">
        <f>VLOOKUP(C30,Lists!I:J,2,FALSE)</f>
        <v>Healer</v>
      </c>
      <c r="C30" s="95" t="str">
        <f>VLOOKUP(E30&amp;D30,Lists!C:E,3,FALSE)</f>
        <v>Wand/Orb</v>
      </c>
      <c r="D30" s="35" t="s">
        <v>30</v>
      </c>
      <c r="E30" s="36" t="s">
        <v>200</v>
      </c>
      <c r="F30" s="35" t="s">
        <v>483</v>
      </c>
      <c r="G30" s="32">
        <v>0</v>
      </c>
      <c r="H30" s="32">
        <v>71</v>
      </c>
      <c r="I30" s="96">
        <f t="shared" si="0"/>
        <v>71</v>
      </c>
      <c r="J30" s="37">
        <v>475</v>
      </c>
      <c r="K30" s="37">
        <v>205220</v>
      </c>
      <c r="L30" s="37">
        <v>540494</v>
      </c>
      <c r="M30" s="38">
        <f>I30/(HLOOKUP(F30,Team_Composition_23[[#All],[Yellow]:[Red]],10,FALSE)+HLOOKUP(F30,Team_Composition_23[[#All],[Yellow]:[Red]],11,FALSE))</f>
        <v>8.6479902557856272E-2</v>
      </c>
      <c r="N30" s="38">
        <f>J30/HLOOKUP(F30,Team_Composition_23[[#All],[Yellow]:[Red]],6,FALSE)</f>
        <v>2.6919189443370666E-5</v>
      </c>
      <c r="O30" s="38">
        <f>K30/HLOOKUP(F30,Team_Composition_23[[#All],[Yellow]:[Red]],8,FALSE)</f>
        <v>4.6624020599083903E-3</v>
      </c>
      <c r="P30" s="38">
        <f>L30/HLOOKUP(F30,Team_Composition_23[[#All],[Yellow]:[Red]],7,FALSE)</f>
        <v>2.2271505313759959E-2</v>
      </c>
      <c r="Q30" s="31"/>
      <c r="R30" s="45" t="s">
        <v>468</v>
      </c>
      <c r="S30" s="46">
        <f>SUMIFS(Scoreboard_41[Damage Dealt],Scoreboard_41[Role],"Ranged DPS",Scoreboard_41[Team],"Yellow")</f>
        <v>15406645</v>
      </c>
      <c r="T30" s="47">
        <f>SUMIFS(Scoreboard_41[Damage Dealt],Scoreboard_41[Role],"Ranged DPS",Scoreboard_41[Team],"Red")</f>
        <v>19476249</v>
      </c>
      <c r="U30" s="31"/>
      <c r="V30" s="31"/>
      <c r="W30" s="31"/>
      <c r="X30" s="31"/>
      <c r="Y30" s="31"/>
      <c r="Z30" s="31"/>
      <c r="AA30" s="31"/>
      <c r="AB30" s="45" t="s">
        <v>468</v>
      </c>
      <c r="AC30" s="50">
        <f>SUMIFS(Scoreboard_41[Damage Dealt],Scoreboard_41[Role],"Ranged DPS",Scoreboard_41[Guild],"Best Regards")</f>
        <v>0</v>
      </c>
      <c r="AD30" s="51">
        <f>SUMIFS(Scoreboard_41[Damage Dealt],Scoreboard_41[Role],"Ranged DPS",Scoreboard_41[Guild],"Unhinged肉")</f>
        <v>0</v>
      </c>
    </row>
    <row r="31" spans="1:30" ht="22.5" customHeight="1">
      <c r="A31" s="32">
        <v>65</v>
      </c>
      <c r="B31" s="94" t="str">
        <f>VLOOKUP(C31,Lists!I:J,2,FALSE)</f>
        <v>Healer</v>
      </c>
      <c r="C31" s="95" t="str">
        <f>VLOOKUP(E31&amp;D31,Lists!C:E,3,FALSE)</f>
        <v>Wand/Longbow</v>
      </c>
      <c r="D31" s="35" t="s">
        <v>40</v>
      </c>
      <c r="E31" s="36" t="s">
        <v>17</v>
      </c>
      <c r="F31" s="35" t="s">
        <v>476</v>
      </c>
      <c r="G31" s="32">
        <v>0</v>
      </c>
      <c r="H31" s="32">
        <v>70</v>
      </c>
      <c r="I31" s="96">
        <f t="shared" si="0"/>
        <v>70</v>
      </c>
      <c r="J31" s="37">
        <v>36742</v>
      </c>
      <c r="K31" s="37">
        <v>757513</v>
      </c>
      <c r="L31" s="37">
        <v>4113510</v>
      </c>
      <c r="M31" s="38">
        <f>I31/(HLOOKUP(F31,Team_Composition_23[[#All],[Yellow]:[Red]],10,FALSE)+HLOOKUP(F31,Team_Composition_23[[#All],[Yellow]:[Red]],11,FALSE))</f>
        <v>1.7495626093476629E-2</v>
      </c>
      <c r="N31" s="38">
        <f>J31/HLOOKUP(F31,Team_Composition_23[[#All],[Yellow]:[Red]],6,FALSE)</f>
        <v>8.2820166654227784E-4</v>
      </c>
      <c r="O31" s="38">
        <f>K31/HLOOKUP(F31,Team_Composition_23[[#All],[Yellow]:[Red]],8,FALSE)</f>
        <v>4.3240096346985231E-2</v>
      </c>
      <c r="P31" s="38">
        <f>L31/HLOOKUP(F31,Team_Composition_23[[#All],[Yellow]:[Red]],7,FALSE)</f>
        <v>0.31777379813660711</v>
      </c>
      <c r="Q31" s="31"/>
      <c r="R31" s="45" t="s">
        <v>469</v>
      </c>
      <c r="S31" s="46">
        <f>SUMIFS(Scoreboard_41[Damage Taken],Scoreboard_41[Role],"Ranged DPS",Scoreboard_41[Team],"Yellow")</f>
        <v>8712907</v>
      </c>
      <c r="T31" s="47">
        <f>SUMIFS(Scoreboard_41[Damage Taken],Scoreboard_41[Role],"Ranged DPS",Scoreboard_41[Team],"Red")</f>
        <v>5251388</v>
      </c>
      <c r="U31" s="31"/>
      <c r="V31" s="31"/>
      <c r="W31" s="31"/>
      <c r="X31" s="31"/>
      <c r="Y31" s="31"/>
      <c r="Z31" s="31"/>
      <c r="AA31" s="31"/>
      <c r="AB31" s="45" t="s">
        <v>469</v>
      </c>
      <c r="AC31" s="50">
        <f>SUMIFS(Scoreboard_41[Damage Taken],Scoreboard_41[Role],"Ranged DPS",Scoreboard_41[Guild],"Best Regards")</f>
        <v>0</v>
      </c>
      <c r="AD31" s="51">
        <f>SUMIFS(Scoreboard_41[Damage Taken],Scoreboard_41[Role],"Ranged DPS",Scoreboard_41[Guild],"Unhinged肉")</f>
        <v>0</v>
      </c>
    </row>
    <row r="32" spans="1:30" ht="22.5" customHeight="1">
      <c r="A32" s="32">
        <v>24</v>
      </c>
      <c r="B32" s="94" t="str">
        <f>VLOOKUP(C32,Lists!I:J,2,FALSE)</f>
        <v>KS</v>
      </c>
      <c r="C32" s="95" t="str">
        <f>VLOOKUP(E32&amp;D32,Lists!C:E,3,FALSE)</f>
        <v>Crossbow/Dagger</v>
      </c>
      <c r="D32" s="35" t="s">
        <v>30</v>
      </c>
      <c r="E32" s="36" t="s">
        <v>458</v>
      </c>
      <c r="F32" s="35" t="s">
        <v>483</v>
      </c>
      <c r="G32" s="32">
        <v>19</v>
      </c>
      <c r="H32" s="32">
        <v>49</v>
      </c>
      <c r="I32" s="96">
        <f t="shared" si="0"/>
        <v>68</v>
      </c>
      <c r="J32" s="37">
        <v>1004008</v>
      </c>
      <c r="K32" s="37">
        <v>490331</v>
      </c>
      <c r="L32" s="37">
        <v>22346</v>
      </c>
      <c r="M32" s="38">
        <f>I32/(HLOOKUP(F32,Team_Composition_23[[#All],[Yellow]:[Red]],10,FALSE)+HLOOKUP(F32,Team_Composition_23[[#All],[Yellow]:[Red]],11,FALSE))</f>
        <v>8.2825822168087704E-2</v>
      </c>
      <c r="N32" s="38">
        <f>J32/HLOOKUP(F32,Team_Composition_23[[#All],[Yellow]:[Red]],6,FALSE)</f>
        <v>5.6899119062441467E-2</v>
      </c>
      <c r="O32" s="38">
        <f>K32/HLOOKUP(F32,Team_Composition_23[[#All],[Yellow]:[Red]],8,FALSE)</f>
        <v>1.1139851205715529E-2</v>
      </c>
      <c r="P32" s="38">
        <f>L32/HLOOKUP(F32,Team_Composition_23[[#All],[Yellow]:[Red]],7,FALSE)</f>
        <v>9.207855364560569E-4</v>
      </c>
      <c r="Q32" s="31"/>
      <c r="R32" s="45" t="s">
        <v>470</v>
      </c>
      <c r="S32" s="46">
        <f>SUMIFS(Scoreboard_41[Amount Healed],Scoreboard_41[Role],"Ranged DPS",Scoreboard_41[Team],"Yellow")</f>
        <v>1041443</v>
      </c>
      <c r="T32" s="47">
        <f>SUMIFS(Scoreboard_41[Amount Healed],Scoreboard_41[Role],"Ranged DPS",Scoreboard_41[Team],"Red")</f>
        <v>519174</v>
      </c>
      <c r="U32" s="31"/>
      <c r="V32" s="31"/>
      <c r="W32" s="31"/>
      <c r="X32" s="31"/>
      <c r="Y32" s="31"/>
      <c r="Z32" s="31"/>
      <c r="AA32" s="31"/>
      <c r="AB32" s="45" t="s">
        <v>470</v>
      </c>
      <c r="AC32" s="50">
        <f>SUMIFS(Scoreboard_41[Amount Healed],Scoreboard_41[Role],"Ranged DPS",Scoreboard_41[Guild],"Best Regards")</f>
        <v>0</v>
      </c>
      <c r="AD32" s="51">
        <f>SUMIFS(Scoreboard_41[Amount Healed],Scoreboard_41[Role],"Ranged DPS",Scoreboard_41[Guild],"Unhinged肉")</f>
        <v>0</v>
      </c>
    </row>
    <row r="33" spans="1:30" ht="22.5" customHeight="1">
      <c r="A33" s="32">
        <v>35</v>
      </c>
      <c r="B33" s="94" t="str">
        <f>VLOOKUP(C33,Lists!I:J,2,FALSE)</f>
        <v>Ranged DPS</v>
      </c>
      <c r="C33" s="95" t="str">
        <f>VLOOKUP(E33&amp;D33,Lists!C:E,3,FALSE)</f>
        <v>Staff/Dagger</v>
      </c>
      <c r="D33" s="35" t="s">
        <v>40</v>
      </c>
      <c r="E33" s="36" t="s">
        <v>76</v>
      </c>
      <c r="F33" s="35" t="s">
        <v>476</v>
      </c>
      <c r="G33" s="32">
        <v>11</v>
      </c>
      <c r="H33" s="32">
        <v>55</v>
      </c>
      <c r="I33" s="96">
        <f t="shared" si="0"/>
        <v>66</v>
      </c>
      <c r="J33" s="37">
        <v>1238025</v>
      </c>
      <c r="K33" s="37">
        <v>1618126</v>
      </c>
      <c r="L33" s="37">
        <v>13531</v>
      </c>
      <c r="M33" s="38">
        <f>I33/(HLOOKUP(F33,Team_Composition_23[[#All],[Yellow]:[Red]],10,FALSE)+HLOOKUP(F33,Team_Composition_23[[#All],[Yellow]:[Red]],11,FALSE))</f>
        <v>1.6495876030992253E-2</v>
      </c>
      <c r="N33" s="38">
        <f>J33/HLOOKUP(F33,Team_Composition_23[[#All],[Yellow]:[Red]],6,FALSE)</f>
        <v>2.7906329764874085E-2</v>
      </c>
      <c r="O33" s="38">
        <f>K33/HLOOKUP(F33,Team_Composition_23[[#All],[Yellow]:[Red]],8,FALSE)</f>
        <v>9.2365311409258744E-2</v>
      </c>
      <c r="P33" s="38">
        <f>L33/HLOOKUP(F33,Team_Composition_23[[#All],[Yellow]:[Red]],7,FALSE)</f>
        <v>1.0452866925293558E-3</v>
      </c>
      <c r="Q33" s="31"/>
      <c r="R33" s="45" t="s">
        <v>465</v>
      </c>
      <c r="S33" s="46">
        <f>SUMIFS(Scoreboard_41[Kills],Scoreboard_41[Role],"Ranged DPS",Scoreboard_41[Team],"Yellow")</f>
        <v>250</v>
      </c>
      <c r="T33" s="47">
        <f>SUMIFS(Scoreboard_41[Kills],Scoreboard_41[Role],"Ranged DPS",Scoreboard_41[Team],"Red")</f>
        <v>214</v>
      </c>
      <c r="U33" s="31"/>
      <c r="V33" s="31"/>
      <c r="W33" s="31"/>
      <c r="X33" s="31"/>
      <c r="Y33" s="31"/>
      <c r="Z33" s="31"/>
      <c r="AA33" s="31"/>
      <c r="AB33" s="45" t="s">
        <v>465</v>
      </c>
      <c r="AC33" s="50">
        <f>SUMIFS(Scoreboard_41[Kills],Scoreboard_41[Role],"Ranged DPS",Scoreboard_41[Guild],"Best Regards")</f>
        <v>0</v>
      </c>
      <c r="AD33" s="51">
        <f>SUMIFS(Scoreboard_41[Kills],Scoreboard_41[Role],"Ranged DPS",Scoreboard_41[Guild],"Unhinged肉")</f>
        <v>0</v>
      </c>
    </row>
    <row r="34" spans="1:30" ht="22.5" customHeight="1">
      <c r="A34" s="32">
        <v>66</v>
      </c>
      <c r="B34" s="94" t="str">
        <f>VLOOKUP(C34,Lists!I:J,2,FALSE)</f>
        <v>Healer</v>
      </c>
      <c r="C34" s="95" t="str">
        <f>VLOOKUP(E34&amp;D34,Lists!C:E,3,FALSE)</f>
        <v>Wand/Orb</v>
      </c>
      <c r="D34" s="35" t="s">
        <v>30</v>
      </c>
      <c r="E34" s="36" t="s">
        <v>429</v>
      </c>
      <c r="F34" s="35" t="s">
        <v>483</v>
      </c>
      <c r="G34" s="32">
        <v>0</v>
      </c>
      <c r="H34" s="32">
        <v>61</v>
      </c>
      <c r="I34" s="96">
        <f t="shared" si="0"/>
        <v>61</v>
      </c>
      <c r="J34" s="37">
        <v>35561</v>
      </c>
      <c r="K34" s="37">
        <v>394980</v>
      </c>
      <c r="L34" s="37">
        <v>852591</v>
      </c>
      <c r="M34" s="38">
        <f>I34/(HLOOKUP(F34,Team_Composition_23[[#All],[Yellow]:[Red]],10,FALSE)+HLOOKUP(F34,Team_Composition_23[[#All],[Yellow]:[Red]],11,FALSE))</f>
        <v>7.4299634591961025E-2</v>
      </c>
      <c r="N34" s="38">
        <f>J34/HLOOKUP(F34,Team_Composition_23[[#All],[Yellow]:[Red]],6,FALSE)</f>
        <v>2.015312201675167E-3</v>
      </c>
      <c r="O34" s="38">
        <f>K34/HLOOKUP(F34,Team_Composition_23[[#All],[Yellow]:[Red]],8,FALSE)</f>
        <v>8.9735677108596437E-3</v>
      </c>
      <c r="P34" s="38">
        <f>L34/HLOOKUP(F34,Team_Composition_23[[#All],[Yellow]:[Red]],7,FALSE)</f>
        <v>3.5131722067153225E-2</v>
      </c>
      <c r="Q34" s="31"/>
      <c r="R34" s="45" t="s">
        <v>466</v>
      </c>
      <c r="S34" s="46">
        <f>SUMIFS(Scoreboard_41[Assists],Scoreboard_41[Role],"Ranged DPS",Scoreboard_41[Team],"Yellow")</f>
        <v>515</v>
      </c>
      <c r="T34" s="47">
        <f>SUMIFS(Scoreboard_41[Assists],Scoreboard_41[Role],"Ranged DPS",Scoreboard_41[Team],"Red")</f>
        <v>476</v>
      </c>
      <c r="U34" s="31"/>
      <c r="V34" s="31"/>
      <c r="W34" s="31"/>
      <c r="X34" s="31"/>
      <c r="Y34" s="31"/>
      <c r="Z34" s="31"/>
      <c r="AA34" s="31"/>
      <c r="AB34" s="45" t="s">
        <v>466</v>
      </c>
      <c r="AC34" s="50">
        <f>SUMIFS(Scoreboard_41[Assists],Scoreboard_41[Role],"Ranged DPS",Scoreboard_41[Guild],"Best Regards")</f>
        <v>0</v>
      </c>
      <c r="AD34" s="51">
        <f>SUMIFS(Scoreboard_41[Assists],Scoreboard_41[Role],"Ranged DPS",Scoreboard_41[Team],"Unhinged肉")</f>
        <v>0</v>
      </c>
    </row>
    <row r="35" spans="1:30" ht="22.5" customHeight="1">
      <c r="A35" s="32">
        <v>67</v>
      </c>
      <c r="B35" s="94" t="str">
        <f>VLOOKUP(C35,Lists!I:J,2,FALSE)</f>
        <v>Healer</v>
      </c>
      <c r="C35" s="95" t="str">
        <f>VLOOKUP(E35&amp;D35,Lists!C:E,3,FALSE)</f>
        <v>Wand/Orb</v>
      </c>
      <c r="D35" s="35" t="s">
        <v>40</v>
      </c>
      <c r="E35" s="36" t="s">
        <v>144</v>
      </c>
      <c r="F35" s="35" t="s">
        <v>476</v>
      </c>
      <c r="G35" s="32">
        <v>0</v>
      </c>
      <c r="H35" s="32">
        <v>61</v>
      </c>
      <c r="I35" s="96">
        <f t="shared" si="0"/>
        <v>61</v>
      </c>
      <c r="J35" s="37">
        <v>14069</v>
      </c>
      <c r="K35" s="37">
        <v>319933</v>
      </c>
      <c r="L35" s="37">
        <v>1789436</v>
      </c>
      <c r="M35" s="38">
        <f>I35/(HLOOKUP(F35,Team_Composition_23[[#All],[Yellow]:[Red]],10,FALSE)+HLOOKUP(F35,Team_Composition_23[[#All],[Yellow]:[Red]],11,FALSE))</f>
        <v>1.5246188452886777E-2</v>
      </c>
      <c r="N35" s="38">
        <f>J35/HLOOKUP(F35,Team_Composition_23[[#All],[Yellow]:[Red]],6,FALSE)</f>
        <v>3.171294226384875E-4</v>
      </c>
      <c r="O35" s="38">
        <f>K35/HLOOKUP(F35,Team_Composition_23[[#All],[Yellow]:[Red]],8,FALSE)</f>
        <v>1.8262305392224325E-2</v>
      </c>
      <c r="P35" s="38">
        <f>L35/HLOOKUP(F35,Team_Composition_23[[#All],[Yellow]:[Red]],7,FALSE)</f>
        <v>0.13823617160098739</v>
      </c>
      <c r="Q35" s="31"/>
      <c r="R35" s="45" t="s">
        <v>54</v>
      </c>
      <c r="S35" s="46">
        <f t="shared" ref="S35:S46" si="6">COUNTIFS(C:C,R35,F:F,"Yellow")</f>
        <v>3</v>
      </c>
      <c r="T35" s="47">
        <f t="shared" ref="T35:T46" si="7">COUNTIFS(C:C,R35,F:F,"Red")</f>
        <v>4</v>
      </c>
      <c r="U35" s="31"/>
      <c r="V35" s="31"/>
      <c r="W35" s="31"/>
      <c r="X35" s="31"/>
      <c r="Y35" s="31"/>
      <c r="Z35" s="31"/>
      <c r="AA35" s="31"/>
      <c r="AB35" s="45" t="s">
        <v>54</v>
      </c>
      <c r="AC35" s="50">
        <f t="shared" ref="AC35:AC46" si="8">COUNTIFS(C:C,AB35,D:D,"Best Regards")</f>
        <v>0</v>
      </c>
      <c r="AD35" s="51">
        <f t="shared" ref="AD35:AD46" si="9">COUNTIFS(C:C,AB35,D:D,"Unhinged肉")</f>
        <v>0</v>
      </c>
    </row>
    <row r="36" spans="1:30" ht="22.5" customHeight="1">
      <c r="A36" s="32">
        <v>68</v>
      </c>
      <c r="B36" s="94" t="str">
        <f>VLOOKUP(C36,Lists!I:J,2,FALSE)</f>
        <v>Healer</v>
      </c>
      <c r="C36" s="95" t="str">
        <f>VLOOKUP(E36&amp;D36,Lists!C:E,3,FALSE)</f>
        <v>Wand/Orb</v>
      </c>
      <c r="D36" s="35" t="s">
        <v>40</v>
      </c>
      <c r="E36" s="36" t="s">
        <v>91</v>
      </c>
      <c r="F36" s="35" t="s">
        <v>476</v>
      </c>
      <c r="G36" s="32">
        <v>0</v>
      </c>
      <c r="H36" s="32">
        <v>61</v>
      </c>
      <c r="I36" s="96">
        <f t="shared" si="0"/>
        <v>61</v>
      </c>
      <c r="J36" s="37">
        <v>5323</v>
      </c>
      <c r="K36" s="37">
        <v>852406</v>
      </c>
      <c r="L36" s="37">
        <v>2108784</v>
      </c>
      <c r="M36" s="38">
        <f>I36/(HLOOKUP(F36,Team_Composition_23[[#All],[Yellow]:[Red]],10,FALSE)+HLOOKUP(F36,Team_Composition_23[[#All],[Yellow]:[Red]],11,FALSE))</f>
        <v>1.5246188452886777E-2</v>
      </c>
      <c r="N36" s="38">
        <f>J36/HLOOKUP(F36,Team_Composition_23[[#All],[Yellow]:[Red]],6,FALSE)</f>
        <v>1.1998577842808081E-4</v>
      </c>
      <c r="O36" s="38">
        <f>K36/HLOOKUP(F36,Team_Composition_23[[#All],[Yellow]:[Red]],8,FALSE)</f>
        <v>4.865674591293917E-2</v>
      </c>
      <c r="P36" s="38">
        <f>L36/HLOOKUP(F36,Team_Composition_23[[#All],[Yellow]:[Red]],7,FALSE)</f>
        <v>0.16290620446521509</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18</v>
      </c>
      <c r="B37" s="94" t="str">
        <f>VLOOKUP(C37,Lists!I:J,2,FALSE)</f>
        <v>KS</v>
      </c>
      <c r="C37" s="95" t="str">
        <f>VLOOKUP(E37&amp;D37,Lists!C:E,3,FALSE)</f>
        <v>Crossbow/Dagger</v>
      </c>
      <c r="D37" s="35" t="s">
        <v>40</v>
      </c>
      <c r="E37" s="36" t="s">
        <v>152</v>
      </c>
      <c r="F37" s="35" t="s">
        <v>476</v>
      </c>
      <c r="G37" s="32">
        <v>26</v>
      </c>
      <c r="H37" s="32">
        <v>34</v>
      </c>
      <c r="I37" s="96">
        <f t="shared" si="0"/>
        <v>60</v>
      </c>
      <c r="J37" s="37">
        <v>1059837</v>
      </c>
      <c r="K37" s="37">
        <v>961341</v>
      </c>
      <c r="L37" s="37">
        <v>0</v>
      </c>
      <c r="M37" s="38">
        <f>I37/(HLOOKUP(F37,Team_Composition_23[[#All],[Yellow]:[Red]],10,FALSE)+HLOOKUP(F37,Team_Composition_23[[#All],[Yellow]:[Red]],11,FALSE))</f>
        <v>1.4996250937265684E-2</v>
      </c>
      <c r="N37" s="38">
        <f>J37/HLOOKUP(F37,Team_Composition_23[[#All],[Yellow]:[Red]],6,FALSE)</f>
        <v>2.388979287091525E-2</v>
      </c>
      <c r="O37" s="38">
        <f>K37/HLOOKUP(F37,Team_Composition_23[[#All],[Yellow]:[Red]],8,FALSE)</f>
        <v>5.4874936089951101E-2</v>
      </c>
      <c r="P37" s="38">
        <f>L37/HLOOKUP(F37,Team_Composition_23[[#All],[Yellow]:[Red]],7,FALSE)</f>
        <v>0</v>
      </c>
      <c r="Q37" s="31"/>
      <c r="R37" s="45" t="s">
        <v>45</v>
      </c>
      <c r="S37" s="46">
        <f t="shared" si="6"/>
        <v>3</v>
      </c>
      <c r="T37" s="47">
        <f t="shared" si="7"/>
        <v>3</v>
      </c>
      <c r="U37" s="31"/>
      <c r="V37" s="31"/>
      <c r="W37" s="31"/>
      <c r="X37" s="31"/>
      <c r="Y37" s="31"/>
      <c r="Z37" s="31"/>
      <c r="AA37" s="31"/>
      <c r="AB37" s="45" t="s">
        <v>45</v>
      </c>
      <c r="AC37" s="50">
        <f t="shared" si="8"/>
        <v>0</v>
      </c>
      <c r="AD37" s="51">
        <f t="shared" si="9"/>
        <v>0</v>
      </c>
    </row>
    <row r="38" spans="1:30" ht="22.5" customHeight="1">
      <c r="A38" s="32">
        <v>23</v>
      </c>
      <c r="B38" s="94" t="str">
        <f>VLOOKUP(C38,Lists!I:J,2,FALSE)</f>
        <v>Melee DPS</v>
      </c>
      <c r="C38" s="95" t="str">
        <f>VLOOKUP(E38&amp;D38,Lists!C:E,3,FALSE)</f>
        <v>Spear/Dagger</v>
      </c>
      <c r="D38" s="35" t="s">
        <v>30</v>
      </c>
      <c r="E38" s="36" t="s">
        <v>457</v>
      </c>
      <c r="F38" s="35" t="s">
        <v>483</v>
      </c>
      <c r="G38" s="32">
        <v>20</v>
      </c>
      <c r="H38" s="32">
        <v>40</v>
      </c>
      <c r="I38" s="96">
        <f t="shared" si="0"/>
        <v>60</v>
      </c>
      <c r="J38" s="37">
        <v>1428062</v>
      </c>
      <c r="K38" s="37">
        <v>858478</v>
      </c>
      <c r="L38" s="37">
        <v>2217</v>
      </c>
      <c r="M38" s="38">
        <f>I38/(HLOOKUP(F38,Team_Composition_23[[#All],[Yellow]:[Red]],10,FALSE)+HLOOKUP(F38,Team_Composition_23[[#All],[Yellow]:[Red]],11,FALSE))</f>
        <v>7.3081607795371498E-2</v>
      </c>
      <c r="N38" s="38">
        <f>J38/HLOOKUP(F38,Team_Composition_23[[#All],[Yellow]:[Red]],6,FALSE)</f>
        <v>8.0931097926060638E-2</v>
      </c>
      <c r="O38" s="38">
        <f>K38/HLOOKUP(F38,Team_Composition_23[[#All],[Yellow]:[Red]],8,FALSE)</f>
        <v>1.9503798828506166E-2</v>
      </c>
      <c r="P38" s="38">
        <f>L38/HLOOKUP(F38,Team_Composition_23[[#All],[Yellow]:[Red]],7,FALSE)</f>
        <v>9.1353330990919098E-5</v>
      </c>
      <c r="Q38" s="31"/>
      <c r="R38" s="45" t="s">
        <v>81</v>
      </c>
      <c r="S38" s="46">
        <f t="shared" si="6"/>
        <v>0</v>
      </c>
      <c r="T38" s="47">
        <f t="shared" si="7"/>
        <v>0</v>
      </c>
      <c r="U38" s="31"/>
      <c r="V38" s="31"/>
      <c r="W38" s="31"/>
      <c r="X38" s="31"/>
      <c r="Y38" s="31"/>
      <c r="Z38" s="31"/>
      <c r="AA38" s="31"/>
      <c r="AB38" s="45" t="s">
        <v>81</v>
      </c>
      <c r="AC38" s="50">
        <f t="shared" si="8"/>
        <v>0</v>
      </c>
      <c r="AD38" s="51">
        <f t="shared" si="9"/>
        <v>0</v>
      </c>
    </row>
    <row r="39" spans="1:30" ht="22.5" customHeight="1">
      <c r="A39" s="32">
        <v>28</v>
      </c>
      <c r="B39" s="94" t="str">
        <f>VLOOKUP(C39,Lists!I:J,2,FALSE)</f>
        <v>KS</v>
      </c>
      <c r="C39" s="95" t="str">
        <f>VLOOKUP(E39&amp;D39,Lists!C:E,3,FALSE)</f>
        <v>Crossbow/Dagger</v>
      </c>
      <c r="D39" s="35" t="s">
        <v>40</v>
      </c>
      <c r="E39" s="36" t="s">
        <v>159</v>
      </c>
      <c r="F39" s="35" t="s">
        <v>476</v>
      </c>
      <c r="G39" s="32">
        <v>18</v>
      </c>
      <c r="H39" s="32">
        <v>42</v>
      </c>
      <c r="I39" s="96">
        <f t="shared" si="0"/>
        <v>60</v>
      </c>
      <c r="J39" s="37">
        <v>1081611</v>
      </c>
      <c r="K39" s="37">
        <v>649691</v>
      </c>
      <c r="L39" s="37">
        <v>28665</v>
      </c>
      <c r="M39" s="38">
        <f>I39/(HLOOKUP(F39,Team_Composition_23[[#All],[Yellow]:[Red]],10,FALSE)+HLOOKUP(F39,Team_Composition_23[[#All],[Yellow]:[Red]],11,FALSE))</f>
        <v>1.4996250937265684E-2</v>
      </c>
      <c r="N39" s="38">
        <f>J39/HLOOKUP(F39,Team_Composition_23[[#All],[Yellow]:[Red]],6,FALSE)</f>
        <v>2.4380600749835602E-2</v>
      </c>
      <c r="O39" s="38">
        <f>K39/HLOOKUP(F39,Team_Composition_23[[#All],[Yellow]:[Red]],8,FALSE)</f>
        <v>3.7085438052903624E-2</v>
      </c>
      <c r="P39" s="38">
        <f>L39/HLOOKUP(F39,Team_Composition_23[[#All],[Yellow]:[Red]],7,FALSE)</f>
        <v>2.2144071422181646E-3</v>
      </c>
      <c r="Q39" s="31"/>
      <c r="R39" s="45" t="s">
        <v>48</v>
      </c>
      <c r="S39" s="46">
        <f t="shared" si="6"/>
        <v>0</v>
      </c>
      <c r="T39" s="47">
        <f t="shared" si="7"/>
        <v>3</v>
      </c>
      <c r="U39" s="31"/>
      <c r="V39" s="31"/>
      <c r="W39" s="31"/>
      <c r="X39" s="31"/>
      <c r="Y39" s="31"/>
      <c r="Z39" s="31"/>
      <c r="AA39" s="31"/>
      <c r="AB39" s="45" t="s">
        <v>48</v>
      </c>
      <c r="AC39" s="50">
        <f t="shared" si="8"/>
        <v>0</v>
      </c>
      <c r="AD39" s="51">
        <f t="shared" si="9"/>
        <v>0</v>
      </c>
    </row>
    <row r="40" spans="1:30" ht="22.5" customHeight="1">
      <c r="A40" s="32">
        <v>43</v>
      </c>
      <c r="B40" s="94" t="str">
        <f>VLOOKUP(C40,Lists!I:J,2,FALSE)</f>
        <v>Healer</v>
      </c>
      <c r="C40" s="95" t="str">
        <f>VLOOKUP(E40&amp;D40,Lists!C:E,3,FALSE)</f>
        <v>Wand/Longbow</v>
      </c>
      <c r="D40" s="35" t="s">
        <v>30</v>
      </c>
      <c r="E40" s="97" t="s">
        <v>444</v>
      </c>
      <c r="F40" s="35" t="s">
        <v>483</v>
      </c>
      <c r="G40" s="32">
        <v>2</v>
      </c>
      <c r="H40" s="32">
        <v>57</v>
      </c>
      <c r="I40" s="96">
        <f t="shared" si="0"/>
        <v>59</v>
      </c>
      <c r="J40" s="37">
        <v>90270</v>
      </c>
      <c r="K40" s="37">
        <v>409867</v>
      </c>
      <c r="L40" s="37">
        <v>1027111</v>
      </c>
      <c r="M40" s="38">
        <f>I40/(HLOOKUP(F40,Team_Composition_23[[#All],[Yellow]:[Red]],10,FALSE)+HLOOKUP(F40,Team_Composition_23[[#All],[Yellow]:[Red]],11,FALSE))</f>
        <v>7.186358099878197E-2</v>
      </c>
      <c r="N40" s="38">
        <f>J40/HLOOKUP(F40,Team_Composition_23[[#All],[Yellow]:[Red]],6,FALSE)</f>
        <v>5.1157794337959375E-3</v>
      </c>
      <c r="O40" s="38">
        <f>K40/HLOOKUP(F40,Team_Composition_23[[#All],[Yellow]:[Red]],8,FALSE)</f>
        <v>9.3117861080229628E-3</v>
      </c>
      <c r="P40" s="38">
        <f>L40/HLOOKUP(F40,Team_Composition_23[[#All],[Yellow]:[Red]],7,FALSE)</f>
        <v>4.2322963981693239E-2</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49</v>
      </c>
      <c r="B41" s="94" t="str">
        <f>VLOOKUP(C41,Lists!I:J,2,FALSE)</f>
        <v>Healer</v>
      </c>
      <c r="C41" s="95" t="str">
        <f>VLOOKUP(E41&amp;D41,Lists!C:E,3,FALSE)</f>
        <v>Wand/Longbow</v>
      </c>
      <c r="D41" s="35" t="s">
        <v>40</v>
      </c>
      <c r="E41" s="36" t="s">
        <v>165</v>
      </c>
      <c r="F41" s="35" t="s">
        <v>476</v>
      </c>
      <c r="G41" s="32">
        <v>1</v>
      </c>
      <c r="H41" s="32">
        <v>58</v>
      </c>
      <c r="I41" s="96">
        <f t="shared" si="0"/>
        <v>59</v>
      </c>
      <c r="J41" s="37">
        <v>37302</v>
      </c>
      <c r="K41" s="37">
        <v>768631</v>
      </c>
      <c r="L41" s="37">
        <v>2064495</v>
      </c>
      <c r="M41" s="38">
        <f>I41/(HLOOKUP(F41,Team_Composition_23[[#All],[Yellow]:[Red]],10,FALSE)+HLOOKUP(F41,Team_Composition_23[[#All],[Yellow]:[Red]],11,FALSE))</f>
        <v>1.474631342164459E-2</v>
      </c>
      <c r="N41" s="38">
        <f>J41/HLOOKUP(F41,Team_Composition_23[[#All],[Yellow]:[Red]],6,FALSE)</f>
        <v>8.4082463026944774E-4</v>
      </c>
      <c r="O41" s="38">
        <f>K41/HLOOKUP(F41,Team_Composition_23[[#All],[Yellow]:[Red]],8,FALSE)</f>
        <v>4.3874730196418549E-2</v>
      </c>
      <c r="P41" s="38">
        <f>L41/HLOOKUP(F41,Team_Composition_23[[#All],[Yellow]:[Red]],7,FALSE)</f>
        <v>0.15948482375976591</v>
      </c>
      <c r="Q41" s="31"/>
      <c r="R41" s="45" t="s">
        <v>52</v>
      </c>
      <c r="S41" s="46">
        <f t="shared" si="6"/>
        <v>1</v>
      </c>
      <c r="T41" s="47">
        <f t="shared" si="7"/>
        <v>1</v>
      </c>
      <c r="U41" s="31"/>
      <c r="V41" s="31"/>
      <c r="W41" s="31"/>
      <c r="X41" s="31"/>
      <c r="Y41" s="31"/>
      <c r="Z41" s="31"/>
      <c r="AA41" s="31"/>
      <c r="AB41" s="45" t="s">
        <v>52</v>
      </c>
      <c r="AC41" s="50">
        <f t="shared" si="8"/>
        <v>0</v>
      </c>
      <c r="AD41" s="51">
        <f t="shared" si="9"/>
        <v>0</v>
      </c>
    </row>
    <row r="42" spans="1:30" ht="22.5" customHeight="1">
      <c r="A42" s="32">
        <v>69</v>
      </c>
      <c r="B42" s="94" t="str">
        <f>VLOOKUP(C42,Lists!I:J,2,FALSE)</f>
        <v>Healer</v>
      </c>
      <c r="C42" s="95" t="str">
        <f>VLOOKUP(E42&amp;D42,Lists!C:E,3,FALSE)</f>
        <v>Wand/Longbow</v>
      </c>
      <c r="D42" s="35" t="s">
        <v>30</v>
      </c>
      <c r="E42" s="36" t="s">
        <v>191</v>
      </c>
      <c r="F42" s="35" t="s">
        <v>483</v>
      </c>
      <c r="G42" s="32">
        <v>0</v>
      </c>
      <c r="H42" s="32">
        <v>59</v>
      </c>
      <c r="I42" s="96">
        <f t="shared" si="0"/>
        <v>59</v>
      </c>
      <c r="J42" s="37">
        <v>18222</v>
      </c>
      <c r="K42" s="37">
        <v>332182</v>
      </c>
      <c r="L42" s="37">
        <v>616310</v>
      </c>
      <c r="M42" s="38">
        <f>I42/(HLOOKUP(F42,Team_Composition_23[[#All],[Yellow]:[Red]],10,FALSE)+HLOOKUP(F42,Team_Composition_23[[#All],[Yellow]:[Red]],11,FALSE))</f>
        <v>7.186358099878197E-2</v>
      </c>
      <c r="N42" s="38">
        <f>J42/HLOOKUP(F42,Team_Composition_23[[#All],[Yellow]:[Red]],6,FALSE)</f>
        <v>1.0326767790254743E-3</v>
      </c>
      <c r="O42" s="38">
        <f>K42/HLOOKUP(F42,Team_Composition_23[[#All],[Yellow]:[Red]],8,FALSE)</f>
        <v>7.5468572315782528E-3</v>
      </c>
      <c r="P42" s="38">
        <f>L42/HLOOKUP(F42,Team_Composition_23[[#All],[Yellow]:[Red]],7,FALSE)</f>
        <v>2.5395566722153068E-2</v>
      </c>
      <c r="Q42" s="31"/>
      <c r="R42" s="45" t="s">
        <v>32</v>
      </c>
      <c r="S42" s="46">
        <f t="shared" si="6"/>
        <v>3</v>
      </c>
      <c r="T42" s="47">
        <f t="shared" si="7"/>
        <v>0</v>
      </c>
      <c r="U42" s="31"/>
      <c r="V42" s="31"/>
      <c r="W42" s="31"/>
      <c r="X42" s="31"/>
      <c r="Y42" s="31"/>
      <c r="Z42" s="31"/>
      <c r="AA42" s="31"/>
      <c r="AB42" s="45" t="s">
        <v>32</v>
      </c>
      <c r="AC42" s="50">
        <f t="shared" si="8"/>
        <v>0</v>
      </c>
      <c r="AD42" s="51">
        <f t="shared" si="9"/>
        <v>0</v>
      </c>
    </row>
    <row r="43" spans="1:30" ht="22.5" customHeight="1">
      <c r="A43" s="32">
        <v>29</v>
      </c>
      <c r="B43" s="94" t="str">
        <f>VLOOKUP(C43,Lists!I:J,2,FALSE)</f>
        <v>KS</v>
      </c>
      <c r="C43" s="95" t="str">
        <f>VLOOKUP(E43&amp;D43,Lists!C:E,3,FALSE)</f>
        <v>Crossbow/Dagger</v>
      </c>
      <c r="D43" s="35" t="s">
        <v>30</v>
      </c>
      <c r="E43" s="36" t="s">
        <v>402</v>
      </c>
      <c r="F43" s="35" t="s">
        <v>483</v>
      </c>
      <c r="G43" s="32">
        <v>17</v>
      </c>
      <c r="H43" s="32">
        <v>41</v>
      </c>
      <c r="I43" s="96">
        <f t="shared" si="0"/>
        <v>58</v>
      </c>
      <c r="J43" s="37">
        <v>704054</v>
      </c>
      <c r="K43" s="37">
        <v>690412</v>
      </c>
      <c r="L43" s="37">
        <v>28294</v>
      </c>
      <c r="M43" s="38">
        <f>I43/(HLOOKUP(F43,Team_Composition_23[[#All],[Yellow]:[Red]],10,FALSE)+HLOOKUP(F43,Team_Composition_23[[#All],[Yellow]:[Red]],11,FALSE))</f>
        <v>7.0645554202192443E-2</v>
      </c>
      <c r="N43" s="38">
        <f>J43/HLOOKUP(F43,Team_Composition_23[[#All],[Yellow]:[Red]],6,FALSE)</f>
        <v>3.9900132640763981E-2</v>
      </c>
      <c r="O43" s="38">
        <f>K43/HLOOKUP(F43,Team_Composition_23[[#All],[Yellow]:[Red]],8,FALSE)</f>
        <v>1.5685500102258415E-2</v>
      </c>
      <c r="P43" s="38">
        <f>L43/HLOOKUP(F43,Team_Composition_23[[#All],[Yellow]:[Red]],7,FALSE)</f>
        <v>1.1658778290740031E-3</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33</v>
      </c>
      <c r="B44" s="94" t="str">
        <f>VLOOKUP(C44,Lists!I:J,2,FALSE)</f>
        <v>KS</v>
      </c>
      <c r="C44" s="95" t="str">
        <f>VLOOKUP(E44&amp;D44,Lists!C:E,3,FALSE)</f>
        <v>Greatsword/Dagger</v>
      </c>
      <c r="D44" s="35" t="s">
        <v>40</v>
      </c>
      <c r="E44" s="36" t="s">
        <v>502</v>
      </c>
      <c r="F44" s="35" t="s">
        <v>476</v>
      </c>
      <c r="G44" s="32">
        <v>12</v>
      </c>
      <c r="H44" s="32">
        <v>45</v>
      </c>
      <c r="I44" s="96">
        <f t="shared" si="0"/>
        <v>57</v>
      </c>
      <c r="J44" s="37">
        <v>797428</v>
      </c>
      <c r="K44" s="37">
        <v>981037</v>
      </c>
      <c r="L44" s="37">
        <v>61150</v>
      </c>
      <c r="M44" s="38">
        <f>I44/(HLOOKUP(F44,Team_Composition_23[[#All],[Yellow]:[Red]],10,FALSE)+HLOOKUP(F44,Team_Composition_23[[#All],[Yellow]:[Red]],11,FALSE))</f>
        <v>1.42464383904024E-2</v>
      </c>
      <c r="N44" s="38">
        <f>J44/HLOOKUP(F44,Team_Composition_23[[#All],[Yellow]:[Red]],6,FALSE)</f>
        <v>1.7974829855410036E-2</v>
      </c>
      <c r="O44" s="38">
        <f>K44/HLOOKUP(F44,Team_Composition_23[[#All],[Yellow]:[Red]],8,FALSE)</f>
        <v>5.599921638302887E-2</v>
      </c>
      <c r="P44" s="38">
        <f>L44/HLOOKUP(F44,Team_Composition_23[[#All],[Yellow]:[Red]],7,FALSE)</f>
        <v>4.7239140675611642E-3</v>
      </c>
      <c r="Q44" s="31"/>
      <c r="R44" s="45" t="s">
        <v>58</v>
      </c>
      <c r="S44" s="46">
        <f t="shared" si="6"/>
        <v>1</v>
      </c>
      <c r="T44" s="47">
        <f t="shared" si="7"/>
        <v>0</v>
      </c>
      <c r="U44" s="31"/>
      <c r="V44" s="31"/>
      <c r="W44" s="31"/>
      <c r="X44" s="31"/>
      <c r="Y44" s="31"/>
      <c r="Z44" s="31"/>
      <c r="AA44" s="31"/>
      <c r="AB44" s="45" t="s">
        <v>58</v>
      </c>
      <c r="AC44" s="50">
        <f t="shared" si="8"/>
        <v>0</v>
      </c>
      <c r="AD44" s="51">
        <f t="shared" si="9"/>
        <v>0</v>
      </c>
    </row>
    <row r="45" spans="1:30" ht="22.5" customHeight="1">
      <c r="A45" s="32">
        <v>70</v>
      </c>
      <c r="B45" s="94" t="str">
        <f>VLOOKUP(C45,Lists!I:J,2,FALSE)</f>
        <v>Healer</v>
      </c>
      <c r="C45" s="95" t="str">
        <f>VLOOKUP(E45&amp;D45,Lists!C:E,3,FALSE)</f>
        <v>Wand/Orb</v>
      </c>
      <c r="D45" s="35" t="s">
        <v>30</v>
      </c>
      <c r="E45" s="36" t="s">
        <v>449</v>
      </c>
      <c r="F45" s="35" t="s">
        <v>483</v>
      </c>
      <c r="G45" s="32">
        <v>0</v>
      </c>
      <c r="H45" s="32">
        <v>57</v>
      </c>
      <c r="I45" s="96">
        <f t="shared" si="0"/>
        <v>57</v>
      </c>
      <c r="J45" s="37">
        <v>27351</v>
      </c>
      <c r="K45" s="37">
        <v>300383</v>
      </c>
      <c r="L45" s="37">
        <v>718603</v>
      </c>
      <c r="M45" s="38">
        <f>I45/(HLOOKUP(F45,Team_Composition_23[[#All],[Yellow]:[Red]],10,FALSE)+HLOOKUP(F45,Team_Composition_23[[#All],[Yellow]:[Red]],11,FALSE))</f>
        <v>6.9427527405602929E-2</v>
      </c>
      <c r="N45" s="38">
        <f>J45/HLOOKUP(F45,Team_Composition_23[[#All],[Yellow]:[Red]],6,FALSE)</f>
        <v>1.5500352641381707E-3</v>
      </c>
      <c r="O45" s="38">
        <f>K45/HLOOKUP(F45,Team_Composition_23[[#All],[Yellow]:[Red]],8,FALSE)</f>
        <v>6.8244143746294811E-3</v>
      </c>
      <c r="P45" s="38">
        <f>L45/HLOOKUP(F45,Team_Composition_23[[#All],[Yellow]:[Red]],7,FALSE)</f>
        <v>2.9610634961690318E-2</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71</v>
      </c>
      <c r="B46" s="94" t="str">
        <f>VLOOKUP(C46,Lists!I:J,2,FALSE)</f>
        <v>Healer</v>
      </c>
      <c r="C46" s="95" t="str">
        <f>VLOOKUP(E46&amp;D46,Lists!C:E,3,FALSE)</f>
        <v>Wand/Longbow</v>
      </c>
      <c r="D46" s="35" t="s">
        <v>30</v>
      </c>
      <c r="E46" s="36" t="s">
        <v>416</v>
      </c>
      <c r="F46" s="35" t="s">
        <v>483</v>
      </c>
      <c r="G46" s="32">
        <v>0</v>
      </c>
      <c r="H46" s="32">
        <v>57</v>
      </c>
      <c r="I46" s="96">
        <f t="shared" si="0"/>
        <v>57</v>
      </c>
      <c r="J46" s="37">
        <v>19174</v>
      </c>
      <c r="K46" s="37">
        <v>442927</v>
      </c>
      <c r="L46" s="37">
        <v>1291845</v>
      </c>
      <c r="M46" s="38">
        <f>I46/(HLOOKUP(F46,Team_Composition_23[[#All],[Yellow]:[Red]],10,FALSE)+HLOOKUP(F46,Team_Composition_23[[#All],[Yellow]:[Red]],11,FALSE))</f>
        <v>6.9427527405602929E-2</v>
      </c>
      <c r="N46" s="38">
        <f>J46/HLOOKUP(F46,Team_Composition_23[[#All],[Yellow]:[Red]],6,FALSE)</f>
        <v>1.0866285018677666E-3</v>
      </c>
      <c r="O46" s="38">
        <f>K46/HLOOKUP(F46,Team_Composition_23[[#All],[Yellow]:[Red]],8,FALSE)</f>
        <v>1.0062877678535443E-2</v>
      </c>
      <c r="P46" s="38">
        <f>L46/HLOOKUP(F46,Team_Composition_23[[#All],[Yellow]:[Red]],7,FALSE)</f>
        <v>5.3231548883159174E-2</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50</v>
      </c>
      <c r="B47" s="94" t="str">
        <f>VLOOKUP(C47,Lists!I:J,2,FALSE)</f>
        <v>Healer</v>
      </c>
      <c r="C47" s="95" t="str">
        <f>VLOOKUP(E47&amp;D47,Lists!C:E,3,FALSE)</f>
        <v>Wand/Greatsword</v>
      </c>
      <c r="D47" s="35" t="s">
        <v>30</v>
      </c>
      <c r="E47" s="36" t="s">
        <v>415</v>
      </c>
      <c r="F47" s="35" t="s">
        <v>483</v>
      </c>
      <c r="G47" s="32">
        <v>1</v>
      </c>
      <c r="H47" s="32">
        <v>55</v>
      </c>
      <c r="I47" s="96">
        <f t="shared" si="0"/>
        <v>56</v>
      </c>
      <c r="J47" s="37">
        <v>318472</v>
      </c>
      <c r="K47" s="37">
        <v>458069</v>
      </c>
      <c r="L47" s="37">
        <v>139341</v>
      </c>
      <c r="M47" s="38">
        <f>I47/(HLOOKUP(F47,Team_Composition_23[[#All],[Yellow]:[Red]],10,FALSE)+HLOOKUP(F47,Team_Composition_23[[#All],[Yellow]:[Red]],11,FALSE))</f>
        <v>6.8209500609013402E-2</v>
      </c>
      <c r="N47" s="38">
        <f>J47/HLOOKUP(F47,Team_Composition_23[[#All],[Yellow]:[Red]],6,FALSE)</f>
        <v>1.8048438106124512E-2</v>
      </c>
      <c r="O47" s="38">
        <f>K47/HLOOKUP(F47,Team_Composition_23[[#All],[Yellow]:[Red]],8,FALSE)</f>
        <v>1.0406889431732661E-2</v>
      </c>
      <c r="P47" s="38">
        <f>L47/HLOOKUP(F47,Team_Composition_23[[#All],[Yellow]:[Red]],7,FALSE)</f>
        <v>5.7416619276525298E-3</v>
      </c>
      <c r="Q47" s="31"/>
      <c r="R47" s="48"/>
      <c r="S47" s="63"/>
      <c r="T47" s="63"/>
      <c r="U47" s="31"/>
      <c r="V47" s="31"/>
      <c r="W47" s="31"/>
      <c r="X47" s="31"/>
      <c r="Y47" s="31"/>
      <c r="Z47" s="31"/>
      <c r="AA47" s="31"/>
      <c r="AB47" s="48"/>
      <c r="AC47" s="63"/>
      <c r="AD47" s="63"/>
    </row>
    <row r="48" spans="1:30" ht="22.5" customHeight="1">
      <c r="A48" s="32">
        <v>51</v>
      </c>
      <c r="B48" s="94" t="str">
        <f>VLOOKUP(C48,Lists!I:J,2,FALSE)</f>
        <v>Healer</v>
      </c>
      <c r="C48" s="95" t="str">
        <f>VLOOKUP(E48&amp;D48,Lists!C:E,3,FALSE)</f>
        <v>Wand/Longbow</v>
      </c>
      <c r="D48" s="35" t="s">
        <v>40</v>
      </c>
      <c r="E48" s="36" t="s">
        <v>29</v>
      </c>
      <c r="F48" s="35" t="s">
        <v>476</v>
      </c>
      <c r="G48" s="32">
        <v>1</v>
      </c>
      <c r="H48" s="32">
        <v>55</v>
      </c>
      <c r="I48" s="96">
        <f t="shared" si="0"/>
        <v>56</v>
      </c>
      <c r="J48" s="37">
        <v>52317</v>
      </c>
      <c r="K48" s="37">
        <v>332675</v>
      </c>
      <c r="L48" s="37">
        <v>3533920</v>
      </c>
      <c r="M48" s="38">
        <f>I48/(HLOOKUP(F48,Team_Composition_23[[#All],[Yellow]:[Red]],10,FALSE)+HLOOKUP(F48,Team_Composition_23[[#All],[Yellow]:[Red]],11,FALSE))</f>
        <v>1.3996500874781305E-2</v>
      </c>
      <c r="N48" s="38">
        <f>J48/HLOOKUP(F48,Team_Composition_23[[#All],[Yellow]:[Red]],6,FALSE)</f>
        <v>1.1792778452041901E-3</v>
      </c>
      <c r="O48" s="38">
        <f>K48/HLOOKUP(F48,Team_Composition_23[[#All],[Yellow]:[Red]],8,FALSE)</f>
        <v>1.8989639850713204E-2</v>
      </c>
      <c r="P48" s="38">
        <f>L48/HLOOKUP(F48,Team_Composition_23[[#All],[Yellow]:[Red]],7,FALSE)</f>
        <v>0.27299974491636547</v>
      </c>
      <c r="Q48" s="31"/>
      <c r="R48" s="31"/>
      <c r="S48" s="64"/>
      <c r="T48" s="64"/>
      <c r="U48" s="31"/>
      <c r="V48" s="31"/>
      <c r="W48" s="31"/>
      <c r="X48" s="31"/>
      <c r="Y48" s="31"/>
      <c r="Z48" s="31"/>
      <c r="AA48" s="31"/>
      <c r="AB48" s="31"/>
      <c r="AC48" s="64"/>
      <c r="AD48" s="64"/>
    </row>
    <row r="49" spans="1:30" ht="22.5" customHeight="1">
      <c r="A49" s="32">
        <v>72</v>
      </c>
      <c r="B49" s="94" t="str">
        <f>VLOOKUP(C49,Lists!I:J,2,FALSE)</f>
        <v>Healer</v>
      </c>
      <c r="C49" s="95" t="str">
        <f>VLOOKUP(E49&amp;D49,Lists!C:E,3,FALSE)</f>
        <v>Wand/Longbow</v>
      </c>
      <c r="D49" s="35" t="s">
        <v>30</v>
      </c>
      <c r="E49" s="36" t="s">
        <v>414</v>
      </c>
      <c r="F49" s="35" t="s">
        <v>483</v>
      </c>
      <c r="G49" s="32">
        <v>0</v>
      </c>
      <c r="H49" s="32">
        <v>56</v>
      </c>
      <c r="I49" s="96">
        <f t="shared" si="0"/>
        <v>56</v>
      </c>
      <c r="J49" s="37">
        <v>74519</v>
      </c>
      <c r="K49" s="37">
        <v>537553</v>
      </c>
      <c r="L49" s="37">
        <v>1294430</v>
      </c>
      <c r="M49" s="38">
        <f>I49/(HLOOKUP(F49,Team_Composition_23[[#All],[Yellow]:[Red]],10,FALSE)+HLOOKUP(F49,Team_Composition_23[[#All],[Yellow]:[Red]],11,FALSE))</f>
        <v>6.8209500609013402E-2</v>
      </c>
      <c r="N49" s="38">
        <f>J49/HLOOKUP(F49,Team_Composition_23[[#All],[Yellow]:[Red]],6,FALSE)</f>
        <v>4.2231391118537657E-3</v>
      </c>
      <c r="O49" s="38">
        <f>K49/HLOOKUP(F49,Team_Composition_23[[#All],[Yellow]:[Red]],8,FALSE)</f>
        <v>1.2212689867020442E-2</v>
      </c>
      <c r="P49" s="38">
        <f>L49/HLOOKUP(F49,Team_Composition_23[[#All],[Yellow]:[Red]],7,FALSE)</f>
        <v>5.3338065960566262E-2</v>
      </c>
      <c r="Q49" s="31"/>
      <c r="R49" s="227" t="s">
        <v>67</v>
      </c>
      <c r="S49" s="228"/>
      <c r="T49" s="228"/>
      <c r="U49" s="31"/>
      <c r="V49" s="31"/>
      <c r="W49" s="31"/>
      <c r="X49" s="31"/>
      <c r="Y49" s="31"/>
      <c r="Z49" s="31"/>
      <c r="AA49" s="31"/>
      <c r="AB49" s="227" t="s">
        <v>67</v>
      </c>
      <c r="AC49" s="228"/>
      <c r="AD49" s="228"/>
    </row>
    <row r="50" spans="1:30" ht="22.5" customHeight="1">
      <c r="A50" s="32">
        <v>73</v>
      </c>
      <c r="B50" s="94" t="str">
        <f>VLOOKUP(C50,Lists!I:J,2,FALSE)</f>
        <v>Healer</v>
      </c>
      <c r="C50" s="95" t="str">
        <f>VLOOKUP(E50&amp;D50,Lists!C:E,3,FALSE)</f>
        <v>Wand/Longbow</v>
      </c>
      <c r="D50" s="35" t="s">
        <v>40</v>
      </c>
      <c r="E50" s="36" t="s">
        <v>506</v>
      </c>
      <c r="F50" s="35" t="s">
        <v>476</v>
      </c>
      <c r="G50" s="32">
        <v>0</v>
      </c>
      <c r="H50" s="32">
        <v>54</v>
      </c>
      <c r="I50" s="96">
        <f t="shared" si="0"/>
        <v>54</v>
      </c>
      <c r="J50" s="37">
        <v>39015</v>
      </c>
      <c r="K50" s="37">
        <v>426678</v>
      </c>
      <c r="L50" s="37">
        <v>1343060</v>
      </c>
      <c r="M50" s="38">
        <f>I50/(HLOOKUP(F50,Team_Composition_23[[#All],[Yellow]:[Red]],10,FALSE)+HLOOKUP(F50,Team_Composition_23[[#All],[Yellow]:[Red]],11,FALSE))</f>
        <v>1.3496625843539115E-2</v>
      </c>
      <c r="N50" s="38">
        <f>J50/HLOOKUP(F50,Team_Composition_23[[#All],[Yellow]:[Red]],6,FALSE)</f>
        <v>8.7943737467059419E-4</v>
      </c>
      <c r="O50" s="38">
        <f>K50/HLOOKUP(F50,Team_Composition_23[[#All],[Yellow]:[Red]],8,FALSE)</f>
        <v>2.4355486742985221E-2</v>
      </c>
      <c r="P50" s="38">
        <f>L50/HLOOKUP(F50,Team_Composition_23[[#All],[Yellow]:[Red]],7,FALSE)</f>
        <v>0.10375306668158131</v>
      </c>
      <c r="Q50" s="31"/>
      <c r="R50" s="41" t="s">
        <v>482</v>
      </c>
      <c r="S50" s="42" t="s">
        <v>476</v>
      </c>
      <c r="T50" s="42" t="s">
        <v>483</v>
      </c>
      <c r="U50" s="31"/>
      <c r="V50" s="31"/>
      <c r="W50" s="31"/>
      <c r="X50" s="31"/>
      <c r="Y50" s="31"/>
      <c r="Z50" s="31"/>
      <c r="AA50" s="31"/>
      <c r="AB50" s="41" t="s">
        <v>482</v>
      </c>
      <c r="AC50" s="42" t="s">
        <v>485</v>
      </c>
      <c r="AD50" s="42" t="s">
        <v>36</v>
      </c>
    </row>
    <row r="51" spans="1:30" ht="22.5" customHeight="1">
      <c r="A51" s="32">
        <v>74</v>
      </c>
      <c r="B51" s="94" t="str">
        <f>VLOOKUP(C51,Lists!I:J,2,FALSE)</f>
        <v>Healer</v>
      </c>
      <c r="C51" s="95" t="str">
        <f>VLOOKUP(E51&amp;D51,Lists!C:E,3,FALSE)</f>
        <v>Wand/Orb</v>
      </c>
      <c r="D51" s="35" t="s">
        <v>30</v>
      </c>
      <c r="E51" s="36" t="s">
        <v>440</v>
      </c>
      <c r="F51" s="35" t="s">
        <v>483</v>
      </c>
      <c r="G51" s="32">
        <v>0</v>
      </c>
      <c r="H51" s="32">
        <v>53</v>
      </c>
      <c r="I51" s="96">
        <f t="shared" si="0"/>
        <v>53</v>
      </c>
      <c r="J51" s="37">
        <v>8968</v>
      </c>
      <c r="K51" s="37">
        <v>343764</v>
      </c>
      <c r="L51" s="37">
        <v>515116</v>
      </c>
      <c r="M51" s="38">
        <f>I51/(HLOOKUP(F51,Team_Composition_23[[#All],[Yellow]:[Red]],10,FALSE)+HLOOKUP(F51,Team_Composition_23[[#All],[Yellow]:[Red]],11,FALSE))</f>
        <v>6.4555420219244819E-2</v>
      </c>
      <c r="N51" s="38">
        <f>J51/HLOOKUP(F51,Team_Composition_23[[#All],[Yellow]:[Red]],6,FALSE)</f>
        <v>5.0823429669083822E-4</v>
      </c>
      <c r="O51" s="38">
        <f>K51/HLOOKUP(F51,Team_Composition_23[[#All],[Yellow]:[Red]],8,FALSE)</f>
        <v>7.8099891907335928E-3</v>
      </c>
      <c r="P51" s="38">
        <f>L51/HLOOKUP(F51,Team_Composition_23[[#All],[Yellow]:[Red]],7,FALSE)</f>
        <v>2.1225783692701075E-2</v>
      </c>
      <c r="Q51" s="31"/>
      <c r="R51" s="45" t="s">
        <v>468</v>
      </c>
      <c r="S51" s="46">
        <f>SUMIFS(Scoreboard_41[Damage Dealt],Scoreboard_41[Role],"Tank",Scoreboard_41[Team],"Yellow")</f>
        <v>2111412</v>
      </c>
      <c r="T51" s="47">
        <f>SUMIFS(Scoreboard_41[Damage Dealt],Scoreboard_41[Role],"Tank",Scoreboard_41[Team],"Red")</f>
        <v>2788605</v>
      </c>
      <c r="U51" s="31"/>
      <c r="V51" s="31"/>
      <c r="W51" s="31"/>
      <c r="X51" s="31"/>
      <c r="Y51" s="31"/>
      <c r="Z51" s="31"/>
      <c r="AA51" s="31"/>
      <c r="AB51" s="45" t="s">
        <v>468</v>
      </c>
      <c r="AC51" s="50">
        <f>SUMIFS(Scoreboard_41[Damage Dealt],Scoreboard_41[Role],"Tank",Scoreboard_41[Guild],"Best Regards")</f>
        <v>0</v>
      </c>
      <c r="AD51" s="51">
        <f>SUMIFS(Scoreboard_41[Damage Dealt],Scoreboard_41[Role],"Tank",Scoreboard_41[Guild],"Unhinged肉")</f>
        <v>0</v>
      </c>
    </row>
    <row r="52" spans="1:30" ht="22.5" customHeight="1">
      <c r="A52" s="32">
        <v>30</v>
      </c>
      <c r="B52" s="94" t="str">
        <f>VLOOKUP(C52,Lists!I:J,2,FALSE)</f>
        <v>KS</v>
      </c>
      <c r="C52" s="95" t="str">
        <f>VLOOKUP(E52&amp;D52,Lists!C:E,3,FALSE)</f>
        <v>Crossbow/Dagger</v>
      </c>
      <c r="D52" s="35" t="s">
        <v>30</v>
      </c>
      <c r="E52" s="36" t="s">
        <v>404</v>
      </c>
      <c r="F52" s="35" t="s">
        <v>483</v>
      </c>
      <c r="G52" s="32">
        <v>16</v>
      </c>
      <c r="H52" s="32">
        <v>36</v>
      </c>
      <c r="I52" s="96">
        <f t="shared" si="0"/>
        <v>52</v>
      </c>
      <c r="J52" s="37">
        <v>506110</v>
      </c>
      <c r="K52" s="37">
        <v>1099867</v>
      </c>
      <c r="L52" s="37">
        <v>113867</v>
      </c>
      <c r="M52" s="38">
        <f>I52/(HLOOKUP(F52,Team_Composition_23[[#All],[Yellow]:[Red]],10,FALSE)+HLOOKUP(F52,Team_Composition_23[[#All],[Yellow]:[Red]],11,FALSE))</f>
        <v>6.3337393422655291E-2</v>
      </c>
      <c r="N52" s="38">
        <f>J52/HLOOKUP(F52,Team_Composition_23[[#All],[Yellow]:[Red]],6,FALSE)</f>
        <v>2.8682254671967007E-2</v>
      </c>
      <c r="O52" s="38">
        <f>K52/HLOOKUP(F52,Team_Composition_23[[#All],[Yellow]:[Red]],8,FALSE)</f>
        <v>2.4987925964454056E-2</v>
      </c>
      <c r="P52" s="38">
        <f>L52/HLOOKUP(F52,Team_Composition_23[[#All],[Yellow]:[Red]],7,FALSE)</f>
        <v>4.6919845466589921E-3</v>
      </c>
      <c r="Q52" s="31"/>
      <c r="R52" s="45" t="s">
        <v>469</v>
      </c>
      <c r="S52" s="46">
        <f>SUMIFS(Scoreboard_41[Damage Taken],Scoreboard_41[Role],"Tank",Scoreboard_41[Team],"Yellow")</f>
        <v>11068614</v>
      </c>
      <c r="T52" s="47">
        <f>SUMIFS(Scoreboard_41[Damage Taken],Scoreboard_41[Role],"Tank",Scoreboard_41[Team],"Red")</f>
        <v>7448417</v>
      </c>
      <c r="U52" s="31"/>
      <c r="V52" s="31"/>
      <c r="W52" s="31"/>
      <c r="X52" s="31"/>
      <c r="Y52" s="31"/>
      <c r="Z52" s="31"/>
      <c r="AA52" s="31"/>
      <c r="AB52" s="45" t="s">
        <v>469</v>
      </c>
      <c r="AC52" s="50">
        <f>SUMIFS(Scoreboard_41[Damage Taken],Scoreboard_41[Role],"Tank",Scoreboard_41[Guild],"Best Regards")</f>
        <v>0</v>
      </c>
      <c r="AD52" s="51">
        <f>SUMIFS(Scoreboard_41[Damage Taken],Scoreboard_41[Role],"Tank",Scoreboard_41[Guild],"Unhinged肉")</f>
        <v>0</v>
      </c>
    </row>
    <row r="53" spans="1:30" ht="22.5" customHeight="1">
      <c r="A53" s="32">
        <v>75</v>
      </c>
      <c r="B53" s="94" t="str">
        <f>VLOOKUP(C53,Lists!I:J,2,FALSE)</f>
        <v>Healer</v>
      </c>
      <c r="C53" s="95" t="str">
        <f>VLOOKUP(E53&amp;D53,Lists!C:E,3,FALSE)</f>
        <v>Wand/Orb</v>
      </c>
      <c r="D53" s="35" t="s">
        <v>40</v>
      </c>
      <c r="E53" s="36" t="s">
        <v>153</v>
      </c>
      <c r="F53" s="35" t="s">
        <v>476</v>
      </c>
      <c r="G53" s="32">
        <v>0</v>
      </c>
      <c r="H53" s="32">
        <v>52</v>
      </c>
      <c r="I53" s="96">
        <f t="shared" si="0"/>
        <v>52</v>
      </c>
      <c r="J53" s="37">
        <v>0</v>
      </c>
      <c r="K53" s="37">
        <v>524441</v>
      </c>
      <c r="L53" s="37">
        <v>885849</v>
      </c>
      <c r="M53" s="38">
        <f>I53/(HLOOKUP(F53,Team_Composition_23[[#All],[Yellow]:[Red]],10,FALSE)+HLOOKUP(F53,Team_Composition_23[[#All],[Yellow]:[Red]],11,FALSE))</f>
        <v>1.2996750812296926E-2</v>
      </c>
      <c r="N53" s="38">
        <f>J53/HLOOKUP(F53,Team_Composition_23[[#All],[Yellow]:[Red]],6,FALSE)</f>
        <v>0</v>
      </c>
      <c r="O53" s="38">
        <f>K53/HLOOKUP(F53,Team_Composition_23[[#All],[Yellow]:[Red]],8,FALSE)</f>
        <v>2.9935960661149421E-2</v>
      </c>
      <c r="P53" s="38">
        <f>L53/HLOOKUP(F53,Team_Composition_23[[#All],[Yellow]:[Red]],7,FALSE)</f>
        <v>6.8432944445380048E-2</v>
      </c>
      <c r="Q53" s="31"/>
      <c r="R53" s="45" t="s">
        <v>470</v>
      </c>
      <c r="S53" s="46">
        <f>SUMIFS(Scoreboard_41[Amount Healed],Scoreboard_41[Role],"Tank",Scoreboard_41[Team],"Yellow")</f>
        <v>584214</v>
      </c>
      <c r="T53" s="47">
        <f>SUMIFS(Scoreboard_41[Amount Healed],Scoreboard_41[Role],"Tank",Scoreboard_41[Team],"Red")</f>
        <v>1313582</v>
      </c>
      <c r="U53" s="31"/>
      <c r="V53" s="31"/>
      <c r="W53" s="31"/>
      <c r="X53" s="31"/>
      <c r="Y53" s="31"/>
      <c r="Z53" s="31"/>
      <c r="AA53" s="31"/>
      <c r="AB53" s="45" t="s">
        <v>470</v>
      </c>
      <c r="AC53" s="50">
        <f>SUMIFS(Scoreboard_41[Amount Healed],Scoreboard_41[Role],"Tank",Scoreboard_41[Guild],"Best Regards")</f>
        <v>0</v>
      </c>
      <c r="AD53" s="51">
        <f>SUMIFS(Scoreboard_41[Amount Healed],Scoreboard_41[Role],"Tank",Scoreboard_41[Guild],"Unhinged肉")</f>
        <v>0</v>
      </c>
    </row>
    <row r="54" spans="1:30" ht="22.5" customHeight="1">
      <c r="A54" s="32">
        <v>20</v>
      </c>
      <c r="B54" s="94" t="str">
        <f>VLOOKUP(C54,Lists!I:J,2,FALSE)</f>
        <v>KS</v>
      </c>
      <c r="C54" s="95" t="str">
        <f>VLOOKUP(E54&amp;D54,Lists!C:E,3,FALSE)</f>
        <v>Greatsword/Dagger</v>
      </c>
      <c r="D54" s="35" t="s">
        <v>30</v>
      </c>
      <c r="E54" s="36" t="s">
        <v>396</v>
      </c>
      <c r="F54" s="35" t="s">
        <v>483</v>
      </c>
      <c r="G54" s="32">
        <v>24</v>
      </c>
      <c r="H54" s="32">
        <v>27</v>
      </c>
      <c r="I54" s="96">
        <f t="shared" si="0"/>
        <v>51</v>
      </c>
      <c r="J54" s="37">
        <v>1013391</v>
      </c>
      <c r="K54" s="37">
        <v>399624</v>
      </c>
      <c r="L54" s="37">
        <v>4379</v>
      </c>
      <c r="M54" s="38">
        <f>I54/(HLOOKUP(F54,Team_Composition_23[[#All],[Yellow]:[Red]],10,FALSE)+HLOOKUP(F54,Team_Composition_23[[#All],[Yellow]:[Red]],11,FALSE))</f>
        <v>6.2119366626065771E-2</v>
      </c>
      <c r="N54" s="38">
        <f>J54/HLOOKUP(F54,Team_Composition_23[[#All],[Yellow]:[Red]],6,FALSE)</f>
        <v>5.7430872229909148E-2</v>
      </c>
      <c r="O54" s="38">
        <f>K54/HLOOKUP(F54,Team_Composition_23[[#All],[Yellow]:[Red]],8,FALSE)</f>
        <v>9.0790749478064058E-3</v>
      </c>
      <c r="P54" s="38">
        <f>L54/HLOOKUP(F54,Team_Composition_23[[#All],[Yellow]:[Red]],7,FALSE)</f>
        <v>1.8044034118594259E-4</v>
      </c>
      <c r="Q54" s="31"/>
      <c r="R54" s="45" t="s">
        <v>465</v>
      </c>
      <c r="S54" s="46">
        <f>SUMIFS(Scoreboard_41[Kills],Scoreboard_41[Role],"Tank",Scoreboard_41[Team],"Yellow")</f>
        <v>26</v>
      </c>
      <c r="T54" s="47">
        <f>SUMIFS(Scoreboard_41[Kills],Scoreboard_41[Role],"Tank",Scoreboard_41[Team],"Red")</f>
        <v>21</v>
      </c>
      <c r="U54" s="31"/>
      <c r="V54" s="31"/>
      <c r="W54" s="31"/>
      <c r="X54" s="31"/>
      <c r="Y54" s="31"/>
      <c r="Z54" s="31"/>
      <c r="AA54" s="31"/>
      <c r="AB54" s="45" t="s">
        <v>465</v>
      </c>
      <c r="AC54" s="50">
        <f>SUMIFS(Scoreboard_41[Kills],Scoreboard_41[Role],"Tank",Scoreboard_41[Guild],"Best Regards")</f>
        <v>0</v>
      </c>
      <c r="AD54" s="51">
        <f>SUMIFS(Scoreboard_41[Kills],Scoreboard_41[Role],"Tank",Scoreboard_41[Guild],"Unhinged肉")</f>
        <v>0</v>
      </c>
    </row>
    <row r="55" spans="1:30" ht="22.5" customHeight="1">
      <c r="A55" s="32">
        <v>25</v>
      </c>
      <c r="B55" s="94" t="str">
        <f>VLOOKUP(C55,Lists!I:J,2,FALSE)</f>
        <v>KS</v>
      </c>
      <c r="C55" s="95" t="str">
        <f>VLOOKUP(E55&amp;D55,Lists!C:E,3,FALSE)</f>
        <v>Greatsword/Dagger</v>
      </c>
      <c r="D55" s="35" t="s">
        <v>40</v>
      </c>
      <c r="E55" s="36" t="s">
        <v>182</v>
      </c>
      <c r="F55" s="35" t="s">
        <v>476</v>
      </c>
      <c r="G55" s="32">
        <v>19</v>
      </c>
      <c r="H55" s="32">
        <v>32</v>
      </c>
      <c r="I55" s="96">
        <f t="shared" si="0"/>
        <v>51</v>
      </c>
      <c r="J55" s="37">
        <v>767344</v>
      </c>
      <c r="K55" s="37">
        <v>1149252</v>
      </c>
      <c r="L55" s="37">
        <v>38330</v>
      </c>
      <c r="M55" s="38">
        <f>I55/(HLOOKUP(F55,Team_Composition_23[[#All],[Yellow]:[Red]],10,FALSE)+HLOOKUP(F55,Team_Composition_23[[#All],[Yellow]:[Red]],11,FALSE))</f>
        <v>1.2746813296675831E-2</v>
      </c>
      <c r="N55" s="38">
        <f>J55/HLOOKUP(F55,Team_Composition_23[[#All],[Yellow]:[Red]],6,FALSE)</f>
        <v>1.7296706211181147E-2</v>
      </c>
      <c r="O55" s="38">
        <f>K55/HLOOKUP(F55,Team_Composition_23[[#All],[Yellow]:[Red]],8,FALSE)</f>
        <v>6.5601207117192001E-2</v>
      </c>
      <c r="P55" s="38">
        <f>L55/HLOOKUP(F55,Team_Composition_23[[#All],[Yellow]:[Red]],7,FALSE)</f>
        <v>2.9610404940248474E-3</v>
      </c>
      <c r="Q55" s="31"/>
      <c r="R55" s="45" t="s">
        <v>466</v>
      </c>
      <c r="S55" s="46">
        <f>SUMIFS(Scoreboard_41[Assists],Scoreboard_41[Role],"Tank",Scoreboard_41[Team],"Yellow")</f>
        <v>367</v>
      </c>
      <c r="T55" s="47">
        <f>SUMIFS(Scoreboard_41[Assists],Scoreboard_41[Role],"Tank",Scoreboard_41[Team],"Red")</f>
        <v>284</v>
      </c>
      <c r="U55" s="31"/>
      <c r="V55" s="31"/>
      <c r="W55" s="31"/>
      <c r="X55" s="31"/>
      <c r="Y55" s="31"/>
      <c r="Z55" s="31"/>
      <c r="AA55" s="31"/>
      <c r="AB55" s="45" t="s">
        <v>466</v>
      </c>
      <c r="AC55" s="50">
        <f>SUMIFS(Scoreboard_41[Assists],Scoreboard_41[Role],"Tank",Scoreboard_41[Guild],"Best Regards")</f>
        <v>0</v>
      </c>
      <c r="AD55" s="51">
        <f>SUMIFS(Scoreboard_41[Assists],Scoreboard_41[Role],"Tank",Scoreboard_41[Guild],"Unhinged肉")</f>
        <v>0</v>
      </c>
    </row>
    <row r="56" spans="1:30" ht="22.5" customHeight="1">
      <c r="A56" s="32">
        <v>44</v>
      </c>
      <c r="B56" s="94" t="str">
        <f>VLOOKUP(C56,Lists!I:J,2,FALSE)</f>
        <v>Tank</v>
      </c>
      <c r="C56" s="95" t="str">
        <f>VLOOKUP(E56&amp;D56,Lists!C:E,3,FALSE)</f>
        <v>SnS/Greatsword</v>
      </c>
      <c r="D56" s="35" t="s">
        <v>30</v>
      </c>
      <c r="E56" s="36" t="s">
        <v>407</v>
      </c>
      <c r="F56" s="35" t="s">
        <v>483</v>
      </c>
      <c r="G56" s="32">
        <v>2</v>
      </c>
      <c r="H56" s="32">
        <v>46</v>
      </c>
      <c r="I56" s="96">
        <f t="shared" si="0"/>
        <v>48</v>
      </c>
      <c r="J56" s="37">
        <v>484062</v>
      </c>
      <c r="K56" s="37">
        <v>577019</v>
      </c>
      <c r="L56" s="37">
        <v>153752</v>
      </c>
      <c r="M56" s="38">
        <f>I56/(HLOOKUP(F56,Team_Composition_23[[#All],[Yellow]:[Red]],10,FALSE)+HLOOKUP(F56,Team_Composition_23[[#All],[Yellow]:[Red]],11,FALSE))</f>
        <v>5.8465286236297195E-2</v>
      </c>
      <c r="N56" s="38">
        <f>J56/HLOOKUP(F56,Team_Composition_23[[#All],[Yellow]:[Red]],6,FALSE)</f>
        <v>2.7432750905972404E-2</v>
      </c>
      <c r="O56" s="38">
        <f>K56/HLOOKUP(F56,Team_Composition_23[[#All],[Yellow]:[Red]],8,FALSE)</f>
        <v>1.310931962872176E-2</v>
      </c>
      <c r="P56" s="38">
        <f>L56/HLOOKUP(F56,Team_Composition_23[[#All],[Yellow]:[Red]],7,FALSE)</f>
        <v>6.3354791820098297E-3</v>
      </c>
      <c r="Q56" s="31"/>
      <c r="R56" s="45" t="s">
        <v>62</v>
      </c>
      <c r="S56" s="46">
        <f t="shared" ref="S56:S60" si="10">COUNTIFS(C:C,R56,F:F,"Yellow")</f>
        <v>3</v>
      </c>
      <c r="T56" s="47">
        <f t="shared" ref="T56:T60" si="11">COUNTIFS(C:C,R56,F:F,"Red")</f>
        <v>1</v>
      </c>
      <c r="U56" s="31"/>
      <c r="V56" s="31"/>
      <c r="W56" s="31"/>
      <c r="X56" s="31"/>
      <c r="Y56" s="31"/>
      <c r="Z56" s="31"/>
      <c r="AA56" s="31"/>
      <c r="AB56" s="45" t="s">
        <v>62</v>
      </c>
      <c r="AC56" s="50">
        <f t="shared" ref="AC56:AC60" si="12">COUNTIFS(C:C,AB56,D:D,"Best Regards")</f>
        <v>0</v>
      </c>
      <c r="AD56" s="51">
        <f t="shared" ref="AD56:AD60" si="13">COUNTIFS(C:C,AB56,D:D,"Unhinged肉")</f>
        <v>0</v>
      </c>
    </row>
    <row r="57" spans="1:30" ht="22.5" customHeight="1">
      <c r="A57" s="32">
        <v>52</v>
      </c>
      <c r="B57" s="94" t="str">
        <f>VLOOKUP(C57,Lists!I:J,2,FALSE)</f>
        <v>Tank</v>
      </c>
      <c r="C57" s="95" t="str">
        <f>VLOOKUP(E57&amp;D57,Lists!C:E,3,FALSE)</f>
        <v>SnS/Greatsword</v>
      </c>
      <c r="D57" s="35" t="s">
        <v>40</v>
      </c>
      <c r="E57" s="36" t="s">
        <v>55</v>
      </c>
      <c r="F57" s="35" t="s">
        <v>476</v>
      </c>
      <c r="G57" s="32">
        <v>1</v>
      </c>
      <c r="H57" s="32">
        <v>47</v>
      </c>
      <c r="I57" s="96">
        <f t="shared" si="0"/>
        <v>48</v>
      </c>
      <c r="J57" s="37">
        <v>245872</v>
      </c>
      <c r="K57" s="37">
        <v>1151318</v>
      </c>
      <c r="L57" s="37">
        <v>68493</v>
      </c>
      <c r="M57" s="38">
        <f>I57/(HLOOKUP(F57,Team_Composition_23[[#All],[Yellow]:[Red]],10,FALSE)+HLOOKUP(F57,Team_Composition_23[[#All],[Yellow]:[Red]],11,FALSE))</f>
        <v>1.1997000749812546E-2</v>
      </c>
      <c r="N57" s="38">
        <f>J57/HLOOKUP(F57,Team_Composition_23[[#All],[Yellow]:[Red]],6,FALSE)</f>
        <v>5.542202388440557E-3</v>
      </c>
      <c r="O57" s="38">
        <f>K57/HLOOKUP(F57,Team_Composition_23[[#All],[Yellow]:[Red]],8,FALSE)</f>
        <v>6.5719137818121068E-2</v>
      </c>
      <c r="P57" s="38">
        <f>L57/HLOOKUP(F57,Team_Composition_23[[#All],[Yellow]:[Red]],7,FALSE)</f>
        <v>5.2911700119291387E-3</v>
      </c>
      <c r="Q57" s="31"/>
      <c r="R57" s="45" t="s">
        <v>70</v>
      </c>
      <c r="S57" s="46">
        <f t="shared" si="10"/>
        <v>1</v>
      </c>
      <c r="T57" s="47">
        <f t="shared" si="11"/>
        <v>0</v>
      </c>
      <c r="U57" s="31"/>
      <c r="V57" s="31"/>
      <c r="W57" s="31"/>
      <c r="X57" s="31"/>
      <c r="Y57" s="31"/>
      <c r="Z57" s="31"/>
      <c r="AA57" s="31"/>
      <c r="AB57" s="45" t="s">
        <v>70</v>
      </c>
      <c r="AC57" s="50">
        <f t="shared" si="12"/>
        <v>0</v>
      </c>
      <c r="AD57" s="51">
        <f t="shared" si="13"/>
        <v>0</v>
      </c>
    </row>
    <row r="58" spans="1:30" ht="22.5" customHeight="1">
      <c r="A58" s="32">
        <v>76</v>
      </c>
      <c r="B58" s="94" t="str">
        <f>VLOOKUP(C58,Lists!I:J,2,FALSE)</f>
        <v>Healer</v>
      </c>
      <c r="C58" s="95" t="str">
        <f>VLOOKUP(E58&amp;D58,Lists!C:E,3,FALSE)</f>
        <v>Wand/Orb</v>
      </c>
      <c r="D58" s="35" t="s">
        <v>40</v>
      </c>
      <c r="E58" s="36" t="s">
        <v>171</v>
      </c>
      <c r="F58" s="35" t="s">
        <v>476</v>
      </c>
      <c r="G58" s="32">
        <v>0</v>
      </c>
      <c r="H58" s="32">
        <v>48</v>
      </c>
      <c r="I58" s="96">
        <f t="shared" si="0"/>
        <v>48</v>
      </c>
      <c r="J58" s="37">
        <v>9661</v>
      </c>
      <c r="K58" s="37">
        <v>283077</v>
      </c>
      <c r="L58" s="37">
        <v>664955</v>
      </c>
      <c r="M58" s="38">
        <f>I58/(HLOOKUP(F58,Team_Composition_23[[#All],[Yellow]:[Red]],10,FALSE)+HLOOKUP(F58,Team_Composition_23[[#All],[Yellow]:[Red]],11,FALSE))</f>
        <v>1.1997000749812546E-2</v>
      </c>
      <c r="N58" s="38">
        <f>J58/HLOOKUP(F58,Team_Composition_23[[#All],[Yellow]:[Red]],6,FALSE)</f>
        <v>2.1776866530033603E-4</v>
      </c>
      <c r="O58" s="38">
        <f>K58/HLOOKUP(F58,Team_Composition_23[[#All],[Yellow]:[Red]],8,FALSE)</f>
        <v>1.6158503885234363E-2</v>
      </c>
      <c r="P58" s="38">
        <f>L58/HLOOKUP(F58,Team_Composition_23[[#All],[Yellow]:[Red]],7,FALSE)</f>
        <v>5.1368606358056151E-2</v>
      </c>
      <c r="Q58" s="31"/>
      <c r="R58" s="45" t="s">
        <v>14</v>
      </c>
      <c r="S58" s="46">
        <f t="shared" si="10"/>
        <v>10</v>
      </c>
      <c r="T58" s="47">
        <f t="shared" si="11"/>
        <v>8</v>
      </c>
      <c r="U58" s="31"/>
      <c r="V58" s="31"/>
      <c r="W58" s="31"/>
      <c r="X58" s="31"/>
      <c r="Y58" s="31"/>
      <c r="Z58" s="31"/>
      <c r="AA58" s="31"/>
      <c r="AB58" s="45" t="s">
        <v>14</v>
      </c>
      <c r="AC58" s="50">
        <f t="shared" si="12"/>
        <v>0</v>
      </c>
      <c r="AD58" s="51">
        <f t="shared" si="13"/>
        <v>0</v>
      </c>
    </row>
    <row r="59" spans="1:30" ht="22.5" customHeight="1">
      <c r="A59" s="32">
        <v>53</v>
      </c>
      <c r="B59" s="94" t="str">
        <f>VLOOKUP(C59,Lists!I:J,2,FALSE)</f>
        <v>Healer</v>
      </c>
      <c r="C59" s="95" t="str">
        <f>VLOOKUP(E59&amp;D59,Lists!C:E,3,FALSE)</f>
        <v>Wand/Longbow</v>
      </c>
      <c r="D59" s="35" t="s">
        <v>40</v>
      </c>
      <c r="E59" s="36" t="s">
        <v>106</v>
      </c>
      <c r="F59" s="35" t="s">
        <v>476</v>
      </c>
      <c r="G59" s="32">
        <v>1</v>
      </c>
      <c r="H59" s="32">
        <v>46</v>
      </c>
      <c r="I59" s="96">
        <f t="shared" si="0"/>
        <v>47</v>
      </c>
      <c r="J59" s="37">
        <v>22000</v>
      </c>
      <c r="K59" s="37">
        <v>367413</v>
      </c>
      <c r="L59" s="37">
        <v>1219633</v>
      </c>
      <c r="M59" s="38">
        <f>I59/(HLOOKUP(F59,Team_Composition_23[[#All],[Yellow]:[Red]],10,FALSE)+HLOOKUP(F59,Team_Composition_23[[#All],[Yellow]:[Red]],11,FALSE))</f>
        <v>1.1747063234191453E-2</v>
      </c>
      <c r="N59" s="38">
        <f>J59/HLOOKUP(F59,Team_Composition_23[[#All],[Yellow]:[Red]],6,FALSE)</f>
        <v>4.9590214642453092E-4</v>
      </c>
      <c r="O59" s="38">
        <f>K59/HLOOKUP(F59,Team_Composition_23[[#All],[Yellow]:[Red]],8,FALSE)</f>
        <v>2.0972542410671348E-2</v>
      </c>
      <c r="P59" s="38">
        <f>L59/HLOOKUP(F59,Team_Composition_23[[#All],[Yellow]:[Red]],7,FALSE)</f>
        <v>9.4218176385311936E-2</v>
      </c>
      <c r="Q59" s="31"/>
      <c r="R59" s="45" t="s">
        <v>73</v>
      </c>
      <c r="S59" s="46">
        <f t="shared" si="10"/>
        <v>0</v>
      </c>
      <c r="T59" s="47">
        <f t="shared" si="11"/>
        <v>1</v>
      </c>
      <c r="U59" s="31"/>
      <c r="V59" s="31"/>
      <c r="W59" s="31"/>
      <c r="X59" s="31"/>
      <c r="Y59" s="31"/>
      <c r="Z59" s="31"/>
      <c r="AA59" s="31"/>
      <c r="AB59" s="45" t="s">
        <v>73</v>
      </c>
      <c r="AC59" s="50">
        <f t="shared" si="12"/>
        <v>0</v>
      </c>
      <c r="AD59" s="51">
        <f t="shared" si="13"/>
        <v>0</v>
      </c>
    </row>
    <row r="60" spans="1:30" ht="22.5" customHeight="1">
      <c r="A60" s="32">
        <v>77</v>
      </c>
      <c r="B60" s="94" t="str">
        <f>VLOOKUP(C60,Lists!I:J,2,FALSE)</f>
        <v>Healer</v>
      </c>
      <c r="C60" s="95" t="str">
        <f>VLOOKUP(E60&amp;D60,Lists!C:E,3,FALSE)</f>
        <v>Wand/Orb</v>
      </c>
      <c r="D60" s="35" t="s">
        <v>40</v>
      </c>
      <c r="E60" s="36" t="s">
        <v>164</v>
      </c>
      <c r="F60" s="35" t="s">
        <v>476</v>
      </c>
      <c r="G60" s="32">
        <v>0</v>
      </c>
      <c r="H60" s="32">
        <v>46</v>
      </c>
      <c r="I60" s="96">
        <f t="shared" si="0"/>
        <v>46</v>
      </c>
      <c r="J60" s="37">
        <v>11022</v>
      </c>
      <c r="K60" s="37">
        <v>361047</v>
      </c>
      <c r="L60" s="37">
        <v>664439</v>
      </c>
      <c r="M60" s="38">
        <f>I60/(HLOOKUP(F60,Team_Composition_23[[#All],[Yellow]:[Red]],10,FALSE)+HLOOKUP(F60,Team_Composition_23[[#All],[Yellow]:[Red]],11,FALSE))</f>
        <v>1.1497125718570358E-2</v>
      </c>
      <c r="N60" s="38">
        <f>J60/HLOOKUP(F60,Team_Composition_23[[#All],[Yellow]:[Red]],6,FALSE)</f>
        <v>2.4844697535868996E-4</v>
      </c>
      <c r="O60" s="38">
        <f>K60/HLOOKUP(F60,Team_Composition_23[[#All],[Yellow]:[Red]],8,FALSE)</f>
        <v>2.0609160589706021E-2</v>
      </c>
      <c r="P60" s="38">
        <f>L60/HLOOKUP(F60,Team_Composition_23[[#All],[Yellow]:[Red]],7,FALSE)</f>
        <v>5.1328744711958661E-2</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78</v>
      </c>
      <c r="B61" s="94" t="str">
        <f>VLOOKUP(C61,Lists!I:J,2,FALSE)</f>
        <v>Healer</v>
      </c>
      <c r="C61" s="95" t="str">
        <f>VLOOKUP(E61&amp;D61,Lists!C:E,3,FALSE)</f>
        <v>Wand/Orb</v>
      </c>
      <c r="D61" s="35" t="s">
        <v>30</v>
      </c>
      <c r="E61" s="36" t="s">
        <v>199</v>
      </c>
      <c r="F61" s="35" t="s">
        <v>483</v>
      </c>
      <c r="G61" s="32">
        <v>0</v>
      </c>
      <c r="H61" s="32">
        <v>46</v>
      </c>
      <c r="I61" s="96">
        <f t="shared" si="0"/>
        <v>46</v>
      </c>
      <c r="J61" s="37">
        <v>3417</v>
      </c>
      <c r="K61" s="37">
        <v>664259</v>
      </c>
      <c r="L61" s="37">
        <v>1055266</v>
      </c>
      <c r="M61" s="38">
        <f>I61/(HLOOKUP(F61,Team_Composition_23[[#All],[Yellow]:[Red]],10,FALSE)+HLOOKUP(F61,Team_Composition_23[[#All],[Yellow]:[Red]],11,FALSE))</f>
        <v>5.6029232643118147E-2</v>
      </c>
      <c r="N61" s="38">
        <f>J61/HLOOKUP(F61,Team_Composition_23[[#All],[Yellow]:[Red]],6,FALSE)</f>
        <v>1.9364814805894226E-4</v>
      </c>
      <c r="O61" s="38">
        <f>K61/HLOOKUP(F61,Team_Composition_23[[#All],[Yellow]:[Red]],8,FALSE)</f>
        <v>1.5091328963613135E-2</v>
      </c>
      <c r="P61" s="38">
        <f>L61/HLOOKUP(F61,Team_Composition_23[[#All],[Yellow]:[Red]],7,FALSE)</f>
        <v>4.3483114200028525E-2</v>
      </c>
      <c r="Q61" s="31"/>
      <c r="R61" s="48"/>
      <c r="S61" s="63"/>
      <c r="T61" s="63"/>
      <c r="U61" s="31"/>
      <c r="V61" s="31"/>
      <c r="W61" s="31"/>
      <c r="X61" s="31"/>
      <c r="Y61" s="31"/>
      <c r="Z61" s="31"/>
      <c r="AA61" s="31"/>
      <c r="AB61" s="48"/>
      <c r="AC61" s="63"/>
      <c r="AD61" s="63"/>
    </row>
    <row r="62" spans="1:30" ht="22.5" customHeight="1">
      <c r="A62" s="32">
        <v>79</v>
      </c>
      <c r="B62" s="94" t="str">
        <f>VLOOKUP(C62,Lists!I:J,2,FALSE)</f>
        <v>Healer</v>
      </c>
      <c r="C62" s="95" t="str">
        <f>VLOOKUP(E62&amp;D62,Lists!C:E,3,FALSE)</f>
        <v>Wand/Orb</v>
      </c>
      <c r="D62" s="35" t="s">
        <v>30</v>
      </c>
      <c r="E62" s="36" t="s">
        <v>453</v>
      </c>
      <c r="F62" s="35" t="s">
        <v>483</v>
      </c>
      <c r="G62" s="32">
        <v>0</v>
      </c>
      <c r="H62" s="32">
        <v>46</v>
      </c>
      <c r="I62" s="96">
        <f t="shared" si="0"/>
        <v>46</v>
      </c>
      <c r="J62" s="37">
        <v>1724</v>
      </c>
      <c r="K62" s="37">
        <v>414415</v>
      </c>
      <c r="L62" s="37">
        <v>1008127</v>
      </c>
      <c r="M62" s="38">
        <f>I62/(HLOOKUP(F62,Team_Composition_23[[#All],[Yellow]:[Red]],10,FALSE)+HLOOKUP(F62,Team_Composition_23[[#All],[Yellow]:[Red]],11,FALSE))</f>
        <v>5.6029232643118147E-2</v>
      </c>
      <c r="N62" s="38">
        <f>J62/HLOOKUP(F62,Team_Composition_23[[#All],[Yellow]:[Red]],6,FALSE)</f>
        <v>9.7702489684991646E-5</v>
      </c>
      <c r="O62" s="38">
        <f>K62/HLOOKUP(F62,Team_Composition_23[[#All],[Yellow]:[Red]],8,FALSE)</f>
        <v>9.4151123168157869E-3</v>
      </c>
      <c r="P62" s="38">
        <f>L62/HLOOKUP(F62,Team_Composition_23[[#All],[Yellow]:[Red]],7,FALSE)</f>
        <v>4.1540712454615381E-2</v>
      </c>
      <c r="Q62" s="31"/>
      <c r="R62" s="31"/>
      <c r="S62" s="64"/>
      <c r="T62" s="64"/>
      <c r="U62" s="31"/>
      <c r="V62" s="31"/>
      <c r="W62" s="31"/>
      <c r="X62" s="31"/>
      <c r="Y62" s="31"/>
      <c r="Z62" s="31"/>
      <c r="AA62" s="31"/>
      <c r="AB62" s="31"/>
      <c r="AC62" s="64"/>
      <c r="AD62" s="64"/>
    </row>
    <row r="63" spans="1:30" ht="22.5" customHeight="1">
      <c r="A63" s="32">
        <v>40</v>
      </c>
      <c r="B63" s="94" t="str">
        <f>VLOOKUP(C63,Lists!I:J,2,FALSE)</f>
        <v>Tank</v>
      </c>
      <c r="C63" s="95" t="str">
        <f>VLOOKUP(E63&amp;D63,Lists!C:E,3,FALSE)</f>
        <v>SnS/Spear</v>
      </c>
      <c r="D63" s="35" t="s">
        <v>40</v>
      </c>
      <c r="E63" s="36" t="s">
        <v>61</v>
      </c>
      <c r="F63" s="35" t="s">
        <v>476</v>
      </c>
      <c r="G63" s="32">
        <v>3</v>
      </c>
      <c r="H63" s="32">
        <v>42</v>
      </c>
      <c r="I63" s="96">
        <f t="shared" si="0"/>
        <v>45</v>
      </c>
      <c r="J63" s="37">
        <v>168231</v>
      </c>
      <c r="K63" s="37">
        <v>376833</v>
      </c>
      <c r="L63" s="37">
        <v>17275</v>
      </c>
      <c r="M63" s="38">
        <f>I63/(HLOOKUP(F63,Team_Composition_23[[#All],[Yellow]:[Red]],10,FALSE)+HLOOKUP(F63,Team_Composition_23[[#All],[Yellow]:[Red]],11,FALSE))</f>
        <v>1.1247188202949263E-2</v>
      </c>
      <c r="N63" s="38">
        <f>J63/HLOOKUP(F63,Team_Composition_23[[#All],[Yellow]:[Red]],6,FALSE)</f>
        <v>3.7920960906884208E-3</v>
      </c>
      <c r="O63" s="38">
        <f>K63/HLOOKUP(F63,Team_Composition_23[[#All],[Yellow]:[Red]],8,FALSE)</f>
        <v>2.1510251608518251E-2</v>
      </c>
      <c r="P63" s="38">
        <f>L63/HLOOKUP(F63,Team_Composition_23[[#All],[Yellow]:[Red]],7,FALSE)</f>
        <v>1.3345153804925447E-3</v>
      </c>
      <c r="Q63" s="31"/>
      <c r="R63" s="227" t="s">
        <v>11</v>
      </c>
      <c r="S63" s="228"/>
      <c r="T63" s="228"/>
      <c r="U63" s="31"/>
      <c r="V63" s="31"/>
      <c r="W63" s="31"/>
      <c r="X63" s="31"/>
      <c r="Y63" s="31"/>
      <c r="Z63" s="31"/>
      <c r="AA63" s="31"/>
      <c r="AB63" s="227" t="s">
        <v>11</v>
      </c>
      <c r="AC63" s="228"/>
      <c r="AD63" s="228"/>
    </row>
    <row r="64" spans="1:30" ht="22.5" customHeight="1">
      <c r="A64" s="32">
        <v>41</v>
      </c>
      <c r="B64" s="94" t="str">
        <f>VLOOKUP(C64,Lists!I:J,2,FALSE)</f>
        <v>Tank</v>
      </c>
      <c r="C64" s="95" t="str">
        <f>VLOOKUP(E64&amp;D64,Lists!C:E,3,FALSE)</f>
        <v>SnS/Spear</v>
      </c>
      <c r="D64" s="35" t="s">
        <v>40</v>
      </c>
      <c r="E64" s="36" t="s">
        <v>79</v>
      </c>
      <c r="F64" s="35" t="s">
        <v>476</v>
      </c>
      <c r="G64" s="32">
        <v>3</v>
      </c>
      <c r="H64" s="32">
        <v>41</v>
      </c>
      <c r="I64" s="96">
        <f t="shared" si="0"/>
        <v>44</v>
      </c>
      <c r="J64" s="37">
        <v>226646</v>
      </c>
      <c r="K64" s="37">
        <v>770409</v>
      </c>
      <c r="L64" s="37">
        <v>82337</v>
      </c>
      <c r="M64" s="38">
        <f>I64/(HLOOKUP(F64,Team_Composition_23[[#All],[Yellow]:[Red]],10,FALSE)+HLOOKUP(F64,Team_Composition_23[[#All],[Yellow]:[Red]],11,FALSE))</f>
        <v>1.0997250687328168E-2</v>
      </c>
      <c r="N64" s="38">
        <f>J64/HLOOKUP(F64,Team_Composition_23[[#All],[Yellow]:[Red]],6,FALSE)</f>
        <v>5.1088289944788284E-3</v>
      </c>
      <c r="O64" s="38">
        <f>K64/HLOOKUP(F64,Team_Composition_23[[#All],[Yellow]:[Red]],8,FALSE)</f>
        <v>4.3976221380470755E-2</v>
      </c>
      <c r="P64" s="38">
        <f>L64/HLOOKUP(F64,Team_Composition_23[[#All],[Yellow]:[Red]],7,FALSE)</f>
        <v>6.3606363463742203E-3</v>
      </c>
      <c r="Q64" s="31"/>
      <c r="R64" s="41" t="s">
        <v>482</v>
      </c>
      <c r="S64" s="42" t="s">
        <v>476</v>
      </c>
      <c r="T64" s="42" t="s">
        <v>483</v>
      </c>
      <c r="U64" s="31"/>
      <c r="V64" s="31"/>
      <c r="W64" s="31"/>
      <c r="X64" s="31"/>
      <c r="Y64" s="31"/>
      <c r="Z64" s="31"/>
      <c r="AA64" s="31"/>
      <c r="AB64" s="41" t="s">
        <v>482</v>
      </c>
      <c r="AC64" s="42" t="s">
        <v>485</v>
      </c>
      <c r="AD64" s="42" t="s">
        <v>36</v>
      </c>
    </row>
    <row r="65" spans="1:30" ht="22.5" customHeight="1">
      <c r="A65" s="32">
        <v>80</v>
      </c>
      <c r="B65" s="94" t="str">
        <f>VLOOKUP(C65,Lists!I:J,2,FALSE)</f>
        <v>Ranged DPS</v>
      </c>
      <c r="C65" s="95" t="str">
        <f>VLOOKUP(E65&amp;D65,Lists!C:E,3,FALSE)</f>
        <v>SnS/Wand</v>
      </c>
      <c r="D65" s="35" t="s">
        <v>30</v>
      </c>
      <c r="E65" s="36" t="s">
        <v>424</v>
      </c>
      <c r="F65" s="35" t="s">
        <v>483</v>
      </c>
      <c r="G65" s="32">
        <v>0</v>
      </c>
      <c r="H65" s="32">
        <v>42</v>
      </c>
      <c r="I65" s="96">
        <f t="shared" si="0"/>
        <v>42</v>
      </c>
      <c r="J65" s="37">
        <v>47931</v>
      </c>
      <c r="K65" s="37">
        <v>341238</v>
      </c>
      <c r="L65" s="37">
        <v>373024</v>
      </c>
      <c r="M65" s="38">
        <f>I65/(HLOOKUP(F65,Team_Composition_23[[#All],[Yellow]:[Red]],10,FALSE)+HLOOKUP(F65,Team_Composition_23[[#All],[Yellow]:[Red]],11,FALSE))</f>
        <v>5.1157125456760051E-2</v>
      </c>
      <c r="N65" s="38">
        <f>J65/HLOOKUP(F65,Team_Composition_23[[#All],[Yellow]:[Red]],6,FALSE)</f>
        <v>2.7163445667583146E-3</v>
      </c>
      <c r="O65" s="38">
        <f>K65/HLOOKUP(F65,Team_Composition_23[[#All],[Yellow]:[Red]],8,FALSE)</f>
        <v>7.7526008874330933E-3</v>
      </c>
      <c r="P65" s="38">
        <f>L65/HLOOKUP(F65,Team_Composition_23[[#All],[Yellow]:[Red]],7,FALSE)</f>
        <v>1.5370764519421112E-2</v>
      </c>
      <c r="Q65" s="31"/>
      <c r="R65" s="45" t="s">
        <v>468</v>
      </c>
      <c r="S65" s="46">
        <f>SUMIFS(Scoreboard_41[Damage Dealt],Scoreboard_41[Role],"Healer",Scoreboard_41[Team],"Yellow")</f>
        <v>425252</v>
      </c>
      <c r="T65" s="47">
        <f>SUMIFS(Scoreboard_41[Damage Dealt],Scoreboard_41[Role],"Healer",Scoreboard_41[Team],"Red")</f>
        <v>1080969</v>
      </c>
      <c r="U65" s="31"/>
      <c r="V65" s="31"/>
      <c r="W65" s="31"/>
      <c r="X65" s="31"/>
      <c r="Y65" s="31"/>
      <c r="Z65" s="31"/>
      <c r="AA65" s="31"/>
      <c r="AB65" s="45" t="s">
        <v>468</v>
      </c>
      <c r="AC65" s="50">
        <f>SUMIFS(Scoreboard_41[Damage Dealt],Scoreboard_41[Role],"Healer",Scoreboard_41[Guild],"Best Regards")</f>
        <v>0</v>
      </c>
      <c r="AD65" s="51">
        <f>SUMIFS(Scoreboard_41[Damage Dealt],Scoreboard_41[Role],"Healer",Scoreboard_41[Guild],"Unhinged肉")</f>
        <v>0</v>
      </c>
    </row>
    <row r="66" spans="1:30" ht="22.5" customHeight="1">
      <c r="A66" s="32">
        <v>81</v>
      </c>
      <c r="B66" s="94" t="str">
        <f>VLOOKUP(C66,Lists!I:J,2,FALSE)</f>
        <v>Healer</v>
      </c>
      <c r="C66" s="95" t="str">
        <f>VLOOKUP(E66&amp;D66,Lists!C:E,3,FALSE)</f>
        <v>Wand/Longbow</v>
      </c>
      <c r="D66" s="35" t="s">
        <v>30</v>
      </c>
      <c r="E66" s="36" t="s">
        <v>426</v>
      </c>
      <c r="F66" s="35" t="s">
        <v>483</v>
      </c>
      <c r="G66" s="32">
        <v>0</v>
      </c>
      <c r="H66" s="32">
        <v>42</v>
      </c>
      <c r="I66" s="96">
        <f t="shared" si="0"/>
        <v>42</v>
      </c>
      <c r="J66" s="37">
        <v>4029</v>
      </c>
      <c r="K66" s="37">
        <v>686047</v>
      </c>
      <c r="L66" s="37">
        <v>978584</v>
      </c>
      <c r="M66" s="38">
        <f>I66/(HLOOKUP(F66,Team_Composition_23[[#All],[Yellow]:[Red]],10,FALSE)+HLOOKUP(F66,Team_Composition_23[[#All],[Yellow]:[Red]],11,FALSE))</f>
        <v>5.1157125456760051E-2</v>
      </c>
      <c r="N66" s="38">
        <f>J66/HLOOKUP(F66,Team_Composition_23[[#All],[Yellow]:[Red]],6,FALSE)</f>
        <v>2.2833139845755877E-4</v>
      </c>
      <c r="O66" s="38">
        <f>K66/HLOOKUP(F66,Team_Composition_23[[#All],[Yellow]:[Red]],8,FALSE)</f>
        <v>1.5586331478384034E-2</v>
      </c>
      <c r="P66" s="38">
        <f>L66/HLOOKUP(F66,Team_Composition_23[[#All],[Yellow]:[Red]],7,FALSE)</f>
        <v>4.0323368540558222E-2</v>
      </c>
      <c r="Q66" s="31"/>
      <c r="R66" s="45" t="s">
        <v>469</v>
      </c>
      <c r="S66" s="46">
        <f>SUMIFS(Scoreboard_41[Damage Taken],Scoreboard_41[Role],"Healer",Scoreboard_41[Team],"Yellow")</f>
        <v>8155339</v>
      </c>
      <c r="T66" s="47">
        <f>SUMIFS(Scoreboard_41[Damage Taken],Scoreboard_41[Role],"Healer",Scoreboard_41[Team],"Red")</f>
        <v>9121768</v>
      </c>
      <c r="U66" s="31"/>
      <c r="V66" s="31"/>
      <c r="W66" s="31"/>
      <c r="X66" s="31"/>
      <c r="Y66" s="31"/>
      <c r="Z66" s="31"/>
      <c r="AA66" s="31"/>
      <c r="AB66" s="45" t="s">
        <v>469</v>
      </c>
      <c r="AC66" s="50">
        <f>SUMIFS(Scoreboard_41[Damage Taken],Scoreboard_41[Role],"Healer",Scoreboard_41[Guild],"Best Regards")</f>
        <v>0</v>
      </c>
      <c r="AD66" s="51">
        <f>SUMIFS(Scoreboard_41[Damage Taken],Scoreboard_41[Role],"Healer",Scoreboard_41[Guild],"Unhinged肉")</f>
        <v>0</v>
      </c>
    </row>
    <row r="67" spans="1:30" ht="22.5" customHeight="1">
      <c r="A67" s="32">
        <v>32</v>
      </c>
      <c r="B67" s="94" t="s">
        <v>78</v>
      </c>
      <c r="C67" s="95" t="str">
        <f>VLOOKUP(E67&amp;D67,Lists!C:E,3,FALSE)</f>
        <v>Greatsword/Spear</v>
      </c>
      <c r="D67" s="35" t="s">
        <v>40</v>
      </c>
      <c r="E67" s="36" t="s">
        <v>179</v>
      </c>
      <c r="F67" s="35" t="s">
        <v>476</v>
      </c>
      <c r="G67" s="32">
        <v>14</v>
      </c>
      <c r="H67" s="32">
        <v>27</v>
      </c>
      <c r="I67" s="96">
        <f t="shared" si="0"/>
        <v>41</v>
      </c>
      <c r="J67" s="37">
        <v>622755</v>
      </c>
      <c r="K67" s="37">
        <v>1194427</v>
      </c>
      <c r="L67" s="37">
        <v>53095</v>
      </c>
      <c r="M67" s="38">
        <f>I67/(HLOOKUP(F67,Team_Composition_23[[#All],[Yellow]:[Red]],10,FALSE)+HLOOKUP(F67,Team_Composition_23[[#All],[Yellow]:[Red]],11,FALSE))</f>
        <v>1.0247438140464884E-2</v>
      </c>
      <c r="N67" s="38">
        <f>J67/HLOOKUP(F67,Team_Composition_23[[#All],[Yellow]:[Red]],6,FALSE)</f>
        <v>1.4037524599845851E-2</v>
      </c>
      <c r="O67" s="38">
        <f>K67/HLOOKUP(F67,Team_Composition_23[[#All],[Yellow]:[Red]],8,FALSE)</f>
        <v>6.8179870918968419E-2</v>
      </c>
      <c r="P67" s="38">
        <f>L67/HLOOKUP(F67,Team_Composition_23[[#All],[Yellow]:[Red]],7,FALSE)</f>
        <v>4.1016552316788229E-3</v>
      </c>
      <c r="Q67" s="31"/>
      <c r="R67" s="45" t="s">
        <v>470</v>
      </c>
      <c r="S67" s="46">
        <f>SUMIFS(Scoreboard_41[Amount Healed],Scoreboard_41[Role],"Healer",Scoreboard_41[Team],"Yellow")</f>
        <v>26145732</v>
      </c>
      <c r="T67" s="47">
        <f>SUMIFS(Scoreboard_41[Amount Healed],Scoreboard_41[Role],"Healer",Scoreboard_41[Team],"Red")</f>
        <v>17369054</v>
      </c>
      <c r="U67" s="31"/>
      <c r="V67" s="31"/>
      <c r="W67" s="31"/>
      <c r="X67" s="31"/>
      <c r="Y67" s="31"/>
      <c r="Z67" s="31"/>
      <c r="AA67" s="31"/>
      <c r="AB67" s="45" t="s">
        <v>470</v>
      </c>
      <c r="AC67" s="50">
        <f>SUMIFS(Scoreboard_41[Amount Healed],Scoreboard_41[Role],"Healer",Scoreboard_41[Guild],"Best Regards")</f>
        <v>0</v>
      </c>
      <c r="AD67" s="51">
        <f>SUMIFS(Scoreboard_41[Amount Healed],Scoreboard_41[Role],"Healer",Scoreboard_41[Guild],"Unhinged肉")</f>
        <v>0</v>
      </c>
    </row>
    <row r="68" spans="1:30" ht="22.5" customHeight="1">
      <c r="A68" s="32">
        <v>82</v>
      </c>
      <c r="B68" s="94" t="str">
        <f>VLOOKUP(C68,Lists!I:J,2,FALSE)</f>
        <v>Healer</v>
      </c>
      <c r="C68" s="95" t="str">
        <f>VLOOKUP(E68&amp;D68,Lists!C:E,3,FALSE)</f>
        <v>Wand/Orb</v>
      </c>
      <c r="D68" s="35" t="s">
        <v>30</v>
      </c>
      <c r="E68" s="35" t="s">
        <v>445</v>
      </c>
      <c r="F68" s="35" t="s">
        <v>483</v>
      </c>
      <c r="G68" s="32">
        <v>0</v>
      </c>
      <c r="H68" s="32">
        <v>41</v>
      </c>
      <c r="I68" s="96">
        <f t="shared" si="0"/>
        <v>41</v>
      </c>
      <c r="J68" s="37">
        <v>54850</v>
      </c>
      <c r="K68" s="37">
        <v>316356</v>
      </c>
      <c r="L68" s="37">
        <v>1103301</v>
      </c>
      <c r="M68" s="38">
        <f>I68/(HLOOKUP(F68,Team_Composition_23[[#All],[Yellow]:[Red]],10,FALSE)+HLOOKUP(F68,Team_Composition_23[[#All],[Yellow]:[Red]],11,FALSE))</f>
        <v>4.9939098660170524E-2</v>
      </c>
      <c r="N68" s="38">
        <f>J68/HLOOKUP(F68,Team_Composition_23[[#All],[Yellow]:[Red]],6,FALSE)</f>
        <v>3.1084579809871182E-3</v>
      </c>
      <c r="O68" s="38">
        <f>K68/HLOOKUP(F68,Team_Composition_23[[#All],[Yellow]:[Red]],8,FALSE)</f>
        <v>7.1873056527842257E-3</v>
      </c>
      <c r="P68" s="38">
        <f>L68/HLOOKUP(F68,Team_Composition_23[[#All],[Yellow]:[Red]],7,FALSE)</f>
        <v>4.5462436371498438E-2</v>
      </c>
      <c r="Q68" s="31"/>
      <c r="R68" s="45" t="s">
        <v>465</v>
      </c>
      <c r="S68" s="46">
        <f>SUMIFS(Scoreboard_41[Kills],Scoreboard_41[Role],"Healer",Scoreboard_41[Team],"Yellow")</f>
        <v>4</v>
      </c>
      <c r="T68" s="47">
        <f>SUMIFS(Scoreboard_41[Kills],Scoreboard_41[Role],"Healer",Scoreboard_41[Team],"Red")</f>
        <v>4</v>
      </c>
      <c r="U68" s="31"/>
      <c r="V68" s="31"/>
      <c r="W68" s="31"/>
      <c r="X68" s="31"/>
      <c r="Y68" s="31"/>
      <c r="Z68" s="31"/>
      <c r="AA68" s="31"/>
      <c r="AB68" s="45" t="s">
        <v>465</v>
      </c>
      <c r="AC68" s="50">
        <f>SUMIFS(Scoreboard_41[Kills],Scoreboard_41[Role],"Healer",Scoreboard_41[Guild],"Best Regards")</f>
        <v>0</v>
      </c>
      <c r="AD68" s="51">
        <f>SUMIFS(Scoreboard_41[Kills],Scoreboard_41[Role],"Healer",Scoreboard_41[Guild],"Unhinged肉")</f>
        <v>0</v>
      </c>
    </row>
    <row r="69" spans="1:30" ht="22.5" customHeight="1">
      <c r="A69" s="32">
        <v>38</v>
      </c>
      <c r="B69" s="94" t="str">
        <f>VLOOKUP(C69,Lists!I:J,2,FALSE)</f>
        <v>Tank</v>
      </c>
      <c r="C69" s="95" t="str">
        <f>VLOOKUP(E69&amp;D69,Lists!C:E,3,FALSE)</f>
        <v>SnS/Greatsword</v>
      </c>
      <c r="D69" s="35" t="s">
        <v>40</v>
      </c>
      <c r="E69" s="36" t="s">
        <v>173</v>
      </c>
      <c r="F69" s="35" t="s">
        <v>476</v>
      </c>
      <c r="G69" s="32">
        <v>4</v>
      </c>
      <c r="H69" s="32">
        <v>36</v>
      </c>
      <c r="I69" s="96">
        <f t="shared" si="0"/>
        <v>40</v>
      </c>
      <c r="J69" s="37">
        <v>382371</v>
      </c>
      <c r="K69" s="37">
        <v>730425</v>
      </c>
      <c r="L69" s="37">
        <v>50059</v>
      </c>
      <c r="M69" s="38">
        <f>I69/(HLOOKUP(F69,Team_Composition_23[[#All],[Yellow]:[Red]],10,FALSE)+HLOOKUP(F69,Team_Composition_23[[#All],[Yellow]:[Red]],11,FALSE))</f>
        <v>9.997500624843789E-3</v>
      </c>
      <c r="N69" s="38">
        <f>J69/HLOOKUP(F69,Team_Composition_23[[#All],[Yellow]:[Red]],6,FALSE)</f>
        <v>8.6190272559315585E-3</v>
      </c>
      <c r="O69" s="38">
        <f>K69/HLOOKUP(F69,Team_Composition_23[[#All],[Yellow]:[Red]],8,FALSE)</f>
        <v>4.1693868454068361E-2</v>
      </c>
      <c r="P69" s="38">
        <f>L69/HLOOKUP(F69,Team_Composition_23[[#All],[Yellow]:[Red]],7,FALSE)</f>
        <v>3.8671204302214933E-3</v>
      </c>
      <c r="Q69" s="31"/>
      <c r="R69" s="45" t="s">
        <v>466</v>
      </c>
      <c r="S69" s="46">
        <f>SUMIFS(Scoreboard_41[Assists],Scoreboard_41[Role],"Healer",Scoreboard_41[Team],"Yellow")</f>
        <v>867</v>
      </c>
      <c r="T69" s="47">
        <f>SUMIFS(Scoreboard_41[Assists],Scoreboard_41[Role],"Healer",Scoreboard_41[Team],"Red")</f>
        <v>887</v>
      </c>
      <c r="U69" s="31"/>
      <c r="V69" s="31"/>
      <c r="W69" s="31"/>
      <c r="X69" s="31"/>
      <c r="Y69" s="31"/>
      <c r="Z69" s="31"/>
      <c r="AA69" s="31"/>
      <c r="AB69" s="45" t="s">
        <v>466</v>
      </c>
      <c r="AC69" s="50">
        <f>SUMIFS(Scoreboard_41[Assists],Scoreboard_41[Role],"Healer",Scoreboard_41[Guild],"Best Regards")</f>
        <v>0</v>
      </c>
      <c r="AD69" s="51">
        <f>SUMIFS(Scoreboard_41[Assists],Scoreboard_41[Role],"Healer",Scoreboard_41[Guild],"Unhinged肉")</f>
        <v>0</v>
      </c>
    </row>
    <row r="70" spans="1:30" ht="22.5" customHeight="1">
      <c r="A70" s="32">
        <v>45</v>
      </c>
      <c r="B70" s="94" t="str">
        <f>VLOOKUP(C70,Lists!I:J,2,FALSE)</f>
        <v>Tank</v>
      </c>
      <c r="C70" s="95" t="str">
        <f>VLOOKUP(E70&amp;D70,Lists!C:E,3,FALSE)</f>
        <v>SnS/Greatsword</v>
      </c>
      <c r="D70" s="35" t="s">
        <v>40</v>
      </c>
      <c r="E70" s="36" t="s">
        <v>184</v>
      </c>
      <c r="F70" s="35" t="s">
        <v>476</v>
      </c>
      <c r="G70" s="32">
        <v>2</v>
      </c>
      <c r="H70" s="32">
        <v>38</v>
      </c>
      <c r="I70" s="96">
        <f t="shared" si="0"/>
        <v>40</v>
      </c>
      <c r="J70" s="37">
        <v>159256</v>
      </c>
      <c r="K70" s="37">
        <v>1401327</v>
      </c>
      <c r="L70" s="37">
        <v>33509</v>
      </c>
      <c r="M70" s="38">
        <f>I70/(HLOOKUP(F70,Team_Composition_23[[#All],[Yellow]:[Red]],10,FALSE)+HLOOKUP(F70,Team_Composition_23[[#All],[Yellow]:[Red]],11,FALSE))</f>
        <v>9.997500624843789E-3</v>
      </c>
      <c r="N70" s="38">
        <f>J70/HLOOKUP(F70,Team_Composition_23[[#All],[Yellow]:[Red]],6,FALSE)</f>
        <v>3.5897905559538678E-3</v>
      </c>
      <c r="O70" s="38">
        <f>K70/HLOOKUP(F70,Team_Composition_23[[#All],[Yellow]:[Red]],8,FALSE)</f>
        <v>7.9990065508620672E-2</v>
      </c>
      <c r="P70" s="38">
        <f>L70/HLOOKUP(F70,Team_Composition_23[[#All],[Yellow]:[Red]],7,FALSE)</f>
        <v>2.5886122075209658E-3</v>
      </c>
      <c r="Q70" s="31"/>
      <c r="R70" s="45" t="s">
        <v>10</v>
      </c>
      <c r="S70" s="46">
        <f t="shared" ref="S70:S72" si="14">COUNTIFS(C:C,R70,F:F,"Yellow")</f>
        <v>7</v>
      </c>
      <c r="T70" s="47">
        <f t="shared" ref="T70:T72" si="15">COUNTIFS(C:C,R70,F:F,"Red")</f>
        <v>7</v>
      </c>
      <c r="U70" s="31"/>
      <c r="V70" s="31"/>
      <c r="W70" s="31"/>
      <c r="X70" s="31"/>
      <c r="Y70" s="31"/>
      <c r="Z70" s="31"/>
      <c r="AA70" s="31"/>
      <c r="AB70" s="45" t="s">
        <v>10</v>
      </c>
      <c r="AC70" s="50">
        <f t="shared" ref="AC70:AC72" si="16">COUNTIFS(C:C,AB70,D:D,"Best Regards")</f>
        <v>0</v>
      </c>
      <c r="AD70" s="51">
        <f t="shared" ref="AD70:AD72" si="17">COUNTIFS(C:C,AB70,D:D,"Unhinged肉")</f>
        <v>0</v>
      </c>
    </row>
    <row r="71" spans="1:30" ht="22.5" customHeight="1">
      <c r="A71" s="32">
        <v>83</v>
      </c>
      <c r="B71" s="94" t="str">
        <f>VLOOKUP(C71,Lists!I:J,2,FALSE)</f>
        <v>Healer</v>
      </c>
      <c r="C71" s="95" t="str">
        <f>VLOOKUP(E71&amp;D71,Lists!C:E,3,FALSE)</f>
        <v>Wand/Orb</v>
      </c>
      <c r="D71" s="35" t="s">
        <v>40</v>
      </c>
      <c r="E71" s="36" t="s">
        <v>121</v>
      </c>
      <c r="F71" s="35" t="s">
        <v>476</v>
      </c>
      <c r="G71" s="32">
        <v>0</v>
      </c>
      <c r="H71" s="32">
        <v>40</v>
      </c>
      <c r="I71" s="96">
        <f t="shared" si="0"/>
        <v>40</v>
      </c>
      <c r="J71" s="37">
        <v>19511</v>
      </c>
      <c r="K71" s="37">
        <v>508773</v>
      </c>
      <c r="L71" s="37">
        <v>850571</v>
      </c>
      <c r="M71" s="38">
        <f>I71/(HLOOKUP(F71,Team_Composition_23[[#All],[Yellow]:[Red]],10,FALSE)+HLOOKUP(F71,Team_Composition_23[[#All],[Yellow]:[Red]],11,FALSE))</f>
        <v>9.997500624843789E-3</v>
      </c>
      <c r="N71" s="38">
        <f>J71/HLOOKUP(F71,Team_Composition_23[[#All],[Yellow]:[Red]],6,FALSE)</f>
        <v>4.3979758085859193E-4</v>
      </c>
      <c r="O71" s="38">
        <f>K71/HLOOKUP(F71,Team_Composition_23[[#All],[Yellow]:[Red]],8,FALSE)</f>
        <v>2.9041605277724231E-2</v>
      </c>
      <c r="P71" s="38">
        <f>L71/HLOOKUP(F71,Team_Composition_23[[#All],[Yellow]:[Red]],7,FALSE)</f>
        <v>6.5707674772846558E-2</v>
      </c>
      <c r="Q71" s="31"/>
      <c r="R71" s="45" t="s">
        <v>9</v>
      </c>
      <c r="S71" s="46">
        <f t="shared" si="14"/>
        <v>9</v>
      </c>
      <c r="T71" s="47">
        <f t="shared" si="15"/>
        <v>11</v>
      </c>
      <c r="U71" s="31"/>
      <c r="V71" s="31"/>
      <c r="W71" s="31"/>
      <c r="X71" s="31"/>
      <c r="Y71" s="31"/>
      <c r="Z71" s="31"/>
      <c r="AA71" s="31"/>
      <c r="AB71" s="45" t="s">
        <v>9</v>
      </c>
      <c r="AC71" s="50">
        <f t="shared" si="16"/>
        <v>0</v>
      </c>
      <c r="AD71" s="51">
        <f t="shared" si="17"/>
        <v>0</v>
      </c>
    </row>
    <row r="72" spans="1:30" ht="22.5" customHeight="1">
      <c r="A72" s="32">
        <v>84</v>
      </c>
      <c r="B72" s="94" t="str">
        <f>VLOOKUP(C72,Lists!I:J,2,FALSE)</f>
        <v>Tank</v>
      </c>
      <c r="C72" s="95" t="str">
        <f>VLOOKUP(E72&amp;D72,Lists!C:E,3,FALSE)</f>
        <v>SnS/Greatsword</v>
      </c>
      <c r="D72" s="35" t="s">
        <v>30</v>
      </c>
      <c r="E72" s="36" t="s">
        <v>408</v>
      </c>
      <c r="F72" s="35" t="s">
        <v>483</v>
      </c>
      <c r="G72" s="32">
        <v>0</v>
      </c>
      <c r="H72" s="32">
        <v>38</v>
      </c>
      <c r="I72" s="96">
        <f t="shared" si="0"/>
        <v>38</v>
      </c>
      <c r="J72" s="37">
        <v>302853</v>
      </c>
      <c r="K72" s="37">
        <v>872304</v>
      </c>
      <c r="L72" s="37">
        <v>36987</v>
      </c>
      <c r="M72" s="38">
        <f>I72/(HLOOKUP(F72,Team_Composition_23[[#All],[Yellow]:[Red]],10,FALSE)+HLOOKUP(F72,Team_Composition_23[[#All],[Yellow]:[Red]],11,FALSE))</f>
        <v>4.6285018270401948E-2</v>
      </c>
      <c r="N72" s="38">
        <f>J72/HLOOKUP(F72,Team_Composition_23[[#All],[Yellow]:[Red]],6,FALSE)</f>
        <v>1.716327848524871E-2</v>
      </c>
      <c r="O72" s="38">
        <f>K72/HLOOKUP(F72,Team_Composition_23[[#All],[Yellow]:[Red]],8,FALSE)</f>
        <v>1.9817912320759811E-2</v>
      </c>
      <c r="P72" s="38">
        <f>L72/HLOOKUP(F72,Team_Composition_23[[#All],[Yellow]:[Red]],7,FALSE)</f>
        <v>1.5240801323234663E-3</v>
      </c>
      <c r="Q72" s="31"/>
      <c r="R72" s="45" t="s">
        <v>18</v>
      </c>
      <c r="S72" s="46">
        <f t="shared" si="14"/>
        <v>0</v>
      </c>
      <c r="T72" s="47">
        <f t="shared" si="15"/>
        <v>1</v>
      </c>
      <c r="U72" s="31"/>
      <c r="V72" s="31"/>
      <c r="W72" s="31"/>
      <c r="X72" s="31"/>
      <c r="Y72" s="31"/>
      <c r="Z72" s="31"/>
      <c r="AA72" s="31"/>
      <c r="AB72" s="45" t="s">
        <v>18</v>
      </c>
      <c r="AC72" s="50">
        <f t="shared" si="16"/>
        <v>0</v>
      </c>
      <c r="AD72" s="51">
        <f t="shared" si="17"/>
        <v>0</v>
      </c>
    </row>
    <row r="73" spans="1:30" ht="22.5" customHeight="1">
      <c r="A73" s="32">
        <v>85</v>
      </c>
      <c r="B73" s="94" t="str">
        <f>VLOOKUP(C73,Lists!I:J,2,FALSE)</f>
        <v>Healer</v>
      </c>
      <c r="C73" s="95" t="str">
        <f>VLOOKUP(E73&amp;D73,Lists!C:E,3,FALSE)</f>
        <v>Wand/Orb</v>
      </c>
      <c r="D73" s="35" t="s">
        <v>30</v>
      </c>
      <c r="E73" s="36" t="s">
        <v>505</v>
      </c>
      <c r="F73" s="35" t="s">
        <v>483</v>
      </c>
      <c r="G73" s="32">
        <v>0</v>
      </c>
      <c r="H73" s="32">
        <v>38</v>
      </c>
      <c r="I73" s="96">
        <f t="shared" si="0"/>
        <v>38</v>
      </c>
      <c r="J73" s="37">
        <v>13697</v>
      </c>
      <c r="K73" s="37">
        <v>570951</v>
      </c>
      <c r="L73" s="37">
        <v>1171549</v>
      </c>
      <c r="M73" s="38">
        <f>I73/(HLOOKUP(F73,Team_Composition_23[[#All],[Yellow]:[Red]],10,FALSE)+HLOOKUP(F73,Team_Composition_23[[#All],[Yellow]:[Red]],11,FALSE))</f>
        <v>4.6285018270401948E-2</v>
      </c>
      <c r="N73" s="38">
        <f>J73/HLOOKUP(F73,Team_Composition_23[[#All],[Yellow]:[Red]],6,FALSE)</f>
        <v>7.7623607959125907E-4</v>
      </c>
      <c r="O73" s="38">
        <f>K73/HLOOKUP(F73,Team_Composition_23[[#All],[Yellow]:[Red]],8,FALSE)</f>
        <v>1.2971460474158246E-2</v>
      </c>
      <c r="P73" s="38">
        <f>L73/HLOOKUP(F73,Team_Composition_23[[#All],[Yellow]:[Red]],7,FALSE)</f>
        <v>4.827465203837631E-2</v>
      </c>
      <c r="Q73" s="31"/>
      <c r="R73" s="31"/>
      <c r="S73" s="31"/>
      <c r="T73" s="31"/>
      <c r="U73" s="31"/>
      <c r="V73" s="31"/>
      <c r="W73" s="31"/>
      <c r="X73" s="31"/>
      <c r="Y73" s="31"/>
      <c r="Z73" s="31"/>
      <c r="AA73" s="31"/>
      <c r="AB73" s="31"/>
      <c r="AC73" s="31"/>
      <c r="AD73" s="31"/>
    </row>
    <row r="74" spans="1:30" ht="22.5" customHeight="1">
      <c r="A74" s="32">
        <v>36</v>
      </c>
      <c r="B74" s="94" t="str">
        <f>VLOOKUP(C74,Lists!I:J,2,FALSE)</f>
        <v>Tank</v>
      </c>
      <c r="C74" s="95" t="str">
        <f>VLOOKUP(E74&amp;D74,Lists!C:E,3,FALSE)</f>
        <v>SnS/Greatsword</v>
      </c>
      <c r="D74" s="35" t="s">
        <v>30</v>
      </c>
      <c r="E74" s="36" t="s">
        <v>214</v>
      </c>
      <c r="F74" s="35" t="s">
        <v>483</v>
      </c>
      <c r="G74" s="32">
        <v>8</v>
      </c>
      <c r="H74" s="32">
        <v>28</v>
      </c>
      <c r="I74" s="96">
        <f t="shared" si="0"/>
        <v>36</v>
      </c>
      <c r="J74" s="37">
        <v>722077</v>
      </c>
      <c r="K74" s="37">
        <v>1127182</v>
      </c>
      <c r="L74" s="37">
        <v>45658</v>
      </c>
      <c r="M74" s="38">
        <f>I74/(HLOOKUP(F74,Team_Composition_23[[#All],[Yellow]:[Red]],10,FALSE)+HLOOKUP(F74,Team_Composition_23[[#All],[Yellow]:[Red]],11,FALSE))</f>
        <v>4.38489646772229E-2</v>
      </c>
      <c r="N74" s="38">
        <f>J74/HLOOKUP(F74,Team_Composition_23[[#All],[Yellow]:[Red]],6,FALSE)</f>
        <v>4.0921531696212127E-2</v>
      </c>
      <c r="O74" s="38">
        <f>K74/HLOOKUP(F74,Team_Composition_23[[#All],[Yellow]:[Red]],8,FALSE)</f>
        <v>2.5608496631379297E-2</v>
      </c>
      <c r="P74" s="38">
        <f>L74/HLOOKUP(F74,Team_Composition_23[[#All],[Yellow]:[Red]],7,FALSE)</f>
        <v>1.8813759072545712E-3</v>
      </c>
      <c r="Q74" s="31"/>
    </row>
    <row r="75" spans="1:30" ht="22.5" customHeight="1">
      <c r="A75" s="32">
        <v>86</v>
      </c>
      <c r="B75" s="94" t="str">
        <f>VLOOKUP(C75,Lists!I:J,2,FALSE)</f>
        <v>Healer</v>
      </c>
      <c r="C75" s="95" t="str">
        <f>VLOOKUP(E75&amp;D75,Lists!C:E,3,FALSE)</f>
        <v>Wand/Orb</v>
      </c>
      <c r="D75" s="35" t="s">
        <v>30</v>
      </c>
      <c r="E75" s="36" t="s">
        <v>419</v>
      </c>
      <c r="F75" s="35" t="s">
        <v>483</v>
      </c>
      <c r="G75" s="32">
        <v>0</v>
      </c>
      <c r="H75" s="32">
        <v>36</v>
      </c>
      <c r="I75" s="96">
        <f t="shared" si="0"/>
        <v>36</v>
      </c>
      <c r="J75" s="37">
        <v>9988</v>
      </c>
      <c r="K75" s="37">
        <v>227410</v>
      </c>
      <c r="L75" s="37">
        <v>700919</v>
      </c>
      <c r="M75" s="38">
        <f>I75/(HLOOKUP(F75,Team_Composition_23[[#All],[Yellow]:[Red]],10,FALSE)+HLOOKUP(F75,Team_Composition_23[[#All],[Yellow]:[Red]],11,FALSE))</f>
        <v>4.38489646772229E-2</v>
      </c>
      <c r="N75" s="38">
        <f>J75/HLOOKUP(F75,Team_Composition_23[[#All],[Yellow]:[Red]],6,FALSE)</f>
        <v>5.6603971402186578E-4</v>
      </c>
      <c r="O75" s="38">
        <f>K75/HLOOKUP(F75,Team_Composition_23[[#All],[Yellow]:[Red]],8,FALSE)</f>
        <v>5.1665376300739068E-3</v>
      </c>
      <c r="P75" s="38">
        <f>L75/HLOOKUP(F75,Team_Composition_23[[#All],[Yellow]:[Red]],7,FALSE)</f>
        <v>2.8881951017060904E-2</v>
      </c>
      <c r="Q75" s="31"/>
      <c r="R75" s="227" t="s">
        <v>78</v>
      </c>
      <c r="S75" s="228"/>
      <c r="T75" s="228"/>
      <c r="U75" s="31"/>
      <c r="V75" s="31"/>
      <c r="W75" s="31"/>
      <c r="X75" s="31"/>
      <c r="Y75" s="31"/>
      <c r="Z75" s="31"/>
      <c r="AA75" s="31"/>
      <c r="AB75" s="227" t="s">
        <v>78</v>
      </c>
      <c r="AC75" s="228"/>
      <c r="AD75" s="228"/>
    </row>
    <row r="76" spans="1:30" ht="22.5" customHeight="1">
      <c r="A76" s="32">
        <v>87</v>
      </c>
      <c r="B76" s="94" t="str">
        <f>VLOOKUP(C76,Lists!I:J,2,FALSE)</f>
        <v>Tank</v>
      </c>
      <c r="C76" s="95" t="str">
        <f>VLOOKUP(E76&amp;D76,Lists!C:E,3,FALSE)</f>
        <v>SnS/Longbow</v>
      </c>
      <c r="D76" s="35" t="s">
        <v>30</v>
      </c>
      <c r="E76" s="36" t="s">
        <v>409</v>
      </c>
      <c r="F76" s="35" t="s">
        <v>483</v>
      </c>
      <c r="G76" s="32">
        <v>0</v>
      </c>
      <c r="H76" s="32">
        <v>32</v>
      </c>
      <c r="I76" s="96">
        <f t="shared" si="0"/>
        <v>32</v>
      </c>
      <c r="J76" s="37">
        <v>133236</v>
      </c>
      <c r="K76" s="37">
        <v>1283272</v>
      </c>
      <c r="L76" s="37">
        <v>763550</v>
      </c>
      <c r="M76" s="38">
        <f>I76/(HLOOKUP(F76,Team_Composition_23[[#All],[Yellow]:[Red]],10,FALSE)+HLOOKUP(F76,Team_Composition_23[[#All],[Yellow]:[Red]],11,FALSE))</f>
        <v>3.8976857490864797E-2</v>
      </c>
      <c r="N76" s="38">
        <f>J76/HLOOKUP(F76,Team_Composition_23[[#All],[Yellow]:[Red]],6,FALSE)</f>
        <v>7.5507476308988089E-3</v>
      </c>
      <c r="O76" s="38">
        <f>K76/HLOOKUP(F76,Team_Composition_23[[#All],[Yellow]:[Red]],8,FALSE)</f>
        <v>2.9154712095423252E-2</v>
      </c>
      <c r="P76" s="38">
        <f>L76/HLOOKUP(F76,Team_Composition_23[[#All],[Yellow]:[Red]],7,FALSE)</f>
        <v>3.1462713521928858E-2</v>
      </c>
      <c r="Q76" s="31"/>
      <c r="R76" s="27" t="s">
        <v>482</v>
      </c>
      <c r="S76" s="72" t="s">
        <v>476</v>
      </c>
      <c r="T76" s="72" t="s">
        <v>483</v>
      </c>
      <c r="U76" s="31"/>
      <c r="V76" s="31"/>
      <c r="W76" s="31"/>
      <c r="X76" s="31"/>
      <c r="Y76" s="31"/>
      <c r="Z76" s="31"/>
      <c r="AA76" s="31"/>
      <c r="AB76" s="27" t="s">
        <v>482</v>
      </c>
      <c r="AC76" s="72" t="s">
        <v>485</v>
      </c>
      <c r="AD76" s="72" t="s">
        <v>36</v>
      </c>
    </row>
    <row r="77" spans="1:30" ht="22.5" customHeight="1">
      <c r="A77" s="32">
        <v>88</v>
      </c>
      <c r="B77" s="94" t="str">
        <f>VLOOKUP(C77,Lists!I:J,2,FALSE)</f>
        <v>Healer</v>
      </c>
      <c r="C77" s="95" t="str">
        <f>VLOOKUP(E77&amp;D77,Lists!C:E,3,FALSE)</f>
        <v>Wand/Orb</v>
      </c>
      <c r="D77" s="35" t="s">
        <v>30</v>
      </c>
      <c r="E77" s="36" t="s">
        <v>451</v>
      </c>
      <c r="F77" s="35" t="s">
        <v>483</v>
      </c>
      <c r="G77" s="32">
        <v>0</v>
      </c>
      <c r="H77" s="32">
        <v>32</v>
      </c>
      <c r="I77" s="96">
        <f t="shared" si="0"/>
        <v>32</v>
      </c>
      <c r="J77" s="37">
        <v>5057</v>
      </c>
      <c r="K77" s="37">
        <v>658928</v>
      </c>
      <c r="L77" s="37">
        <v>1188878</v>
      </c>
      <c r="M77" s="38">
        <f>I77/(HLOOKUP(F77,Team_Composition_23[[#All],[Yellow]:[Red]],10,FALSE)+HLOOKUP(F77,Team_Composition_23[[#All],[Yellow]:[Red]],11,FALSE))</f>
        <v>3.8976857490864797E-2</v>
      </c>
      <c r="N77" s="38">
        <f>J77/HLOOKUP(F77,Team_Composition_23[[#All],[Yellow]:[Red]],6,FALSE)</f>
        <v>2.8659019161079047E-4</v>
      </c>
      <c r="O77" s="38">
        <f>K77/HLOOKUP(F77,Team_Composition_23[[#All],[Yellow]:[Red]],8,FALSE)</f>
        <v>1.4970213743939751E-2</v>
      </c>
      <c r="P77" s="38">
        <f>L77/HLOOKUP(F77,Team_Composition_23[[#All],[Yellow]:[Red]],7,FALSE)</f>
        <v>4.8988707912414033E-2</v>
      </c>
      <c r="Q77" s="31"/>
      <c r="R77" s="74" t="s">
        <v>468</v>
      </c>
      <c r="S77" s="75">
        <f>SUMIFS('House R v HR moro 1 2182026'!$J$2:$J$163,'House R v HR moro 1 2182026'!$B$2:$B$163,"KS",'House R v HR moro 1 2182026'!$F$2:$F$163,"Yellow")</f>
        <v>5288139</v>
      </c>
      <c r="T77" s="76">
        <f>SUMIFS('House R v HR moro 1 2182026'!$J$2:$J$163,'House R v HR moro 1 2182026'!$B$2:$B$163,"KS",'House R v HR moro 1 2182026'!$F$2:$F$163,"Red")</f>
        <v>7955349</v>
      </c>
      <c r="U77" s="31"/>
      <c r="V77" s="31"/>
      <c r="W77" s="31"/>
      <c r="X77" s="31"/>
      <c r="Y77" s="31"/>
      <c r="Z77" s="31"/>
      <c r="AA77" s="31"/>
      <c r="AB77" s="74" t="s">
        <v>468</v>
      </c>
      <c r="AC77" s="75">
        <f>SUMIFS('House R v HR moro 1 2182026'!$J$2:$J$163,'House R v HR moro 1 2182026'!$B$2:$B$163,"KS",'House R v HR moro 1 2182026'!$D$2:$D$163,"Best Regards")</f>
        <v>0</v>
      </c>
      <c r="AD77" s="76">
        <f>SUMIFS('House R v HR moro 1 2182026'!$J$2:$J$163,'House R v HR moro 1 2182026'!$B$2:$B$163,"KS",'House R v HR moro 1 2182026'!$D$2:$D$163,"Unhinged肉")</f>
        <v>0</v>
      </c>
    </row>
    <row r="78" spans="1:30" ht="22.5" customHeight="1">
      <c r="A78" s="32">
        <v>89</v>
      </c>
      <c r="B78" s="94" t="str">
        <f>VLOOKUP(C78,Lists!I:J,2,FALSE)</f>
        <v>Healer</v>
      </c>
      <c r="C78" s="95" t="str">
        <f>VLOOKUP(E78&amp;D78,Lists!C:E,3,FALSE)</f>
        <v>Wand/Longbow</v>
      </c>
      <c r="D78" s="35" t="s">
        <v>30</v>
      </c>
      <c r="E78" s="36" t="s">
        <v>420</v>
      </c>
      <c r="F78" s="35" t="s">
        <v>483</v>
      </c>
      <c r="G78" s="32">
        <v>0</v>
      </c>
      <c r="H78" s="32">
        <v>31</v>
      </c>
      <c r="I78" s="96">
        <f t="shared" si="0"/>
        <v>31</v>
      </c>
      <c r="J78" s="37">
        <v>20397</v>
      </c>
      <c r="K78" s="37">
        <v>666406</v>
      </c>
      <c r="L78" s="37">
        <v>1377991</v>
      </c>
      <c r="M78" s="38">
        <f>I78/(HLOOKUP(F78,Team_Composition_23[[#All],[Yellow]:[Red]],10,FALSE)+HLOOKUP(F78,Team_Composition_23[[#All],[Yellow]:[Red]],11,FALSE))</f>
        <v>3.7758830694275276E-2</v>
      </c>
      <c r="N78" s="38">
        <f>J78/HLOOKUP(F78,Team_Composition_23[[#All],[Yellow]:[Red]],6,FALSE)</f>
        <v>1.1559383306872241E-3</v>
      </c>
      <c r="O78" s="38">
        <f>K78/HLOOKUP(F78,Team_Composition_23[[#All],[Yellow]:[Red]],8,FALSE)</f>
        <v>1.5140106749514232E-2</v>
      </c>
      <c r="P78" s="38">
        <f>L78/HLOOKUP(F78,Team_Composition_23[[#All],[Yellow]:[Red]],7,FALSE)</f>
        <v>5.6781266542854127E-2</v>
      </c>
      <c r="Q78" s="31"/>
      <c r="R78" s="78" t="s">
        <v>469</v>
      </c>
      <c r="S78" s="75">
        <f>SUMIFS('House R v HR moro 1 2182026'!$K$2:$K$163,'House R v HR moro 1 2182026'!$B$2:$B$163,"KS",'House R v HR moro 1 2182026'!$F$2:$F$163,"Yellow")</f>
        <v>5487900</v>
      </c>
      <c r="T78" s="76">
        <f>SUMIFS('House R v HR moro 1 2182026'!$K$2:$K$163,'House R v HR moro 1 2182026'!$B$2:$B$163,"KS",'House R v HR moro 1 2182026'!$F$2:$F$163,"Red")</f>
        <v>4971441</v>
      </c>
      <c r="U78" s="31"/>
      <c r="V78" s="31"/>
      <c r="W78" s="31"/>
      <c r="X78" s="31"/>
      <c r="Y78" s="31"/>
      <c r="Z78" s="31"/>
      <c r="AA78" s="31"/>
      <c r="AB78" s="78" t="s">
        <v>469</v>
      </c>
      <c r="AC78" s="75">
        <f>SUMIFS('House R v HR moro 1 2182026'!$K$2:$K$163,'House R v HR moro 1 2182026'!$B$2:$B$163,"KS",'House R v HR moro 1 2182026'!$D$2:$D$163,"Best Regards")</f>
        <v>0</v>
      </c>
      <c r="AD78" s="76">
        <f>SUMIFS('House R v HR moro 1 2182026'!$K$2:$K$163,'House R v HR moro 1 2182026'!$B$2:$B$163,"KS",'House R v HR moro 1 2182026'!$D$2:$D$163,"Unhinged肉")</f>
        <v>0</v>
      </c>
    </row>
    <row r="79" spans="1:30" ht="22.5" customHeight="1">
      <c r="A79" s="32">
        <v>90</v>
      </c>
      <c r="B79" s="94" t="str">
        <f>VLOOKUP(C79,Lists!I:J,2,FALSE)</f>
        <v>Healer</v>
      </c>
      <c r="C79" s="95" t="str">
        <f>VLOOKUP(E79&amp;D79,Lists!C:E,3,FALSE)</f>
        <v>Wand/Longbow</v>
      </c>
      <c r="D79" s="35" t="s">
        <v>30</v>
      </c>
      <c r="E79" s="36" t="s">
        <v>187</v>
      </c>
      <c r="F79" s="35" t="s">
        <v>483</v>
      </c>
      <c r="G79" s="32">
        <v>0</v>
      </c>
      <c r="H79" s="32">
        <v>31</v>
      </c>
      <c r="I79" s="96">
        <f t="shared" si="0"/>
        <v>31</v>
      </c>
      <c r="J79" s="37">
        <v>0</v>
      </c>
      <c r="K79" s="37">
        <v>528583</v>
      </c>
      <c r="L79" s="37">
        <v>1730366</v>
      </c>
      <c r="M79" s="38">
        <f>I79/(HLOOKUP(F79,Team_Composition_23[[#All],[Yellow]:[Red]],10,FALSE)+HLOOKUP(F79,Team_Composition_23[[#All],[Yellow]:[Red]],11,FALSE))</f>
        <v>3.7758830694275276E-2</v>
      </c>
      <c r="N79" s="38">
        <f>J79/HLOOKUP(F79,Team_Composition_23[[#All],[Yellow]:[Red]],6,FALSE)</f>
        <v>0</v>
      </c>
      <c r="O79" s="38">
        <f>K79/HLOOKUP(F79,Team_Composition_23[[#All],[Yellow]:[Red]],8,FALSE)</f>
        <v>1.2008900048886837E-2</v>
      </c>
      <c r="P79" s="38">
        <f>L79/HLOOKUP(F79,Team_Composition_23[[#All],[Yellow]:[Red]],7,FALSE)</f>
        <v>7.1301171823830722E-2</v>
      </c>
      <c r="Q79" s="31"/>
      <c r="R79" s="74" t="s">
        <v>470</v>
      </c>
      <c r="S79" s="75">
        <f>SUMIFS('House R v HR moro 1 2182026'!$L$2:$L$163,'House R v HR moro 1 2182026'!$B$2:$B$163,"KS",'House R v HR moro 1 2182026'!$F$2:$F$163,"Yellow")</f>
        <v>190755</v>
      </c>
      <c r="T79" s="76">
        <f>SUMIFS('House R v HR moro 1 2182026'!$L$2:$L$163,'House R v HR moro 1 2182026'!$B$2:$B$163,"KS",'House R v HR moro 1 2182026'!$F$2:$F$163,"Red")</f>
        <v>247452</v>
      </c>
      <c r="U79" s="31"/>
      <c r="V79" s="31"/>
      <c r="W79" s="31"/>
      <c r="X79" s="31"/>
      <c r="Y79" s="31"/>
      <c r="Z79" s="31"/>
      <c r="AA79" s="31"/>
      <c r="AB79" s="74" t="s">
        <v>470</v>
      </c>
      <c r="AC79" s="75">
        <f>SUMIFS('House R v HR moro 1 2182026'!$L$2:$L$163,'House R v HR moro 1 2182026'!$B$2:$B$163,"KS",'House R v HR moro 1 2182026'!$D$2:$D$163,"Best Regards")</f>
        <v>0</v>
      </c>
      <c r="AD79" s="76">
        <f>SUMIFS('House R v HR moro 1 2182026'!$L$2:$L$163,'House R v HR moro 1 2182026'!$B$2:$B$163,"KS",'House R v HR moro 1 2182026'!$D$2:$D$163,"Unhinged肉")</f>
        <v>0</v>
      </c>
    </row>
    <row r="80" spans="1:30" ht="22.5" customHeight="1">
      <c r="A80" s="32">
        <v>46</v>
      </c>
      <c r="B80" s="94" t="str">
        <f>VLOOKUP(C80,Lists!I:J,2,FALSE)</f>
        <v>Tank</v>
      </c>
      <c r="C80" s="95" t="str">
        <f>VLOOKUP(E80&amp;D80,Lists!C:E,3,FALSE)</f>
        <v>SnS/Greatsword</v>
      </c>
      <c r="D80" s="35" t="s">
        <v>40</v>
      </c>
      <c r="E80" s="36" t="s">
        <v>123</v>
      </c>
      <c r="F80" s="35" t="s">
        <v>476</v>
      </c>
      <c r="G80" s="32">
        <v>2</v>
      </c>
      <c r="H80" s="32">
        <v>27</v>
      </c>
      <c r="I80" s="96">
        <f t="shared" si="0"/>
        <v>29</v>
      </c>
      <c r="J80" s="37">
        <v>230312</v>
      </c>
      <c r="K80" s="37">
        <v>1623877</v>
      </c>
      <c r="L80" s="37">
        <v>59355</v>
      </c>
      <c r="M80" s="38">
        <f>I80/(HLOOKUP(F80,Team_Composition_23[[#All],[Yellow]:[Red]],10,FALSE)+HLOOKUP(F80,Team_Composition_23[[#All],[Yellow]:[Red]],11,FALSE))</f>
        <v>7.2481879530117473E-3</v>
      </c>
      <c r="N80" s="38">
        <f>J80/HLOOKUP(F80,Team_Composition_23[[#All],[Yellow]:[Red]],6,FALSE)</f>
        <v>5.1914643248784798E-3</v>
      </c>
      <c r="O80" s="38">
        <f>K80/HLOOKUP(F80,Team_Composition_23[[#All],[Yellow]:[Red]],8,FALSE)</f>
        <v>9.2693588011893299E-2</v>
      </c>
      <c r="P80" s="38">
        <f>L80/HLOOKUP(F80,Team_Composition_23[[#All],[Yellow]:[Red]],7,FALSE)</f>
        <v>4.5852480699933428E-3</v>
      </c>
      <c r="Q80" s="31"/>
      <c r="R80" s="78" t="s">
        <v>465</v>
      </c>
      <c r="S80" s="75">
        <f>SUMIFS('House R v HR moro 1 2182026'!$G$2:$G$163,'House R v HR moro 1 2182026'!$B$2:$B$163,"KS",'House R v HR moro 1 2182026'!$F$2:$F$163,"Yellow")</f>
        <v>109</v>
      </c>
      <c r="T80" s="76">
        <f>SUMIFS('House R v HR moro 1 2182026'!$G$2:$G$163,'House R v HR moro 1 2182026'!$B$2:$B$163,"KS",'House R v HR moro 1 2182026'!$F$2:$F$163,"Red")</f>
        <v>182</v>
      </c>
      <c r="U80" s="31"/>
      <c r="V80" s="31"/>
      <c r="W80" s="31"/>
      <c r="X80" s="31"/>
      <c r="Y80" s="31"/>
      <c r="Z80" s="31"/>
      <c r="AA80" s="31"/>
      <c r="AB80" s="78" t="s">
        <v>465</v>
      </c>
      <c r="AC80" s="75">
        <f>SUMIFS('House R v HR moro 1 2182026'!$G$2:$G$163,'House R v HR moro 1 2182026'!$B$2:$B$163,"KS",'House R v HR moro 1 2182026'!$D$2:$D$163,"Best Regards")</f>
        <v>0</v>
      </c>
      <c r="AD80" s="76">
        <f>SUMIFS('House R v HR moro 1 2182026'!$G$2:$G$163,'House R v HR moro 1 2182026'!$B$2:$B$163,"KS",'House R v HR moro 1 2182026'!$D$2:$D$163,"Unhinged肉")</f>
        <v>0</v>
      </c>
    </row>
    <row r="81" spans="1:30" ht="22.5" customHeight="1">
      <c r="A81" s="32">
        <v>54</v>
      </c>
      <c r="B81" s="94" t="str">
        <f>VLOOKUP(C81,Lists!I:J,2,FALSE)</f>
        <v>Tank</v>
      </c>
      <c r="C81" s="95" t="str">
        <f>VLOOKUP(E81&amp;D81,Lists!C:E,3,FALSE)</f>
        <v>SnS/Greatsword</v>
      </c>
      <c r="D81" s="35" t="s">
        <v>40</v>
      </c>
      <c r="E81" s="36" t="s">
        <v>93</v>
      </c>
      <c r="F81" s="35" t="s">
        <v>476</v>
      </c>
      <c r="G81" s="32">
        <v>1</v>
      </c>
      <c r="H81" s="32">
        <v>26</v>
      </c>
      <c r="I81" s="96">
        <f t="shared" si="0"/>
        <v>27</v>
      </c>
      <c r="J81" s="37">
        <v>145312</v>
      </c>
      <c r="K81" s="37">
        <v>563623</v>
      </c>
      <c r="L81" s="37">
        <v>30850</v>
      </c>
      <c r="M81" s="38">
        <f>I81/(HLOOKUP(F81,Team_Composition_23[[#All],[Yellow]:[Red]],10,FALSE)+HLOOKUP(F81,Team_Composition_23[[#All],[Yellow]:[Red]],11,FALSE))</f>
        <v>6.7483129217695576E-3</v>
      </c>
      <c r="N81" s="38">
        <f>J81/HLOOKUP(F81,Team_Composition_23[[#All],[Yellow]:[Red]],6,FALSE)</f>
        <v>3.2754787591473379E-3</v>
      </c>
      <c r="O81" s="38">
        <f>K81/HLOOKUP(F81,Team_Composition_23[[#All],[Yellow]:[Red]],8,FALSE)</f>
        <v>3.2172534099582262E-2</v>
      </c>
      <c r="P81" s="38">
        <f>L81/HLOOKUP(F81,Team_Composition_23[[#All],[Yellow]:[Red]],7,FALSE)</f>
        <v>2.383201128115485E-3</v>
      </c>
      <c r="Q81" s="31"/>
      <c r="R81" s="79" t="s">
        <v>466</v>
      </c>
      <c r="S81" s="80">
        <f>SUMIFS('House R v HR moro 1 2182026'!$H$2:$H$163,'House R v HR moro 1 2182026'!$B$2:$B$163,"KS",'House R v HR moro 1 2182026'!$F$2:$F$163,"Yellow")</f>
        <v>231</v>
      </c>
      <c r="T81" s="81">
        <f>SUMIFS('House R v HR moro 1 2182026'!$H$2:$H$163,'House R v HR moro 1 2182026'!$B$2:$B$163,"KS",'House R v HR moro 1 2182026'!$F$2:$F$163,"Red")</f>
        <v>327</v>
      </c>
      <c r="U81" s="31"/>
      <c r="V81" s="31"/>
      <c r="W81" s="31"/>
      <c r="X81" s="31"/>
      <c r="Y81" s="31"/>
      <c r="Z81" s="31"/>
      <c r="AA81" s="31"/>
      <c r="AB81" s="79" t="s">
        <v>466</v>
      </c>
      <c r="AC81" s="80">
        <f>SUMIFS('House R v HR moro 1 2182026'!$H$2:$H$163,'House R v HR moro 1 2182026'!$B$2:$B$163,"KS",'House R v HR moro 1 2182026'!$D$2:$D$163,"Best Regards")</f>
        <v>0</v>
      </c>
      <c r="AD81" s="81">
        <f>SUMIFS('House R v HR moro 1 2182026'!$H$2:$H$163,'House R v HR moro 1 2182026'!$B$2:$B$163,"KS",'House R v HR moro 1 2182026'!$D$2:$D$163,"Unhinged肉")</f>
        <v>0</v>
      </c>
    </row>
    <row r="82" spans="1:30" ht="22.5" customHeight="1">
      <c r="A82" s="32">
        <v>55</v>
      </c>
      <c r="B82" s="94" t="str">
        <f>VLOOKUP(C82,Lists!I:J,2,FALSE)</f>
        <v>Tank</v>
      </c>
      <c r="C82" s="95" t="str">
        <f>VLOOKUP(E82&amp;D82,Lists!C:E,3,FALSE)</f>
        <v>SnS/Greatsword</v>
      </c>
      <c r="D82" s="35" t="s">
        <v>40</v>
      </c>
      <c r="E82" s="36" t="s">
        <v>150</v>
      </c>
      <c r="F82" s="35" t="s">
        <v>476</v>
      </c>
      <c r="G82" s="32">
        <v>1</v>
      </c>
      <c r="H82" s="32">
        <v>26</v>
      </c>
      <c r="I82" s="96">
        <f t="shared" si="0"/>
        <v>27</v>
      </c>
      <c r="J82" s="37">
        <v>116065</v>
      </c>
      <c r="K82" s="37">
        <v>913196</v>
      </c>
      <c r="L82" s="37">
        <v>28527</v>
      </c>
      <c r="M82" s="38">
        <f>I82/(HLOOKUP(F82,Team_Composition_23[[#All],[Yellow]:[Red]],10,FALSE)+HLOOKUP(F82,Team_Composition_23[[#All],[Yellow]:[Red]],11,FALSE))</f>
        <v>6.7483129217695576E-3</v>
      </c>
      <c r="N82" s="38">
        <f>J82/HLOOKUP(F82,Team_Composition_23[[#All],[Yellow]:[Red]],6,FALSE)</f>
        <v>2.6162219374892353E-3</v>
      </c>
      <c r="O82" s="38">
        <f>K82/HLOOKUP(F82,Team_Composition_23[[#All],[Yellow]:[Red]],8,FALSE)</f>
        <v>5.2126739770382187E-2</v>
      </c>
      <c r="P82" s="38">
        <f>L82/HLOOKUP(F82,Team_Composition_23[[#All],[Yellow]:[Red]],7,FALSE)</f>
        <v>2.2037464694246497E-3</v>
      </c>
      <c r="Q82" s="31"/>
      <c r="R82" s="78" t="s">
        <v>54</v>
      </c>
      <c r="S82" s="75">
        <f t="shared" ref="S82:S84" si="18">COUNTIFS(C:C,R82,F:F,"Yellow")</f>
        <v>3</v>
      </c>
      <c r="T82" s="76">
        <f t="shared" ref="T82:T84" si="19">COUNTIFS(C:C,R82,F:F,"Red")</f>
        <v>4</v>
      </c>
      <c r="U82" s="31"/>
      <c r="V82" s="31"/>
      <c r="W82" s="31"/>
      <c r="X82" s="31"/>
      <c r="Y82" s="31"/>
      <c r="Z82" s="31"/>
      <c r="AA82" s="31"/>
      <c r="AB82" s="78" t="s">
        <v>54</v>
      </c>
      <c r="AC82" s="75">
        <f t="shared" ref="AC82:AC84" si="20">COUNTIFS(M:M,AB82,P:P,"Yellow")</f>
        <v>0</v>
      </c>
      <c r="AD82" s="76">
        <f t="shared" ref="AD82:AD84" si="21">COUNTIFS(M:M,AB82,P:P,"Red")</f>
        <v>0</v>
      </c>
    </row>
    <row r="83" spans="1:30" ht="22.5" customHeight="1">
      <c r="A83" s="32">
        <v>56</v>
      </c>
      <c r="B83" s="94" t="str">
        <f>VLOOKUP(C83,Lists!I:J,2,FALSE)</f>
        <v>Tank</v>
      </c>
      <c r="C83" s="95" t="str">
        <f>VLOOKUP(E83&amp;D83,Lists!C:E,3,FALSE)</f>
        <v>SnS/Greatsword</v>
      </c>
      <c r="D83" s="35" t="s">
        <v>30</v>
      </c>
      <c r="E83" s="36" t="s">
        <v>209</v>
      </c>
      <c r="F83" s="35" t="s">
        <v>483</v>
      </c>
      <c r="G83" s="32">
        <v>1</v>
      </c>
      <c r="H83" s="32">
        <v>23</v>
      </c>
      <c r="I83" s="96">
        <f t="shared" si="0"/>
        <v>24</v>
      </c>
      <c r="J83" s="37">
        <v>93830</v>
      </c>
      <c r="K83" s="37">
        <v>572871</v>
      </c>
      <c r="L83" s="37">
        <v>26965</v>
      </c>
      <c r="M83" s="38">
        <f>I83/(HLOOKUP(F83,Team_Composition_23[[#All],[Yellow]:[Red]],10,FALSE)+HLOOKUP(F83,Team_Composition_23[[#All],[Yellow]:[Red]],11,FALSE))</f>
        <v>2.9232643118148598E-2</v>
      </c>
      <c r="N83" s="38">
        <f>J83/HLOOKUP(F83,Team_Composition_23[[#All],[Yellow]:[Red]],6,FALSE)</f>
        <v>5.3175316746767783E-3</v>
      </c>
      <c r="O83" s="38">
        <f>K83/HLOOKUP(F83,Team_Composition_23[[#All],[Yellow]:[Red]],8,FALSE)</f>
        <v>1.3015081037237012E-2</v>
      </c>
      <c r="P83" s="38">
        <f>L83/HLOOKUP(F83,Team_Composition_23[[#All],[Yellow]:[Red]],7,FALSE)</f>
        <v>1.1111152774786349E-3</v>
      </c>
      <c r="Q83" s="31"/>
      <c r="R83" s="74" t="s">
        <v>69</v>
      </c>
      <c r="S83" s="75">
        <f t="shared" si="18"/>
        <v>2</v>
      </c>
      <c r="T83" s="76">
        <f t="shared" si="19"/>
        <v>3</v>
      </c>
      <c r="U83" s="31"/>
      <c r="V83" s="31"/>
      <c r="W83" s="31"/>
      <c r="X83" s="31"/>
      <c r="Y83" s="31"/>
      <c r="Z83" s="31"/>
      <c r="AA83" s="31"/>
      <c r="AB83" s="74" t="s">
        <v>69</v>
      </c>
      <c r="AC83" s="75">
        <f t="shared" si="20"/>
        <v>0</v>
      </c>
      <c r="AD83" s="76">
        <f t="shared" si="21"/>
        <v>0</v>
      </c>
    </row>
    <row r="84" spans="1:30" ht="22.5" customHeight="1">
      <c r="A84" s="32">
        <v>91</v>
      </c>
      <c r="B84" s="94" t="str">
        <f>VLOOKUP(C84,Lists!I:J,2,FALSE)</f>
        <v>Tank</v>
      </c>
      <c r="C84" s="95" t="str">
        <f>VLOOKUP(E84&amp;D84,Lists!C:E,3,FALSE)</f>
        <v>SnS/Dagger</v>
      </c>
      <c r="D84" s="35" t="s">
        <v>40</v>
      </c>
      <c r="E84" s="36" t="s">
        <v>177</v>
      </c>
      <c r="F84" s="35" t="s">
        <v>476</v>
      </c>
      <c r="G84" s="32">
        <v>0</v>
      </c>
      <c r="H84" s="32">
        <v>24</v>
      </c>
      <c r="I84" s="96">
        <f t="shared" si="0"/>
        <v>24</v>
      </c>
      <c r="J84" s="37">
        <v>47648</v>
      </c>
      <c r="K84" s="37">
        <v>295343</v>
      </c>
      <c r="L84" s="37">
        <v>15162</v>
      </c>
      <c r="M84" s="38">
        <f>I84/(HLOOKUP(F84,Team_Composition_23[[#All],[Yellow]:[Red]],10,FALSE)+HLOOKUP(F84,Team_Composition_23[[#All],[Yellow]:[Red]],11,FALSE))</f>
        <v>5.9985003749062731E-3</v>
      </c>
      <c r="N84" s="38">
        <f>J84/HLOOKUP(F84,Team_Composition_23[[#All],[Yellow]:[Red]],6,FALSE)</f>
        <v>1.0740338851289112E-3</v>
      </c>
      <c r="O84" s="38">
        <f>K84/HLOOKUP(F84,Team_Composition_23[[#All],[Yellow]:[Red]],8,FALSE)</f>
        <v>1.6858667475551783E-2</v>
      </c>
      <c r="P84" s="38">
        <f>L84/HLOOKUP(F84,Team_Composition_23[[#All],[Yellow]:[Red]],7,FALSE)</f>
        <v>1.1712834847483625E-3</v>
      </c>
      <c r="Q84" s="31"/>
      <c r="R84" s="78" t="s">
        <v>81</v>
      </c>
      <c r="S84" s="75">
        <f t="shared" si="18"/>
        <v>0</v>
      </c>
      <c r="T84" s="76">
        <f t="shared" si="19"/>
        <v>0</v>
      </c>
      <c r="U84" s="31"/>
      <c r="V84" s="31"/>
      <c r="W84" s="31"/>
      <c r="X84" s="31"/>
      <c r="Y84" s="31"/>
      <c r="Z84" s="31"/>
      <c r="AA84" s="31"/>
      <c r="AB84" s="78" t="s">
        <v>81</v>
      </c>
      <c r="AC84" s="75">
        <f t="shared" si="20"/>
        <v>0</v>
      </c>
      <c r="AD84" s="76">
        <f t="shared" si="21"/>
        <v>0</v>
      </c>
    </row>
    <row r="85" spans="1:30" ht="22.5" customHeight="1">
      <c r="A85" s="32">
        <v>92</v>
      </c>
      <c r="B85" s="94" t="str">
        <f>VLOOKUP(C85,Lists!I:J,2,FALSE)</f>
        <v>Healer</v>
      </c>
      <c r="C85" s="95" t="str">
        <f>VLOOKUP(E85&amp;D85,Lists!C:E,3,FALSE)</f>
        <v>Wand/Orb</v>
      </c>
      <c r="D85" s="35" t="s">
        <v>40</v>
      </c>
      <c r="E85" s="36" t="s">
        <v>136</v>
      </c>
      <c r="F85" s="35" t="s">
        <v>476</v>
      </c>
      <c r="G85" s="32">
        <v>0</v>
      </c>
      <c r="H85" s="32">
        <v>20</v>
      </c>
      <c r="I85" s="96">
        <f t="shared" si="0"/>
        <v>20</v>
      </c>
      <c r="J85" s="37">
        <v>64605</v>
      </c>
      <c r="K85" s="37">
        <v>499449</v>
      </c>
      <c r="L85" s="37">
        <v>988537</v>
      </c>
      <c r="M85" s="38">
        <f>I85/(HLOOKUP(F85,Team_Composition_23[[#All],[Yellow]:[Red]],10,FALSE)+HLOOKUP(F85,Team_Composition_23[[#All],[Yellow]:[Red]],11,FALSE))</f>
        <v>4.9987503124218945E-3</v>
      </c>
      <c r="N85" s="38">
        <f>J85/HLOOKUP(F85,Team_Composition_23[[#All],[Yellow]:[Red]],6,FALSE)</f>
        <v>1.4562617349889462E-3</v>
      </c>
      <c r="O85" s="38">
        <f>K85/HLOOKUP(F85,Team_Composition_23[[#All],[Yellow]:[Red]],8,FALSE)</f>
        <v>2.8509375918836278E-2</v>
      </c>
      <c r="P85" s="38">
        <f>L85/HLOOKUP(F85,Team_Composition_23[[#All],[Yellow]:[Red]],7,FALSE)</f>
        <v>7.6365721023789218E-2</v>
      </c>
      <c r="Q85" s="31"/>
      <c r="R85" s="31"/>
      <c r="S85" s="31"/>
      <c r="T85" s="31"/>
      <c r="U85" s="31"/>
      <c r="V85" s="31"/>
      <c r="W85" s="31"/>
      <c r="X85" s="31"/>
      <c r="Y85" s="31"/>
      <c r="Z85" s="31"/>
      <c r="AA85" s="31"/>
      <c r="AB85" s="31"/>
      <c r="AC85" s="31"/>
      <c r="AD85" s="31"/>
    </row>
    <row r="86" spans="1:30" ht="22.5" customHeight="1">
      <c r="A86" s="32">
        <v>39</v>
      </c>
      <c r="B86" s="94" t="str">
        <f>VLOOKUP(C86,Lists!I:J,2,FALSE)</f>
        <v>Tank</v>
      </c>
      <c r="C86" s="95" t="str">
        <f>VLOOKUP(E86&amp;D86,Lists!C:E,3,FALSE)</f>
        <v>SnS/Greatsword</v>
      </c>
      <c r="D86" s="35" t="s">
        <v>40</v>
      </c>
      <c r="E86" s="36" t="s">
        <v>109</v>
      </c>
      <c r="F86" s="35" t="s">
        <v>476</v>
      </c>
      <c r="G86" s="32">
        <v>4</v>
      </c>
      <c r="H86" s="32">
        <v>15</v>
      </c>
      <c r="I86" s="96">
        <f t="shared" si="0"/>
        <v>19</v>
      </c>
      <c r="J86" s="37">
        <v>91113</v>
      </c>
      <c r="K86" s="37">
        <v>938637</v>
      </c>
      <c r="L86" s="37">
        <v>5976</v>
      </c>
      <c r="M86" s="38">
        <f>I86/(HLOOKUP(F86,Team_Composition_23[[#All],[Yellow]:[Red]],10,FALSE)+HLOOKUP(F86,Team_Composition_23[[#All],[Yellow]:[Red]],11,FALSE))</f>
        <v>4.7488127968007996E-3</v>
      </c>
      <c r="N86" s="38">
        <f>J86/HLOOKUP(F86,Team_Composition_23[[#All],[Yellow]:[Red]],6,FALSE)</f>
        <v>2.0537787394171946E-3</v>
      </c>
      <c r="O86" s="38">
        <f>K86/HLOOKUP(F86,Team_Composition_23[[#All],[Yellow]:[Red]],8,FALSE)</f>
        <v>5.3578954176159585E-2</v>
      </c>
      <c r="P86" s="38">
        <f>L86/HLOOKUP(F86,Team_Composition_23[[#All],[Yellow]:[Red]],7,FALSE)</f>
        <v>4.6165348271047453E-4</v>
      </c>
      <c r="Q86" s="31"/>
      <c r="R86" s="31"/>
      <c r="S86" s="31"/>
      <c r="T86" s="31"/>
      <c r="U86" s="31"/>
      <c r="V86" s="31"/>
      <c r="W86" s="31"/>
      <c r="X86" s="31"/>
      <c r="Y86" s="31"/>
      <c r="Z86" s="31"/>
      <c r="AA86" s="31"/>
      <c r="AB86" s="31"/>
      <c r="AC86" s="31"/>
      <c r="AD86" s="31"/>
    </row>
    <row r="87" spans="1:30" ht="22.5" customHeight="1">
      <c r="A87" s="32">
        <v>57</v>
      </c>
      <c r="B87" s="94" t="str">
        <f>VLOOKUP(C87,Lists!I:J,2,FALSE)</f>
        <v>Healer</v>
      </c>
      <c r="C87" s="95" t="str">
        <f>VLOOKUP(E87&amp;D87,Lists!C:E,3,FALSE)</f>
        <v>Wand/Orb</v>
      </c>
      <c r="D87" s="35" t="s">
        <v>30</v>
      </c>
      <c r="E87" s="36" t="s">
        <v>460</v>
      </c>
      <c r="F87" s="35" t="s">
        <v>483</v>
      </c>
      <c r="G87" s="32">
        <v>1</v>
      </c>
      <c r="H87" s="32">
        <v>18</v>
      </c>
      <c r="I87" s="96">
        <f t="shared" si="0"/>
        <v>19</v>
      </c>
      <c r="J87" s="37">
        <v>374798</v>
      </c>
      <c r="K87" s="37">
        <v>963468</v>
      </c>
      <c r="L87" s="37">
        <v>58232</v>
      </c>
      <c r="M87" s="38">
        <f>I87/(HLOOKUP(F87,Team_Composition_23[[#All],[Yellow]:[Red]],10,FALSE)+HLOOKUP(F87,Team_Composition_23[[#All],[Yellow]:[Red]],11,FALSE))</f>
        <v>2.3142509135200974E-2</v>
      </c>
      <c r="N87" s="38">
        <f>J87/HLOOKUP(F87,Team_Composition_23[[#All],[Yellow]:[Red]],6,FALSE)</f>
        <v>2.1240543926308295E-2</v>
      </c>
      <c r="O87" s="38">
        <f>K87/HLOOKUP(F87,Team_Composition_23[[#All],[Yellow]:[Red]],8,FALSE)</f>
        <v>2.1889071181443412E-2</v>
      </c>
      <c r="P87" s="38">
        <f>L87/HLOOKUP(F87,Team_Composition_23[[#All],[Yellow]:[Red]],7,FALSE)</f>
        <v>2.3994980470289583E-3</v>
      </c>
      <c r="Q87" s="31"/>
      <c r="R87" s="31"/>
      <c r="S87" s="31"/>
      <c r="T87" s="31"/>
      <c r="U87" s="31"/>
      <c r="V87" s="31"/>
      <c r="W87" s="31"/>
      <c r="X87" s="31"/>
      <c r="Y87" s="31"/>
      <c r="Z87" s="31"/>
      <c r="AA87" s="31"/>
      <c r="AB87" s="31"/>
      <c r="AC87" s="31"/>
      <c r="AD87" s="31"/>
    </row>
    <row r="88" spans="1:30" ht="22.5" customHeight="1">
      <c r="A88" s="32">
        <v>58</v>
      </c>
      <c r="B88" s="94" t="str">
        <f>VLOOKUP(C88,Lists!I:J,2,FALSE)</f>
        <v>Tank</v>
      </c>
      <c r="C88" s="95" t="str">
        <f>VLOOKUP(E88&amp;D88,Lists!C:E,3,FALSE)</f>
        <v>SnS/Greatsword</v>
      </c>
      <c r="D88" s="35" t="s">
        <v>30</v>
      </c>
      <c r="E88" s="36" t="s">
        <v>461</v>
      </c>
      <c r="F88" s="35" t="s">
        <v>483</v>
      </c>
      <c r="G88" s="32">
        <v>1</v>
      </c>
      <c r="H88" s="32">
        <v>18</v>
      </c>
      <c r="I88" s="96">
        <f t="shared" si="0"/>
        <v>19</v>
      </c>
      <c r="J88" s="37">
        <v>199820</v>
      </c>
      <c r="K88" s="37">
        <v>859877</v>
      </c>
      <c r="L88" s="37">
        <v>97396</v>
      </c>
      <c r="M88" s="38">
        <f>I88/(HLOOKUP(F88,Team_Composition_23[[#All],[Yellow]:[Red]],10,FALSE)+HLOOKUP(F88,Team_Composition_23[[#All],[Yellow]:[Red]],11,FALSE))</f>
        <v>2.3142509135200974E-2</v>
      </c>
      <c r="N88" s="38">
        <f>J88/HLOOKUP(F88,Team_Composition_23[[#All],[Yellow]:[Red]],6,FALSE)</f>
        <v>1.1324194599103846E-2</v>
      </c>
      <c r="O88" s="38">
        <f>K88/HLOOKUP(F88,Team_Composition_23[[#All],[Yellow]:[Red]],8,FALSE)</f>
        <v>1.9535582770041162E-2</v>
      </c>
      <c r="P88" s="38">
        <f>L88/HLOOKUP(F88,Team_Composition_23[[#All],[Yellow]:[Red]],7,FALSE)</f>
        <v>4.0132832770372381E-3</v>
      </c>
      <c r="Q88" s="31"/>
      <c r="R88" s="31"/>
      <c r="S88" s="31"/>
      <c r="T88" s="31"/>
      <c r="U88" s="31"/>
      <c r="V88" s="31"/>
      <c r="W88" s="31"/>
      <c r="X88" s="31"/>
      <c r="Y88" s="31"/>
      <c r="Z88" s="31"/>
      <c r="AA88" s="31"/>
      <c r="AB88" s="31"/>
      <c r="AC88" s="31"/>
      <c r="AD88" s="31"/>
    </row>
    <row r="89" spans="1:30" ht="22.5" customHeight="1">
      <c r="A89" s="32">
        <v>42</v>
      </c>
      <c r="B89" s="94" t="str">
        <f>VLOOKUP(C89,Lists!I:J,2,FALSE)</f>
        <v>Tank</v>
      </c>
      <c r="C89" s="95" t="str">
        <f>VLOOKUP(E89&amp;D89,Lists!C:E,3,FALSE)</f>
        <v>SnS/Spear</v>
      </c>
      <c r="D89" s="35" t="s">
        <v>40</v>
      </c>
      <c r="E89" s="36" t="s">
        <v>175</v>
      </c>
      <c r="F89" s="35" t="s">
        <v>476</v>
      </c>
      <c r="G89" s="32">
        <v>3</v>
      </c>
      <c r="H89" s="32">
        <v>15</v>
      </c>
      <c r="I89" s="96">
        <f t="shared" si="0"/>
        <v>18</v>
      </c>
      <c r="J89" s="37">
        <v>98182</v>
      </c>
      <c r="K89" s="37">
        <v>713560</v>
      </c>
      <c r="L89" s="37">
        <v>44717</v>
      </c>
      <c r="M89" s="38">
        <f>I89/(HLOOKUP(F89,Team_Composition_23[[#All],[Yellow]:[Red]],10,FALSE)+HLOOKUP(F89,Team_Composition_23[[#All],[Yellow]:[Red]],11,FALSE))</f>
        <v>4.4988752811797048E-3</v>
      </c>
      <c r="N89" s="38">
        <f>J89/HLOOKUP(F89,Team_Composition_23[[#All],[Yellow]:[Red]],6,FALSE)</f>
        <v>2.2131211154660588E-3</v>
      </c>
      <c r="O89" s="38">
        <f>K89/HLOOKUP(F89,Team_Composition_23[[#All],[Yellow]:[Red]],8,FALSE)</f>
        <v>4.0731186328623777E-2</v>
      </c>
      <c r="P89" s="38">
        <f>L89/HLOOKUP(F89,Team_Composition_23[[#All],[Yellow]:[Red]],7,FALSE)</f>
        <v>3.4544442413594859E-3</v>
      </c>
      <c r="Q89" s="31"/>
      <c r="R89" s="31"/>
      <c r="S89" s="31"/>
      <c r="T89" s="31"/>
      <c r="U89" s="31"/>
      <c r="V89" s="31"/>
      <c r="W89" s="31"/>
      <c r="X89" s="31"/>
      <c r="Y89" s="31"/>
      <c r="Z89" s="31"/>
      <c r="AA89" s="31"/>
      <c r="AB89" s="31"/>
      <c r="AC89" s="31"/>
      <c r="AD89" s="31"/>
    </row>
    <row r="90" spans="1:30" ht="22.5" customHeight="1">
      <c r="A90" s="32">
        <v>47</v>
      </c>
      <c r="B90" s="94" t="str">
        <f>VLOOKUP(C90,Lists!I:J,2,FALSE)</f>
        <v>Tank</v>
      </c>
      <c r="C90" s="95" t="str">
        <f>VLOOKUP(E90&amp;D90,Lists!C:E,3,FALSE)</f>
        <v>SnS/Greatsword</v>
      </c>
      <c r="D90" s="35" t="s">
        <v>30</v>
      </c>
      <c r="E90" s="36" t="s">
        <v>459</v>
      </c>
      <c r="F90" s="35" t="s">
        <v>483</v>
      </c>
      <c r="G90" s="32">
        <v>2</v>
      </c>
      <c r="H90" s="32">
        <v>16</v>
      </c>
      <c r="I90" s="96">
        <f t="shared" si="0"/>
        <v>18</v>
      </c>
      <c r="J90" s="37">
        <v>171858</v>
      </c>
      <c r="K90" s="37">
        <v>575103</v>
      </c>
      <c r="L90" s="37">
        <v>24522</v>
      </c>
      <c r="M90" s="38">
        <f>I90/(HLOOKUP(F90,Team_Composition_23[[#All],[Yellow]:[Red]],10,FALSE)+HLOOKUP(F90,Team_Composition_23[[#All],[Yellow]:[Red]],11,FALSE))</f>
        <v>2.192448233861145E-2</v>
      </c>
      <c r="N90" s="38">
        <f>J90/HLOOKUP(F90,Team_Composition_23[[#All],[Yellow]:[Red]],6,FALSE)</f>
        <v>9.7395327565448341E-3</v>
      </c>
      <c r="O90" s="38">
        <f>K90/HLOOKUP(F90,Team_Composition_23[[#All],[Yellow]:[Red]],8,FALSE)</f>
        <v>1.3065789941816076E-2</v>
      </c>
      <c r="P90" s="38">
        <f>L90/HLOOKUP(F90,Team_Composition_23[[#All],[Yellow]:[Red]],7,FALSE)</f>
        <v>1.0104494283082175E-3</v>
      </c>
      <c r="Q90" s="31"/>
      <c r="R90" s="31"/>
      <c r="S90" s="31"/>
      <c r="T90" s="31"/>
      <c r="U90" s="31"/>
      <c r="V90" s="31"/>
      <c r="W90" s="31"/>
      <c r="X90" s="31"/>
      <c r="Y90" s="31"/>
      <c r="Z90" s="31"/>
      <c r="AA90" s="31"/>
      <c r="AB90" s="31"/>
      <c r="AC90" s="31"/>
      <c r="AD90" s="31"/>
    </row>
    <row r="91" spans="1:30" ht="22.5" customHeight="1">
      <c r="A91" s="32">
        <v>59</v>
      </c>
      <c r="B91" s="94" t="str">
        <f>VLOOKUP(C91,Lists!I:J,2,FALSE)</f>
        <v>Tank</v>
      </c>
      <c r="C91" s="95" t="str">
        <f>VLOOKUP(E91&amp;D91,Lists!C:E,3,FALSE)</f>
        <v>SnS/Greatsword</v>
      </c>
      <c r="D91" s="35" t="s">
        <v>40</v>
      </c>
      <c r="E91" s="36" t="s">
        <v>178</v>
      </c>
      <c r="F91" s="35" t="s">
        <v>476</v>
      </c>
      <c r="G91" s="32">
        <v>1</v>
      </c>
      <c r="H91" s="32">
        <v>17</v>
      </c>
      <c r="I91" s="96">
        <f t="shared" si="0"/>
        <v>18</v>
      </c>
      <c r="J91" s="37">
        <v>94590</v>
      </c>
      <c r="K91" s="37">
        <v>770175</v>
      </c>
      <c r="L91" s="37">
        <v>93679</v>
      </c>
      <c r="M91" s="38">
        <f>I91/(HLOOKUP(F91,Team_Composition_23[[#All],[Yellow]:[Red]],10,FALSE)+HLOOKUP(F91,Team_Composition_23[[#All],[Yellow]:[Red]],11,FALSE))</f>
        <v>4.4988752811797048E-3</v>
      </c>
      <c r="N91" s="38">
        <f>J91/HLOOKUP(F91,Team_Composition_23[[#All],[Yellow]:[Red]],6,FALSE)</f>
        <v>2.1321538195589263E-3</v>
      </c>
      <c r="O91" s="38">
        <f>K91/HLOOKUP(F91,Team_Composition_23[[#All],[Yellow]:[Red]],8,FALSE)</f>
        <v>4.3962864273008315E-2</v>
      </c>
      <c r="P91" s="38">
        <f>L91/HLOOKUP(F91,Team_Composition_23[[#All],[Yellow]:[Red]],7,FALSE)</f>
        <v>7.2368200479977478E-3</v>
      </c>
      <c r="Q91" s="31"/>
      <c r="R91" s="31"/>
      <c r="S91" s="31"/>
      <c r="T91" s="31"/>
      <c r="U91" s="31"/>
      <c r="V91" s="31"/>
      <c r="W91" s="31"/>
      <c r="X91" s="31"/>
      <c r="Y91" s="31"/>
      <c r="Z91" s="31"/>
      <c r="AA91" s="31"/>
      <c r="AB91" s="31"/>
      <c r="AC91" s="31"/>
      <c r="AD91" s="31"/>
    </row>
    <row r="92" spans="1:30" ht="22.5" customHeight="1">
      <c r="A92" s="32">
        <v>60</v>
      </c>
      <c r="B92" s="94" t="str">
        <f>VLOOKUP(C92,Lists!I:J,2,FALSE)</f>
        <v>Ranged DPS</v>
      </c>
      <c r="C92" s="95" t="str">
        <f>VLOOKUP(E92&amp;D92,Lists!C:E,3,FALSE)</f>
        <v>Crossbow/SnS</v>
      </c>
      <c r="D92" s="35" t="s">
        <v>40</v>
      </c>
      <c r="E92" s="36" t="s">
        <v>83</v>
      </c>
      <c r="F92" s="35" t="s">
        <v>476</v>
      </c>
      <c r="G92" s="32">
        <v>1</v>
      </c>
      <c r="H92" s="32">
        <v>16</v>
      </c>
      <c r="I92" s="96">
        <f t="shared" si="0"/>
        <v>17</v>
      </c>
      <c r="J92" s="37">
        <v>52986</v>
      </c>
      <c r="K92" s="37">
        <v>412384</v>
      </c>
      <c r="L92" s="37">
        <v>208342</v>
      </c>
      <c r="M92" s="38">
        <f>I92/(HLOOKUP(F92,Team_Composition_23[[#All],[Yellow]:[Red]],10,FALSE)+HLOOKUP(F92,Team_Composition_23[[#All],[Yellow]:[Red]],11,FALSE))</f>
        <v>4.2489377655586099E-3</v>
      </c>
      <c r="N92" s="38">
        <f>J92/HLOOKUP(F92,Team_Composition_23[[#All],[Yellow]:[Red]],6,FALSE)</f>
        <v>1.194357778656827E-3</v>
      </c>
      <c r="O92" s="38">
        <f>K92/HLOOKUP(F92,Team_Composition_23[[#All],[Yellow]:[Red]],8,FALSE)</f>
        <v>2.3539561554659996E-2</v>
      </c>
      <c r="P92" s="38">
        <f>L92/HLOOKUP(F92,Team_Composition_23[[#All],[Yellow]:[Red]],7,FALSE)</f>
        <v>1.6094680370626786E-2</v>
      </c>
      <c r="Q92" s="31"/>
      <c r="R92" s="31"/>
      <c r="S92" s="31"/>
      <c r="T92" s="31"/>
      <c r="U92" s="31"/>
      <c r="V92" s="31"/>
      <c r="W92" s="31"/>
      <c r="X92" s="31"/>
      <c r="Y92" s="31"/>
      <c r="Z92" s="31"/>
      <c r="AA92" s="31"/>
      <c r="AB92" s="31"/>
      <c r="AC92" s="31"/>
      <c r="AD92" s="31"/>
    </row>
    <row r="93" spans="1:30" ht="22.5" customHeight="1">
      <c r="A93" s="32">
        <v>93</v>
      </c>
      <c r="B93" s="94" t="str">
        <f>VLOOKUP(C93,Lists!I:J,2,FALSE)</f>
        <v>Healer</v>
      </c>
      <c r="C93" s="95" t="str">
        <f>VLOOKUP(E93&amp;D93,Lists!C:E,3,FALSE)</f>
        <v>Wand/Longbow</v>
      </c>
      <c r="D93" s="35" t="s">
        <v>40</v>
      </c>
      <c r="E93" s="36" t="s">
        <v>135</v>
      </c>
      <c r="F93" s="35" t="s">
        <v>476</v>
      </c>
      <c r="G93" s="32">
        <v>0</v>
      </c>
      <c r="H93" s="32">
        <v>14</v>
      </c>
      <c r="I93" s="96">
        <f t="shared" si="0"/>
        <v>14</v>
      </c>
      <c r="J93" s="37">
        <v>41958</v>
      </c>
      <c r="K93" s="37">
        <v>662096</v>
      </c>
      <c r="L93" s="37">
        <v>1157557</v>
      </c>
      <c r="M93" s="38">
        <f>I93/(HLOOKUP(F93,Team_Composition_23[[#All],[Yellow]:[Red]],10,FALSE)+HLOOKUP(F93,Team_Composition_23[[#All],[Yellow]:[Red]],11,FALSE))</f>
        <v>3.4991252186953262E-3</v>
      </c>
      <c r="N93" s="38">
        <f>J93/HLOOKUP(F93,Team_Composition_23[[#All],[Yellow]:[Red]],6,FALSE)</f>
        <v>9.4577555725820306E-4</v>
      </c>
      <c r="O93" s="38">
        <f>K93/HLOOKUP(F93,Team_Composition_23[[#All],[Yellow]:[Red]],8,FALSE)</f>
        <v>3.7793535993380353E-2</v>
      </c>
      <c r="P93" s="38">
        <f>L93/HLOOKUP(F93,Team_Composition_23[[#All],[Yellow]:[Red]],7,FALSE)</f>
        <v>8.9422727658281242E-2</v>
      </c>
      <c r="Q93" s="31"/>
      <c r="R93" s="31"/>
      <c r="S93" s="31"/>
      <c r="T93" s="31"/>
      <c r="U93" s="31"/>
      <c r="V93" s="31"/>
      <c r="W93" s="31"/>
      <c r="X93" s="31"/>
      <c r="Y93" s="31"/>
      <c r="Z93" s="31"/>
      <c r="AA93" s="31"/>
      <c r="AB93" s="31"/>
      <c r="AC93" s="31"/>
      <c r="AD93" s="31"/>
    </row>
    <row r="94" spans="1:30" ht="22.5" customHeight="1">
      <c r="A94" s="32">
        <v>94</v>
      </c>
      <c r="B94" s="94" t="str">
        <f>VLOOKUP(C94,Lists!I:J,2,FALSE)</f>
        <v>Tank</v>
      </c>
      <c r="C94" s="95" t="str">
        <f>VLOOKUP(E94&amp;D94,Lists!C:E,3,FALSE)</f>
        <v>SnS/Spear</v>
      </c>
      <c r="D94" s="35" t="s">
        <v>30</v>
      </c>
      <c r="E94" s="36" t="s">
        <v>427</v>
      </c>
      <c r="F94" s="35" t="s">
        <v>483</v>
      </c>
      <c r="G94" s="32">
        <v>0</v>
      </c>
      <c r="H94" s="32">
        <v>13</v>
      </c>
      <c r="I94" s="96">
        <f t="shared" si="0"/>
        <v>13</v>
      </c>
      <c r="J94" s="37">
        <v>124253</v>
      </c>
      <c r="K94" s="37">
        <v>1012137</v>
      </c>
      <c r="L94" s="37">
        <v>89668</v>
      </c>
      <c r="M94" s="38">
        <f>I94/(HLOOKUP(F94,Team_Composition_23[[#All],[Yellow]:[Red]],10,FALSE)+HLOOKUP(F94,Team_Composition_23[[#All],[Yellow]:[Red]],11,FALSE))</f>
        <v>1.5834348355663823E-2</v>
      </c>
      <c r="N94" s="38">
        <f>J94/HLOOKUP(F94,Team_Composition_23[[#All],[Yellow]:[Red]],6,FALSE)</f>
        <v>7.0416632545413377E-3</v>
      </c>
      <c r="O94" s="38">
        <f>K94/HLOOKUP(F94,Team_Composition_23[[#All],[Yellow]:[Red]],8,FALSE)</f>
        <v>2.2994784298360289E-2</v>
      </c>
      <c r="P94" s="38">
        <f>L94/HLOOKUP(F94,Team_Composition_23[[#All],[Yellow]:[Red]],7,FALSE)</f>
        <v>3.6948446022975795E-3</v>
      </c>
      <c r="Q94" s="31"/>
      <c r="R94" s="31"/>
      <c r="S94" s="31"/>
      <c r="T94" s="31"/>
      <c r="U94" s="31"/>
      <c r="V94" s="31"/>
      <c r="W94" s="31"/>
      <c r="X94" s="31"/>
      <c r="Y94" s="31"/>
      <c r="Z94" s="31"/>
      <c r="AA94" s="31"/>
      <c r="AB94" s="31"/>
      <c r="AC94" s="31"/>
      <c r="AD94" s="31"/>
    </row>
    <row r="95" spans="1:30" ht="22.5" customHeight="1">
      <c r="A95" s="32">
        <v>61</v>
      </c>
      <c r="B95" s="94" t="str">
        <f>VLOOKUP(C95,Lists!I:J,2,FALSE)</f>
        <v>Tank</v>
      </c>
      <c r="C95" s="95" t="str">
        <f>VLOOKUP(E95&amp;D95,Lists!C:E,3,FALSE)</f>
        <v>SnS/Greatsword</v>
      </c>
      <c r="D95" s="35" t="s">
        <v>40</v>
      </c>
      <c r="E95" s="36" t="s">
        <v>118</v>
      </c>
      <c r="F95" s="35" t="s">
        <v>476</v>
      </c>
      <c r="G95" s="32">
        <v>1</v>
      </c>
      <c r="H95" s="32">
        <v>6</v>
      </c>
      <c r="I95" s="96">
        <f t="shared" si="0"/>
        <v>7</v>
      </c>
      <c r="J95" s="37">
        <v>68497</v>
      </c>
      <c r="K95" s="37">
        <v>481484</v>
      </c>
      <c r="L95" s="37">
        <v>34276</v>
      </c>
      <c r="M95" s="38">
        <f>I95/(HLOOKUP(F95,Team_Composition_23[[#All],[Yellow]:[Red]],10,FALSE)+HLOOKUP(F95,Team_Composition_23[[#All],[Yellow]:[Red]],11,FALSE))</f>
        <v>1.7495626093476631E-3</v>
      </c>
      <c r="N95" s="38">
        <f>J95/HLOOKUP(F95,Team_Composition_23[[#All],[Yellow]:[Red]],6,FALSE)</f>
        <v>1.5439913328927769E-3</v>
      </c>
      <c r="O95" s="38">
        <f>K95/HLOOKUP(F95,Team_Composition_23[[#All],[Yellow]:[Red]],8,FALSE)</f>
        <v>2.7483903971987064E-2</v>
      </c>
      <c r="P95" s="38">
        <f>L95/HLOOKUP(F95,Team_Composition_23[[#All],[Yellow]:[Red]],7,FALSE)</f>
        <v>2.6478639179023135E-3</v>
      </c>
      <c r="Q95" s="31"/>
      <c r="R95" s="31"/>
      <c r="S95" s="31"/>
      <c r="T95" s="31"/>
      <c r="U95" s="31"/>
      <c r="V95" s="31"/>
      <c r="W95" s="31"/>
      <c r="X95" s="31"/>
      <c r="Y95" s="31"/>
      <c r="Z95" s="31"/>
      <c r="AA95" s="31"/>
      <c r="AB95" s="31"/>
      <c r="AC95" s="31"/>
      <c r="AD95" s="31"/>
    </row>
    <row r="96" spans="1:30" ht="22.5" customHeight="1">
      <c r="A96" s="32">
        <v>95</v>
      </c>
      <c r="B96" s="94" t="str">
        <f>VLOOKUP(C96,Lists!I:J,2,FALSE)</f>
        <v>Tank</v>
      </c>
      <c r="C96" s="95" t="str">
        <f>VLOOKUP(E96&amp;D96,Lists!C:E,3,FALSE)</f>
        <v>SnS/Greatsword</v>
      </c>
      <c r="D96" s="35" t="s">
        <v>40</v>
      </c>
      <c r="E96" s="114" t="s">
        <v>176</v>
      </c>
      <c r="F96" s="35" t="s">
        <v>476</v>
      </c>
      <c r="G96" s="32">
        <v>0</v>
      </c>
      <c r="H96" s="32">
        <v>7</v>
      </c>
      <c r="I96" s="96">
        <f t="shared" si="0"/>
        <v>7</v>
      </c>
      <c r="J96" s="37">
        <v>37317</v>
      </c>
      <c r="K96" s="37">
        <v>338407</v>
      </c>
      <c r="L96" s="37">
        <v>19999</v>
      </c>
      <c r="M96" s="38">
        <f>I96/(HLOOKUP(F96,Team_Composition_23[[#All],[Yellow]:[Red]],10,FALSE)+HLOOKUP(F96,Team_Composition_23[[#All],[Yellow]:[Red]],11,FALSE))</f>
        <v>1.7495626093476631E-3</v>
      </c>
      <c r="N96" s="38">
        <f>J96/HLOOKUP(F96,Team_Composition_23[[#All],[Yellow]:[Red]],6,FALSE)</f>
        <v>8.4116274536928269E-4</v>
      </c>
      <c r="O96" s="38">
        <f>K96/HLOOKUP(F96,Team_Composition_23[[#All],[Yellow]:[Red]],8,FALSE)</f>
        <v>1.9316831901887137E-2</v>
      </c>
      <c r="P96" s="38">
        <f>L96/HLOOKUP(F96,Team_Composition_23[[#All],[Yellow]:[Red]],7,FALSE)</f>
        <v>1.5449477912862751E-3</v>
      </c>
      <c r="Q96" s="31"/>
      <c r="R96" s="31"/>
      <c r="S96" s="31"/>
      <c r="T96" s="31"/>
      <c r="U96" s="31"/>
      <c r="V96" s="31"/>
      <c r="W96" s="31"/>
      <c r="X96" s="31"/>
      <c r="Y96" s="31"/>
      <c r="Z96" s="31"/>
      <c r="AA96" s="31"/>
      <c r="AB96" s="31"/>
      <c r="AC96" s="31"/>
      <c r="AD96" s="31"/>
    </row>
    <row r="97" spans="1:30" ht="22.5" customHeight="1">
      <c r="A97" s="32">
        <v>96</v>
      </c>
      <c r="B97" s="94" t="str">
        <f>VLOOKUP(C97,Lists!I:J,2,FALSE)</f>
        <v>Tank</v>
      </c>
      <c r="C97" s="95" t="str">
        <f>VLOOKUP(E97&amp;D97,Lists!C:E,3,FALSE)</f>
        <v>SnS/Greatsword</v>
      </c>
      <c r="D97" s="35" t="s">
        <v>30</v>
      </c>
      <c r="E97" s="36" t="s">
        <v>448</v>
      </c>
      <c r="F97" s="35" t="s">
        <v>483</v>
      </c>
      <c r="G97" s="32">
        <v>0</v>
      </c>
      <c r="H97" s="32">
        <v>4</v>
      </c>
      <c r="I97" s="96">
        <f t="shared" si="0"/>
        <v>4</v>
      </c>
      <c r="J97" s="37">
        <v>17664</v>
      </c>
      <c r="K97" s="37">
        <v>92604</v>
      </c>
      <c r="L97" s="37">
        <v>26471</v>
      </c>
      <c r="M97" s="38">
        <f>I97/(HLOOKUP(F97,Team_Composition_23[[#All],[Yellow]:[Red]],10,FALSE)+HLOOKUP(F97,Team_Composition_23[[#All],[Yellow]:[Red]],11,FALSE))</f>
        <v>4.8721071863580996E-3</v>
      </c>
      <c r="N97" s="38">
        <f>J97/HLOOKUP(F97,Team_Composition_23[[#All],[Yellow]:[Red]],6,FALSE)</f>
        <v>1.0010538154267357E-3</v>
      </c>
      <c r="O97" s="38">
        <f>K97/HLOOKUP(F97,Team_Composition_23[[#All],[Yellow]:[Red]],8,FALSE)</f>
        <v>2.1038742829926744E-3</v>
      </c>
      <c r="P97" s="38">
        <f>L97/HLOOKUP(F97,Team_Composition_23[[#All],[Yellow]:[Red]],7,FALSE)</f>
        <v>1.0907595961482271E-3</v>
      </c>
      <c r="Q97" s="31"/>
      <c r="R97" s="31"/>
      <c r="S97" s="31"/>
      <c r="T97" s="31"/>
      <c r="U97" s="31"/>
      <c r="V97" s="31"/>
      <c r="W97" s="31"/>
      <c r="X97" s="31"/>
      <c r="Y97" s="31"/>
      <c r="Z97" s="31"/>
      <c r="AA97" s="31"/>
      <c r="AB97" s="31"/>
      <c r="AC97" s="31"/>
      <c r="AD97" s="31"/>
    </row>
    <row r="98" spans="1:30" ht="22.5" customHeight="1">
      <c r="A98" s="99"/>
      <c r="B98" s="100" t="e">
        <f>VLOOKUP(C98,Lists!I:J,2,FALSE)</f>
        <v>#N/A</v>
      </c>
      <c r="C98" s="101"/>
      <c r="D98" s="102"/>
      <c r="E98" s="103"/>
      <c r="F98" s="102"/>
      <c r="G98" s="99"/>
      <c r="H98" s="99"/>
      <c r="I98" s="104"/>
      <c r="J98" s="105"/>
      <c r="K98" s="105"/>
      <c r="L98" s="105"/>
      <c r="M98" s="87"/>
      <c r="N98" s="87"/>
      <c r="O98" s="87"/>
      <c r="P98" s="87"/>
      <c r="Q98" s="31"/>
      <c r="R98" s="31"/>
      <c r="S98" s="31"/>
      <c r="T98" s="31"/>
      <c r="U98" s="31"/>
      <c r="V98" s="31"/>
      <c r="W98" s="31"/>
      <c r="X98" s="31"/>
      <c r="Y98" s="31"/>
      <c r="Z98" s="31"/>
      <c r="AA98" s="31"/>
      <c r="AB98" s="31"/>
      <c r="AC98" s="31"/>
      <c r="AD98" s="31"/>
    </row>
    <row r="99" spans="1:30" ht="22.5" customHeight="1">
      <c r="A99" s="99"/>
      <c r="B99" s="106" t="e">
        <f>VLOOKUP(C99,Lists!I:J,2,FALSE)</f>
        <v>#N/A</v>
      </c>
      <c r="C99" s="107"/>
      <c r="D99" s="102"/>
      <c r="E99" s="103"/>
      <c r="F99" s="102"/>
      <c r="G99" s="99"/>
      <c r="H99" s="99"/>
      <c r="I99" s="104"/>
      <c r="J99" s="105"/>
      <c r="K99" s="105"/>
      <c r="L99" s="105"/>
      <c r="M99" s="87"/>
      <c r="N99" s="87"/>
      <c r="O99" s="87"/>
      <c r="P99" s="87"/>
      <c r="Q99" s="31"/>
      <c r="R99" s="31"/>
      <c r="S99" s="31"/>
      <c r="T99" s="31"/>
      <c r="U99" s="31"/>
      <c r="V99" s="31"/>
      <c r="W99" s="31"/>
      <c r="X99" s="31"/>
      <c r="Y99" s="31"/>
      <c r="Z99" s="31"/>
      <c r="AA99" s="31"/>
      <c r="AB99" s="31"/>
      <c r="AC99" s="31"/>
      <c r="AD99" s="31"/>
    </row>
    <row r="100" spans="1:30" ht="22.5" customHeight="1">
      <c r="A100" s="99"/>
      <c r="B100" s="100" t="e">
        <f>VLOOKUP(C100,Lists!I:J,2,FALSE)</f>
        <v>#N/A</v>
      </c>
      <c r="C100" s="101"/>
      <c r="D100" s="102"/>
      <c r="E100" s="103"/>
      <c r="F100" s="102"/>
      <c r="G100" s="99"/>
      <c r="H100" s="99"/>
      <c r="I100" s="104"/>
      <c r="J100" s="105"/>
      <c r="K100" s="105"/>
      <c r="L100" s="105"/>
      <c r="M100" s="87"/>
      <c r="N100" s="87"/>
      <c r="O100" s="87"/>
      <c r="P100" s="87"/>
      <c r="Q100" s="31"/>
      <c r="R100" s="31"/>
      <c r="S100" s="31"/>
      <c r="T100" s="31"/>
      <c r="U100" s="31"/>
      <c r="V100" s="31"/>
      <c r="W100" s="31"/>
      <c r="X100" s="31"/>
      <c r="Y100" s="31"/>
      <c r="Z100" s="31"/>
      <c r="AA100" s="31"/>
      <c r="AB100" s="31"/>
      <c r="AC100" s="31"/>
      <c r="AD100" s="31"/>
    </row>
    <row r="101" spans="1:30" ht="22.5" customHeight="1">
      <c r="A101" s="99"/>
      <c r="B101" s="106" t="e">
        <f>VLOOKUP(C101,Lists!I:J,2,FALSE)</f>
        <v>#N/A</v>
      </c>
      <c r="C101" s="107"/>
      <c r="D101" s="102"/>
      <c r="E101" s="103"/>
      <c r="F101" s="102"/>
      <c r="G101" s="99"/>
      <c r="H101" s="99"/>
      <c r="I101" s="104"/>
      <c r="J101" s="105"/>
      <c r="K101" s="105"/>
      <c r="L101" s="105"/>
      <c r="M101" s="87"/>
      <c r="N101" s="87"/>
      <c r="O101" s="87"/>
      <c r="P101" s="87"/>
      <c r="Q101" s="31"/>
      <c r="R101" s="31"/>
      <c r="S101" s="31"/>
      <c r="T101" s="31"/>
      <c r="U101" s="31"/>
      <c r="V101" s="31"/>
      <c r="W101" s="31"/>
      <c r="X101" s="31"/>
      <c r="Y101" s="31"/>
      <c r="Z101" s="31"/>
      <c r="AA101" s="31"/>
      <c r="AB101" s="31"/>
      <c r="AC101" s="31"/>
      <c r="AD101" s="31"/>
    </row>
    <row r="102" spans="1:30" ht="22.5" customHeight="1">
      <c r="A102" s="99"/>
      <c r="B102" s="100" t="e">
        <f>VLOOKUP(C102,Lists!I:J,2,FALSE)</f>
        <v>#N/A</v>
      </c>
      <c r="C102" s="101"/>
      <c r="D102" s="102"/>
      <c r="E102" s="103"/>
      <c r="F102" s="102"/>
      <c r="G102" s="99"/>
      <c r="H102" s="99"/>
      <c r="I102" s="104"/>
      <c r="J102" s="105"/>
      <c r="K102" s="105"/>
      <c r="L102" s="105"/>
      <c r="M102" s="87"/>
      <c r="N102" s="87"/>
      <c r="O102" s="87"/>
      <c r="P102" s="87"/>
      <c r="Q102" s="31"/>
      <c r="R102" s="31"/>
      <c r="S102" s="31"/>
      <c r="T102" s="31"/>
      <c r="U102" s="31"/>
      <c r="V102" s="31"/>
      <c r="W102" s="31"/>
      <c r="X102" s="31"/>
      <c r="Y102" s="31"/>
      <c r="Z102" s="31"/>
      <c r="AA102" s="31"/>
      <c r="AB102" s="31"/>
      <c r="AC102" s="31"/>
      <c r="AD102" s="31"/>
    </row>
    <row r="103" spans="1:30" ht="22.5" customHeight="1">
      <c r="A103" s="99"/>
      <c r="B103" s="106" t="e">
        <f>VLOOKUP(C103,Lists!I:J,2,FALSE)</f>
        <v>#N/A</v>
      </c>
      <c r="C103" s="107"/>
      <c r="D103" s="102"/>
      <c r="E103" s="103"/>
      <c r="F103" s="102"/>
      <c r="G103" s="99"/>
      <c r="H103" s="99"/>
      <c r="I103" s="104"/>
      <c r="J103" s="105"/>
      <c r="K103" s="105"/>
      <c r="L103" s="105"/>
      <c r="M103" s="87"/>
      <c r="N103" s="87"/>
      <c r="O103" s="87"/>
      <c r="P103" s="87"/>
      <c r="Q103" s="31"/>
      <c r="R103" s="31"/>
      <c r="S103" s="31"/>
      <c r="T103" s="31"/>
      <c r="U103" s="31"/>
      <c r="V103" s="31"/>
      <c r="W103" s="31"/>
      <c r="X103" s="31"/>
      <c r="Y103" s="31"/>
      <c r="Z103" s="31"/>
      <c r="AA103" s="31"/>
      <c r="AB103" s="31"/>
      <c r="AC103" s="31"/>
      <c r="AD103" s="31"/>
    </row>
    <row r="104" spans="1:30" ht="22.5" customHeight="1">
      <c r="A104" s="99"/>
      <c r="B104" s="100" t="e">
        <f>VLOOKUP(C104,Lists!I:J,2,FALSE)</f>
        <v>#N/A</v>
      </c>
      <c r="C104" s="101"/>
      <c r="D104" s="102"/>
      <c r="E104" s="103"/>
      <c r="F104" s="102"/>
      <c r="G104" s="99"/>
      <c r="H104" s="99"/>
      <c r="I104" s="104"/>
      <c r="J104" s="105"/>
      <c r="K104" s="105"/>
      <c r="L104" s="105"/>
      <c r="M104" s="87"/>
      <c r="N104" s="87"/>
      <c r="O104" s="87"/>
      <c r="P104" s="87"/>
      <c r="Q104" s="31"/>
      <c r="R104" s="31"/>
      <c r="S104" s="31"/>
      <c r="T104" s="31"/>
      <c r="U104" s="31"/>
      <c r="V104" s="31"/>
      <c r="W104" s="31"/>
      <c r="X104" s="31"/>
      <c r="Y104" s="31"/>
      <c r="Z104" s="31"/>
      <c r="AA104" s="31"/>
      <c r="AB104" s="31"/>
      <c r="AC104" s="31"/>
      <c r="AD104" s="31"/>
    </row>
    <row r="105" spans="1:30" ht="22.5" customHeight="1">
      <c r="A105" s="99"/>
      <c r="B105" s="106" t="e">
        <f>VLOOKUP(C105,Lists!I:J,2,FALSE)</f>
        <v>#N/A</v>
      </c>
      <c r="C105" s="107"/>
      <c r="D105" s="102"/>
      <c r="E105" s="103"/>
      <c r="F105" s="102"/>
      <c r="G105" s="99"/>
      <c r="H105" s="99"/>
      <c r="I105" s="104"/>
      <c r="J105" s="105"/>
      <c r="K105" s="105"/>
      <c r="L105" s="105"/>
      <c r="M105" s="87"/>
      <c r="N105" s="87"/>
      <c r="O105" s="87"/>
      <c r="P105" s="87"/>
      <c r="Q105" s="31"/>
      <c r="R105" s="31"/>
      <c r="S105" s="31"/>
      <c r="T105" s="31"/>
      <c r="U105" s="31"/>
      <c r="V105" s="31"/>
      <c r="W105" s="31"/>
      <c r="X105" s="31"/>
      <c r="Y105" s="31"/>
      <c r="Z105" s="31"/>
      <c r="AA105" s="31"/>
      <c r="AB105" s="31"/>
      <c r="AC105" s="31"/>
      <c r="AD105" s="31"/>
    </row>
    <row r="106" spans="1:30" ht="22.5" customHeight="1">
      <c r="A106" s="99"/>
      <c r="B106" s="100" t="e">
        <f>VLOOKUP(C106,Lists!I:J,2,FALSE)</f>
        <v>#N/A</v>
      </c>
      <c r="C106" s="101"/>
      <c r="D106" s="102"/>
      <c r="E106" s="103"/>
      <c r="F106" s="102"/>
      <c r="G106" s="99"/>
      <c r="H106" s="99"/>
      <c r="I106" s="104"/>
      <c r="J106" s="105"/>
      <c r="K106" s="105"/>
      <c r="L106" s="105"/>
      <c r="M106" s="87"/>
      <c r="N106" s="87"/>
      <c r="O106" s="87"/>
      <c r="P106" s="87"/>
      <c r="Q106" s="31"/>
      <c r="R106" s="31"/>
      <c r="S106" s="31"/>
      <c r="T106" s="31"/>
      <c r="U106" s="31"/>
      <c r="V106" s="31"/>
      <c r="W106" s="31"/>
      <c r="X106" s="31"/>
      <c r="Y106" s="31"/>
      <c r="Z106" s="31"/>
      <c r="AA106" s="31"/>
      <c r="AB106" s="31"/>
      <c r="AC106" s="31"/>
      <c r="AD106" s="31"/>
    </row>
    <row r="107" spans="1:30" ht="22.5" customHeight="1">
      <c r="A107" s="99"/>
      <c r="B107" s="106" t="e">
        <f>VLOOKUP(C107,Lists!I:J,2,FALSE)</f>
        <v>#N/A</v>
      </c>
      <c r="C107" s="107"/>
      <c r="D107" s="102"/>
      <c r="E107" s="103"/>
      <c r="F107" s="102"/>
      <c r="G107" s="99"/>
      <c r="H107" s="99"/>
      <c r="I107" s="104"/>
      <c r="J107" s="105"/>
      <c r="K107" s="105"/>
      <c r="L107" s="105"/>
      <c r="M107" s="87"/>
      <c r="N107" s="87"/>
      <c r="O107" s="87"/>
      <c r="P107" s="87"/>
      <c r="Q107" s="31"/>
      <c r="R107" s="31"/>
      <c r="S107" s="31"/>
      <c r="T107" s="31"/>
      <c r="U107" s="31"/>
      <c r="V107" s="31"/>
      <c r="W107" s="31"/>
      <c r="X107" s="31"/>
      <c r="Y107" s="31"/>
      <c r="Z107" s="31"/>
      <c r="AA107" s="31"/>
      <c r="AB107" s="31"/>
      <c r="AC107" s="31"/>
      <c r="AD107" s="31"/>
    </row>
    <row r="108" spans="1:30" ht="22.5" customHeight="1">
      <c r="A108" s="99"/>
      <c r="B108" s="100" t="e">
        <f>VLOOKUP(C108,Lists!I:J,2,FALSE)</f>
        <v>#N/A</v>
      </c>
      <c r="C108" s="101"/>
      <c r="D108" s="102"/>
      <c r="E108" s="103"/>
      <c r="F108" s="102"/>
      <c r="G108" s="99"/>
      <c r="H108" s="99"/>
      <c r="I108" s="104"/>
      <c r="J108" s="105"/>
      <c r="K108" s="105"/>
      <c r="L108" s="105"/>
      <c r="M108" s="87"/>
      <c r="N108" s="87"/>
      <c r="O108" s="87"/>
      <c r="P108" s="87"/>
      <c r="Q108" s="31"/>
      <c r="R108" s="31"/>
      <c r="S108" s="31"/>
      <c r="T108" s="31"/>
      <c r="U108" s="31"/>
      <c r="V108" s="31"/>
      <c r="W108" s="31"/>
      <c r="X108" s="31"/>
      <c r="Y108" s="31"/>
      <c r="Z108" s="31"/>
      <c r="AA108" s="31"/>
      <c r="AB108" s="31"/>
      <c r="AC108" s="31"/>
      <c r="AD108" s="31"/>
    </row>
    <row r="109" spans="1:30" ht="22.5" customHeight="1">
      <c r="A109" s="99"/>
      <c r="B109" s="106" t="e">
        <f>VLOOKUP(C109,Lists!I:J,2,FALSE)</f>
        <v>#N/A</v>
      </c>
      <c r="C109" s="108"/>
      <c r="D109" s="102"/>
      <c r="E109" s="103"/>
      <c r="F109" s="102"/>
      <c r="G109" s="99"/>
      <c r="H109" s="99"/>
      <c r="I109" s="104"/>
      <c r="J109" s="105"/>
      <c r="K109" s="105"/>
      <c r="L109" s="105"/>
      <c r="M109" s="87"/>
      <c r="N109" s="87"/>
      <c r="O109" s="87"/>
      <c r="P109" s="87"/>
      <c r="Q109" s="31"/>
      <c r="R109" s="31"/>
      <c r="S109" s="31"/>
      <c r="T109" s="31"/>
      <c r="U109" s="31"/>
      <c r="V109" s="31"/>
      <c r="W109" s="31"/>
      <c r="X109" s="31"/>
      <c r="Y109" s="31"/>
      <c r="Z109" s="31"/>
      <c r="AA109" s="31"/>
      <c r="AB109" s="31"/>
      <c r="AC109" s="31"/>
      <c r="AD109" s="31"/>
    </row>
    <row r="110" spans="1:30" ht="22.5" customHeight="1">
      <c r="A110" s="99"/>
      <c r="B110" s="100" t="e">
        <f>VLOOKUP(C110,Lists!I:J,2,FALSE)</f>
        <v>#N/A</v>
      </c>
      <c r="C110" s="101"/>
      <c r="D110" s="102"/>
      <c r="E110" s="103"/>
      <c r="F110" s="102"/>
      <c r="G110" s="99"/>
      <c r="H110" s="99"/>
      <c r="I110" s="104"/>
      <c r="J110" s="105"/>
      <c r="K110" s="105"/>
      <c r="L110" s="105"/>
      <c r="M110" s="87"/>
      <c r="N110" s="87"/>
      <c r="O110" s="87"/>
      <c r="P110" s="87"/>
      <c r="Q110" s="31"/>
      <c r="R110" s="31"/>
      <c r="S110" s="31"/>
      <c r="T110" s="31"/>
      <c r="U110" s="31"/>
      <c r="V110" s="31"/>
      <c r="W110" s="31"/>
      <c r="X110" s="31"/>
      <c r="Y110" s="31"/>
      <c r="Z110" s="31"/>
      <c r="AA110" s="31"/>
      <c r="AB110" s="31"/>
      <c r="AC110" s="31"/>
      <c r="AD110" s="31"/>
    </row>
    <row r="111" spans="1:30" ht="22.5" customHeight="1">
      <c r="A111" s="99"/>
      <c r="B111" s="106" t="e">
        <f>VLOOKUP(C111,Lists!I:J,2,FALSE)</f>
        <v>#N/A</v>
      </c>
      <c r="C111" s="108"/>
      <c r="D111" s="102"/>
      <c r="E111" s="103"/>
      <c r="F111" s="102"/>
      <c r="G111" s="99"/>
      <c r="H111" s="99"/>
      <c r="I111" s="104"/>
      <c r="J111" s="105"/>
      <c r="K111" s="105"/>
      <c r="L111" s="105"/>
      <c r="M111" s="87"/>
      <c r="N111" s="87"/>
      <c r="O111" s="87"/>
      <c r="P111" s="87"/>
      <c r="Q111" s="31"/>
      <c r="R111" s="31"/>
      <c r="S111" s="31"/>
      <c r="T111" s="31"/>
      <c r="U111" s="31"/>
      <c r="V111" s="31"/>
      <c r="W111" s="31"/>
      <c r="X111" s="31"/>
      <c r="Y111" s="31"/>
      <c r="Z111" s="31"/>
      <c r="AA111" s="31"/>
      <c r="AB111" s="31"/>
      <c r="AC111" s="31"/>
      <c r="AD111" s="31"/>
    </row>
    <row r="112" spans="1:30" ht="22.5" customHeight="1">
      <c r="A112" s="99"/>
      <c r="B112" s="100" t="e">
        <f>VLOOKUP(C112,Lists!I:J,2,FALSE)</f>
        <v>#N/A</v>
      </c>
      <c r="C112" s="101"/>
      <c r="D112" s="102"/>
      <c r="E112" s="103"/>
      <c r="F112" s="102"/>
      <c r="G112" s="99"/>
      <c r="H112" s="99"/>
      <c r="I112" s="104"/>
      <c r="J112" s="105"/>
      <c r="K112" s="105"/>
      <c r="L112" s="105"/>
      <c r="M112" s="87"/>
      <c r="N112" s="87"/>
      <c r="O112" s="87"/>
      <c r="P112" s="87"/>
      <c r="Q112" s="31"/>
      <c r="R112" s="31"/>
      <c r="S112" s="31"/>
      <c r="T112" s="31"/>
      <c r="U112" s="31"/>
      <c r="V112" s="31"/>
      <c r="W112" s="31"/>
      <c r="X112" s="31"/>
      <c r="Y112" s="31"/>
      <c r="Z112" s="31"/>
      <c r="AA112" s="31"/>
      <c r="AB112" s="31"/>
      <c r="AC112" s="31"/>
      <c r="AD112" s="31"/>
    </row>
    <row r="113" spans="1:30" ht="22.5" customHeight="1">
      <c r="A113" s="99"/>
      <c r="B113" s="106" t="e">
        <f>VLOOKUP(C113,Lists!I:J,2,FALSE)</f>
        <v>#N/A</v>
      </c>
      <c r="C113" s="108"/>
      <c r="D113" s="102"/>
      <c r="E113" s="103"/>
      <c r="F113" s="102"/>
      <c r="G113" s="99"/>
      <c r="H113" s="99"/>
      <c r="I113" s="104"/>
      <c r="J113" s="105"/>
      <c r="K113" s="105"/>
      <c r="L113" s="105"/>
      <c r="M113" s="87"/>
      <c r="N113" s="87"/>
      <c r="O113" s="87"/>
      <c r="P113" s="87"/>
      <c r="Q113" s="31"/>
      <c r="R113" s="31"/>
      <c r="S113" s="31"/>
      <c r="T113" s="31"/>
      <c r="U113" s="31"/>
      <c r="V113" s="31"/>
      <c r="W113" s="31"/>
      <c r="X113" s="31"/>
      <c r="Y113" s="31"/>
      <c r="Z113" s="31"/>
      <c r="AA113" s="31"/>
      <c r="AB113" s="31"/>
      <c r="AC113" s="31"/>
      <c r="AD113" s="31"/>
    </row>
    <row r="114" spans="1:30" ht="22.5" customHeight="1">
      <c r="A114" s="99"/>
      <c r="B114" s="100" t="e">
        <f>VLOOKUP(C114,Lists!I:J,2,FALSE)</f>
        <v>#N/A</v>
      </c>
      <c r="C114" s="101"/>
      <c r="D114" s="102"/>
      <c r="E114" s="103"/>
      <c r="F114" s="102"/>
      <c r="G114" s="99"/>
      <c r="H114" s="99"/>
      <c r="I114" s="104"/>
      <c r="J114" s="105"/>
      <c r="K114" s="105"/>
      <c r="L114" s="105"/>
      <c r="M114" s="87"/>
      <c r="N114" s="87"/>
      <c r="O114" s="87"/>
      <c r="P114" s="87"/>
      <c r="Q114" s="31"/>
      <c r="R114" s="31"/>
      <c r="S114" s="31"/>
      <c r="T114" s="31"/>
      <c r="U114" s="31"/>
      <c r="V114" s="31"/>
      <c r="W114" s="31"/>
      <c r="X114" s="31"/>
      <c r="Y114" s="31"/>
      <c r="Z114" s="31"/>
      <c r="AA114" s="31"/>
      <c r="AB114" s="31"/>
      <c r="AC114" s="31"/>
      <c r="AD114" s="31"/>
    </row>
    <row r="115" spans="1:30" ht="22.5" customHeight="1">
      <c r="A115" s="99"/>
      <c r="B115" s="106" t="e">
        <f>VLOOKUP(C115,Lists!I:J,2,FALSE)</f>
        <v>#N/A</v>
      </c>
      <c r="C115" s="108"/>
      <c r="D115" s="102"/>
      <c r="E115" s="103"/>
      <c r="F115" s="102"/>
      <c r="G115" s="99"/>
      <c r="H115" s="99"/>
      <c r="I115" s="104"/>
      <c r="J115" s="105"/>
      <c r="K115" s="105"/>
      <c r="L115" s="105"/>
      <c r="M115" s="87"/>
      <c r="N115" s="87"/>
      <c r="O115" s="87"/>
      <c r="P115" s="87"/>
      <c r="Q115" s="31"/>
      <c r="R115" s="31"/>
      <c r="S115" s="31"/>
      <c r="T115" s="31"/>
      <c r="U115" s="31"/>
      <c r="V115" s="31"/>
      <c r="W115" s="31"/>
      <c r="X115" s="31"/>
      <c r="Y115" s="31"/>
      <c r="Z115" s="31"/>
      <c r="AA115" s="31"/>
      <c r="AB115" s="31"/>
      <c r="AC115" s="31"/>
      <c r="AD115" s="31"/>
    </row>
    <row r="116" spans="1:30" ht="22.5" customHeight="1">
      <c r="A116" s="99"/>
      <c r="B116" s="100" t="e">
        <f>VLOOKUP(C116,Lists!I:J,2,FALSE)</f>
        <v>#N/A</v>
      </c>
      <c r="C116" s="101"/>
      <c r="D116" s="102"/>
      <c r="E116" s="103"/>
      <c r="F116" s="102"/>
      <c r="G116" s="99"/>
      <c r="H116" s="99"/>
      <c r="I116" s="104"/>
      <c r="J116" s="105"/>
      <c r="K116" s="105"/>
      <c r="L116" s="105"/>
      <c r="M116" s="87"/>
      <c r="N116" s="87"/>
      <c r="O116" s="87"/>
      <c r="P116" s="87"/>
      <c r="Q116" s="31"/>
      <c r="R116" s="31"/>
      <c r="S116" s="31"/>
      <c r="T116" s="31"/>
      <c r="U116" s="31"/>
      <c r="V116" s="31"/>
      <c r="W116" s="31"/>
      <c r="X116" s="31"/>
      <c r="Y116" s="31"/>
      <c r="Z116" s="31"/>
      <c r="AA116" s="31"/>
      <c r="AB116" s="31"/>
      <c r="AC116" s="31"/>
      <c r="AD116" s="31"/>
    </row>
    <row r="117" spans="1:30" ht="22.5" customHeight="1">
      <c r="A117" s="99"/>
      <c r="B117" s="106" t="e">
        <f>VLOOKUP(C117,Lists!I:J,2,FALSE)</f>
        <v>#N/A</v>
      </c>
      <c r="C117" s="108"/>
      <c r="D117" s="102"/>
      <c r="E117" s="103"/>
      <c r="F117" s="102"/>
      <c r="G117" s="99"/>
      <c r="H117" s="99"/>
      <c r="I117" s="104"/>
      <c r="J117" s="105"/>
      <c r="K117" s="105"/>
      <c r="L117" s="105"/>
      <c r="M117" s="87"/>
      <c r="N117" s="87"/>
      <c r="O117" s="87"/>
      <c r="P117" s="87"/>
      <c r="Q117" s="31"/>
      <c r="R117" s="31"/>
      <c r="S117" s="31"/>
      <c r="T117" s="31"/>
      <c r="U117" s="31"/>
      <c r="V117" s="31"/>
      <c r="W117" s="31"/>
      <c r="X117" s="31"/>
      <c r="Y117" s="31"/>
      <c r="Z117" s="31"/>
      <c r="AA117" s="31"/>
      <c r="AB117" s="31"/>
      <c r="AC117" s="31"/>
      <c r="AD117" s="31"/>
    </row>
    <row r="118" spans="1:30" ht="22.5" customHeight="1">
      <c r="A118" s="99"/>
      <c r="B118" s="100" t="e">
        <f>VLOOKUP(C118,Lists!I:J,2,FALSE)</f>
        <v>#N/A</v>
      </c>
      <c r="C118" s="101"/>
      <c r="D118" s="102"/>
      <c r="E118" s="103"/>
      <c r="F118" s="102"/>
      <c r="G118" s="99"/>
      <c r="H118" s="99"/>
      <c r="I118" s="104"/>
      <c r="J118" s="105"/>
      <c r="K118" s="105"/>
      <c r="L118" s="105"/>
      <c r="M118" s="87"/>
      <c r="N118" s="87"/>
      <c r="O118" s="87"/>
      <c r="P118" s="87"/>
      <c r="Q118" s="31"/>
      <c r="R118" s="31"/>
      <c r="S118" s="31"/>
      <c r="T118" s="31"/>
      <c r="U118" s="31"/>
      <c r="V118" s="31"/>
      <c r="W118" s="31"/>
      <c r="X118" s="31"/>
      <c r="Y118" s="31"/>
      <c r="Z118" s="31"/>
      <c r="AA118" s="31"/>
      <c r="AB118" s="31"/>
      <c r="AC118" s="31"/>
      <c r="AD118" s="31"/>
    </row>
    <row r="119" spans="1:30" ht="22.5" customHeight="1">
      <c r="A119" s="99"/>
      <c r="B119" s="106" t="e">
        <f>VLOOKUP(C119,Lists!I:J,2,FALSE)</f>
        <v>#N/A</v>
      </c>
      <c r="C119" s="108"/>
      <c r="D119" s="102"/>
      <c r="E119" s="103"/>
      <c r="F119" s="102"/>
      <c r="G119" s="99"/>
      <c r="H119" s="99"/>
      <c r="I119" s="104"/>
      <c r="J119" s="105"/>
      <c r="K119" s="105"/>
      <c r="L119" s="105"/>
      <c r="M119" s="87"/>
      <c r="N119" s="87"/>
      <c r="O119" s="87"/>
      <c r="P119" s="87"/>
      <c r="Q119" s="31"/>
      <c r="R119" s="31"/>
      <c r="S119" s="31"/>
      <c r="T119" s="31"/>
      <c r="U119" s="31"/>
      <c r="V119" s="31"/>
      <c r="W119" s="31"/>
      <c r="X119" s="31"/>
      <c r="Y119" s="31"/>
      <c r="Z119" s="31"/>
      <c r="AA119" s="31"/>
      <c r="AB119" s="31"/>
      <c r="AC119" s="31"/>
      <c r="AD119" s="31"/>
    </row>
    <row r="120" spans="1:30" ht="22.5" customHeight="1">
      <c r="A120" s="99"/>
      <c r="B120" s="100" t="e">
        <f>VLOOKUP(C120,Lists!I:J,2,FALSE)</f>
        <v>#N/A</v>
      </c>
      <c r="C120" s="101"/>
      <c r="D120" s="102"/>
      <c r="E120" s="103"/>
      <c r="F120" s="102"/>
      <c r="G120" s="99"/>
      <c r="H120" s="99"/>
      <c r="I120" s="104"/>
      <c r="J120" s="105"/>
      <c r="K120" s="105"/>
      <c r="L120" s="105"/>
      <c r="M120" s="87"/>
      <c r="N120" s="87"/>
      <c r="O120" s="87"/>
      <c r="P120" s="87"/>
      <c r="Q120" s="31"/>
      <c r="R120" s="31"/>
      <c r="S120" s="31"/>
      <c r="T120" s="31"/>
      <c r="U120" s="31"/>
      <c r="V120" s="31"/>
      <c r="W120" s="31"/>
      <c r="X120" s="31"/>
      <c r="Y120" s="31"/>
      <c r="Z120" s="31"/>
      <c r="AA120" s="31"/>
      <c r="AB120" s="31"/>
      <c r="AC120" s="31"/>
      <c r="AD120" s="31"/>
    </row>
    <row r="121" spans="1:30" ht="22.5" customHeight="1">
      <c r="A121" s="99"/>
      <c r="B121" s="106" t="e">
        <f>VLOOKUP(C121,Lists!I:J,2,FALSE)</f>
        <v>#N/A</v>
      </c>
      <c r="C121" s="108"/>
      <c r="D121" s="102"/>
      <c r="E121" s="103"/>
      <c r="F121" s="102"/>
      <c r="G121" s="99"/>
      <c r="H121" s="99"/>
      <c r="I121" s="104"/>
      <c r="J121" s="105"/>
      <c r="K121" s="105"/>
      <c r="L121" s="105"/>
      <c r="M121" s="87"/>
      <c r="N121" s="87"/>
      <c r="O121" s="87"/>
      <c r="P121" s="87"/>
      <c r="Q121" s="31"/>
      <c r="R121" s="31"/>
      <c r="S121" s="31"/>
      <c r="T121" s="31"/>
      <c r="U121" s="31"/>
      <c r="V121" s="31"/>
      <c r="W121" s="31"/>
      <c r="X121" s="31"/>
      <c r="Y121" s="31"/>
      <c r="Z121" s="31"/>
      <c r="AA121" s="31"/>
      <c r="AB121" s="31"/>
      <c r="AC121" s="31"/>
      <c r="AD121" s="31"/>
    </row>
    <row r="122" spans="1:30" ht="22.5" customHeight="1">
      <c r="A122" s="99"/>
      <c r="B122" s="100" t="e">
        <f>VLOOKUP(C122,Lists!I:J,2,FALSE)</f>
        <v>#N/A</v>
      </c>
      <c r="C122" s="101"/>
      <c r="D122" s="102"/>
      <c r="E122" s="103"/>
      <c r="F122" s="102"/>
      <c r="G122" s="99"/>
      <c r="H122" s="99"/>
      <c r="I122" s="104"/>
      <c r="J122" s="105"/>
      <c r="K122" s="105"/>
      <c r="L122" s="105"/>
      <c r="M122" s="87"/>
      <c r="N122" s="87"/>
      <c r="O122" s="87"/>
      <c r="P122" s="87"/>
      <c r="Q122" s="31"/>
      <c r="R122" s="31"/>
      <c r="S122" s="31"/>
      <c r="T122" s="31"/>
      <c r="U122" s="31"/>
      <c r="V122" s="31"/>
      <c r="W122" s="31"/>
      <c r="X122" s="31"/>
      <c r="Y122" s="31"/>
      <c r="Z122" s="31"/>
      <c r="AA122" s="31"/>
      <c r="AB122" s="31"/>
      <c r="AC122" s="31"/>
      <c r="AD122" s="31"/>
    </row>
    <row r="123" spans="1:30" ht="22.5" customHeight="1">
      <c r="A123" s="99"/>
      <c r="B123" s="106" t="e">
        <f>VLOOKUP(C123,Lists!I:J,2,FALSE)</f>
        <v>#N/A</v>
      </c>
      <c r="C123" s="108"/>
      <c r="D123" s="102"/>
      <c r="E123" s="103"/>
      <c r="F123" s="102"/>
      <c r="G123" s="99"/>
      <c r="H123" s="99"/>
      <c r="I123" s="104"/>
      <c r="J123" s="105"/>
      <c r="K123" s="105"/>
      <c r="L123" s="105"/>
      <c r="M123" s="87"/>
      <c r="N123" s="87"/>
      <c r="O123" s="87"/>
      <c r="P123" s="87"/>
      <c r="Q123" s="31"/>
      <c r="R123" s="31"/>
      <c r="S123" s="31"/>
      <c r="T123" s="31"/>
      <c r="U123" s="31"/>
      <c r="V123" s="31"/>
      <c r="W123" s="31"/>
      <c r="X123" s="31"/>
      <c r="Y123" s="31"/>
      <c r="Z123" s="31"/>
      <c r="AA123" s="31"/>
      <c r="AB123" s="31"/>
      <c r="AC123" s="31"/>
      <c r="AD123" s="31"/>
    </row>
    <row r="124" spans="1:30" ht="22.5" customHeight="1">
      <c r="A124" s="99"/>
      <c r="B124" s="100" t="e">
        <f>VLOOKUP(C124,Lists!I:J,2,FALSE)</f>
        <v>#N/A</v>
      </c>
      <c r="C124" s="101"/>
      <c r="D124" s="102"/>
      <c r="E124" s="103"/>
      <c r="F124" s="102"/>
      <c r="G124" s="99"/>
      <c r="H124" s="99"/>
      <c r="I124" s="104"/>
      <c r="J124" s="105"/>
      <c r="K124" s="105"/>
      <c r="L124" s="105"/>
      <c r="M124" s="87"/>
      <c r="N124" s="87"/>
      <c r="O124" s="87"/>
      <c r="P124" s="87"/>
      <c r="Q124" s="31"/>
      <c r="R124" s="31"/>
      <c r="S124" s="31"/>
      <c r="T124" s="31"/>
      <c r="U124" s="31"/>
      <c r="V124" s="31"/>
      <c r="W124" s="31"/>
      <c r="X124" s="31"/>
      <c r="Y124" s="31"/>
      <c r="Z124" s="31"/>
      <c r="AA124" s="31"/>
      <c r="AB124" s="31"/>
      <c r="AC124" s="31"/>
      <c r="AD124" s="31"/>
    </row>
    <row r="125" spans="1:30" ht="22.5" customHeight="1">
      <c r="A125" s="99"/>
      <c r="B125" s="106" t="e">
        <f>VLOOKUP(C125,Lists!I:J,2,FALSE)</f>
        <v>#N/A</v>
      </c>
      <c r="C125" s="108"/>
      <c r="D125" s="102"/>
      <c r="E125" s="103"/>
      <c r="F125" s="102"/>
      <c r="G125" s="99"/>
      <c r="H125" s="99"/>
      <c r="I125" s="104"/>
      <c r="J125" s="105"/>
      <c r="K125" s="105"/>
      <c r="L125" s="105"/>
      <c r="M125" s="87"/>
      <c r="N125" s="87"/>
      <c r="O125" s="87"/>
      <c r="P125" s="87"/>
      <c r="Q125" s="31"/>
      <c r="R125" s="31"/>
      <c r="S125" s="31"/>
      <c r="T125" s="31"/>
      <c r="U125" s="31"/>
      <c r="V125" s="31"/>
      <c r="W125" s="31"/>
      <c r="X125" s="31"/>
      <c r="Y125" s="31"/>
      <c r="Z125" s="31"/>
      <c r="AA125" s="31"/>
      <c r="AB125" s="31"/>
      <c r="AC125" s="31"/>
      <c r="AD125" s="31"/>
    </row>
    <row r="126" spans="1:30" ht="22.5" customHeight="1">
      <c r="A126" s="99"/>
      <c r="B126" s="100" t="e">
        <f>VLOOKUP(C126,Lists!I:J,2,FALSE)</f>
        <v>#N/A</v>
      </c>
      <c r="C126" s="101"/>
      <c r="D126" s="102"/>
      <c r="E126" s="103"/>
      <c r="F126" s="102"/>
      <c r="G126" s="99"/>
      <c r="H126" s="99"/>
      <c r="I126" s="104"/>
      <c r="J126" s="105"/>
      <c r="K126" s="105"/>
      <c r="L126" s="105"/>
      <c r="M126" s="87"/>
      <c r="N126" s="87"/>
      <c r="O126" s="87"/>
      <c r="P126" s="87"/>
      <c r="Q126" s="31"/>
      <c r="R126" s="31"/>
      <c r="S126" s="31"/>
      <c r="T126" s="31"/>
      <c r="U126" s="31"/>
      <c r="V126" s="31"/>
      <c r="W126" s="31"/>
      <c r="X126" s="31"/>
      <c r="Y126" s="31"/>
      <c r="Z126" s="31"/>
      <c r="AA126" s="31"/>
      <c r="AB126" s="31"/>
      <c r="AC126" s="31"/>
      <c r="AD126" s="31"/>
    </row>
    <row r="127" spans="1:30" ht="22.5" customHeight="1">
      <c r="A127" s="99"/>
      <c r="B127" s="106" t="e">
        <f>VLOOKUP(C127,Lists!I:J,2,FALSE)</f>
        <v>#N/A</v>
      </c>
      <c r="C127" s="108"/>
      <c r="D127" s="102"/>
      <c r="E127" s="103"/>
      <c r="F127" s="102"/>
      <c r="G127" s="99"/>
      <c r="H127" s="99"/>
      <c r="I127" s="104"/>
      <c r="J127" s="105"/>
      <c r="K127" s="105"/>
      <c r="L127" s="105"/>
      <c r="M127" s="87"/>
      <c r="N127" s="87"/>
      <c r="O127" s="87"/>
      <c r="P127" s="87"/>
      <c r="Q127" s="31"/>
      <c r="R127" s="31"/>
      <c r="S127" s="31"/>
      <c r="T127" s="31"/>
      <c r="U127" s="31"/>
      <c r="V127" s="31"/>
      <c r="W127" s="31"/>
      <c r="X127" s="31"/>
      <c r="Y127" s="31"/>
      <c r="Z127" s="31"/>
      <c r="AA127" s="31"/>
      <c r="AB127" s="31"/>
      <c r="AC127" s="31"/>
      <c r="AD127" s="31"/>
    </row>
    <row r="128" spans="1:30" ht="22.5" customHeight="1">
      <c r="A128" s="99"/>
      <c r="B128" s="100" t="e">
        <f>VLOOKUP(C128,Lists!I:J,2,FALSE)</f>
        <v>#N/A</v>
      </c>
      <c r="C128" s="101"/>
      <c r="D128" s="102"/>
      <c r="E128" s="103"/>
      <c r="F128" s="102"/>
      <c r="G128" s="99"/>
      <c r="H128" s="99"/>
      <c r="I128" s="104"/>
      <c r="J128" s="105"/>
      <c r="K128" s="105"/>
      <c r="L128" s="105"/>
      <c r="M128" s="87"/>
      <c r="N128" s="87"/>
      <c r="O128" s="87"/>
      <c r="P128" s="87"/>
      <c r="Q128" s="31"/>
      <c r="R128" s="31"/>
      <c r="S128" s="31"/>
      <c r="T128" s="31"/>
      <c r="U128" s="31"/>
      <c r="V128" s="31"/>
      <c r="W128" s="31"/>
      <c r="X128" s="31"/>
      <c r="Y128" s="31"/>
      <c r="Z128" s="31"/>
      <c r="AA128" s="31"/>
      <c r="AB128" s="31"/>
      <c r="AC128" s="31"/>
      <c r="AD128" s="31"/>
    </row>
    <row r="129" spans="1:30" ht="22.5" customHeight="1">
      <c r="A129" s="99"/>
      <c r="B129" s="106" t="e">
        <f>VLOOKUP(C129,Lists!I:J,2,FALSE)</f>
        <v>#N/A</v>
      </c>
      <c r="C129" s="108"/>
      <c r="D129" s="102"/>
      <c r="E129" s="103"/>
      <c r="F129" s="102"/>
      <c r="G129" s="99"/>
      <c r="H129" s="99"/>
      <c r="I129" s="104"/>
      <c r="J129" s="105"/>
      <c r="K129" s="105"/>
      <c r="L129" s="105"/>
      <c r="M129" s="87"/>
      <c r="N129" s="87"/>
      <c r="O129" s="87"/>
      <c r="P129" s="87"/>
      <c r="Q129" s="31"/>
      <c r="R129" s="31"/>
      <c r="S129" s="31"/>
      <c r="T129" s="31"/>
      <c r="U129" s="31"/>
      <c r="V129" s="31"/>
      <c r="W129" s="31"/>
      <c r="X129" s="31"/>
      <c r="Y129" s="31"/>
      <c r="Z129" s="31"/>
      <c r="AA129" s="31"/>
      <c r="AB129" s="31"/>
      <c r="AC129" s="31"/>
      <c r="AD129" s="31"/>
    </row>
    <row r="130" spans="1:30" ht="22.5" customHeight="1">
      <c r="A130" s="99"/>
      <c r="B130" s="100" t="e">
        <f>VLOOKUP(C130,Lists!I:J,2,FALSE)</f>
        <v>#N/A</v>
      </c>
      <c r="C130" s="101"/>
      <c r="D130" s="102"/>
      <c r="E130" s="103"/>
      <c r="F130" s="102"/>
      <c r="G130" s="99"/>
      <c r="H130" s="99"/>
      <c r="I130" s="104"/>
      <c r="J130" s="105"/>
      <c r="K130" s="105"/>
      <c r="L130" s="105"/>
      <c r="M130" s="87"/>
      <c r="N130" s="87"/>
      <c r="O130" s="87"/>
      <c r="P130" s="87"/>
      <c r="Q130" s="31"/>
      <c r="R130" s="31"/>
      <c r="S130" s="31"/>
      <c r="T130" s="31"/>
      <c r="U130" s="31"/>
      <c r="V130" s="31"/>
      <c r="W130" s="31"/>
      <c r="X130" s="31"/>
      <c r="Y130" s="31"/>
      <c r="Z130" s="31"/>
      <c r="AA130" s="31"/>
      <c r="AB130" s="31"/>
      <c r="AC130" s="31"/>
      <c r="AD130" s="31"/>
    </row>
    <row r="131" spans="1:30" ht="22.5" customHeight="1">
      <c r="A131" s="99"/>
      <c r="B131" s="106" t="e">
        <f>VLOOKUP(C131,Lists!I:J,2,FALSE)</f>
        <v>#N/A</v>
      </c>
      <c r="C131" s="108"/>
      <c r="D131" s="102"/>
      <c r="E131" s="103"/>
      <c r="F131" s="102"/>
      <c r="G131" s="99"/>
      <c r="H131" s="99"/>
      <c r="I131" s="104"/>
      <c r="J131" s="105"/>
      <c r="K131" s="105"/>
      <c r="L131" s="105"/>
      <c r="M131" s="87"/>
      <c r="N131" s="87"/>
      <c r="O131" s="87"/>
      <c r="P131" s="87"/>
      <c r="Q131" s="31"/>
      <c r="R131" s="31"/>
      <c r="S131" s="31"/>
      <c r="T131" s="31"/>
      <c r="U131" s="31"/>
      <c r="V131" s="31"/>
      <c r="W131" s="31"/>
      <c r="X131" s="31"/>
      <c r="Y131" s="31"/>
      <c r="Z131" s="31"/>
      <c r="AA131" s="31"/>
      <c r="AB131" s="31"/>
      <c r="AC131" s="31"/>
      <c r="AD131" s="31"/>
    </row>
    <row r="132" spans="1:30" ht="22.5" customHeight="1">
      <c r="A132" s="99"/>
      <c r="B132" s="100" t="e">
        <f>VLOOKUP(C132,Lists!I:J,2,FALSE)</f>
        <v>#N/A</v>
      </c>
      <c r="C132" s="101"/>
      <c r="D132" s="102"/>
      <c r="E132" s="103"/>
      <c r="F132" s="102"/>
      <c r="G132" s="99"/>
      <c r="H132" s="99"/>
      <c r="I132" s="104"/>
      <c r="J132" s="105"/>
      <c r="K132" s="105"/>
      <c r="L132" s="105"/>
      <c r="M132" s="87"/>
      <c r="N132" s="87"/>
      <c r="O132" s="87"/>
      <c r="P132" s="87"/>
      <c r="Q132" s="31"/>
      <c r="R132" s="31"/>
      <c r="S132" s="31"/>
      <c r="T132" s="31"/>
      <c r="U132" s="31"/>
      <c r="V132" s="31"/>
      <c r="W132" s="31"/>
      <c r="X132" s="31"/>
      <c r="Y132" s="31"/>
      <c r="Z132" s="31"/>
      <c r="AA132" s="31"/>
      <c r="AB132" s="31"/>
      <c r="AC132" s="31"/>
      <c r="AD132" s="31"/>
    </row>
    <row r="133" spans="1:30" ht="22.5" customHeight="1">
      <c r="A133" s="99"/>
      <c r="B133" s="106" t="e">
        <f>VLOOKUP(C133,Lists!I:J,2,FALSE)</f>
        <v>#N/A</v>
      </c>
      <c r="C133" s="108"/>
      <c r="D133" s="102"/>
      <c r="E133" s="103"/>
      <c r="F133" s="102"/>
      <c r="G133" s="99"/>
      <c r="H133" s="99"/>
      <c r="I133" s="104"/>
      <c r="J133" s="105"/>
      <c r="K133" s="105"/>
      <c r="L133" s="105"/>
      <c r="M133" s="87"/>
      <c r="N133" s="87"/>
      <c r="O133" s="87"/>
      <c r="P133" s="87"/>
      <c r="Q133" s="31"/>
      <c r="R133" s="31"/>
      <c r="S133" s="31"/>
      <c r="T133" s="31"/>
      <c r="U133" s="31"/>
      <c r="V133" s="31"/>
      <c r="W133" s="31"/>
      <c r="X133" s="31"/>
      <c r="Y133" s="31"/>
      <c r="Z133" s="31"/>
      <c r="AA133" s="31"/>
      <c r="AB133" s="31"/>
      <c r="AC133" s="31"/>
      <c r="AD133" s="31"/>
    </row>
    <row r="134" spans="1:30" ht="22.5" customHeight="1">
      <c r="A134" s="99"/>
      <c r="B134" s="100" t="e">
        <f>VLOOKUP(C134,Lists!I:J,2,FALSE)</f>
        <v>#N/A</v>
      </c>
      <c r="C134" s="101"/>
      <c r="D134" s="102"/>
      <c r="E134" s="103"/>
      <c r="F134" s="102"/>
      <c r="G134" s="99"/>
      <c r="H134" s="99"/>
      <c r="I134" s="104"/>
      <c r="J134" s="105"/>
      <c r="K134" s="105"/>
      <c r="L134" s="105"/>
      <c r="M134" s="87"/>
      <c r="N134" s="87"/>
      <c r="O134" s="87"/>
      <c r="P134" s="87"/>
      <c r="Q134" s="31"/>
      <c r="R134" s="31"/>
      <c r="S134" s="31"/>
      <c r="T134" s="31"/>
      <c r="U134" s="31"/>
      <c r="V134" s="31"/>
      <c r="W134" s="31"/>
      <c r="X134" s="31"/>
      <c r="Y134" s="31"/>
      <c r="Z134" s="31"/>
      <c r="AA134" s="31"/>
      <c r="AB134" s="31"/>
      <c r="AC134" s="31"/>
      <c r="AD134" s="31"/>
    </row>
    <row r="135" spans="1:30" ht="22.5" customHeight="1">
      <c r="A135" s="99"/>
      <c r="B135" s="106" t="e">
        <f>VLOOKUP(C135,Lists!I:J,2,FALSE)</f>
        <v>#N/A</v>
      </c>
      <c r="C135" s="108"/>
      <c r="D135" s="102"/>
      <c r="E135" s="103"/>
      <c r="F135" s="102"/>
      <c r="G135" s="99"/>
      <c r="H135" s="99"/>
      <c r="I135" s="104"/>
      <c r="J135" s="105"/>
      <c r="K135" s="105"/>
      <c r="L135" s="105"/>
      <c r="M135" s="87"/>
      <c r="N135" s="87"/>
      <c r="O135" s="87"/>
      <c r="P135" s="87"/>
      <c r="Q135" s="31"/>
      <c r="R135" s="31"/>
      <c r="S135" s="31"/>
      <c r="T135" s="31"/>
      <c r="U135" s="31"/>
      <c r="V135" s="31"/>
      <c r="W135" s="31"/>
      <c r="X135" s="31"/>
      <c r="Y135" s="31"/>
      <c r="Z135" s="31"/>
      <c r="AA135" s="31"/>
      <c r="AB135" s="31"/>
      <c r="AC135" s="31"/>
      <c r="AD135" s="31"/>
    </row>
    <row r="136" spans="1:30" ht="22.5" customHeight="1">
      <c r="A136" s="99"/>
      <c r="B136" s="100" t="e">
        <f>VLOOKUP(C136,Lists!I:J,2,FALSE)</f>
        <v>#N/A</v>
      </c>
      <c r="C136" s="101"/>
      <c r="D136" s="102"/>
      <c r="E136" s="103"/>
      <c r="F136" s="102"/>
      <c r="G136" s="99"/>
      <c r="H136" s="99"/>
      <c r="I136" s="104"/>
      <c r="J136" s="105"/>
      <c r="K136" s="105"/>
      <c r="L136" s="105"/>
      <c r="M136" s="87"/>
      <c r="N136" s="87"/>
      <c r="O136" s="87"/>
      <c r="P136" s="87"/>
      <c r="Q136" s="31"/>
      <c r="R136" s="31"/>
      <c r="S136" s="31"/>
      <c r="T136" s="31"/>
      <c r="U136" s="31"/>
      <c r="V136" s="31"/>
      <c r="W136" s="31"/>
      <c r="X136" s="31"/>
      <c r="Y136" s="31"/>
      <c r="Z136" s="31"/>
      <c r="AA136" s="31"/>
      <c r="AB136" s="31"/>
      <c r="AC136" s="31"/>
      <c r="AD136" s="31"/>
    </row>
    <row r="137" spans="1:30" ht="22.5" customHeight="1">
      <c r="A137" s="99"/>
      <c r="B137" s="106" t="e">
        <f>VLOOKUP(C137,Lists!I:J,2,FALSE)</f>
        <v>#N/A</v>
      </c>
      <c r="C137" s="108"/>
      <c r="D137" s="102"/>
      <c r="E137" s="103"/>
      <c r="F137" s="102"/>
      <c r="G137" s="99"/>
      <c r="H137" s="99"/>
      <c r="I137" s="104"/>
      <c r="J137" s="105"/>
      <c r="K137" s="105"/>
      <c r="L137" s="105"/>
      <c r="M137" s="87"/>
      <c r="N137" s="87"/>
      <c r="O137" s="87"/>
      <c r="P137" s="87"/>
      <c r="Q137" s="31"/>
      <c r="R137" s="31"/>
      <c r="S137" s="31"/>
      <c r="T137" s="31"/>
      <c r="U137" s="31"/>
      <c r="V137" s="31"/>
      <c r="W137" s="31"/>
      <c r="X137" s="31"/>
      <c r="Y137" s="31"/>
      <c r="Z137" s="31"/>
      <c r="AA137" s="31"/>
      <c r="AB137" s="31"/>
      <c r="AC137" s="31"/>
      <c r="AD137" s="31"/>
    </row>
    <row r="138" spans="1:30" ht="22.5" customHeight="1">
      <c r="A138" s="99"/>
      <c r="B138" s="100" t="e">
        <f>VLOOKUP(C138,Lists!I:J,2,FALSE)</f>
        <v>#N/A</v>
      </c>
      <c r="C138" s="101"/>
      <c r="D138" s="102"/>
      <c r="E138" s="103"/>
      <c r="F138" s="102"/>
      <c r="G138" s="99"/>
      <c r="H138" s="99"/>
      <c r="I138" s="104"/>
      <c r="J138" s="105"/>
      <c r="K138" s="105"/>
      <c r="L138" s="105"/>
      <c r="M138" s="87"/>
      <c r="N138" s="87"/>
      <c r="O138" s="87"/>
      <c r="P138" s="87"/>
      <c r="Q138" s="31"/>
      <c r="R138" s="31"/>
      <c r="S138" s="31"/>
      <c r="T138" s="31"/>
      <c r="U138" s="31"/>
      <c r="V138" s="31"/>
      <c r="W138" s="31"/>
      <c r="X138" s="31"/>
      <c r="Y138" s="31"/>
      <c r="Z138" s="31"/>
      <c r="AA138" s="31"/>
      <c r="AB138" s="31"/>
      <c r="AC138" s="31"/>
      <c r="AD138" s="31"/>
    </row>
    <row r="139" spans="1:30" ht="22.5" customHeight="1">
      <c r="A139" s="99"/>
      <c r="B139" s="106" t="e">
        <f>VLOOKUP(C139,Lists!I:J,2,FALSE)</f>
        <v>#N/A</v>
      </c>
      <c r="C139" s="108"/>
      <c r="D139" s="102"/>
      <c r="E139" s="103"/>
      <c r="F139" s="102"/>
      <c r="G139" s="99"/>
      <c r="H139" s="99"/>
      <c r="I139" s="104"/>
      <c r="J139" s="105"/>
      <c r="K139" s="105"/>
      <c r="L139" s="105"/>
      <c r="M139" s="87"/>
      <c r="N139" s="87"/>
      <c r="O139" s="87"/>
      <c r="P139" s="87"/>
      <c r="Q139" s="31"/>
      <c r="R139" s="31"/>
      <c r="S139" s="31"/>
      <c r="T139" s="31"/>
      <c r="U139" s="31"/>
      <c r="V139" s="31"/>
      <c r="W139" s="31"/>
      <c r="X139" s="31"/>
      <c r="Y139" s="31"/>
      <c r="Z139" s="31"/>
      <c r="AA139" s="31"/>
      <c r="AB139" s="31"/>
      <c r="AC139" s="31"/>
      <c r="AD139" s="31"/>
    </row>
    <row r="140" spans="1:30" ht="22.5" customHeight="1">
      <c r="A140" s="99"/>
      <c r="B140" s="100" t="e">
        <f>VLOOKUP(C140,Lists!I:J,2,FALSE)</f>
        <v>#N/A</v>
      </c>
      <c r="C140" s="101"/>
      <c r="D140" s="102"/>
      <c r="E140" s="103"/>
      <c r="F140" s="102"/>
      <c r="G140" s="99"/>
      <c r="H140" s="99"/>
      <c r="I140" s="104"/>
      <c r="J140" s="105"/>
      <c r="K140" s="105"/>
      <c r="L140" s="105"/>
      <c r="M140" s="87"/>
      <c r="N140" s="87"/>
      <c r="O140" s="87"/>
      <c r="P140" s="87"/>
      <c r="Q140" s="31"/>
      <c r="R140" s="31"/>
      <c r="S140" s="31"/>
      <c r="T140" s="31"/>
      <c r="U140" s="31"/>
      <c r="V140" s="31"/>
      <c r="W140" s="31"/>
      <c r="X140" s="31"/>
      <c r="Y140" s="31"/>
      <c r="Z140" s="31"/>
      <c r="AA140" s="31"/>
      <c r="AB140" s="31"/>
      <c r="AC140" s="31"/>
      <c r="AD140" s="31"/>
    </row>
    <row r="141" spans="1:30" ht="22.5" customHeight="1">
      <c r="A141" s="99"/>
      <c r="B141" s="106" t="e">
        <f>VLOOKUP(C141,Lists!I:J,2,FALSE)</f>
        <v>#N/A</v>
      </c>
      <c r="C141" s="108"/>
      <c r="D141" s="102"/>
      <c r="E141" s="103"/>
      <c r="F141" s="102"/>
      <c r="G141" s="99"/>
      <c r="H141" s="99"/>
      <c r="I141" s="104"/>
      <c r="J141" s="105"/>
      <c r="K141" s="105"/>
      <c r="L141" s="105"/>
      <c r="M141" s="87"/>
      <c r="N141" s="87"/>
      <c r="O141" s="87"/>
      <c r="P141" s="87"/>
      <c r="Q141" s="31"/>
      <c r="R141" s="31"/>
      <c r="S141" s="31"/>
      <c r="T141" s="31"/>
      <c r="U141" s="31"/>
      <c r="V141" s="31"/>
      <c r="W141" s="31"/>
      <c r="X141" s="31"/>
      <c r="Y141" s="31"/>
      <c r="Z141" s="31"/>
      <c r="AA141" s="31"/>
      <c r="AB141" s="31"/>
      <c r="AC141" s="31"/>
      <c r="AD141" s="31"/>
    </row>
    <row r="142" spans="1:30" ht="22.5" customHeight="1">
      <c r="A142" s="99"/>
      <c r="B142" s="100" t="e">
        <f>VLOOKUP(C142,Lists!I:J,2,FALSE)</f>
        <v>#N/A</v>
      </c>
      <c r="C142" s="101"/>
      <c r="D142" s="102"/>
      <c r="E142" s="103"/>
      <c r="F142" s="102"/>
      <c r="G142" s="99"/>
      <c r="H142" s="99"/>
      <c r="I142" s="104"/>
      <c r="J142" s="105"/>
      <c r="K142" s="105"/>
      <c r="L142" s="105"/>
      <c r="M142" s="87"/>
      <c r="N142" s="87"/>
      <c r="O142" s="87"/>
      <c r="P142" s="87"/>
      <c r="Q142" s="31"/>
      <c r="R142" s="31"/>
      <c r="S142" s="31"/>
      <c r="T142" s="31"/>
      <c r="U142" s="31"/>
      <c r="V142" s="31"/>
      <c r="W142" s="31"/>
      <c r="X142" s="31"/>
      <c r="Y142" s="31"/>
      <c r="Z142" s="31"/>
      <c r="AA142" s="31"/>
      <c r="AB142" s="31"/>
      <c r="AC142" s="31"/>
      <c r="AD142" s="31"/>
    </row>
    <row r="143" spans="1:30" ht="22.5" customHeight="1">
      <c r="A143" s="99"/>
      <c r="B143" s="106" t="e">
        <f>VLOOKUP(C143,Lists!I:J,2,FALSE)</f>
        <v>#N/A</v>
      </c>
      <c r="C143" s="108"/>
      <c r="D143" s="102"/>
      <c r="E143" s="103"/>
      <c r="F143" s="102"/>
      <c r="G143" s="99"/>
      <c r="H143" s="99"/>
      <c r="I143" s="104"/>
      <c r="J143" s="105"/>
      <c r="K143" s="105"/>
      <c r="L143" s="105"/>
      <c r="M143" s="87"/>
      <c r="N143" s="87"/>
      <c r="O143" s="87"/>
      <c r="P143" s="87"/>
      <c r="Q143" s="31"/>
      <c r="R143" s="31"/>
      <c r="S143" s="31"/>
      <c r="T143" s="31"/>
      <c r="U143" s="31"/>
      <c r="V143" s="31"/>
      <c r="W143" s="31"/>
      <c r="X143" s="31"/>
      <c r="Y143" s="31"/>
      <c r="Z143" s="31"/>
      <c r="AA143" s="31"/>
      <c r="AB143" s="31"/>
      <c r="AC143" s="31"/>
      <c r="AD143" s="31"/>
    </row>
    <row r="144" spans="1:30" ht="22.5" customHeight="1">
      <c r="A144" s="99"/>
      <c r="B144" s="100" t="e">
        <f>VLOOKUP(C144,Lists!I:J,2,FALSE)</f>
        <v>#N/A</v>
      </c>
      <c r="C144" s="101"/>
      <c r="D144" s="102"/>
      <c r="E144" s="103"/>
      <c r="F144" s="102"/>
      <c r="G144" s="99"/>
      <c r="H144" s="99"/>
      <c r="I144" s="104"/>
      <c r="J144" s="105"/>
      <c r="K144" s="105"/>
      <c r="L144" s="105"/>
      <c r="M144" s="87"/>
      <c r="N144" s="87"/>
      <c r="O144" s="87"/>
      <c r="P144" s="87"/>
      <c r="Q144" s="31"/>
      <c r="R144" s="31"/>
      <c r="S144" s="31"/>
      <c r="T144" s="31"/>
      <c r="U144" s="31"/>
      <c r="V144" s="31"/>
      <c r="W144" s="31"/>
      <c r="X144" s="31"/>
      <c r="Y144" s="31"/>
      <c r="Z144" s="31"/>
      <c r="AA144" s="31"/>
      <c r="AB144" s="31"/>
      <c r="AC144" s="31"/>
      <c r="AD144" s="31"/>
    </row>
    <row r="145" spans="1:30" ht="22.5" customHeight="1">
      <c r="A145" s="99"/>
      <c r="B145" s="106" t="e">
        <f>VLOOKUP(C145,Lists!I:J,2,FALSE)</f>
        <v>#N/A</v>
      </c>
      <c r="C145" s="108"/>
      <c r="D145" s="102"/>
      <c r="E145" s="103"/>
      <c r="F145" s="102"/>
      <c r="G145" s="99"/>
      <c r="H145" s="99"/>
      <c r="I145" s="104"/>
      <c r="J145" s="105"/>
      <c r="K145" s="105"/>
      <c r="L145" s="105"/>
      <c r="M145" s="87"/>
      <c r="N145" s="87"/>
      <c r="O145" s="87"/>
      <c r="P145" s="87"/>
      <c r="Q145" s="31"/>
      <c r="R145" s="31"/>
      <c r="S145" s="31"/>
      <c r="T145" s="31"/>
      <c r="U145" s="31"/>
      <c r="V145" s="31"/>
      <c r="W145" s="31"/>
      <c r="X145" s="31"/>
      <c r="Y145" s="31"/>
      <c r="Z145" s="31"/>
      <c r="AA145" s="31"/>
      <c r="AB145" s="31"/>
      <c r="AC145" s="31"/>
      <c r="AD145" s="31"/>
    </row>
    <row r="146" spans="1:30" ht="22.5" customHeight="1">
      <c r="A146" s="99"/>
      <c r="B146" s="100" t="e">
        <f>VLOOKUP(C146,Lists!I:J,2,FALSE)</f>
        <v>#N/A</v>
      </c>
      <c r="C146" s="101"/>
      <c r="D146" s="102"/>
      <c r="E146" s="103"/>
      <c r="F146" s="102"/>
      <c r="G146" s="99"/>
      <c r="H146" s="99"/>
      <c r="I146" s="104"/>
      <c r="J146" s="105"/>
      <c r="K146" s="105"/>
      <c r="L146" s="105"/>
      <c r="M146" s="87"/>
      <c r="N146" s="87"/>
      <c r="O146" s="87"/>
      <c r="P146" s="87"/>
      <c r="Q146" s="31"/>
      <c r="R146" s="31"/>
      <c r="S146" s="31"/>
      <c r="T146" s="31"/>
      <c r="U146" s="31"/>
      <c r="V146" s="31"/>
      <c r="W146" s="31"/>
      <c r="X146" s="31"/>
      <c r="Y146" s="31"/>
      <c r="Z146" s="31"/>
      <c r="AA146" s="31"/>
      <c r="AB146" s="31"/>
      <c r="AC146" s="31"/>
      <c r="AD146" s="31"/>
    </row>
    <row r="147" spans="1:30" ht="22.5" customHeight="1">
      <c r="A147" s="99"/>
      <c r="B147" s="106" t="e">
        <f>VLOOKUP(C147,Lists!I:J,2,FALSE)</f>
        <v>#N/A</v>
      </c>
      <c r="C147" s="108"/>
      <c r="D147" s="102"/>
      <c r="E147" s="103"/>
      <c r="F147" s="102"/>
      <c r="G147" s="99"/>
      <c r="H147" s="99"/>
      <c r="I147" s="104"/>
      <c r="J147" s="105"/>
      <c r="K147" s="105"/>
      <c r="L147" s="105"/>
      <c r="M147" s="87"/>
      <c r="N147" s="87"/>
      <c r="O147" s="87"/>
      <c r="P147" s="87"/>
      <c r="Q147" s="31"/>
      <c r="R147" s="31"/>
      <c r="S147" s="31"/>
      <c r="T147" s="31"/>
      <c r="U147" s="31"/>
      <c r="V147" s="31"/>
      <c r="W147" s="31"/>
      <c r="X147" s="31"/>
      <c r="Y147" s="31"/>
      <c r="Z147" s="31"/>
      <c r="AA147" s="31"/>
      <c r="AB147" s="31"/>
      <c r="AC147" s="31"/>
      <c r="AD147" s="31"/>
    </row>
    <row r="148" spans="1:30" ht="22.5" customHeight="1">
      <c r="A148" s="99"/>
      <c r="B148" s="100" t="e">
        <f>VLOOKUP(C148,Lists!I:J,2,FALSE)</f>
        <v>#N/A</v>
      </c>
      <c r="C148" s="101"/>
      <c r="D148" s="102"/>
      <c r="E148" s="103"/>
      <c r="F148" s="102"/>
      <c r="G148" s="99"/>
      <c r="H148" s="99"/>
      <c r="I148" s="104"/>
      <c r="J148" s="105"/>
      <c r="K148" s="105"/>
      <c r="L148" s="105"/>
      <c r="M148" s="87"/>
      <c r="N148" s="87"/>
      <c r="O148" s="87"/>
      <c r="P148" s="87"/>
      <c r="Q148" s="31"/>
      <c r="R148" s="31"/>
      <c r="S148" s="31"/>
      <c r="T148" s="31"/>
      <c r="U148" s="31"/>
      <c r="V148" s="31"/>
      <c r="W148" s="31"/>
      <c r="X148" s="31"/>
      <c r="Y148" s="31"/>
      <c r="Z148" s="31"/>
      <c r="AA148" s="31"/>
      <c r="AB148" s="31"/>
      <c r="AC148" s="31"/>
      <c r="AD148" s="31"/>
    </row>
    <row r="149" spans="1:30" ht="22.5" customHeight="1">
      <c r="A149" s="99"/>
      <c r="B149" s="106" t="e">
        <f>VLOOKUP(C149,Lists!I:J,2,FALSE)</f>
        <v>#N/A</v>
      </c>
      <c r="C149" s="108"/>
      <c r="D149" s="102"/>
      <c r="E149" s="103"/>
      <c r="F149" s="102"/>
      <c r="G149" s="99"/>
      <c r="H149" s="99"/>
      <c r="I149" s="104"/>
      <c r="J149" s="105"/>
      <c r="K149" s="105"/>
      <c r="L149" s="105"/>
      <c r="M149" s="87"/>
      <c r="N149" s="87"/>
      <c r="O149" s="87"/>
      <c r="P149" s="87"/>
      <c r="Q149" s="31"/>
      <c r="R149" s="31"/>
      <c r="S149" s="31"/>
      <c r="T149" s="31"/>
      <c r="U149" s="31"/>
      <c r="V149" s="31"/>
      <c r="W149" s="31"/>
      <c r="X149" s="31"/>
      <c r="Y149" s="31"/>
      <c r="Z149" s="31"/>
      <c r="AA149" s="31"/>
      <c r="AB149" s="31"/>
      <c r="AC149" s="31"/>
      <c r="AD149" s="31"/>
    </row>
    <row r="150" spans="1:30" ht="22.5" customHeight="1">
      <c r="A150" s="99"/>
      <c r="B150" s="100" t="e">
        <f>VLOOKUP(C150,Lists!I:J,2,FALSE)</f>
        <v>#N/A</v>
      </c>
      <c r="C150" s="101"/>
      <c r="D150" s="102"/>
      <c r="E150" s="103"/>
      <c r="F150" s="102"/>
      <c r="G150" s="99"/>
      <c r="H150" s="99"/>
      <c r="I150" s="104"/>
      <c r="J150" s="105"/>
      <c r="K150" s="105"/>
      <c r="L150" s="105"/>
      <c r="M150" s="87"/>
      <c r="N150" s="87"/>
      <c r="O150" s="87"/>
      <c r="P150" s="87"/>
      <c r="Q150" s="31"/>
      <c r="R150" s="31"/>
      <c r="S150" s="31"/>
      <c r="T150" s="31"/>
      <c r="U150" s="31"/>
      <c r="V150" s="31"/>
      <c r="W150" s="31"/>
      <c r="X150" s="31"/>
      <c r="Y150" s="31"/>
      <c r="Z150" s="31"/>
      <c r="AA150" s="31"/>
      <c r="AB150" s="31"/>
      <c r="AC150" s="31"/>
      <c r="AD150" s="31"/>
    </row>
    <row r="151" spans="1:30" ht="22.5" customHeight="1">
      <c r="A151" s="99"/>
      <c r="B151" s="106" t="e">
        <f>VLOOKUP(C151,Lists!I:J,2,FALSE)</f>
        <v>#N/A</v>
      </c>
      <c r="C151" s="108"/>
      <c r="D151" s="102"/>
      <c r="E151" s="103"/>
      <c r="F151" s="102"/>
      <c r="G151" s="99"/>
      <c r="H151" s="99"/>
      <c r="I151" s="104"/>
      <c r="J151" s="105"/>
      <c r="K151" s="105"/>
      <c r="L151" s="105"/>
      <c r="M151" s="87"/>
      <c r="N151" s="87"/>
      <c r="O151" s="87"/>
      <c r="P151" s="87"/>
      <c r="Q151" s="31"/>
      <c r="R151" s="31"/>
      <c r="S151" s="31"/>
      <c r="T151" s="31"/>
      <c r="U151" s="31"/>
      <c r="V151" s="31"/>
      <c r="W151" s="31"/>
      <c r="X151" s="31"/>
      <c r="Y151" s="31"/>
      <c r="Z151" s="31"/>
      <c r="AA151" s="31"/>
      <c r="AB151" s="31"/>
      <c r="AC151" s="31"/>
      <c r="AD151" s="31"/>
    </row>
    <row r="152" spans="1:30" ht="22.5" customHeight="1">
      <c r="A152" s="99"/>
      <c r="B152" s="100" t="e">
        <f>VLOOKUP(C152,Lists!I:J,2,FALSE)</f>
        <v>#N/A</v>
      </c>
      <c r="C152" s="101"/>
      <c r="D152" s="102"/>
      <c r="E152" s="103"/>
      <c r="F152" s="102"/>
      <c r="G152" s="99"/>
      <c r="H152" s="99"/>
      <c r="I152" s="104"/>
      <c r="J152" s="105"/>
      <c r="K152" s="105"/>
      <c r="L152" s="105"/>
      <c r="M152" s="87"/>
      <c r="N152" s="87"/>
      <c r="O152" s="87"/>
      <c r="P152" s="87"/>
      <c r="Q152" s="31"/>
      <c r="R152" s="31"/>
      <c r="S152" s="31"/>
      <c r="T152" s="31"/>
      <c r="U152" s="31"/>
      <c r="V152" s="31"/>
      <c r="W152" s="31"/>
      <c r="X152" s="31"/>
      <c r="Y152" s="31"/>
      <c r="Z152" s="31"/>
      <c r="AA152" s="31"/>
      <c r="AB152" s="31"/>
      <c r="AC152" s="31"/>
      <c r="AD152" s="31"/>
    </row>
    <row r="153" spans="1:30" ht="22.5" customHeight="1">
      <c r="A153" s="99"/>
      <c r="B153" s="109"/>
      <c r="C153" s="106"/>
      <c r="D153" s="102"/>
      <c r="E153" s="103"/>
      <c r="F153" s="102"/>
      <c r="G153" s="99"/>
      <c r="H153" s="99"/>
      <c r="I153" s="110"/>
      <c r="J153" s="105"/>
      <c r="K153" s="105"/>
      <c r="L153" s="105"/>
      <c r="M153" s="87"/>
      <c r="N153" s="87"/>
      <c r="O153" s="87"/>
      <c r="P153" s="87"/>
      <c r="Q153" s="31"/>
      <c r="R153" s="31"/>
      <c r="S153" s="31"/>
      <c r="T153" s="31"/>
      <c r="U153" s="31"/>
      <c r="V153" s="31"/>
      <c r="W153" s="31"/>
      <c r="X153" s="31"/>
      <c r="Y153" s="31"/>
      <c r="Z153" s="31"/>
      <c r="AA153" s="31"/>
      <c r="AB153" s="31"/>
      <c r="AC153" s="31"/>
      <c r="AD153" s="31"/>
    </row>
    <row r="154" spans="1:30" ht="22.5" customHeight="1">
      <c r="A154" s="99"/>
      <c r="B154" s="100"/>
      <c r="C154" s="95"/>
      <c r="D154" s="102"/>
      <c r="E154" s="103"/>
      <c r="F154" s="102"/>
      <c r="G154" s="99"/>
      <c r="H154" s="99"/>
      <c r="I154" s="110"/>
      <c r="J154" s="105"/>
      <c r="K154" s="105"/>
      <c r="L154" s="105"/>
      <c r="M154" s="87"/>
      <c r="N154" s="87"/>
      <c r="O154" s="87"/>
      <c r="P154" s="87"/>
      <c r="Q154" s="31"/>
      <c r="R154" s="31"/>
      <c r="S154" s="31"/>
      <c r="T154" s="31"/>
      <c r="U154" s="31"/>
      <c r="V154" s="31"/>
      <c r="W154" s="31"/>
      <c r="X154" s="31"/>
      <c r="Y154" s="31"/>
      <c r="Z154" s="31"/>
      <c r="AA154" s="31"/>
      <c r="AB154" s="31"/>
      <c r="AC154" s="31"/>
      <c r="AD154" s="31"/>
    </row>
    <row r="155" spans="1:30" ht="22.5" customHeight="1">
      <c r="A155" s="99"/>
      <c r="B155" s="106"/>
      <c r="C155" s="106"/>
      <c r="D155" s="102"/>
      <c r="E155" s="103"/>
      <c r="F155" s="102"/>
      <c r="G155" s="99"/>
      <c r="H155" s="99"/>
      <c r="I155" s="110"/>
      <c r="J155" s="105"/>
      <c r="K155" s="105"/>
      <c r="L155" s="105"/>
      <c r="M155" s="87"/>
      <c r="N155" s="87"/>
      <c r="O155" s="87"/>
      <c r="P155" s="87"/>
      <c r="Q155" s="31"/>
      <c r="R155" s="31"/>
      <c r="S155" s="31"/>
      <c r="T155" s="31"/>
      <c r="U155" s="31"/>
      <c r="V155" s="31"/>
      <c r="W155" s="31"/>
      <c r="X155" s="31"/>
      <c r="Y155" s="31"/>
      <c r="Z155" s="31"/>
      <c r="AA155" s="31"/>
      <c r="AB155" s="31"/>
      <c r="AC155" s="31"/>
      <c r="AD155" s="31"/>
    </row>
    <row r="156" spans="1:30" ht="22.5" customHeight="1">
      <c r="A156" s="99"/>
      <c r="B156" s="95"/>
      <c r="C156" s="95"/>
      <c r="D156" s="102"/>
      <c r="E156" s="103"/>
      <c r="F156" s="102"/>
      <c r="G156" s="99"/>
      <c r="H156" s="99"/>
      <c r="I156" s="110"/>
      <c r="J156" s="105"/>
      <c r="K156" s="105"/>
      <c r="L156" s="105"/>
      <c r="M156" s="87"/>
      <c r="N156" s="87"/>
      <c r="O156" s="87"/>
      <c r="P156" s="87"/>
      <c r="Q156" s="31"/>
      <c r="R156" s="31"/>
      <c r="S156" s="31"/>
      <c r="T156" s="31"/>
      <c r="U156" s="31"/>
      <c r="V156" s="31"/>
      <c r="W156" s="31"/>
      <c r="X156" s="31"/>
      <c r="Y156" s="31"/>
      <c r="Z156" s="31"/>
      <c r="AA156" s="31"/>
      <c r="AB156" s="31"/>
      <c r="AC156" s="31"/>
      <c r="AD156" s="31"/>
    </row>
    <row r="157" spans="1:30" ht="22.5" customHeight="1">
      <c r="A157" s="99"/>
      <c r="B157" s="106"/>
      <c r="C157" s="106"/>
      <c r="D157" s="102"/>
      <c r="E157" s="103"/>
      <c r="F157" s="102"/>
      <c r="G157" s="99"/>
      <c r="H157" s="99"/>
      <c r="I157" s="110"/>
      <c r="J157" s="105"/>
      <c r="K157" s="105"/>
      <c r="L157" s="105"/>
      <c r="M157" s="87"/>
      <c r="N157" s="87"/>
      <c r="O157" s="87"/>
      <c r="P157" s="87"/>
      <c r="Q157" s="31"/>
      <c r="R157" s="31"/>
      <c r="S157" s="31"/>
      <c r="T157" s="31"/>
      <c r="U157" s="31"/>
      <c r="V157" s="31"/>
      <c r="W157" s="31"/>
      <c r="X157" s="31"/>
      <c r="Y157" s="31"/>
      <c r="Z157" s="31"/>
      <c r="AA157" s="31"/>
      <c r="AB157" s="31"/>
      <c r="AC157" s="31"/>
      <c r="AD157" s="31"/>
    </row>
    <row r="158" spans="1:30" ht="22.5" customHeight="1">
      <c r="A158" s="99"/>
      <c r="B158" s="100"/>
      <c r="C158" s="95"/>
      <c r="D158" s="102"/>
      <c r="E158" s="103"/>
      <c r="F158" s="102"/>
      <c r="G158" s="99"/>
      <c r="H158" s="99"/>
      <c r="I158" s="110"/>
      <c r="J158" s="105"/>
      <c r="K158" s="105"/>
      <c r="L158" s="105"/>
      <c r="M158" s="87"/>
      <c r="N158" s="87"/>
      <c r="O158" s="87"/>
      <c r="P158" s="87"/>
      <c r="Q158" s="31"/>
      <c r="R158" s="31"/>
      <c r="S158" s="31"/>
      <c r="T158" s="31"/>
      <c r="U158" s="31"/>
      <c r="V158" s="31"/>
      <c r="W158" s="31"/>
      <c r="X158" s="31"/>
      <c r="Y158" s="31"/>
      <c r="Z158" s="31"/>
      <c r="AA158" s="31"/>
      <c r="AB158" s="31"/>
      <c r="AC158" s="31"/>
      <c r="AD158" s="31"/>
    </row>
    <row r="159" spans="1:30" ht="22.5" customHeight="1">
      <c r="A159" s="99"/>
      <c r="B159" s="111"/>
      <c r="C159" s="106"/>
      <c r="D159" s="102"/>
      <c r="E159" s="103"/>
      <c r="F159" s="102"/>
      <c r="G159" s="99"/>
      <c r="H159" s="99"/>
      <c r="I159" s="110"/>
      <c r="J159" s="105"/>
      <c r="K159" s="105"/>
      <c r="L159" s="105"/>
      <c r="M159" s="87"/>
      <c r="N159" s="87"/>
      <c r="O159" s="87"/>
      <c r="P159" s="87"/>
      <c r="Q159" s="31"/>
      <c r="R159" s="31"/>
      <c r="S159" s="31"/>
      <c r="T159" s="31"/>
      <c r="U159" s="31"/>
      <c r="V159" s="31"/>
      <c r="W159" s="31"/>
      <c r="X159" s="31"/>
      <c r="Y159" s="31"/>
      <c r="Z159" s="31"/>
      <c r="AA159" s="31"/>
      <c r="AB159" s="31"/>
      <c r="AC159" s="31"/>
      <c r="AD159" s="31"/>
    </row>
    <row r="160" spans="1:30" ht="22.5" customHeight="1">
      <c r="A160" s="99"/>
      <c r="B160" s="100"/>
      <c r="C160" s="95"/>
      <c r="D160" s="102"/>
      <c r="E160" s="103"/>
      <c r="F160" s="102"/>
      <c r="G160" s="99"/>
      <c r="H160" s="99"/>
      <c r="I160" s="110"/>
      <c r="J160" s="105"/>
      <c r="K160" s="105"/>
      <c r="L160" s="105"/>
      <c r="M160" s="87"/>
      <c r="N160" s="87"/>
      <c r="O160" s="87"/>
      <c r="P160" s="87"/>
      <c r="Q160" s="31"/>
      <c r="R160" s="31"/>
      <c r="S160" s="31"/>
      <c r="T160" s="31"/>
      <c r="U160" s="31"/>
      <c r="V160" s="31"/>
      <c r="W160" s="31"/>
      <c r="X160" s="31"/>
      <c r="Y160" s="31"/>
      <c r="Z160" s="31"/>
      <c r="AA160" s="31"/>
      <c r="AB160" s="31"/>
      <c r="AC160" s="31"/>
      <c r="AD160" s="31"/>
    </row>
    <row r="161" spans="1:30" ht="22.5" customHeight="1">
      <c r="A161" s="99"/>
      <c r="B161" s="106"/>
      <c r="C161" s="106"/>
      <c r="D161" s="102"/>
      <c r="E161" s="103"/>
      <c r="F161" s="102"/>
      <c r="G161" s="99"/>
      <c r="H161" s="99"/>
      <c r="I161" s="110"/>
      <c r="J161" s="105"/>
      <c r="K161" s="105"/>
      <c r="L161" s="105"/>
      <c r="M161" s="87"/>
      <c r="N161" s="87"/>
      <c r="O161" s="87"/>
      <c r="P161" s="87"/>
      <c r="Q161" s="31"/>
      <c r="R161" s="31"/>
      <c r="S161" s="31"/>
      <c r="T161" s="31"/>
      <c r="U161" s="31"/>
      <c r="V161" s="31"/>
      <c r="W161" s="31"/>
      <c r="X161" s="31"/>
      <c r="Y161" s="31"/>
      <c r="Z161" s="31"/>
      <c r="AA161" s="31"/>
      <c r="AB161" s="31"/>
      <c r="AC161" s="31"/>
      <c r="AD161" s="31"/>
    </row>
    <row r="162" spans="1:30" ht="22.5" customHeight="1">
      <c r="A162" s="99"/>
      <c r="B162" s="100"/>
      <c r="C162" s="95"/>
      <c r="D162" s="102"/>
      <c r="E162" s="103"/>
      <c r="F162" s="102"/>
      <c r="G162" s="99"/>
      <c r="H162" s="99"/>
      <c r="I162" s="110"/>
      <c r="J162" s="105"/>
      <c r="K162" s="105"/>
      <c r="L162" s="105"/>
      <c r="M162" s="87"/>
      <c r="N162" s="87"/>
      <c r="O162" s="87"/>
      <c r="P162" s="87"/>
      <c r="Q162" s="31"/>
      <c r="R162" s="31"/>
      <c r="S162" s="31"/>
      <c r="T162" s="31"/>
      <c r="U162" s="31"/>
      <c r="V162" s="31"/>
      <c r="W162" s="31"/>
      <c r="X162" s="31"/>
      <c r="Y162" s="31"/>
      <c r="Z162" s="31"/>
      <c r="AA162" s="31"/>
      <c r="AB162" s="31"/>
      <c r="AC162" s="31"/>
      <c r="AD162" s="31"/>
    </row>
    <row r="163" spans="1:30" ht="22.5" customHeight="1">
      <c r="A163" s="99"/>
      <c r="B163" s="112"/>
      <c r="C163" s="112"/>
      <c r="D163" s="102"/>
      <c r="E163" s="103"/>
      <c r="F163" s="102"/>
      <c r="G163" s="99"/>
      <c r="H163" s="99"/>
      <c r="I163" s="110"/>
      <c r="J163" s="105"/>
      <c r="K163" s="105"/>
      <c r="L163" s="10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400-000000000000}">
      <formula1>#REF!</formula1>
    </dataValidation>
    <dataValidation type="list" allowBlank="1" sqref="F2:F163" xr:uid="{00000000-0002-0000-0400-000002000000}">
      <formula1>"Yellow,Red"</formula1>
    </dataValidation>
    <dataValidation type="custom" allowBlank="1" showDropDown="1" sqref="AC4:AD14 S4:T14 AC17:AD25 S17:T25 AC30:AD46 S30:T46 AC51:AD60 S51:T60 AC65:AD72 S65:T72 AC77:AD84 S77:T84 A2:A163 G2:L163" xr:uid="{00000000-0002-0000-0400-000003000000}">
      <formula1>AND(ISNUMBER(A2),(NOT(OR(NOT(ISERROR(DATEVALUE(A2))), AND(ISNUMBER(A2), LEFT(CELL("format", A2))="D")))))</formula1>
    </dataValidation>
    <dataValidation allowBlank="1" showDropDown="1" sqref="E2:E163" xr:uid="{00000000-0002-0000-04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4" customWidth="1"/>
    <col min="3" max="3" width="18.88671875" customWidth="1"/>
    <col min="4" max="4" width="16.6640625" customWidth="1"/>
    <col min="5" max="5" width="17.109375" customWidth="1"/>
    <col min="6" max="6" width="12.44140625" customWidth="1"/>
    <col min="7" max="7" width="11.6640625" customWidth="1"/>
    <col min="8" max="8" width="13.77734375" customWidth="1"/>
    <col min="9" max="9" width="12.21875" customWidth="1"/>
    <col min="10" max="10" width="18.109375" customWidth="1"/>
    <col min="11" max="11" width="18.77734375" customWidth="1"/>
    <col min="12" max="12" width="19.109375" customWidth="1"/>
    <col min="13"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91" t="s">
        <v>463</v>
      </c>
      <c r="B1" s="91" t="s">
        <v>5</v>
      </c>
      <c r="C1" s="91" t="s">
        <v>2</v>
      </c>
      <c r="D1" s="91" t="s">
        <v>3</v>
      </c>
      <c r="E1" s="91" t="s">
        <v>1</v>
      </c>
      <c r="F1" s="91" t="s">
        <v>464</v>
      </c>
      <c r="G1" s="91" t="s">
        <v>465</v>
      </c>
      <c r="H1" s="92" t="s">
        <v>466</v>
      </c>
      <c r="I1" s="93" t="s">
        <v>467</v>
      </c>
      <c r="J1" s="92" t="s">
        <v>468</v>
      </c>
      <c r="K1" s="92" t="s">
        <v>469</v>
      </c>
      <c r="L1" s="92"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4</v>
      </c>
      <c r="B2" s="94" t="str">
        <f>VLOOKUP(C2,Lists!I:J,2,FALSE)</f>
        <v>Ranged DPS</v>
      </c>
      <c r="C2" s="95" t="str">
        <f>VLOOKUP(E2&amp;D2,Lists!C:E,3,FALSE)</f>
        <v>Crossbow/SnS</v>
      </c>
      <c r="D2" s="35" t="s">
        <v>36</v>
      </c>
      <c r="E2" s="36" t="s">
        <v>244</v>
      </c>
      <c r="F2" s="35" t="s">
        <v>476</v>
      </c>
      <c r="G2" s="32">
        <v>33</v>
      </c>
      <c r="H2" s="32">
        <v>42</v>
      </c>
      <c r="I2" s="96">
        <f t="shared" ref="I2:I97" si="0">SUM(G2:H2)</f>
        <v>75</v>
      </c>
      <c r="J2" s="37">
        <v>1595424</v>
      </c>
      <c r="K2" s="37">
        <v>625790</v>
      </c>
      <c r="L2" s="37">
        <v>29210</v>
      </c>
      <c r="M2" s="38">
        <f>I2/(HLOOKUP(F2,Team_Composition_23[[#All],[Yellow]:[Red]],10,FALSE)+HLOOKUP(F2,Team_Composition_23[[#All],[Yellow]:[Red]],11,FALSE))</f>
        <v>1.8745313671582105E-2</v>
      </c>
      <c r="N2" s="38">
        <f>J2/HLOOKUP(F2,Team_Composition_23[[#All],[Yellow]:[Red]],6,FALSE)</f>
        <v>3.5962463002600489E-2</v>
      </c>
      <c r="O2" s="38">
        <f>K2/HLOOKUP(F2,Team_Composition_23[[#All],[Yellow]:[Red]],8,FALSE)</f>
        <v>3.5721129397092703E-2</v>
      </c>
      <c r="P2" s="38">
        <f>L2/HLOOKUP(F2,Team_Composition_23[[#All],[Yellow]:[Red]],7,FALSE)</f>
        <v>2.2565090746273363E-3</v>
      </c>
      <c r="Q2" s="31"/>
      <c r="R2" s="227" t="s">
        <v>477</v>
      </c>
      <c r="S2" s="228"/>
      <c r="T2" s="228"/>
      <c r="U2" s="31"/>
      <c r="V2" s="229" t="s">
        <v>478</v>
      </c>
      <c r="W2" s="228"/>
      <c r="X2" s="39"/>
      <c r="Y2" s="229" t="s">
        <v>479</v>
      </c>
      <c r="Z2" s="228"/>
      <c r="AA2" s="31"/>
      <c r="AB2" s="227" t="s">
        <v>480</v>
      </c>
      <c r="AC2" s="228"/>
      <c r="AD2" s="228"/>
    </row>
    <row r="3" spans="1:30" ht="22.5" customHeight="1">
      <c r="A3" s="32">
        <v>6</v>
      </c>
      <c r="B3" s="94" t="str">
        <f>VLOOKUP(C3,Lists!I:J,2,FALSE)</f>
        <v>KS</v>
      </c>
      <c r="C3" s="95" t="str">
        <f>VLOOKUP(E3&amp;D3,Lists!C:E,3,FALSE)</f>
        <v>Greatsword/Dagger</v>
      </c>
      <c r="D3" s="35" t="s">
        <v>34</v>
      </c>
      <c r="E3" s="36" t="s">
        <v>98</v>
      </c>
      <c r="F3" s="35" t="s">
        <v>476</v>
      </c>
      <c r="G3" s="32">
        <v>30</v>
      </c>
      <c r="H3" s="32">
        <v>42</v>
      </c>
      <c r="I3" s="96">
        <f t="shared" si="0"/>
        <v>72</v>
      </c>
      <c r="J3" s="37">
        <v>1101295</v>
      </c>
      <c r="K3" s="37">
        <v>830209</v>
      </c>
      <c r="L3" s="37">
        <v>13377</v>
      </c>
      <c r="M3" s="38">
        <f>I3/(HLOOKUP(F3,Team_Composition_23[[#All],[Yellow]:[Red]],10,FALSE)+HLOOKUP(F3,Team_Composition_23[[#All],[Yellow]:[Red]],11,FALSE))</f>
        <v>1.7995501124718819E-2</v>
      </c>
      <c r="N3" s="38">
        <f>J3/HLOOKUP(F3,Team_Composition_23[[#All],[Yellow]:[Red]],6,FALSE)</f>
        <v>2.4824297924845622E-2</v>
      </c>
      <c r="O3" s="38">
        <f>K3/HLOOKUP(F3,Team_Composition_23[[#All],[Yellow]:[Red]],8,FALSE)</f>
        <v>4.7389704398649611E-2</v>
      </c>
      <c r="P3" s="38">
        <f>L3/HLOOKUP(F3,Team_Composition_23[[#All],[Yellow]:[Red]],7,FALSE)</f>
        <v>1.0333899997018103E-3</v>
      </c>
      <c r="Q3" s="31"/>
      <c r="R3" s="41" t="s">
        <v>482</v>
      </c>
      <c r="S3" s="42" t="s">
        <v>476</v>
      </c>
      <c r="T3" s="42" t="s">
        <v>483</v>
      </c>
      <c r="U3" s="31"/>
      <c r="V3" s="43" t="s">
        <v>1</v>
      </c>
      <c r="W3" s="44" t="s">
        <v>467</v>
      </c>
      <c r="X3" s="31"/>
      <c r="Y3" s="43" t="s">
        <v>1</v>
      </c>
      <c r="Z3" s="44" t="s">
        <v>484</v>
      </c>
      <c r="AA3" s="31"/>
      <c r="AB3" s="41" t="s">
        <v>482</v>
      </c>
      <c r="AC3" s="42" t="s">
        <v>485</v>
      </c>
      <c r="AD3" s="42" t="s">
        <v>36</v>
      </c>
    </row>
    <row r="4" spans="1:30" ht="22.5" customHeight="1">
      <c r="A4" s="32">
        <v>51</v>
      </c>
      <c r="B4" s="94" t="str">
        <f>VLOOKUP(C4,Lists!I:J,2,FALSE)</f>
        <v>Healer</v>
      </c>
      <c r="C4" s="95" t="str">
        <f>VLOOKUP(E4&amp;D4,Lists!C:E,3,FALSE)</f>
        <v>Wand/Orb</v>
      </c>
      <c r="D4" s="35" t="s">
        <v>34</v>
      </c>
      <c r="E4" s="36" t="s">
        <v>171</v>
      </c>
      <c r="F4" s="35" t="s">
        <v>483</v>
      </c>
      <c r="G4" s="32">
        <v>0</v>
      </c>
      <c r="H4" s="32">
        <v>70</v>
      </c>
      <c r="I4" s="96">
        <f t="shared" si="0"/>
        <v>70</v>
      </c>
      <c r="J4" s="37">
        <v>14783</v>
      </c>
      <c r="K4" s="37">
        <v>186691</v>
      </c>
      <c r="L4" s="37">
        <v>471503</v>
      </c>
      <c r="M4" s="38">
        <f>I4/(HLOOKUP(F4,Team_Composition_23[[#All],[Yellow]:[Red]],10,FALSE)+HLOOKUP(F4,Team_Composition_23[[#All],[Yellow]:[Red]],11,FALSE))</f>
        <v>8.5261875761266745E-2</v>
      </c>
      <c r="N4" s="38">
        <f>J4/HLOOKUP(F4,Team_Composition_23[[#All],[Yellow]:[Red]],6,FALSE)</f>
        <v>8.3778184745547071E-4</v>
      </c>
      <c r="O4" s="38">
        <f>K4/HLOOKUP(F4,Team_Composition_23[[#All],[Yellow]:[Red]],8,FALSE)</f>
        <v>4.2414409071550403E-3</v>
      </c>
      <c r="P4" s="38">
        <f>L4/HLOOKUP(F4,Team_Composition_23[[#All],[Yellow]:[Red]],7,FALSE)</f>
        <v>1.9428673713221167E-2</v>
      </c>
      <c r="Q4" s="31"/>
      <c r="R4" s="45" t="s">
        <v>25</v>
      </c>
      <c r="S4" s="46">
        <f>COUNTIFS(Scoreboard_38[Role],R4,Scoreboard_38[Team],"Yellow")</f>
        <v>3</v>
      </c>
      <c r="T4" s="47">
        <f>COUNTIFS(Scoreboard_38[Role],R4,Scoreboard_38[Team],"Red")</f>
        <v>4</v>
      </c>
      <c r="U4" s="31"/>
      <c r="V4" s="48" t="str">
        <f ca="1">IFERROR(__xludf.DUMMYFUNCTION("query(A1:P238, ""Select E,I where B!='Healer' Order by I Desc Limit 10"", 0)"),"Delirax")</f>
        <v>Delirax</v>
      </c>
      <c r="W4" s="49">
        <f ca="1">IFERROR(__xludf.DUMMYFUNCTION("""COMPUTED_VALUE"""),75)</f>
        <v>75</v>
      </c>
      <c r="X4" s="31"/>
      <c r="Y4" s="48" t="str">
        <f ca="1">IFERROR(__xludf.DUMMYFUNCTION("query(A1:P238, ""Select E,J Order by J Desc Limit 10"", 0)"),"B")</f>
        <v>B</v>
      </c>
      <c r="Z4" s="49">
        <f ca="1">IFERROR(__xludf.DUMMYFUNCTION("""COMPUTED_VALUE"""),2088341)</f>
        <v>2088341</v>
      </c>
      <c r="AA4" s="31"/>
      <c r="AB4" s="45" t="s">
        <v>25</v>
      </c>
      <c r="AC4" s="50">
        <f>COUNTIFS(Scoreboard_38[Role],AB4,Scoreboard_38[Guild],"Best Regards")</f>
        <v>4</v>
      </c>
      <c r="AD4" s="51">
        <f>COUNTIFS(Scoreboard_38[Role],AB4,Scoreboard_38[Guild],"Unhinged肉")</f>
        <v>3</v>
      </c>
    </row>
    <row r="5" spans="1:30" ht="22.5" customHeight="1">
      <c r="A5" s="32">
        <v>3</v>
      </c>
      <c r="B5" s="94" t="str">
        <f>VLOOKUP(C5,Lists!I:J,2,FALSE)</f>
        <v>KS</v>
      </c>
      <c r="C5" s="95" t="str">
        <f>VLOOKUP(E5&amp;D5,Lists!C:E,3,FALSE)</f>
        <v>Crossbow/Dagger</v>
      </c>
      <c r="D5" s="35" t="s">
        <v>34</v>
      </c>
      <c r="E5" s="36" t="s">
        <v>161</v>
      </c>
      <c r="F5" s="35" t="s">
        <v>483</v>
      </c>
      <c r="G5" s="32">
        <v>35</v>
      </c>
      <c r="H5" s="32">
        <v>34</v>
      </c>
      <c r="I5" s="96">
        <f t="shared" si="0"/>
        <v>69</v>
      </c>
      <c r="J5" s="37">
        <v>1430631</v>
      </c>
      <c r="K5" s="37">
        <v>440754</v>
      </c>
      <c r="L5" s="37">
        <v>19152</v>
      </c>
      <c r="M5" s="38">
        <f>I5/(HLOOKUP(F5,Team_Composition_23[[#All],[Yellow]:[Red]],10,FALSE)+HLOOKUP(F5,Team_Composition_23[[#All],[Yellow]:[Red]],11,FALSE))</f>
        <v>8.4043848964677217E-2</v>
      </c>
      <c r="N5" s="38">
        <f>J5/HLOOKUP(F5,Team_Composition_23[[#All],[Yellow]:[Red]],6,FALSE)</f>
        <v>8.1076688236965941E-2</v>
      </c>
      <c r="O5" s="38">
        <f>K5/HLOOKUP(F5,Team_Composition_23[[#All],[Yellow]:[Red]],8,FALSE)</f>
        <v>1.001350919750932E-2</v>
      </c>
      <c r="P5" s="38">
        <f>L5/HLOOKUP(F5,Team_Composition_23[[#All],[Yellow]:[Red]],7,FALSE)</f>
        <v>7.8917410696350144E-4</v>
      </c>
      <c r="Q5" s="31"/>
      <c r="R5" s="45" t="s">
        <v>39</v>
      </c>
      <c r="S5" s="46">
        <f>COUNTIFS(Scoreboard_38[Role],R5,Scoreboard_38[Team],"Yellow")</f>
        <v>7</v>
      </c>
      <c r="T5" s="47">
        <f>COUNTIFS(Scoreboard_38[Role],R5,Scoreboard_38[Team],"Red")</f>
        <v>6</v>
      </c>
      <c r="U5" s="31"/>
      <c r="V5" s="48" t="str">
        <f ca="1">IFERROR(__xludf.DUMMYFUNCTION("""COMPUTED_VALUE"""),"ShawarmaShuffle")</f>
        <v>ShawarmaShuffle</v>
      </c>
      <c r="W5" s="49">
        <f ca="1">IFERROR(__xludf.DUMMYFUNCTION("""COMPUTED_VALUE"""),72)</f>
        <v>72</v>
      </c>
      <c r="X5" s="31"/>
      <c r="Y5" s="48" t="str">
        <f ca="1">IFERROR(__xludf.DUMMYFUNCTION("""COMPUTED_VALUE"""),"Ryujin")</f>
        <v>Ryujin</v>
      </c>
      <c r="Z5" s="49">
        <f ca="1">IFERROR(__xludf.DUMMYFUNCTION("""COMPUTED_VALUE"""),1900718)</f>
        <v>1900718</v>
      </c>
      <c r="AA5" s="31"/>
      <c r="AB5" s="45" t="s">
        <v>39</v>
      </c>
      <c r="AC5" s="50">
        <f>COUNTIFS(Scoreboard_38[Role],AB5,Scoreboard_38[Guild],"Best Regards")</f>
        <v>6</v>
      </c>
      <c r="AD5" s="51">
        <f>COUNTIFS(Scoreboard_38[Role],AB5,Scoreboard_38[Guild],"Unhinged肉")</f>
        <v>7</v>
      </c>
    </row>
    <row r="6" spans="1:30" ht="22.5" customHeight="1">
      <c r="A6" s="32">
        <v>10</v>
      </c>
      <c r="B6" s="94" t="str">
        <f>VLOOKUP(C6,Lists!I:J,2,FALSE)</f>
        <v>Ranged DPS</v>
      </c>
      <c r="C6" s="95" t="str">
        <f>VLOOKUP(E6&amp;D6,Lists!C:E,3,FALSE)</f>
        <v>Crossbow/SnS</v>
      </c>
      <c r="D6" s="35" t="s">
        <v>36</v>
      </c>
      <c r="E6" s="36" t="s">
        <v>253</v>
      </c>
      <c r="F6" s="35" t="s">
        <v>476</v>
      </c>
      <c r="G6" s="32">
        <v>22</v>
      </c>
      <c r="H6" s="32">
        <v>47</v>
      </c>
      <c r="I6" s="96">
        <f t="shared" si="0"/>
        <v>69</v>
      </c>
      <c r="J6" s="37">
        <v>1535238</v>
      </c>
      <c r="K6" s="37">
        <v>569939</v>
      </c>
      <c r="L6" s="37">
        <v>20226</v>
      </c>
      <c r="M6" s="38">
        <f>I6/(HLOOKUP(F6,Team_Composition_23[[#All],[Yellow]:[Red]],10,FALSE)+HLOOKUP(F6,Team_Composition_23[[#All],[Yellow]:[Red]],11,FALSE))</f>
        <v>1.7245688577855536E-2</v>
      </c>
      <c r="N6" s="38">
        <f>J6/HLOOKUP(F6,Team_Composition_23[[#All],[Yellow]:[Red]],6,FALSE)</f>
        <v>3.4605809976022903E-2</v>
      </c>
      <c r="O6" s="38">
        <f>K6/HLOOKUP(F6,Team_Composition_23[[#All],[Yellow]:[Red]],8,FALSE)</f>
        <v>3.253306183775647E-2</v>
      </c>
      <c r="P6" s="38">
        <f>L6/HLOOKUP(F6,Team_Composition_23[[#All],[Yellow]:[Red]],7,FALSE)</f>
        <v>1.562483825519086E-3</v>
      </c>
      <c r="Q6" s="31"/>
      <c r="R6" s="45" t="s">
        <v>67</v>
      </c>
      <c r="S6" s="46">
        <f>COUNTIFS(Scoreboard_38[Role],R6,Scoreboard_38[Team],"Yellow")</f>
        <v>15</v>
      </c>
      <c r="T6" s="47">
        <f>COUNTIFS(Scoreboard_38[Role],R6,Scoreboard_38[Team],"Red")</f>
        <v>14</v>
      </c>
      <c r="U6" s="31"/>
      <c r="V6" s="48" t="str">
        <f ca="1">IFERROR(__xludf.DUMMYFUNCTION("""COMPUTED_VALUE"""),"Eshaberry")</f>
        <v>Eshaberry</v>
      </c>
      <c r="W6" s="49">
        <f ca="1">IFERROR(__xludf.DUMMYFUNCTION("""COMPUTED_VALUE"""),69)</f>
        <v>69</v>
      </c>
      <c r="X6" s="31"/>
      <c r="Y6" s="48" t="str">
        <f ca="1">IFERROR(__xludf.DUMMYFUNCTION("""COMPUTED_VALUE"""),"DragonOfMany")</f>
        <v>DragonOfMany</v>
      </c>
      <c r="Z6" s="49">
        <f ca="1">IFERROR(__xludf.DUMMYFUNCTION("""COMPUTED_VALUE"""),1781815)</f>
        <v>1781815</v>
      </c>
      <c r="AA6" s="31"/>
      <c r="AB6" s="45" t="s">
        <v>67</v>
      </c>
      <c r="AC6" s="50">
        <f>COUNTIFS(Scoreboard_38[Role],AB6,Scoreboard_38[Guild],"Best Regards")</f>
        <v>13</v>
      </c>
      <c r="AD6" s="51">
        <f>COUNTIFS(Scoreboard_38[Role],AB6,Scoreboard_38[Guild],"Unhinged肉")</f>
        <v>15</v>
      </c>
    </row>
    <row r="7" spans="1:30" ht="22.5" customHeight="1">
      <c r="A7" s="32">
        <v>7</v>
      </c>
      <c r="B7" s="94" t="str">
        <f>VLOOKUP(C7,Lists!I:J,2,FALSE)</f>
        <v>Melee DPS</v>
      </c>
      <c r="C7" s="95" t="str">
        <f>VLOOKUP(E7&amp;D7,Lists!C:E,3,FALSE)</f>
        <v>Greatsword/Spear</v>
      </c>
      <c r="D7" s="35" t="s">
        <v>34</v>
      </c>
      <c r="E7" s="36" t="s">
        <v>145</v>
      </c>
      <c r="F7" s="35" t="s">
        <v>483</v>
      </c>
      <c r="G7" s="32">
        <v>28</v>
      </c>
      <c r="H7" s="32">
        <v>40</v>
      </c>
      <c r="I7" s="96">
        <f t="shared" si="0"/>
        <v>68</v>
      </c>
      <c r="J7" s="37">
        <v>2088341</v>
      </c>
      <c r="K7" s="37">
        <v>884005</v>
      </c>
      <c r="L7" s="37">
        <v>14803</v>
      </c>
      <c r="M7" s="38">
        <f>I7/(HLOOKUP(F7,Team_Composition_23[[#All],[Yellow]:[Red]],10,FALSE)+HLOOKUP(F7,Team_Composition_23[[#All],[Yellow]:[Red]],11,FALSE))</f>
        <v>8.2825822168087704E-2</v>
      </c>
      <c r="N7" s="38">
        <f>J7/HLOOKUP(F7,Team_Composition_23[[#All],[Yellow]:[Red]],6,FALSE)</f>
        <v>0.11835041473970136</v>
      </c>
      <c r="O7" s="38">
        <f>K7/HLOOKUP(F7,Team_Composition_23[[#All],[Yellow]:[Red]],8,FALSE)</f>
        <v>2.0083747846064304E-2</v>
      </c>
      <c r="P7" s="38">
        <f>L7/HLOOKUP(F7,Team_Composition_23[[#All],[Yellow]:[Red]],7,FALSE)</f>
        <v>6.0996994075713823E-4</v>
      </c>
      <c r="Q7" s="31"/>
      <c r="R7" s="45" t="s">
        <v>11</v>
      </c>
      <c r="S7" s="46">
        <f>COUNTIFS(Scoreboard_38[Role],R7,Scoreboard_38[Team],"Yellow")</f>
        <v>18</v>
      </c>
      <c r="T7" s="47">
        <f>COUNTIFS(Scoreboard_38[Role],R7,Scoreboard_38[Team],"Red")</f>
        <v>18</v>
      </c>
      <c r="U7" s="31"/>
      <c r="V7" s="48" t="str">
        <f ca="1">IFERROR(__xludf.DUMMYFUNCTION("""COMPUTED_VALUE"""),"Beru")</f>
        <v>Beru</v>
      </c>
      <c r="W7" s="49">
        <f ca="1">IFERROR(__xludf.DUMMYFUNCTION("""COMPUTED_VALUE"""),69)</f>
        <v>69</v>
      </c>
      <c r="X7" s="31"/>
      <c r="Y7" s="48" t="str">
        <f ca="1">IFERROR(__xludf.DUMMYFUNCTION("""COMPUTED_VALUE"""),"Brockle")</f>
        <v>Brockle</v>
      </c>
      <c r="Z7" s="49">
        <f ca="1">IFERROR(__xludf.DUMMYFUNCTION("""COMPUTED_VALUE"""),1719308)</f>
        <v>1719308</v>
      </c>
      <c r="AA7" s="31"/>
      <c r="AB7" s="45" t="s">
        <v>11</v>
      </c>
      <c r="AC7" s="50">
        <f>COUNTIFS(Scoreboard_38[Role],AB7,Scoreboard_38[Guild],"Best Regards")</f>
        <v>18</v>
      </c>
      <c r="AD7" s="51">
        <f>COUNTIFS(Scoreboard_38[Role],AB7,Scoreboard_38[Guild],"Unhinged肉")</f>
        <v>18</v>
      </c>
    </row>
    <row r="8" spans="1:30" ht="22.5" customHeight="1">
      <c r="A8" s="32">
        <v>37</v>
      </c>
      <c r="B8" s="94" t="str">
        <f>VLOOKUP(C8,Lists!I:J,2,FALSE)</f>
        <v>Healer</v>
      </c>
      <c r="C8" s="95" t="str">
        <f>VLOOKUP(E8&amp;D8,Lists!C:E,3,FALSE)</f>
        <v>Wand/Longbow</v>
      </c>
      <c r="D8" s="35" t="s">
        <v>34</v>
      </c>
      <c r="E8" s="36" t="s">
        <v>106</v>
      </c>
      <c r="F8" s="35" t="s">
        <v>483</v>
      </c>
      <c r="G8" s="32">
        <v>1</v>
      </c>
      <c r="H8" s="32">
        <v>67</v>
      </c>
      <c r="I8" s="96">
        <f t="shared" si="0"/>
        <v>68</v>
      </c>
      <c r="J8" s="37">
        <v>14118</v>
      </c>
      <c r="K8" s="37">
        <v>232805</v>
      </c>
      <c r="L8" s="37">
        <v>819735</v>
      </c>
      <c r="M8" s="38">
        <f>I8/(HLOOKUP(F8,Team_Composition_23[[#All],[Yellow]:[Red]],10,FALSE)+HLOOKUP(F8,Team_Composition_23[[#All],[Yellow]:[Red]],11,FALSE))</f>
        <v>8.2825822168087704E-2</v>
      </c>
      <c r="N8" s="38">
        <f>J8/HLOOKUP(F8,Team_Composition_23[[#All],[Yellow]:[Red]],6,FALSE)</f>
        <v>8.0009498223475176E-4</v>
      </c>
      <c r="O8" s="38">
        <f>K8/HLOOKUP(F8,Team_Composition_23[[#All],[Yellow]:[Red]],8,FALSE)</f>
        <v>5.2891068685165816E-3</v>
      </c>
      <c r="P8" s="38">
        <f>L8/HLOOKUP(F8,Team_Composition_23[[#All],[Yellow]:[Red]],7,FALSE)</f>
        <v>3.3777863229517847E-2</v>
      </c>
      <c r="Q8" s="31"/>
      <c r="R8" s="45" t="s">
        <v>468</v>
      </c>
      <c r="S8" s="46">
        <f>SUMIFS(Scoreboard_38[Damage Dealt],Scoreboard_38[Team],"Yellow")</f>
        <v>20236666</v>
      </c>
      <c r="T8" s="47">
        <f>SUMIFS(Scoreboard_38[Damage Dealt],Scoreboard_38[Team],"Red")</f>
        <v>25890257</v>
      </c>
      <c r="U8" s="31"/>
      <c r="V8" s="48" t="str">
        <f ca="1">IFERROR(__xludf.DUMMYFUNCTION("""COMPUTED_VALUE"""),"B")</f>
        <v>B</v>
      </c>
      <c r="W8" s="49">
        <f ca="1">IFERROR(__xludf.DUMMYFUNCTION("""COMPUTED_VALUE"""),68)</f>
        <v>68</v>
      </c>
      <c r="X8" s="31"/>
      <c r="Y8" s="48" t="str">
        <f ca="1">IFERROR(__xludf.DUMMYFUNCTION("""COMPUTED_VALUE"""),"RayPeat")</f>
        <v>RayPeat</v>
      </c>
      <c r="Z8" s="49">
        <f ca="1">IFERROR(__xludf.DUMMYFUNCTION("""COMPUTED_VALUE"""),1613408)</f>
        <v>1613408</v>
      </c>
      <c r="AA8" s="31"/>
      <c r="AB8" s="45" t="s">
        <v>468</v>
      </c>
      <c r="AC8" s="50">
        <f>SUMIFS(Scoreboard_38[Damage Dealt],Scoreboard_38[Guild],"Best Regards")</f>
        <v>24918670</v>
      </c>
      <c r="AD8" s="51">
        <f>SUMIFS(Scoreboard_38[Damage Dealt],Scoreboard_38[Guild],"Unhinged肉")</f>
        <v>21168098</v>
      </c>
    </row>
    <row r="9" spans="1:30" ht="22.5" customHeight="1">
      <c r="A9" s="32">
        <v>8</v>
      </c>
      <c r="B9" s="94" t="str">
        <f>VLOOKUP(C9,Lists!I:J,2,FALSE)</f>
        <v>KS</v>
      </c>
      <c r="C9" s="95" t="str">
        <f>VLOOKUP(E9&amp;D9,Lists!C:E,3,FALSE)</f>
        <v>Crossbow/Dagger</v>
      </c>
      <c r="D9" s="35" t="s">
        <v>34</v>
      </c>
      <c r="E9" s="36" t="s">
        <v>504</v>
      </c>
      <c r="F9" s="35" t="s">
        <v>483</v>
      </c>
      <c r="G9" s="32">
        <v>28</v>
      </c>
      <c r="H9" s="32">
        <v>37</v>
      </c>
      <c r="I9" s="96">
        <f t="shared" si="0"/>
        <v>65</v>
      </c>
      <c r="J9" s="37">
        <v>1403026</v>
      </c>
      <c r="K9" s="37">
        <v>480597</v>
      </c>
      <c r="L9" s="37">
        <v>0</v>
      </c>
      <c r="M9" s="38">
        <f>I9/(HLOOKUP(F9,Team_Composition_23[[#All],[Yellow]:[Red]],10,FALSE)+HLOOKUP(F9,Team_Composition_23[[#All],[Yellow]:[Red]],11,FALSE))</f>
        <v>7.9171741778319121E-2</v>
      </c>
      <c r="N9" s="38">
        <f>J9/HLOOKUP(F9,Team_Composition_23[[#All],[Yellow]:[Red]],6,FALSE)</f>
        <v>7.9512258290472787E-2</v>
      </c>
      <c r="O9" s="38">
        <f>K9/HLOOKUP(F9,Team_Composition_23[[#All],[Yellow]:[Red]],8,FALSE)</f>
        <v>1.09187040385235E-2</v>
      </c>
      <c r="P9" s="38">
        <f>L9/HLOOKUP(F9,Team_Composition_23[[#All],[Yellow]:[Red]],7,FALSE)</f>
        <v>0</v>
      </c>
      <c r="Q9" s="31"/>
      <c r="R9" s="45" t="s">
        <v>470</v>
      </c>
      <c r="S9" s="46">
        <f>SUMIFS(Scoreboard_38[Amount Healed],Scoreboard_38[Team],"Yellow")</f>
        <v>17353227</v>
      </c>
      <c r="T9" s="47">
        <f>SUMIFS(Scoreboard_38[Amount Healed],Scoreboard_38[Team],"Red")</f>
        <v>12394937</v>
      </c>
      <c r="U9" s="31"/>
      <c r="V9" s="48" t="str">
        <f ca="1">IFERROR(__xludf.DUMMYFUNCTION("""COMPUTED_VALUE"""),"Raitou")</f>
        <v>Raitou</v>
      </c>
      <c r="W9" s="49">
        <f ca="1">IFERROR(__xludf.DUMMYFUNCTION("""COMPUTED_VALUE"""),65)</f>
        <v>65</v>
      </c>
      <c r="X9" s="31"/>
      <c r="Y9" s="48" t="str">
        <f ca="1">IFERROR(__xludf.DUMMYFUNCTION("""COMPUTED_VALUE"""),"Delirax")</f>
        <v>Delirax</v>
      </c>
      <c r="Z9" s="49">
        <f ca="1">IFERROR(__xludf.DUMMYFUNCTION("""COMPUTED_VALUE"""),1595424)</f>
        <v>1595424</v>
      </c>
      <c r="AA9" s="31"/>
      <c r="AB9" s="45" t="s">
        <v>470</v>
      </c>
      <c r="AC9" s="50">
        <f>SUMIFS(Scoreboard_38[Amount Healed],Scoreboard_38[Guild],"Best Regards")</f>
        <v>14374012</v>
      </c>
      <c r="AD9" s="51">
        <f>SUMIFS(Scoreboard_38[Amount Healed],Scoreboard_38[Guild],"Unhinged肉")</f>
        <v>15297368</v>
      </c>
    </row>
    <row r="10" spans="1:30" ht="22.5" customHeight="1">
      <c r="A10" s="32">
        <v>13</v>
      </c>
      <c r="B10" s="94" t="str">
        <f>VLOOKUP(C10,Lists!I:J,2,FALSE)</f>
        <v>Melee DPS</v>
      </c>
      <c r="C10" s="95" t="str">
        <f>VLOOKUP(E10&amp;D10,Lists!C:E,3,FALSE)</f>
        <v>Greatsword/Spear</v>
      </c>
      <c r="D10" s="35" t="s">
        <v>34</v>
      </c>
      <c r="E10" s="36" t="s">
        <v>147</v>
      </c>
      <c r="F10" s="35" t="s">
        <v>483</v>
      </c>
      <c r="G10" s="32">
        <v>20</v>
      </c>
      <c r="H10" s="32">
        <v>45</v>
      </c>
      <c r="I10" s="96">
        <f t="shared" si="0"/>
        <v>65</v>
      </c>
      <c r="J10" s="37">
        <v>1521304</v>
      </c>
      <c r="K10" s="37">
        <v>1041083</v>
      </c>
      <c r="L10" s="37">
        <v>17620</v>
      </c>
      <c r="M10" s="38">
        <f>I10/(HLOOKUP(F10,Team_Composition_23[[#All],[Yellow]:[Red]],10,FALSE)+HLOOKUP(F10,Team_Composition_23[[#All],[Yellow]:[Red]],11,FALSE))</f>
        <v>7.9171741778319121E-2</v>
      </c>
      <c r="N10" s="38">
        <f>J10/HLOOKUP(F10,Team_Composition_23[[#All],[Yellow]:[Red]],6,FALSE)</f>
        <v>8.6215306477805412E-2</v>
      </c>
      <c r="O10" s="38">
        <f>K10/HLOOKUP(F10,Team_Composition_23[[#All],[Yellow]:[Red]],8,FALSE)</f>
        <v>2.365240972485921E-2</v>
      </c>
      <c r="P10" s="38">
        <f>L10/HLOOKUP(F10,Team_Composition_23[[#All],[Yellow]:[Red]],7,FALSE)</f>
        <v>7.2604677133964574E-4</v>
      </c>
      <c r="Q10" s="31"/>
      <c r="R10" s="45" t="s">
        <v>469</v>
      </c>
      <c r="S10" s="46">
        <f>SUMIFS(Scoreboard_38[Damage Taken],Scoreboard_38[Team],"Yellow")</f>
        <v>25482635</v>
      </c>
      <c r="T10" s="47">
        <f>SUMIFS(Scoreboard_38[Damage Taken],Scoreboard_38[Team],"Red")</f>
        <v>20996988</v>
      </c>
      <c r="U10" s="31"/>
      <c r="V10" s="48" t="str">
        <f ca="1">IFERROR(__xludf.DUMMYFUNCTION("""COMPUTED_VALUE"""),"K")</f>
        <v>K</v>
      </c>
      <c r="W10" s="49">
        <f ca="1">IFERROR(__xludf.DUMMYFUNCTION("""COMPUTED_VALUE"""),65)</f>
        <v>65</v>
      </c>
      <c r="X10" s="31"/>
      <c r="Y10" s="48" t="str">
        <f ca="1">IFERROR(__xludf.DUMMYFUNCTION("""COMPUTED_VALUE"""),"EnoughCrazy")</f>
        <v>EnoughCrazy</v>
      </c>
      <c r="Z10" s="49">
        <f ca="1">IFERROR(__xludf.DUMMYFUNCTION("""COMPUTED_VALUE"""),1582130)</f>
        <v>1582130</v>
      </c>
      <c r="AA10" s="31"/>
      <c r="AB10" s="45" t="s">
        <v>469</v>
      </c>
      <c r="AC10" s="50">
        <f>SUMIFS(Scoreboard_38[Damage Taken],Scoreboard_38[Guild],"Best Regards")</f>
        <v>22660520</v>
      </c>
      <c r="AD10" s="51">
        <f>SUMIFS(Scoreboard_38[Damage Taken],Scoreboard_38[Guild],"Unhinged肉")</f>
        <v>23594767</v>
      </c>
    </row>
    <row r="11" spans="1:30" ht="22.5" customHeight="1">
      <c r="A11" s="32">
        <v>1</v>
      </c>
      <c r="B11" s="94" t="str">
        <f>VLOOKUP(C11,Lists!I:J,2,FALSE)</f>
        <v>KS</v>
      </c>
      <c r="C11" s="95" t="str">
        <f>VLOOKUP(E11&amp;D11,Lists!C:E,3,FALSE)</f>
        <v>Greatsword/Dagger</v>
      </c>
      <c r="D11" s="35" t="s">
        <v>36</v>
      </c>
      <c r="E11" s="36" t="s">
        <v>287</v>
      </c>
      <c r="F11" s="35" t="s">
        <v>476</v>
      </c>
      <c r="G11" s="32">
        <v>38</v>
      </c>
      <c r="H11" s="32">
        <v>26</v>
      </c>
      <c r="I11" s="96">
        <f t="shared" si="0"/>
        <v>64</v>
      </c>
      <c r="J11" s="37">
        <v>1422512</v>
      </c>
      <c r="K11" s="37">
        <v>806522</v>
      </c>
      <c r="L11" s="37">
        <v>4346</v>
      </c>
      <c r="M11" s="38">
        <f>I11/(HLOOKUP(F11,Team_Composition_23[[#All],[Yellow]:[Red]],10,FALSE)+HLOOKUP(F11,Team_Composition_23[[#All],[Yellow]:[Red]],11,FALSE))</f>
        <v>1.5996000999750064E-2</v>
      </c>
      <c r="N11" s="38">
        <f>J11/HLOOKUP(F11,Team_Composition_23[[#All],[Yellow]:[Red]],6,FALSE)</f>
        <v>3.2064852459756918E-2</v>
      </c>
      <c r="O11" s="38">
        <f>K11/HLOOKUP(F11,Team_Composition_23[[#All],[Yellow]:[Red]],8,FALSE)</f>
        <v>4.6037611217184686E-2</v>
      </c>
      <c r="P11" s="38">
        <f>L11/HLOOKUP(F11,Team_Composition_23[[#All],[Yellow]:[Red]],7,FALSE)</f>
        <v>3.3573394174359473E-4</v>
      </c>
      <c r="Q11" s="31"/>
      <c r="R11" s="45" t="s">
        <v>495</v>
      </c>
      <c r="S11" s="46">
        <f ca="1">IFERROR(DIVIDE(SUMIFS(Scoreboard_38[Amount Healed],Scoreboard_38[Team],"Yellow"), SUMIFS(Scoreboard_38[Damage Taken],Scoreboard_38[Team],"Yellow"))*(100),0)</f>
        <v>0</v>
      </c>
      <c r="T11" s="47">
        <f ca="1">IFERROR(DIVIDE(SUMIFS(Scoreboard_38[Amount Healed],Scoreboard_38[Team],"Red"), SUMIFS(Scoreboard_38[Damage Taken],Scoreboard_38[Team],"Red"))*(100),0)</f>
        <v>0</v>
      </c>
      <c r="U11" s="31"/>
      <c r="V11" s="48" t="str">
        <f ca="1">IFERROR(__xludf.DUMMYFUNCTION("""COMPUTED_VALUE"""),"Dravx")</f>
        <v>Dravx</v>
      </c>
      <c r="W11" s="49">
        <f ca="1">IFERROR(__xludf.DUMMYFUNCTION("""COMPUTED_VALUE"""),64)</f>
        <v>64</v>
      </c>
      <c r="X11" s="31"/>
      <c r="Y11" s="48" t="str">
        <f ca="1">IFERROR(__xludf.DUMMYFUNCTION("""COMPUTED_VALUE"""),"Fuji")</f>
        <v>Fuji</v>
      </c>
      <c r="Z11" s="49">
        <f ca="1">IFERROR(__xludf.DUMMYFUNCTION("""COMPUTED_VALUE"""),1543010)</f>
        <v>1543010</v>
      </c>
      <c r="AA11" s="31"/>
      <c r="AB11" s="45" t="s">
        <v>495</v>
      </c>
      <c r="AC11" s="50">
        <f ca="1">IFERROR(DIVIDE(SUMIFS(Scoreboard_38[Amount Healed],Scoreboard_38[Guild],"Best Regards"), SUMIFS(Scoreboard_38[Damage Taken],Scoreboard_38[Guild],"Best Regards"))*(100),0)</f>
        <v>0</v>
      </c>
      <c r="AD11" s="51">
        <f ca="1">IFERROR(DIVIDE(SUMIFS(Scoreboard_38[Amount Healed],Scoreboard_38[Guild],"Unhinged肉"), SUMIFS(Scoreboard_38[Damage Taken],Scoreboard_38[Guild],"Unhinged肉"))*(100),0)</f>
        <v>0</v>
      </c>
    </row>
    <row r="12" spans="1:30" ht="22.5" customHeight="1">
      <c r="A12" s="32">
        <v>26</v>
      </c>
      <c r="B12" s="94" t="str">
        <f>VLOOKUP(C12,Lists!I:J,2,FALSE)</f>
        <v>Ranged DPS</v>
      </c>
      <c r="C12" s="95" t="str">
        <f>VLOOKUP(E12&amp;D12,Lists!C:E,3,FALSE)</f>
        <v>Staff/Dagger</v>
      </c>
      <c r="D12" s="35" t="s">
        <v>36</v>
      </c>
      <c r="E12" s="36" t="s">
        <v>245</v>
      </c>
      <c r="F12" s="35" t="s">
        <v>483</v>
      </c>
      <c r="G12" s="32">
        <v>13</v>
      </c>
      <c r="H12" s="32">
        <v>51</v>
      </c>
      <c r="I12" s="96">
        <f t="shared" si="0"/>
        <v>64</v>
      </c>
      <c r="J12" s="37">
        <v>1781815</v>
      </c>
      <c r="K12" s="37">
        <v>328751</v>
      </c>
      <c r="L12" s="37">
        <v>0</v>
      </c>
      <c r="M12" s="38">
        <f>I12/(HLOOKUP(F12,Team_Composition_23[[#All],[Yellow]:[Red]],10,FALSE)+HLOOKUP(F12,Team_Composition_23[[#All],[Yellow]:[Red]],11,FALSE))</f>
        <v>7.7953714981729594E-2</v>
      </c>
      <c r="N12" s="38">
        <f>J12/HLOOKUP(F12,Team_Composition_23[[#All],[Yellow]:[Red]],6,FALSE)</f>
        <v>0.10097898008008317</v>
      </c>
      <c r="O12" s="38">
        <f>K12/HLOOKUP(F12,Team_Composition_23[[#All],[Yellow]:[Red]],8,FALSE)</f>
        <v>7.4689081941182308E-3</v>
      </c>
      <c r="P12" s="38">
        <f>L12/HLOOKUP(F12,Team_Composition_23[[#All],[Yellow]:[Red]],7,FALSE)</f>
        <v>0</v>
      </c>
      <c r="Q12" s="31"/>
      <c r="R12" s="45" t="s">
        <v>465</v>
      </c>
      <c r="S12" s="46">
        <f>SUMIFS(Scoreboard_38[Kills],Scoreboard_38[Team],"Yellow")</f>
        <v>332</v>
      </c>
      <c r="T12" s="47">
        <f>SUMIFS(Scoreboard_38[Kills],Scoreboard_38[Team],"Red")</f>
        <v>335</v>
      </c>
      <c r="U12" s="31"/>
      <c r="V12" s="48" t="str">
        <f ca="1">IFERROR(__xludf.DUMMYFUNCTION("""COMPUTED_VALUE"""),"DragonOfMany")</f>
        <v>DragonOfMany</v>
      </c>
      <c r="W12" s="49">
        <f ca="1">IFERROR(__xludf.DUMMYFUNCTION("""COMPUTED_VALUE"""),64)</f>
        <v>64</v>
      </c>
      <c r="X12" s="31"/>
      <c r="Y12" s="48" t="str">
        <f ca="1">IFERROR(__xludf.DUMMYFUNCTION("""COMPUTED_VALUE"""),"Beru")</f>
        <v>Beru</v>
      </c>
      <c r="Z12" s="49">
        <f ca="1">IFERROR(__xludf.DUMMYFUNCTION("""COMPUTED_VALUE"""),1535238)</f>
        <v>1535238</v>
      </c>
      <c r="AA12" s="31"/>
      <c r="AB12" s="45" t="s">
        <v>465</v>
      </c>
      <c r="AC12" s="50">
        <f>SUMIFS(Scoreboard_38[Kills],Scoreboard_38[Guild],"Best Regards")</f>
        <v>371</v>
      </c>
      <c r="AD12" s="51">
        <f>SUMIFS(Scoreboard_38[Kills],Scoreboard_38[Guild],"Unhinged肉")</f>
        <v>296</v>
      </c>
    </row>
    <row r="13" spans="1:30" ht="22.5" customHeight="1">
      <c r="A13" s="32">
        <v>2</v>
      </c>
      <c r="B13" s="94" t="str">
        <f>VLOOKUP(C13,Lists!I:J,2,FALSE)</f>
        <v>KS</v>
      </c>
      <c r="C13" s="95" t="str">
        <f>VLOOKUP(E13&amp;D13,Lists!C:E,3,FALSE)</f>
        <v>Greatsword/Dagger</v>
      </c>
      <c r="D13" s="35" t="s">
        <v>34</v>
      </c>
      <c r="E13" s="36" t="s">
        <v>502</v>
      </c>
      <c r="F13" s="35" t="s">
        <v>483</v>
      </c>
      <c r="G13" s="32">
        <v>36</v>
      </c>
      <c r="H13" s="32">
        <v>27</v>
      </c>
      <c r="I13" s="96">
        <f t="shared" si="0"/>
        <v>63</v>
      </c>
      <c r="J13" s="37">
        <v>1613408</v>
      </c>
      <c r="K13" s="37">
        <v>784504</v>
      </c>
      <c r="L13" s="37">
        <v>27226</v>
      </c>
      <c r="M13" s="38">
        <f>I13/(HLOOKUP(F13,Team_Composition_23[[#All],[Yellow]:[Red]],10,FALSE)+HLOOKUP(F13,Team_Composition_23[[#All],[Yellow]:[Red]],11,FALSE))</f>
        <v>7.6735688185140066E-2</v>
      </c>
      <c r="N13" s="38">
        <f>J13/HLOOKUP(F13,Team_Composition_23[[#All],[Yellow]:[Red]],6,FALSE)</f>
        <v>9.1435022318841652E-2</v>
      </c>
      <c r="O13" s="38">
        <f>K13/HLOOKUP(F13,Team_Composition_23[[#All],[Yellow]:[Red]],8,FALSE)</f>
        <v>1.7823180321637131E-2</v>
      </c>
      <c r="P13" s="38">
        <f>L13/HLOOKUP(F13,Team_Composition_23[[#All],[Yellow]:[Red]],7,FALSE)</f>
        <v>1.1218699998009759E-3</v>
      </c>
      <c r="Q13" s="31"/>
      <c r="R13" s="45" t="s">
        <v>466</v>
      </c>
      <c r="S13" s="46">
        <f>SUMIFS(Scoreboard_38[Assists],Scoreboard_38[Team],"Yellow")</f>
        <v>1367</v>
      </c>
      <c r="T13" s="47">
        <f>SUMIFS(Scoreboard_38[Assists],Scoreboard_38[Team],"Red")</f>
        <v>1240</v>
      </c>
      <c r="U13" s="31"/>
      <c r="V13" s="48" t="str">
        <f ca="1">IFERROR(__xludf.DUMMYFUNCTION("""COMPUTED_VALUE"""),"RayPeat")</f>
        <v>RayPeat</v>
      </c>
      <c r="W13" s="49">
        <f ca="1">IFERROR(__xludf.DUMMYFUNCTION("""COMPUTED_VALUE"""),63)</f>
        <v>63</v>
      </c>
      <c r="X13" s="31"/>
      <c r="Y13" s="48" t="str">
        <f ca="1">IFERROR(__xludf.DUMMYFUNCTION("""COMPUTED_VALUE"""),"K")</f>
        <v>K</v>
      </c>
      <c r="Z13" s="49">
        <f ca="1">IFERROR(__xludf.DUMMYFUNCTION("""COMPUTED_VALUE"""),1521304)</f>
        <v>1521304</v>
      </c>
      <c r="AA13" s="31"/>
      <c r="AB13" s="45" t="s">
        <v>466</v>
      </c>
      <c r="AC13" s="50">
        <f>SUMIFS(Scoreboard_38[Assists],Scoreboard_38[Guild],"Best Regards")</f>
        <v>1316</v>
      </c>
      <c r="AD13" s="51">
        <f>SUMIFS(Scoreboard_38[Assists],Scoreboard_38[Guild],"Unhinged肉")</f>
        <v>1283</v>
      </c>
    </row>
    <row r="14" spans="1:30" ht="22.5" customHeight="1">
      <c r="A14" s="32">
        <v>9</v>
      </c>
      <c r="B14" s="94" t="str">
        <f>VLOOKUP(C14,Lists!I:J,2,FALSE)</f>
        <v>KS</v>
      </c>
      <c r="C14" s="95" t="str">
        <f>VLOOKUP(E14&amp;D14,Lists!C:E,3,FALSE)</f>
        <v>Greatsword/Dagger</v>
      </c>
      <c r="D14" s="35" t="s">
        <v>34</v>
      </c>
      <c r="E14" s="36" t="s">
        <v>182</v>
      </c>
      <c r="F14" s="35" t="s">
        <v>476</v>
      </c>
      <c r="G14" s="32">
        <v>26</v>
      </c>
      <c r="H14" s="32">
        <v>36</v>
      </c>
      <c r="I14" s="96">
        <f t="shared" si="0"/>
        <v>62</v>
      </c>
      <c r="J14" s="37">
        <v>1121983</v>
      </c>
      <c r="K14" s="37">
        <v>806900</v>
      </c>
      <c r="L14" s="37">
        <v>34122</v>
      </c>
      <c r="M14" s="38">
        <f>I14/(HLOOKUP(F14,Team_Composition_23[[#All],[Yellow]:[Red]],10,FALSE)+HLOOKUP(F14,Team_Composition_23[[#All],[Yellow]:[Red]],11,FALSE))</f>
        <v>1.5496125968507872E-2</v>
      </c>
      <c r="N14" s="38">
        <f>J14/HLOOKUP(F14,Team_Composition_23[[#All],[Yellow]:[Red]],6,FALSE)</f>
        <v>2.5290626270537929E-2</v>
      </c>
      <c r="O14" s="38">
        <f>K14/HLOOKUP(F14,Team_Composition_23[[#All],[Yellow]:[Red]],8,FALSE)</f>
        <v>4.6059188083085546E-2</v>
      </c>
      <c r="P14" s="38">
        <f>L14/HLOOKUP(F14,Team_Composition_23[[#All],[Yellow]:[Red]],7,FALSE)</f>
        <v>2.6359672250747678E-3</v>
      </c>
      <c r="Q14" s="31"/>
      <c r="R14" s="48"/>
      <c r="S14" s="58">
        <f t="shared" ref="S14:T14" si="1">SUM(S4:S7)</f>
        <v>43</v>
      </c>
      <c r="T14" s="58">
        <f t="shared" si="1"/>
        <v>42</v>
      </c>
      <c r="U14" s="31"/>
      <c r="V14" s="31"/>
      <c r="W14" s="31"/>
      <c r="X14" s="31"/>
      <c r="Y14" s="31"/>
      <c r="Z14" s="31"/>
      <c r="AA14" s="31"/>
      <c r="AB14" s="48"/>
      <c r="AC14" s="58"/>
      <c r="AD14" s="58"/>
    </row>
    <row r="15" spans="1:30" ht="22.5" customHeight="1">
      <c r="A15" s="32">
        <v>52</v>
      </c>
      <c r="B15" s="94" t="str">
        <f>VLOOKUP(C15,Lists!I:J,2,FALSE)</f>
        <v>Healer</v>
      </c>
      <c r="C15" s="95" t="str">
        <f>VLOOKUP(E15&amp;D15,Lists!C:E,3,FALSE)</f>
        <v>Wand/Longbow</v>
      </c>
      <c r="D15" s="35" t="s">
        <v>34</v>
      </c>
      <c r="E15" s="36" t="s">
        <v>165</v>
      </c>
      <c r="F15" s="35" t="s">
        <v>476</v>
      </c>
      <c r="G15" s="32">
        <v>0</v>
      </c>
      <c r="H15" s="32">
        <v>62</v>
      </c>
      <c r="I15" s="96">
        <f t="shared" si="0"/>
        <v>62</v>
      </c>
      <c r="J15" s="37">
        <v>27224</v>
      </c>
      <c r="K15" s="37">
        <v>288190</v>
      </c>
      <c r="L15" s="37">
        <v>1330779</v>
      </c>
      <c r="M15" s="38">
        <f>I15/(HLOOKUP(F15,Team_Composition_23[[#All],[Yellow]:[Red]],10,FALSE)+HLOOKUP(F15,Team_Composition_23[[#All],[Yellow]:[Red]],11,FALSE))</f>
        <v>1.5496125968507872E-2</v>
      </c>
      <c r="N15" s="38">
        <f>J15/HLOOKUP(F15,Team_Composition_23[[#All],[Yellow]:[Red]],6,FALSE)</f>
        <v>6.1365636519370131E-4</v>
      </c>
      <c r="O15" s="38">
        <f>K15/HLOOKUP(F15,Team_Composition_23[[#All],[Yellow]:[Red]],8,FALSE)</f>
        <v>1.6450362391454237E-2</v>
      </c>
      <c r="P15" s="38">
        <f>L15/HLOOKUP(F15,Team_Composition_23[[#All],[Yellow]:[Red]],7,FALSE)</f>
        <v>0.1028043440542106</v>
      </c>
      <c r="Q15" s="31"/>
      <c r="R15" s="227" t="s">
        <v>25</v>
      </c>
      <c r="S15" s="228"/>
      <c r="T15" s="228"/>
      <c r="U15" s="31"/>
      <c r="V15" s="229" t="s">
        <v>496</v>
      </c>
      <c r="W15" s="228"/>
      <c r="X15" s="31"/>
      <c r="Y15" s="229" t="s">
        <v>497</v>
      </c>
      <c r="Z15" s="228"/>
      <c r="AA15" s="31"/>
      <c r="AB15" s="227" t="s">
        <v>25</v>
      </c>
      <c r="AC15" s="228"/>
      <c r="AD15" s="228"/>
    </row>
    <row r="16" spans="1:30" ht="22.5" customHeight="1">
      <c r="A16" s="32">
        <v>5</v>
      </c>
      <c r="B16" s="94" t="str">
        <f>VLOOKUP(C16,Lists!I:J,2,FALSE)</f>
        <v>KS</v>
      </c>
      <c r="C16" s="95" t="str">
        <f>VLOOKUP(E16&amp;D16,Lists!C:E,3,FALSE)</f>
        <v>Longbow/Dagger</v>
      </c>
      <c r="D16" s="35" t="s">
        <v>34</v>
      </c>
      <c r="E16" s="36" t="s">
        <v>51</v>
      </c>
      <c r="F16" s="35" t="s">
        <v>483</v>
      </c>
      <c r="G16" s="32">
        <v>32</v>
      </c>
      <c r="H16" s="32">
        <v>29</v>
      </c>
      <c r="I16" s="96">
        <f t="shared" si="0"/>
        <v>61</v>
      </c>
      <c r="J16" s="37">
        <v>1543010</v>
      </c>
      <c r="K16" s="37">
        <v>729855</v>
      </c>
      <c r="L16" s="37">
        <v>0</v>
      </c>
      <c r="M16" s="38">
        <f>I16/(HLOOKUP(F16,Team_Composition_23[[#All],[Yellow]:[Red]],10,FALSE)+HLOOKUP(F16,Team_Composition_23[[#All],[Yellow]:[Red]],11,FALSE))</f>
        <v>7.4299634591961025E-2</v>
      </c>
      <c r="N16" s="38">
        <f>J16/HLOOKUP(F16,Team_Composition_23[[#All],[Yellow]:[Red]],6,FALSE)</f>
        <v>8.7445428427400787E-2</v>
      </c>
      <c r="O16" s="38">
        <f>K16/HLOOKUP(F16,Team_Composition_23[[#All],[Yellow]:[Red]],8,FALSE)</f>
        <v>1.6581607325964517E-2</v>
      </c>
      <c r="P16" s="38">
        <f>L16/HLOOKUP(F16,Team_Composition_23[[#All],[Yellow]:[Red]],7,FALSE)</f>
        <v>0</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32">
        <v>14</v>
      </c>
      <c r="B17" s="94" t="str">
        <f>VLOOKUP(C17,Lists!I:J,2,FALSE)</f>
        <v>Melee DPS</v>
      </c>
      <c r="C17" s="95" t="str">
        <f>VLOOKUP(E17&amp;D17,Lists!C:E,3,FALSE)</f>
        <v>Greatsword/Spear</v>
      </c>
      <c r="D17" s="35" t="s">
        <v>36</v>
      </c>
      <c r="E17" s="36" t="s">
        <v>311</v>
      </c>
      <c r="F17" s="35" t="s">
        <v>476</v>
      </c>
      <c r="G17" s="32">
        <v>20</v>
      </c>
      <c r="H17" s="32">
        <v>41</v>
      </c>
      <c r="I17" s="96">
        <f t="shared" si="0"/>
        <v>61</v>
      </c>
      <c r="J17" s="37">
        <v>1306010</v>
      </c>
      <c r="K17" s="37">
        <v>1386466</v>
      </c>
      <c r="L17" s="37">
        <v>51104</v>
      </c>
      <c r="M17" s="38">
        <f>I17/(HLOOKUP(F17,Team_Composition_23[[#All],[Yellow]:[Red]],10,FALSE)+HLOOKUP(F17,Team_Composition_23[[#All],[Yellow]:[Red]],11,FALSE))</f>
        <v>1.5246188452886777E-2</v>
      </c>
      <c r="N17" s="38">
        <f>J17/HLOOKUP(F17,Team_Composition_23[[#All],[Yellow]:[Red]],6,FALSE)</f>
        <v>2.9438780102359161E-2</v>
      </c>
      <c r="O17" s="38">
        <f>K17/HLOOKUP(F17,Team_Composition_23[[#All],[Yellow]:[Red]],8,FALSE)</f>
        <v>7.914177502144415E-2</v>
      </c>
      <c r="P17" s="38">
        <f>L17/HLOOKUP(F17,Team_Composition_23[[#All],[Yellow]:[Red]],7,FALSE)</f>
        <v>3.9478479886941248E-3</v>
      </c>
      <c r="Q17" s="31"/>
      <c r="R17" s="45" t="s">
        <v>468</v>
      </c>
      <c r="S17" s="46">
        <f>SUMIFS(Scoreboard_38[Damage Dealt],Scoreboard_38[Role],"Melee DPS",Scoreboard_38[Team],"Yellow")</f>
        <v>3297140</v>
      </c>
      <c r="T17" s="47">
        <f>SUMIFS(Scoreboard_38[Damage Dealt],Scoreboard_38[Role],"Melee DPS",Scoreboard_38[Team],"Red")</f>
        <v>6107701</v>
      </c>
      <c r="U17" s="31"/>
      <c r="V17" s="48" t="str">
        <f ca="1">IFERROR(__xludf.DUMMYFUNCTION("query(A1:P238, ""Select E,K Order by K Desc Limit 10"", 0)"),"Jiazui")</f>
        <v>Jiazui</v>
      </c>
      <c r="W17" s="49">
        <f ca="1">IFERROR(__xludf.DUMMYFUNCTION("""COMPUTED_VALUE"""),1503003)</f>
        <v>1503003</v>
      </c>
      <c r="X17" s="31"/>
      <c r="Y17" s="48" t="str">
        <f ca="1">IFERROR(__xludf.DUMMYFUNCTION("query(A1:P238, ""Select E,L Order by L Desc Limit 10"", 0)"),"msk")</f>
        <v>msk</v>
      </c>
      <c r="Z17" s="49">
        <f ca="1">IFERROR(__xludf.DUMMYFUNCTION("""COMPUTED_VALUE"""),2096249)</f>
        <v>2096249</v>
      </c>
      <c r="AA17" s="31"/>
      <c r="AB17" s="45" t="s">
        <v>468</v>
      </c>
      <c r="AC17" s="50">
        <f>SUMIFS(Scoreboard_38[Damage Dealt],Scoreboard_38[Role],"Melee DPS",Scoreboard_38[Guild],"Best Regards")</f>
        <v>6107701</v>
      </c>
      <c r="AD17" s="51">
        <f>SUMIFS(Scoreboard_38[Damage Dealt],Scoreboard_38[Role],"Melee DPS",Scoreboard_38[Guild],"Unhinged肉")</f>
        <v>3297140</v>
      </c>
    </row>
    <row r="18" spans="1:30" ht="22.5" customHeight="1">
      <c r="A18" s="32">
        <v>27</v>
      </c>
      <c r="B18" s="94" t="str">
        <f>VLOOKUP(C18,Lists!I:J,2,FALSE)</f>
        <v>Melee DPS</v>
      </c>
      <c r="C18" s="95" t="str">
        <f>VLOOKUP(E18&amp;D18,Lists!C:E,3,FALSE)</f>
        <v>Greatsword/Spear</v>
      </c>
      <c r="D18" s="35" t="s">
        <v>36</v>
      </c>
      <c r="E18" s="36" t="s">
        <v>312</v>
      </c>
      <c r="F18" s="35" t="s">
        <v>476</v>
      </c>
      <c r="G18" s="32">
        <v>13</v>
      </c>
      <c r="H18" s="32">
        <v>45</v>
      </c>
      <c r="I18" s="96">
        <f t="shared" si="0"/>
        <v>58</v>
      </c>
      <c r="J18" s="37">
        <v>989381</v>
      </c>
      <c r="K18" s="37">
        <v>1053236</v>
      </c>
      <c r="L18" s="37">
        <v>67049</v>
      </c>
      <c r="M18" s="38">
        <f>I18/(HLOOKUP(F18,Team_Composition_23[[#All],[Yellow]:[Red]],10,FALSE)+HLOOKUP(F18,Team_Composition_23[[#All],[Yellow]:[Red]],11,FALSE))</f>
        <v>1.4496375906023495E-2</v>
      </c>
      <c r="N18" s="38">
        <f>J18/HLOOKUP(F18,Team_Composition_23[[#All],[Yellow]:[Red]],6,FALSE)</f>
        <v>2.2301643705984035E-2</v>
      </c>
      <c r="O18" s="38">
        <f>K18/HLOOKUP(F18,Team_Composition_23[[#All],[Yellow]:[Red]],8,FALSE)</f>
        <v>6.0120454851749522E-2</v>
      </c>
      <c r="P18" s="38">
        <f>L18/HLOOKUP(F18,Team_Composition_23[[#All],[Yellow]:[Red]],7,FALSE)</f>
        <v>5.1796192038578654E-3</v>
      </c>
      <c r="Q18" s="31"/>
      <c r="R18" s="45" t="s">
        <v>469</v>
      </c>
      <c r="S18" s="46">
        <f>SUMIFS(Scoreboard_38[Damage Taken],Scoreboard_38[Role],"Melee DPS",Scoreboard_38[Team],"Yellow")</f>
        <v>3942705</v>
      </c>
      <c r="T18" s="47">
        <f>SUMIFS(Scoreboard_38[Damage Taken],Scoreboard_38[Role],"Melee DPS",Scoreboard_38[Team],"Red")</f>
        <v>3355849</v>
      </c>
      <c r="U18" s="31"/>
      <c r="V18" s="48" t="str">
        <f ca="1">IFERROR(__xludf.DUMMYFUNCTION("""COMPUTED_VALUE"""),"Oathellius")</f>
        <v>Oathellius</v>
      </c>
      <c r="W18" s="49">
        <f ca="1">IFERROR(__xludf.DUMMYFUNCTION("""COMPUTED_VALUE"""),1386466)</f>
        <v>1386466</v>
      </c>
      <c r="X18" s="31"/>
      <c r="Y18" s="48" t="str">
        <f ca="1">IFERROR(__xludf.DUMMYFUNCTION("""COMPUTED_VALUE"""),"Koldwen")</f>
        <v>Koldwen</v>
      </c>
      <c r="Z18" s="49">
        <f ca="1">IFERROR(__xludf.DUMMYFUNCTION("""COMPUTED_VALUE"""),1993871)</f>
        <v>1993871</v>
      </c>
      <c r="AA18" s="31"/>
      <c r="AB18" s="45" t="s">
        <v>469</v>
      </c>
      <c r="AC18" s="50">
        <f>SUMIFS(Scoreboard_38[Damage Taken],Scoreboard_38[Role],"Melee DPS",Scoreboard_38[Guild],"Best Regards")</f>
        <v>3355849</v>
      </c>
      <c r="AD18" s="51">
        <f>SUMIFS(Scoreboard_38[Damage Taken],Scoreboard_38[Role],"Melee DPS",Scoreboard_38[Guild],"Unhinged肉")</f>
        <v>3942705</v>
      </c>
    </row>
    <row r="19" spans="1:30" ht="22.5" customHeight="1">
      <c r="A19" s="32">
        <v>22</v>
      </c>
      <c r="B19" s="94" t="str">
        <f>VLOOKUP(C19,Lists!I:J,2,FALSE)</f>
        <v>Healer</v>
      </c>
      <c r="C19" s="95" t="str">
        <f>VLOOKUP(E19&amp;D19,Lists!C:E,3,FALSE)</f>
        <v>Wand/Orb</v>
      </c>
      <c r="D19" s="35" t="s">
        <v>34</v>
      </c>
      <c r="E19" s="36" t="s">
        <v>151</v>
      </c>
      <c r="F19" s="35" t="s">
        <v>483</v>
      </c>
      <c r="G19" s="32">
        <v>14</v>
      </c>
      <c r="H19" s="32">
        <v>42</v>
      </c>
      <c r="I19" s="96">
        <f t="shared" si="0"/>
        <v>56</v>
      </c>
      <c r="J19" s="37">
        <v>1291827</v>
      </c>
      <c r="K19" s="37">
        <v>659147</v>
      </c>
      <c r="L19" s="37">
        <v>27216</v>
      </c>
      <c r="M19" s="38">
        <f>I19/(HLOOKUP(F19,Team_Composition_23[[#All],[Yellow]:[Red]],10,FALSE)+HLOOKUP(F19,Team_Composition_23[[#All],[Yellow]:[Red]],11,FALSE))</f>
        <v>6.8209500609013402E-2</v>
      </c>
      <c r="N19" s="38">
        <f>J19/HLOOKUP(F19,Team_Composition_23[[#All],[Yellow]:[Red]],6,FALSE)</f>
        <v>7.3210391033813049E-2</v>
      </c>
      <c r="O19" s="38">
        <f>K19/HLOOKUP(F19,Team_Composition_23[[#All],[Yellow]:[Red]],8,FALSE)</f>
        <v>1.4975189214415924E-2</v>
      </c>
      <c r="P19" s="38">
        <f>L19/HLOOKUP(F19,Team_Composition_23[[#All],[Yellow]:[Red]],7,FALSE)</f>
        <v>1.1214579414744494E-3</v>
      </c>
      <c r="Q19" s="31"/>
      <c r="R19" s="45" t="s">
        <v>470</v>
      </c>
      <c r="S19" s="46">
        <f>SUMIFS(Scoreboard_38[Amount Healed],Scoreboard_38[Role],"Melee DPS",Scoreboard_38[Team],"Yellow")</f>
        <v>155900</v>
      </c>
      <c r="T19" s="47">
        <f>SUMIFS(Scoreboard_38[Amount Healed],Scoreboard_38[Role],"Melee DPS",Scoreboard_38[Team],"Red")</f>
        <v>73916</v>
      </c>
      <c r="U19" s="31"/>
      <c r="V19" s="48" t="str">
        <f ca="1">IFERROR(__xludf.DUMMYFUNCTION("""COMPUTED_VALUE"""),"ELCHAMO")</f>
        <v>ELCHAMO</v>
      </c>
      <c r="W19" s="49">
        <f ca="1">IFERROR(__xludf.DUMMYFUNCTION("""COMPUTED_VALUE"""),1374750)</f>
        <v>1374750</v>
      </c>
      <c r="X19" s="31"/>
      <c r="Y19" s="48" t="str">
        <f ca="1">IFERROR(__xludf.DUMMYFUNCTION("""COMPUTED_VALUE"""),"Boharding")</f>
        <v>Boharding</v>
      </c>
      <c r="Z19" s="49">
        <f ca="1">IFERROR(__xludf.DUMMYFUNCTION("""COMPUTED_VALUE"""),1794601)</f>
        <v>1794601</v>
      </c>
      <c r="AA19" s="31"/>
      <c r="AB19" s="45" t="s">
        <v>470</v>
      </c>
      <c r="AC19" s="50">
        <f>SUMIFS(Scoreboard_38[Amount Healed],Scoreboard_38[Role],"Melee DPS",Scoreboard_38[Guild],"Best Regards")</f>
        <v>73916</v>
      </c>
      <c r="AD19" s="51">
        <f>SUMIFS(Scoreboard_38[Amount Healed],Scoreboard_38[Role],"Melee DPS",Scoreboard_38[Guild],"Unhinged肉")</f>
        <v>155900</v>
      </c>
    </row>
    <row r="20" spans="1:30" ht="22.5" customHeight="1">
      <c r="A20" s="32">
        <v>53</v>
      </c>
      <c r="B20" s="94" t="str">
        <f>VLOOKUP(C20,Lists!I:J,2,FALSE)</f>
        <v>Healer</v>
      </c>
      <c r="C20" s="95" t="str">
        <f>VLOOKUP(E20&amp;D20,Lists!C:E,3,FALSE)</f>
        <v>Wand/Orb</v>
      </c>
      <c r="D20" s="35" t="s">
        <v>36</v>
      </c>
      <c r="E20" s="36" t="s">
        <v>317</v>
      </c>
      <c r="F20" s="35" t="s">
        <v>483</v>
      </c>
      <c r="G20" s="32">
        <v>0</v>
      </c>
      <c r="H20" s="32">
        <v>56</v>
      </c>
      <c r="I20" s="96">
        <f t="shared" si="0"/>
        <v>56</v>
      </c>
      <c r="J20" s="37">
        <v>7982</v>
      </c>
      <c r="K20" s="37">
        <v>176672</v>
      </c>
      <c r="L20" s="37">
        <v>601646</v>
      </c>
      <c r="M20" s="38">
        <f>I20/(HLOOKUP(F20,Team_Composition_23[[#All],[Yellow]:[Red]],10,FALSE)+HLOOKUP(F20,Team_Composition_23[[#All],[Yellow]:[Red]],11,FALSE))</f>
        <v>6.8209500609013402E-2</v>
      </c>
      <c r="N20" s="38">
        <f>J20/HLOOKUP(F20,Team_Composition_23[[#All],[Yellow]:[Red]],6,FALSE)</f>
        <v>4.5235572660417823E-4</v>
      </c>
      <c r="O20" s="38">
        <f>K20/HLOOKUP(F20,Team_Composition_23[[#All],[Yellow]:[Red]],8,FALSE)</f>
        <v>4.0138188126310065E-3</v>
      </c>
      <c r="P20" s="38">
        <f>L20/HLOOKUP(F20,Team_Composition_23[[#All],[Yellow]:[Red]],7,FALSE)</f>
        <v>2.4791324392134648E-2</v>
      </c>
      <c r="Q20" s="31"/>
      <c r="R20" s="45" t="s">
        <v>465</v>
      </c>
      <c r="S20" s="46">
        <f>SUMIFS(Scoreboard_38[Kills],Scoreboard_38[Role],"Melee DPS",Scoreboard_38[Team],"Yellow")</f>
        <v>55</v>
      </c>
      <c r="T20" s="47">
        <f>SUMIFS(Scoreboard_38[Kills],Scoreboard_38[Role],"Melee DPS",Scoreboard_38[Team],"Red")</f>
        <v>65</v>
      </c>
      <c r="U20" s="31"/>
      <c r="V20" s="48" t="str">
        <f ca="1">IFERROR(__xludf.DUMMYFUNCTION("""COMPUTED_VALUE"""),"AdalaneShadow")</f>
        <v>AdalaneShadow</v>
      </c>
      <c r="W20" s="49">
        <f ca="1">IFERROR(__xludf.DUMMYFUNCTION("""COMPUTED_VALUE"""),1203902)</f>
        <v>1203902</v>
      </c>
      <c r="X20" s="31"/>
      <c r="Y20" s="48" t="str">
        <f ca="1">IFERROR(__xludf.DUMMYFUNCTION("""COMPUTED_VALUE"""),"MICTECACIHUATL")</f>
        <v>MICTECACIHUATL</v>
      </c>
      <c r="Z20" s="49">
        <f ca="1">IFERROR(__xludf.DUMMYFUNCTION("""COMPUTED_VALUE"""),1545783)</f>
        <v>1545783</v>
      </c>
      <c r="AA20" s="31"/>
      <c r="AB20" s="45" t="s">
        <v>465</v>
      </c>
      <c r="AC20" s="50">
        <f>SUMIFS(Scoreboard_38[Kills],Scoreboard_38[Role],"Melee DPS",Scoreboard_38[Guild],"Best Regards")</f>
        <v>65</v>
      </c>
      <c r="AD20" s="51">
        <f>SUMIFS(Scoreboard_38[Kills],Scoreboard_38[Role],"Melee DPS",Scoreboard_38[Guild],"Unhinged肉")</f>
        <v>55</v>
      </c>
    </row>
    <row r="21" spans="1:30" ht="22.5" customHeight="1">
      <c r="A21" s="32">
        <v>54</v>
      </c>
      <c r="B21" s="94" t="str">
        <f>VLOOKUP(C21,Lists!I:J,2,FALSE)</f>
        <v>Healer</v>
      </c>
      <c r="C21" s="95" t="str">
        <f>VLOOKUP(E21&amp;D21,Lists!C:E,3,FALSE)</f>
        <v>Wand/Orb</v>
      </c>
      <c r="D21" s="35" t="s">
        <v>34</v>
      </c>
      <c r="E21" s="36" t="s">
        <v>153</v>
      </c>
      <c r="F21" s="35" t="s">
        <v>476</v>
      </c>
      <c r="G21" s="32">
        <v>0</v>
      </c>
      <c r="H21" s="32">
        <v>55</v>
      </c>
      <c r="I21" s="96">
        <f t="shared" si="0"/>
        <v>55</v>
      </c>
      <c r="J21" s="37">
        <v>2659</v>
      </c>
      <c r="K21" s="37">
        <v>534705</v>
      </c>
      <c r="L21" s="37">
        <v>811116</v>
      </c>
      <c r="M21" s="38">
        <f>I21/(HLOOKUP(F21,Team_Composition_23[[#All],[Yellow]:[Red]],10,FALSE)+HLOOKUP(F21,Team_Composition_23[[#All],[Yellow]:[Red]],11,FALSE))</f>
        <v>1.374656335916021E-2</v>
      </c>
      <c r="N21" s="38">
        <f>J21/HLOOKUP(F21,Team_Composition_23[[#All],[Yellow]:[Red]],6,FALSE)</f>
        <v>5.9936536697401253E-5</v>
      </c>
      <c r="O21" s="38">
        <f>K21/HLOOKUP(F21,Team_Composition_23[[#All],[Yellow]:[Red]],8,FALSE)</f>
        <v>3.052184677651042E-2</v>
      </c>
      <c r="P21" s="38">
        <f>L21/HLOOKUP(F21,Team_Composition_23[[#All],[Yellow]:[Red]],7,FALSE)</f>
        <v>6.2659726620178921E-2</v>
      </c>
      <c r="Q21" s="31"/>
      <c r="R21" s="45" t="s">
        <v>466</v>
      </c>
      <c r="S21" s="46">
        <f>SUMIFS(Scoreboard_38[Assists],Scoreboard_38[Role],"Melee DPS",Scoreboard_38[Team],"Yellow")</f>
        <v>117</v>
      </c>
      <c r="T21" s="47">
        <f>SUMIFS(Scoreboard_38[Assists],Scoreboard_38[Role],"Melee DPS",Scoreboard_38[Team],"Red")</f>
        <v>164</v>
      </c>
      <c r="U21" s="31"/>
      <c r="V21" s="48" t="str">
        <f ca="1">IFERROR(__xludf.DUMMYFUNCTION("""COMPUTED_VALUE"""),"HollowKnight")</f>
        <v>HollowKnight</v>
      </c>
      <c r="W21" s="49">
        <f ca="1">IFERROR(__xludf.DUMMYFUNCTION("""COMPUTED_VALUE"""),1053236)</f>
        <v>1053236</v>
      </c>
      <c r="X21" s="31"/>
      <c r="Y21" s="48" t="str">
        <f ca="1">IFERROR(__xludf.DUMMYFUNCTION("""COMPUTED_VALUE"""),"Reinnier")</f>
        <v>Reinnier</v>
      </c>
      <c r="Z21" s="49">
        <f ca="1">IFERROR(__xludf.DUMMYFUNCTION("""COMPUTED_VALUE"""),1330779)</f>
        <v>1330779</v>
      </c>
      <c r="AA21" s="31"/>
      <c r="AB21" s="45" t="s">
        <v>466</v>
      </c>
      <c r="AC21" s="50">
        <f>SUMIFS(Scoreboard_38[Assists],Scoreboard_38[Role],"Melee DPS",Scoreboard_38[Guild],"Best Regards")</f>
        <v>164</v>
      </c>
      <c r="AD21" s="51">
        <f>SUMIFS(Scoreboard_38[Assists],Scoreboard_38[Role],"Melee DPS",Scoreboard_38[Guild],"Unhinged肉")</f>
        <v>117</v>
      </c>
    </row>
    <row r="22" spans="1:30" ht="22.5" customHeight="1">
      <c r="A22" s="32">
        <v>11</v>
      </c>
      <c r="B22" s="94" t="str">
        <f>VLOOKUP(C22,Lists!I:J,2,FALSE)</f>
        <v>Melee DPS</v>
      </c>
      <c r="C22" s="95" t="str">
        <f>VLOOKUP(E22&amp;D22,Lists!C:E,3,FALSE)</f>
        <v>Greatsword/Spear</v>
      </c>
      <c r="D22" s="35" t="s">
        <v>36</v>
      </c>
      <c r="E22" s="36" t="s">
        <v>310</v>
      </c>
      <c r="F22" s="35" t="s">
        <v>476</v>
      </c>
      <c r="G22" s="32">
        <v>22</v>
      </c>
      <c r="H22" s="32">
        <v>31</v>
      </c>
      <c r="I22" s="96">
        <f t="shared" si="0"/>
        <v>53</v>
      </c>
      <c r="J22" s="37">
        <v>1001749</v>
      </c>
      <c r="K22" s="37">
        <v>1503003</v>
      </c>
      <c r="L22" s="37">
        <v>37747</v>
      </c>
      <c r="M22" s="38">
        <f>I22/(HLOOKUP(F22,Team_Composition_23[[#All],[Yellow]:[Red]],10,FALSE)+HLOOKUP(F22,Team_Composition_23[[#All],[Yellow]:[Red]],11,FALSE))</f>
        <v>1.324668832791802E-2</v>
      </c>
      <c r="N22" s="38">
        <f>J22/HLOOKUP(F22,Team_Composition_23[[#All],[Yellow]:[Red]],6,FALSE)</f>
        <v>2.2580430876301245E-2</v>
      </c>
      <c r="O22" s="38">
        <f>K22/HLOOKUP(F22,Team_Composition_23[[#All],[Yellow]:[Red]],8,FALSE)</f>
        <v>8.5793899946017882E-2</v>
      </c>
      <c r="P22" s="38">
        <f>L22/HLOOKUP(F22,Team_Composition_23[[#All],[Yellow]:[Red]],7,FALSE)</f>
        <v>2.9160030140348531E-3</v>
      </c>
      <c r="Q22" s="31"/>
      <c r="R22" s="45" t="s">
        <v>24</v>
      </c>
      <c r="S22" s="46">
        <f t="shared" ref="S22:S25" si="2">COUNTIFS(C:C,R22,F:F,"Yellow")</f>
        <v>0</v>
      </c>
      <c r="T22" s="47">
        <f t="shared" ref="T22:T25" si="3">COUNTIFS(C:C,R22,F:F,"Red")</f>
        <v>2</v>
      </c>
      <c r="U22" s="31"/>
      <c r="V22" s="48" t="str">
        <f ca="1">IFERROR(__xludf.DUMMYFUNCTION("""COMPUTED_VALUE"""),"K")</f>
        <v>K</v>
      </c>
      <c r="W22" s="49">
        <f ca="1">IFERROR(__xludf.DUMMYFUNCTION("""COMPUTED_VALUE"""),1041083)</f>
        <v>1041083</v>
      </c>
      <c r="X22" s="31"/>
      <c r="Y22" s="48" t="str">
        <f ca="1">IFERROR(__xludf.DUMMYFUNCTION("""COMPUTED_VALUE"""),"QueenSkin")</f>
        <v>QueenSkin</v>
      </c>
      <c r="Z22" s="49">
        <f ca="1">IFERROR(__xludf.DUMMYFUNCTION("""COMPUTED_VALUE"""),1318282)</f>
        <v>1318282</v>
      </c>
      <c r="AA22" s="31"/>
      <c r="AB22" s="45" t="s">
        <v>24</v>
      </c>
      <c r="AC22" s="50">
        <f t="shared" ref="AC22:AC25" si="4">COUNTIFS(C:C,AB22,D:D,"Best Regards")</f>
        <v>2</v>
      </c>
      <c r="AD22" s="51">
        <f t="shared" ref="AD22:AD25" si="5">COUNTIFS(C:C,AB22,D:D,"Unhinged肉")</f>
        <v>0</v>
      </c>
    </row>
    <row r="23" spans="1:30" ht="22.5" customHeight="1">
      <c r="A23" s="32">
        <v>16</v>
      </c>
      <c r="B23" s="94" t="str">
        <f>VLOOKUP(C23,Lists!I:J,2,FALSE)</f>
        <v>Ranged DPS</v>
      </c>
      <c r="C23" s="95" t="str">
        <f>VLOOKUP(E23&amp;D23,Lists!C:E,3,FALSE)</f>
        <v>Staff/Orb</v>
      </c>
      <c r="D23" s="35" t="s">
        <v>34</v>
      </c>
      <c r="E23" s="36" t="s">
        <v>160</v>
      </c>
      <c r="F23" s="35" t="s">
        <v>476</v>
      </c>
      <c r="G23" s="32">
        <v>19</v>
      </c>
      <c r="H23" s="32">
        <v>34</v>
      </c>
      <c r="I23" s="96">
        <f t="shared" si="0"/>
        <v>53</v>
      </c>
      <c r="J23" s="37">
        <v>1582130</v>
      </c>
      <c r="K23" s="37">
        <v>633995</v>
      </c>
      <c r="L23" s="37">
        <v>9737</v>
      </c>
      <c r="M23" s="38">
        <f>I23/(HLOOKUP(F23,Team_Composition_23[[#All],[Yellow]:[Red]],10,FALSE)+HLOOKUP(F23,Team_Composition_23[[#All],[Yellow]:[Red]],11,FALSE))</f>
        <v>1.324668832791802E-2</v>
      </c>
      <c r="N23" s="38">
        <f>J23/HLOOKUP(F23,Team_Composition_23[[#All],[Yellow]:[Red]],6,FALSE)</f>
        <v>3.5662802860120135E-2</v>
      </c>
      <c r="O23" s="38">
        <f>K23/HLOOKUP(F23,Team_Composition_23[[#All],[Yellow]:[Red]],8,FALSE)</f>
        <v>3.6189484383115408E-2</v>
      </c>
      <c r="P23" s="38">
        <f>L23/HLOOKUP(F23,Team_Composition_23[[#All],[Yellow]:[Red]],7,FALSE)</f>
        <v>7.5219544195982105E-4</v>
      </c>
      <c r="Q23" s="31"/>
      <c r="R23" s="45" t="s">
        <v>69</v>
      </c>
      <c r="S23" s="46">
        <f t="shared" si="2"/>
        <v>3</v>
      </c>
      <c r="T23" s="47">
        <f t="shared" si="3"/>
        <v>2</v>
      </c>
      <c r="U23" s="31"/>
      <c r="V23" s="48" t="str">
        <f ca="1">IFERROR(__xludf.DUMMYFUNCTION("""COMPUTED_VALUE"""),"B")</f>
        <v>B</v>
      </c>
      <c r="W23" s="49">
        <f ca="1">IFERROR(__xludf.DUMMYFUNCTION("""COMPUTED_VALUE"""),884005)</f>
        <v>884005</v>
      </c>
      <c r="X23" s="31"/>
      <c r="Y23" s="48" t="str">
        <f ca="1">IFERROR(__xludf.DUMMYFUNCTION("""COMPUTED_VALUE"""),"Curufinwei")</f>
        <v>Curufinwei</v>
      </c>
      <c r="Z23" s="49">
        <f ca="1">IFERROR(__xludf.DUMMYFUNCTION("""COMPUTED_VALUE"""),1207939)</f>
        <v>1207939</v>
      </c>
      <c r="AA23" s="31"/>
      <c r="AB23" s="45" t="s">
        <v>69</v>
      </c>
      <c r="AC23" s="50">
        <f t="shared" si="4"/>
        <v>3</v>
      </c>
      <c r="AD23" s="51">
        <f t="shared" si="5"/>
        <v>2</v>
      </c>
    </row>
    <row r="24" spans="1:30" ht="22.5" customHeight="1">
      <c r="A24" s="32">
        <v>15</v>
      </c>
      <c r="B24" s="94" t="str">
        <f>VLOOKUP(C24,Lists!I:J,2,FALSE)</f>
        <v>Ranged DPS</v>
      </c>
      <c r="C24" s="95" t="str">
        <f>VLOOKUP(E24&amp;D24,Lists!C:E,3,FALSE)</f>
        <v>Staff/Orb</v>
      </c>
      <c r="D24" s="35" t="s">
        <v>34</v>
      </c>
      <c r="E24" s="36" t="s">
        <v>156</v>
      </c>
      <c r="F24" s="35" t="s">
        <v>483</v>
      </c>
      <c r="G24" s="32">
        <v>20</v>
      </c>
      <c r="H24" s="32">
        <v>32</v>
      </c>
      <c r="I24" s="96">
        <f t="shared" si="0"/>
        <v>52</v>
      </c>
      <c r="J24" s="37">
        <v>1900718</v>
      </c>
      <c r="K24" s="37">
        <v>733936</v>
      </c>
      <c r="L24" s="37">
        <v>11725</v>
      </c>
      <c r="M24" s="38">
        <f>I24/(HLOOKUP(F24,Team_Composition_23[[#All],[Yellow]:[Red]],10,FALSE)+HLOOKUP(F24,Team_Composition_23[[#All],[Yellow]:[Red]],11,FALSE))</f>
        <v>6.3337393422655291E-2</v>
      </c>
      <c r="N24" s="38">
        <f>J24/HLOOKUP(F24,Team_Composition_23[[#All],[Yellow]:[Red]],6,FALSE)</f>
        <v>0.1077174482535255</v>
      </c>
      <c r="O24" s="38">
        <f>K24/HLOOKUP(F24,Team_Composition_23[[#All],[Yellow]:[Red]],8,FALSE)</f>
        <v>1.6674323741550163E-2</v>
      </c>
      <c r="P24" s="38">
        <f>L24/HLOOKUP(F24,Team_Composition_23[[#All],[Yellow]:[Red]],7,FALSE)</f>
        <v>4.8313838785228976E-4</v>
      </c>
      <c r="Q24" s="31"/>
      <c r="R24" s="45" t="s">
        <v>23</v>
      </c>
      <c r="S24" s="46">
        <f t="shared" si="2"/>
        <v>3</v>
      </c>
      <c r="T24" s="47">
        <f t="shared" si="3"/>
        <v>2</v>
      </c>
      <c r="U24" s="31"/>
      <c r="V24" s="48" t="str">
        <f ca="1">IFERROR(__xludf.DUMMYFUNCTION("""COMPUTED_VALUE"""),"H612")</f>
        <v>H612</v>
      </c>
      <c r="W24" s="49">
        <f ca="1">IFERROR(__xludf.DUMMYFUNCTION("""COMPUTED_VALUE"""),840404)</f>
        <v>840404</v>
      </c>
      <c r="X24" s="31"/>
      <c r="Y24" s="48" t="str">
        <f ca="1">IFERROR(__xludf.DUMMYFUNCTION("""COMPUTED_VALUE"""),"Skilletos")</f>
        <v>Skilletos</v>
      </c>
      <c r="Z24" s="49">
        <f ca="1">IFERROR(__xludf.DUMMYFUNCTION("""COMPUTED_VALUE"""),1203608)</f>
        <v>1203608</v>
      </c>
      <c r="AA24" s="31"/>
      <c r="AB24" s="45" t="s">
        <v>23</v>
      </c>
      <c r="AC24" s="50">
        <f t="shared" si="4"/>
        <v>2</v>
      </c>
      <c r="AD24" s="51">
        <f t="shared" si="5"/>
        <v>3</v>
      </c>
    </row>
    <row r="25" spans="1:30" ht="22.5" customHeight="1">
      <c r="A25" s="32">
        <v>17</v>
      </c>
      <c r="B25" s="94" t="str">
        <f>VLOOKUP(C25,Lists!I:J,2,FALSE)</f>
        <v>Ranged DPS</v>
      </c>
      <c r="C25" s="95" t="str">
        <f>VLOOKUP(E25&amp;D25,Lists!C:E,3,FALSE)</f>
        <v>Staff/Dagger</v>
      </c>
      <c r="D25" s="35" t="s">
        <v>36</v>
      </c>
      <c r="E25" s="36" t="s">
        <v>250</v>
      </c>
      <c r="F25" s="35" t="s">
        <v>476</v>
      </c>
      <c r="G25" s="32">
        <v>17</v>
      </c>
      <c r="H25" s="32">
        <v>35</v>
      </c>
      <c r="I25" s="96">
        <f t="shared" si="0"/>
        <v>52</v>
      </c>
      <c r="J25" s="37">
        <v>1470415</v>
      </c>
      <c r="K25" s="37">
        <v>732313</v>
      </c>
      <c r="L25" s="37">
        <v>0</v>
      </c>
      <c r="M25" s="38">
        <f>I25/(HLOOKUP(F25,Team_Composition_23[[#All],[Yellow]:[Red]],10,FALSE)+HLOOKUP(F25,Team_Composition_23[[#All],[Yellow]:[Red]],11,FALSE))</f>
        <v>1.2996750812296926E-2</v>
      </c>
      <c r="N25" s="38">
        <f>J25/HLOOKUP(F25,Team_Composition_23[[#All],[Yellow]:[Red]],6,FALSE)</f>
        <v>3.3144634301583029E-2</v>
      </c>
      <c r="O25" s="38">
        <f>K25/HLOOKUP(F25,Team_Composition_23[[#All],[Yellow]:[Red]],8,FALSE)</f>
        <v>4.1801638620261032E-2</v>
      </c>
      <c r="P25" s="38">
        <f>L25/HLOOKUP(F25,Team_Composition_23[[#All],[Yellow]:[Red]],7,FALSE)</f>
        <v>0</v>
      </c>
      <c r="Q25" s="31"/>
      <c r="R25" s="45" t="s">
        <v>33</v>
      </c>
      <c r="S25" s="46">
        <f t="shared" si="2"/>
        <v>0</v>
      </c>
      <c r="T25" s="47">
        <f t="shared" si="3"/>
        <v>0</v>
      </c>
      <c r="U25" s="31"/>
      <c r="V25" s="48" t="str">
        <f ca="1">IFERROR(__xludf.DUMMYFUNCTION("""COMPUTED_VALUE"""),"ShawarmaShuffle")</f>
        <v>ShawarmaShuffle</v>
      </c>
      <c r="W25" s="49">
        <f ca="1">IFERROR(__xludf.DUMMYFUNCTION("""COMPUTED_VALUE"""),830209)</f>
        <v>830209</v>
      </c>
      <c r="X25" s="31"/>
      <c r="Y25" s="48" t="str">
        <f ca="1">IFERROR(__xludf.DUMMYFUNCTION("""COMPUTED_VALUE"""),"EgirlWaifu")</f>
        <v>EgirlWaifu</v>
      </c>
      <c r="Z25" s="49">
        <f ca="1">IFERROR(__xludf.DUMMYFUNCTION("""COMPUTED_VALUE"""),1162941)</f>
        <v>1162941</v>
      </c>
      <c r="AA25" s="31"/>
      <c r="AB25" s="45" t="s">
        <v>33</v>
      </c>
      <c r="AC25" s="50">
        <f t="shared" si="4"/>
        <v>0</v>
      </c>
      <c r="AD25" s="51">
        <f t="shared" si="5"/>
        <v>0</v>
      </c>
    </row>
    <row r="26" spans="1:30" ht="22.5" customHeight="1">
      <c r="A26" s="32">
        <v>55</v>
      </c>
      <c r="B26" s="94" t="str">
        <f>VLOOKUP(C26,Lists!I:J,2,FALSE)</f>
        <v>Healer</v>
      </c>
      <c r="C26" s="95" t="str">
        <f>VLOOKUP(E26&amp;D26,Lists!C:E,3,FALSE)</f>
        <v>Wand/Longbow</v>
      </c>
      <c r="D26" s="35" t="s">
        <v>36</v>
      </c>
      <c r="E26" s="36" t="s">
        <v>318</v>
      </c>
      <c r="F26" s="35" t="s">
        <v>476</v>
      </c>
      <c r="G26" s="32">
        <v>0</v>
      </c>
      <c r="H26" s="32">
        <v>51</v>
      </c>
      <c r="I26" s="96">
        <f t="shared" si="0"/>
        <v>51</v>
      </c>
      <c r="J26" s="37">
        <v>31045</v>
      </c>
      <c r="K26" s="37">
        <v>418282</v>
      </c>
      <c r="L26" s="37">
        <v>1993871</v>
      </c>
      <c r="M26" s="38">
        <f>I26/(HLOOKUP(F26,Team_Composition_23[[#All],[Yellow]:[Red]],10,FALSE)+HLOOKUP(F26,Team_Composition_23[[#All],[Yellow]:[Red]],11,FALSE))</f>
        <v>1.2746813296675831E-2</v>
      </c>
      <c r="N26" s="38">
        <f>J26/HLOOKUP(F26,Team_Composition_23[[#All],[Yellow]:[Red]],6,FALSE)</f>
        <v>6.9978555162498004E-4</v>
      </c>
      <c r="O26" s="38">
        <f>K26/HLOOKUP(F26,Team_Composition_23[[#All],[Yellow]:[Red]],8,FALSE)</f>
        <v>2.3876229160700445E-2</v>
      </c>
      <c r="P26" s="38">
        <f>L26/HLOOKUP(F26,Team_Composition_23[[#All],[Yellow]:[Red]],7,FALSE)</f>
        <v>0.15402903132955431</v>
      </c>
      <c r="Q26" s="31"/>
      <c r="R26" s="48"/>
      <c r="S26" s="63"/>
      <c r="T26" s="63"/>
      <c r="U26" s="31"/>
      <c r="V26" s="48" t="str">
        <f ca="1">IFERROR(__xludf.DUMMYFUNCTION("""COMPUTED_VALUE"""),"mars")</f>
        <v>mars</v>
      </c>
      <c r="W26" s="49">
        <f ca="1">IFERROR(__xludf.DUMMYFUNCTION("""COMPUTED_VALUE"""),822837)</f>
        <v>822837</v>
      </c>
      <c r="X26" s="31"/>
      <c r="Y26" s="48" t="str">
        <f ca="1">IFERROR(__xludf.DUMMYFUNCTION("""COMPUTED_VALUE"""),"LiquidZod")</f>
        <v>LiquidZod</v>
      </c>
      <c r="Z26" s="49">
        <f ca="1">IFERROR(__xludf.DUMMYFUNCTION("""COMPUTED_VALUE"""),1013880)</f>
        <v>1013880</v>
      </c>
      <c r="AA26" s="31"/>
      <c r="AB26" s="48"/>
      <c r="AC26" s="63"/>
      <c r="AD26" s="63"/>
    </row>
    <row r="27" spans="1:30" ht="22.5" customHeight="1">
      <c r="A27" s="32">
        <v>12</v>
      </c>
      <c r="B27" s="94" t="str">
        <f>VLOOKUP(C27,Lists!I:J,2,FALSE)</f>
        <v>KS</v>
      </c>
      <c r="C27" s="95" t="str">
        <f>VLOOKUP(E27&amp;D27,Lists!C:E,3,FALSE)</f>
        <v>Crossbow/Dagger</v>
      </c>
      <c r="D27" s="35" t="s">
        <v>36</v>
      </c>
      <c r="E27" s="36" t="s">
        <v>233</v>
      </c>
      <c r="F27" s="35" t="s">
        <v>483</v>
      </c>
      <c r="G27" s="32">
        <v>22</v>
      </c>
      <c r="H27" s="32">
        <v>28</v>
      </c>
      <c r="I27" s="96">
        <f t="shared" si="0"/>
        <v>50</v>
      </c>
      <c r="J27" s="37">
        <v>1132975</v>
      </c>
      <c r="K27" s="37">
        <v>600848</v>
      </c>
      <c r="L27" s="37">
        <v>16217</v>
      </c>
      <c r="M27" s="38">
        <f>I27/(HLOOKUP(F27,Team_Composition_23[[#All],[Yellow]:[Red]],10,FALSE)+HLOOKUP(F27,Team_Composition_23[[#All],[Yellow]:[Red]],11,FALSE))</f>
        <v>6.090133982947625E-2</v>
      </c>
      <c r="N27" s="38">
        <f>J27/HLOOKUP(F27,Team_Composition_23[[#All],[Yellow]:[Red]],6,FALSE)</f>
        <v>6.42079340202166E-2</v>
      </c>
      <c r="O27" s="38">
        <f>K27/HLOOKUP(F27,Team_Composition_23[[#All],[Yellow]:[Red]],8,FALSE)</f>
        <v>1.3650691710807118E-2</v>
      </c>
      <c r="P27" s="38">
        <f>L27/HLOOKUP(F27,Team_Composition_23[[#All],[Yellow]:[Red]],7,FALSE)</f>
        <v>6.6823498812798154E-4</v>
      </c>
      <c r="Q27" s="31"/>
      <c r="R27" s="31"/>
      <c r="S27" s="64"/>
      <c r="T27" s="64"/>
      <c r="U27" s="31"/>
      <c r="V27" s="31"/>
      <c r="W27" s="31"/>
      <c r="X27" s="31"/>
      <c r="Y27" s="31"/>
      <c r="Z27" s="31"/>
      <c r="AA27" s="31"/>
      <c r="AB27" s="31"/>
      <c r="AC27" s="64"/>
      <c r="AD27" s="64"/>
    </row>
    <row r="28" spans="1:30" ht="22.5" customHeight="1">
      <c r="A28" s="32">
        <v>30</v>
      </c>
      <c r="B28" s="94" t="str">
        <f>VLOOKUP(C28,Lists!I:J,2,FALSE)</f>
        <v>Melee DPS</v>
      </c>
      <c r="C28" s="95" t="str">
        <f>VLOOKUP(E28&amp;D28,Lists!C:E,3,FALSE)</f>
        <v>Spear/Dagger</v>
      </c>
      <c r="D28" s="35" t="s">
        <v>34</v>
      </c>
      <c r="E28" s="36" t="s">
        <v>104</v>
      </c>
      <c r="F28" s="35" t="s">
        <v>483</v>
      </c>
      <c r="G28" s="32">
        <v>7</v>
      </c>
      <c r="H28" s="32">
        <v>42</v>
      </c>
      <c r="I28" s="96">
        <f t="shared" si="0"/>
        <v>49</v>
      </c>
      <c r="J28" s="37">
        <v>1360731</v>
      </c>
      <c r="K28" s="37">
        <v>590357</v>
      </c>
      <c r="L28" s="37">
        <v>17734</v>
      </c>
      <c r="M28" s="38">
        <f>I28/(HLOOKUP(F28,Team_Composition_23[[#All],[Yellow]:[Red]],10,FALSE)+HLOOKUP(F28,Team_Composition_23[[#All],[Yellow]:[Red]],11,FALSE))</f>
        <v>5.9683313032886723E-2</v>
      </c>
      <c r="N28" s="38">
        <f>J28/HLOOKUP(F28,Team_Composition_23[[#All],[Yellow]:[Red]],6,FALSE)</f>
        <v>7.7115316990457289E-2</v>
      </c>
      <c r="O28" s="38">
        <f>K28/HLOOKUP(F28,Team_Composition_23[[#All],[Yellow]:[Red]],8,FALSE)</f>
        <v>1.3412346227859554E-2</v>
      </c>
      <c r="P28" s="38">
        <f>L28/HLOOKUP(F28,Team_Composition_23[[#All],[Yellow]:[Red]],7,FALSE)</f>
        <v>7.3074423626204755E-4</v>
      </c>
      <c r="Q28" s="31"/>
      <c r="R28" s="227" t="s">
        <v>39</v>
      </c>
      <c r="S28" s="228"/>
      <c r="T28" s="228"/>
      <c r="U28" s="31"/>
      <c r="V28" s="31"/>
      <c r="W28" s="31"/>
      <c r="X28" s="31"/>
      <c r="Y28" s="31"/>
      <c r="Z28" s="31"/>
      <c r="AA28" s="31"/>
      <c r="AB28" s="227" t="s">
        <v>39</v>
      </c>
      <c r="AC28" s="228"/>
      <c r="AD28" s="228"/>
    </row>
    <row r="29" spans="1:30" ht="22.5" customHeight="1">
      <c r="A29" s="32">
        <v>38</v>
      </c>
      <c r="B29" s="94" t="str">
        <f>VLOOKUP(C29,Lists!I:J,2,FALSE)</f>
        <v>Healer</v>
      </c>
      <c r="C29" s="95" t="str">
        <f>VLOOKUP(E29&amp;D29,Lists!C:E,3,FALSE)</f>
        <v>Wand/Longbow</v>
      </c>
      <c r="D29" s="35" t="s">
        <v>36</v>
      </c>
      <c r="E29" s="36" t="s">
        <v>325</v>
      </c>
      <c r="F29" s="35" t="s">
        <v>476</v>
      </c>
      <c r="G29" s="32">
        <v>1</v>
      </c>
      <c r="H29" s="32">
        <v>48</v>
      </c>
      <c r="I29" s="96">
        <f t="shared" si="0"/>
        <v>49</v>
      </c>
      <c r="J29" s="37">
        <v>56278</v>
      </c>
      <c r="K29" s="37">
        <v>474875</v>
      </c>
      <c r="L29" s="37">
        <v>2096249</v>
      </c>
      <c r="M29" s="38">
        <f>I29/(HLOOKUP(F29,Team_Composition_23[[#All],[Yellow]:[Red]],10,FALSE)+HLOOKUP(F29,Team_Composition_23[[#All],[Yellow]:[Red]],11,FALSE))</f>
        <v>1.2246938265433641E-2</v>
      </c>
      <c r="N29" s="38">
        <f>J29/HLOOKUP(F29,Team_Composition_23[[#All],[Yellow]:[Red]],6,FALSE)</f>
        <v>1.2685627725672612E-3</v>
      </c>
      <c r="O29" s="38">
        <f>K29/HLOOKUP(F29,Team_Composition_23[[#All],[Yellow]:[Red]],8,FALSE)</f>
        <v>2.7106651308656894E-2</v>
      </c>
      <c r="P29" s="38">
        <f>L29/HLOOKUP(F29,Team_Composition_23[[#All],[Yellow]:[Red]],7,FALSE)</f>
        <v>0.16193786001980412</v>
      </c>
      <c r="Q29" s="31"/>
      <c r="R29" s="41" t="s">
        <v>482</v>
      </c>
      <c r="S29" s="42" t="s">
        <v>476</v>
      </c>
      <c r="T29" s="42" t="s">
        <v>483</v>
      </c>
      <c r="U29" s="31"/>
      <c r="V29" s="31"/>
      <c r="W29" s="31"/>
      <c r="X29" s="31"/>
      <c r="Y29" s="31"/>
      <c r="Z29" s="31"/>
      <c r="AA29" s="31"/>
      <c r="AB29" s="41" t="s">
        <v>482</v>
      </c>
      <c r="AC29" s="42" t="s">
        <v>485</v>
      </c>
      <c r="AD29" s="42" t="s">
        <v>36</v>
      </c>
    </row>
    <row r="30" spans="1:30" ht="22.5" customHeight="1">
      <c r="A30" s="32">
        <v>18</v>
      </c>
      <c r="B30" s="94" t="str">
        <f>VLOOKUP(C30,Lists!I:J,2,FALSE)</f>
        <v>Ranged DPS</v>
      </c>
      <c r="C30" s="95" t="str">
        <f>VLOOKUP(E30&amp;D30,Lists!C:E,3,FALSE)</f>
        <v>Staff/Dagger</v>
      </c>
      <c r="D30" s="35" t="s">
        <v>36</v>
      </c>
      <c r="E30" s="36" t="s">
        <v>259</v>
      </c>
      <c r="F30" s="35" t="s">
        <v>483</v>
      </c>
      <c r="G30" s="32">
        <v>17</v>
      </c>
      <c r="H30" s="32">
        <v>30</v>
      </c>
      <c r="I30" s="96">
        <f t="shared" si="0"/>
        <v>47</v>
      </c>
      <c r="J30" s="37">
        <v>1719308</v>
      </c>
      <c r="K30" s="37">
        <v>627726</v>
      </c>
      <c r="L30" s="37">
        <v>0</v>
      </c>
      <c r="M30" s="38">
        <f>I30/(HLOOKUP(F30,Team_Composition_23[[#All],[Yellow]:[Red]],10,FALSE)+HLOOKUP(F30,Team_Composition_23[[#All],[Yellow]:[Red]],11,FALSE))</f>
        <v>5.7247259439707675E-2</v>
      </c>
      <c r="N30" s="38">
        <f>J30/HLOOKUP(F30,Team_Composition_23[[#All],[Yellow]:[Red]],6,FALSE)</f>
        <v>9.7436584765268924E-2</v>
      </c>
      <c r="O30" s="38">
        <f>K30/HLOOKUP(F30,Team_Composition_23[[#All],[Yellow]:[Red]],8,FALSE)</f>
        <v>1.4261334155823284E-2</v>
      </c>
      <c r="P30" s="38">
        <f>L30/HLOOKUP(F30,Team_Composition_23[[#All],[Yellow]:[Red]],7,FALSE)</f>
        <v>0</v>
      </c>
      <c r="Q30" s="31"/>
      <c r="R30" s="45" t="s">
        <v>468</v>
      </c>
      <c r="S30" s="46">
        <f>SUMIFS(Scoreboard_38[Damage Dealt],Scoreboard_38[Role],"Ranged DPS",Scoreboard_38[Team],"Yellow")</f>
        <v>8209681</v>
      </c>
      <c r="T30" s="47">
        <f>SUMIFS(Scoreboard_38[Damage Dealt],Scoreboard_38[Role],"Ranged DPS",Scoreboard_38[Team],"Red")</f>
        <v>8095714</v>
      </c>
      <c r="U30" s="31"/>
      <c r="V30" s="31"/>
      <c r="W30" s="31"/>
      <c r="X30" s="31"/>
      <c r="Y30" s="31"/>
      <c r="Z30" s="31"/>
      <c r="AA30" s="31"/>
      <c r="AB30" s="45" t="s">
        <v>468</v>
      </c>
      <c r="AC30" s="50">
        <f>SUMIFS(Scoreboard_38[Damage Dealt],Scoreboard_38[Role],"Ranged DPS",Scoreboard_38[Guild],"Best Regards")</f>
        <v>6599674</v>
      </c>
      <c r="AD30" s="51">
        <f>SUMIFS(Scoreboard_38[Damage Dealt],Scoreboard_38[Role],"Ranged DPS",Scoreboard_38[Guild],"Unhinged肉")</f>
        <v>9705721</v>
      </c>
    </row>
    <row r="31" spans="1:30" ht="22.5" customHeight="1">
      <c r="A31" s="32">
        <v>19</v>
      </c>
      <c r="B31" s="94" t="str">
        <f>VLOOKUP(C31,Lists!I:J,2,FALSE)</f>
        <v>KS</v>
      </c>
      <c r="C31" s="95" t="str">
        <f>VLOOKUP(E31&amp;D31,Lists!C:E,3,FALSE)</f>
        <v>Crossbow/Dagger</v>
      </c>
      <c r="D31" s="35" t="s">
        <v>34</v>
      </c>
      <c r="E31" s="36" t="s">
        <v>152</v>
      </c>
      <c r="F31" s="35" t="s">
        <v>476</v>
      </c>
      <c r="G31" s="32">
        <v>17</v>
      </c>
      <c r="H31" s="32">
        <v>30</v>
      </c>
      <c r="I31" s="96">
        <f t="shared" si="0"/>
        <v>47</v>
      </c>
      <c r="J31" s="37">
        <v>699654</v>
      </c>
      <c r="K31" s="37">
        <v>738387</v>
      </c>
      <c r="L31" s="37">
        <v>0</v>
      </c>
      <c r="M31" s="38">
        <f>I31/(HLOOKUP(F31,Team_Composition_23[[#All],[Yellow]:[Red]],10,FALSE)+HLOOKUP(F31,Team_Composition_23[[#All],[Yellow]:[Red]],11,FALSE))</f>
        <v>1.1747063234191453E-2</v>
      </c>
      <c r="N31" s="38">
        <f>J31/HLOOKUP(F31,Team_Composition_23[[#All],[Yellow]:[Red]],6,FALSE)</f>
        <v>1.5770905470659489E-2</v>
      </c>
      <c r="O31" s="38">
        <f>K31/HLOOKUP(F31,Team_Composition_23[[#All],[Yellow]:[Red]],8,FALSE)</f>
        <v>4.2148352597726223E-2</v>
      </c>
      <c r="P31" s="38">
        <f>L31/HLOOKUP(F31,Team_Composition_23[[#All],[Yellow]:[Red]],7,FALSE)</f>
        <v>0</v>
      </c>
      <c r="Q31" s="31"/>
      <c r="R31" s="45" t="s">
        <v>469</v>
      </c>
      <c r="S31" s="46">
        <f>SUMIFS(Scoreboard_38[Damage Taken],Scoreboard_38[Role],"Ranged DPS",Scoreboard_38[Team],"Yellow")</f>
        <v>4808997</v>
      </c>
      <c r="T31" s="47">
        <f>SUMIFS(Scoreboard_38[Damage Taken],Scoreboard_38[Role],"Ranged DPS",Scoreboard_38[Team],"Red")</f>
        <v>3173167</v>
      </c>
      <c r="U31" s="31"/>
      <c r="V31" s="31"/>
      <c r="W31" s="31"/>
      <c r="X31" s="31"/>
      <c r="Y31" s="31"/>
      <c r="Z31" s="31"/>
      <c r="AA31" s="31"/>
      <c r="AB31" s="45" t="s">
        <v>469</v>
      </c>
      <c r="AC31" s="50">
        <f>SUMIFS(Scoreboard_38[Damage Taken],Scoreboard_38[Role],"Ranged DPS",Scoreboard_38[Guild],"Best Regards")</f>
        <v>3964588</v>
      </c>
      <c r="AD31" s="51">
        <f>SUMIFS(Scoreboard_38[Damage Taken],Scoreboard_38[Role],"Ranged DPS",Scoreboard_38[Guild],"Unhinged肉")</f>
        <v>4017576</v>
      </c>
    </row>
    <row r="32" spans="1:30" ht="22.5" customHeight="1">
      <c r="A32" s="32">
        <v>23</v>
      </c>
      <c r="B32" s="94" t="str">
        <f>VLOOKUP(C32,Lists!I:J,2,FALSE)</f>
        <v>KS</v>
      </c>
      <c r="C32" s="95" t="str">
        <f>VLOOKUP(E32&amp;D32,Lists!C:E,3,FALSE)</f>
        <v>Greatsword/Dagger</v>
      </c>
      <c r="D32" s="35" t="s">
        <v>36</v>
      </c>
      <c r="E32" s="36" t="s">
        <v>290</v>
      </c>
      <c r="F32" s="35" t="s">
        <v>483</v>
      </c>
      <c r="G32" s="32">
        <v>14</v>
      </c>
      <c r="H32" s="32">
        <v>33</v>
      </c>
      <c r="I32" s="96">
        <f t="shared" si="0"/>
        <v>47</v>
      </c>
      <c r="J32" s="37">
        <v>1059007</v>
      </c>
      <c r="K32" s="37">
        <v>822837</v>
      </c>
      <c r="L32" s="37">
        <v>74886</v>
      </c>
      <c r="M32" s="38">
        <f>I32/(HLOOKUP(F32,Team_Composition_23[[#All],[Yellow]:[Red]],10,FALSE)+HLOOKUP(F32,Team_Composition_23[[#All],[Yellow]:[Red]],11,FALSE))</f>
        <v>5.7247259439707675E-2</v>
      </c>
      <c r="N32" s="38">
        <f>J32/HLOOKUP(F32,Team_Composition_23[[#All],[Yellow]:[Red]],6,FALSE)</f>
        <v>6.0016021168117141E-2</v>
      </c>
      <c r="O32" s="38">
        <f>K32/HLOOKUP(F32,Team_Composition_23[[#All],[Yellow]:[Red]],8,FALSE)</f>
        <v>1.8694069407313323E-2</v>
      </c>
      <c r="P32" s="38">
        <f>L32/HLOOKUP(F32,Team_Composition_23[[#All],[Yellow]:[Red]],7,FALSE)</f>
        <v>3.0857399840261471E-3</v>
      </c>
      <c r="Q32" s="31"/>
      <c r="R32" s="45" t="s">
        <v>470</v>
      </c>
      <c r="S32" s="46">
        <f>SUMIFS(Scoreboard_38[Amount Healed],Scoreboard_38[Role],"Ranged DPS",Scoreboard_38[Team],"Yellow")</f>
        <v>193543</v>
      </c>
      <c r="T32" s="47">
        <f>SUMIFS(Scoreboard_38[Amount Healed],Scoreboard_38[Role],"Ranged DPS",Scoreboard_38[Team],"Red")</f>
        <v>75600</v>
      </c>
      <c r="U32" s="31"/>
      <c r="V32" s="31"/>
      <c r="W32" s="31"/>
      <c r="X32" s="31"/>
      <c r="Y32" s="31"/>
      <c r="Z32" s="31"/>
      <c r="AA32" s="31"/>
      <c r="AB32" s="45" t="s">
        <v>470</v>
      </c>
      <c r="AC32" s="50">
        <f>SUMIFS(Scoreboard_38[Amount Healed],Scoreboard_38[Role],"Ranged DPS",Scoreboard_38[Guild],"Best Regards")</f>
        <v>185591</v>
      </c>
      <c r="AD32" s="51">
        <f>SUMIFS(Scoreboard_38[Amount Healed],Scoreboard_38[Role],"Ranged DPS",Scoreboard_38[Guild],"Unhinged肉")</f>
        <v>83552</v>
      </c>
    </row>
    <row r="33" spans="1:30" ht="22.5" customHeight="1">
      <c r="A33" s="32">
        <v>29</v>
      </c>
      <c r="B33" s="94" t="str">
        <f>VLOOKUP(C33,Lists!I:J,2,FALSE)</f>
        <v>Melee DPS</v>
      </c>
      <c r="C33" s="95" t="str">
        <f>VLOOKUP(E33&amp;D33,Lists!C:E,3,FALSE)</f>
        <v>Spear/Dagger</v>
      </c>
      <c r="D33" s="35" t="s">
        <v>34</v>
      </c>
      <c r="E33" s="36" t="s">
        <v>169</v>
      </c>
      <c r="F33" s="35" t="s">
        <v>483</v>
      </c>
      <c r="G33" s="32">
        <v>10</v>
      </c>
      <c r="H33" s="32">
        <v>37</v>
      </c>
      <c r="I33" s="96">
        <f t="shared" si="0"/>
        <v>47</v>
      </c>
      <c r="J33" s="37">
        <v>1137325</v>
      </c>
      <c r="K33" s="37">
        <v>840404</v>
      </c>
      <c r="L33" s="37">
        <v>23759</v>
      </c>
      <c r="M33" s="38">
        <f>I33/(HLOOKUP(F33,Team_Composition_23[[#All],[Yellow]:[Red]],10,FALSE)+HLOOKUP(F33,Team_Composition_23[[#All],[Yellow]:[Red]],11,FALSE))</f>
        <v>5.7247259439707675E-2</v>
      </c>
      <c r="N33" s="38">
        <f>J33/HLOOKUP(F33,Team_Composition_23[[#All],[Yellow]:[Red]],6,FALSE)</f>
        <v>6.4454457123540088E-2</v>
      </c>
      <c r="O33" s="38">
        <f>K33/HLOOKUP(F33,Team_Composition_23[[#All],[Yellow]:[Red]],8,FALSE)</f>
        <v>1.9093174840440753E-2</v>
      </c>
      <c r="P33" s="38">
        <f>L33/HLOOKUP(F33,Team_Composition_23[[#All],[Yellow]:[Red]],7,FALSE)</f>
        <v>9.7900937799424753E-4</v>
      </c>
      <c r="Q33" s="31"/>
      <c r="R33" s="45" t="s">
        <v>465</v>
      </c>
      <c r="S33" s="46">
        <f>SUMIFS(Scoreboard_38[Kills],Scoreboard_38[Role],"Ranged DPS",Scoreboard_38[Team],"Yellow")</f>
        <v>116</v>
      </c>
      <c r="T33" s="47">
        <f>SUMIFS(Scoreboard_38[Kills],Scoreboard_38[Role],"Ranged DPS",Scoreboard_38[Team],"Red")</f>
        <v>78</v>
      </c>
      <c r="U33" s="31"/>
      <c r="V33" s="31"/>
      <c r="W33" s="31"/>
      <c r="X33" s="31"/>
      <c r="Y33" s="31"/>
      <c r="Z33" s="31"/>
      <c r="AA33" s="31"/>
      <c r="AB33" s="45" t="s">
        <v>465</v>
      </c>
      <c r="AC33" s="50">
        <f>SUMIFS(Scoreboard_38[Kills],Scoreboard_38[Role],"Ranged DPS",Scoreboard_38[Guild],"Best Regards")</f>
        <v>74</v>
      </c>
      <c r="AD33" s="51">
        <f>SUMIFS(Scoreboard_38[Kills],Scoreboard_38[Role],"Ranged DPS",Scoreboard_38[Guild],"Unhinged肉")</f>
        <v>120</v>
      </c>
    </row>
    <row r="34" spans="1:30" ht="22.5" customHeight="1">
      <c r="A34" s="32">
        <v>56</v>
      </c>
      <c r="B34" s="94" t="str">
        <f>VLOOKUP(C34,Lists!I:J,2,FALSE)</f>
        <v>Healer</v>
      </c>
      <c r="C34" s="95" t="str">
        <f>VLOOKUP(E34&amp;D34,Lists!C:E,3,FALSE)</f>
        <v>Wand/Longbow</v>
      </c>
      <c r="D34" s="35" t="s">
        <v>36</v>
      </c>
      <c r="E34" s="36" t="s">
        <v>309</v>
      </c>
      <c r="F34" s="35" t="s">
        <v>483</v>
      </c>
      <c r="G34" s="32">
        <v>0</v>
      </c>
      <c r="H34" s="32">
        <v>47</v>
      </c>
      <c r="I34" s="96">
        <f t="shared" si="0"/>
        <v>47</v>
      </c>
      <c r="J34" s="37">
        <v>24793</v>
      </c>
      <c r="K34" s="37">
        <v>65705</v>
      </c>
      <c r="L34" s="37">
        <v>1013880</v>
      </c>
      <c r="M34" s="38">
        <f>I34/(HLOOKUP(F34,Team_Composition_23[[#All],[Yellow]:[Red]],10,FALSE)+HLOOKUP(F34,Team_Composition_23[[#All],[Yellow]:[Red]],11,FALSE))</f>
        <v>5.7247259439707675E-2</v>
      </c>
      <c r="N34" s="38">
        <f>J34/HLOOKUP(F34,Team_Composition_23[[#All],[Yellow]:[Red]],6,FALSE)</f>
        <v>1.4050683449883979E-3</v>
      </c>
      <c r="O34" s="38">
        <f>K34/HLOOKUP(F34,Team_Composition_23[[#All],[Yellow]:[Red]],8,FALSE)</f>
        <v>1.4927547380678334E-3</v>
      </c>
      <c r="P34" s="38">
        <f>L34/HLOOKUP(F34,Team_Composition_23[[#All],[Yellow]:[Red]],7,FALSE)</f>
        <v>4.177776960986606E-2</v>
      </c>
      <c r="Q34" s="31"/>
      <c r="R34" s="45" t="s">
        <v>466</v>
      </c>
      <c r="S34" s="46">
        <f>SUMIFS(Scoreboard_38[Assists],Scoreboard_38[Role],"Ranged DPS",Scoreboard_38[Team],"Yellow")</f>
        <v>206</v>
      </c>
      <c r="T34" s="47">
        <f>SUMIFS(Scoreboard_38[Assists],Scoreboard_38[Role],"Ranged DPS",Scoreboard_38[Team],"Red")</f>
        <v>179</v>
      </c>
      <c r="U34" s="31"/>
      <c r="V34" s="31"/>
      <c r="W34" s="31"/>
      <c r="X34" s="31"/>
      <c r="Y34" s="31"/>
      <c r="Z34" s="31"/>
      <c r="AA34" s="31"/>
      <c r="AB34" s="45" t="s">
        <v>466</v>
      </c>
      <c r="AC34" s="50">
        <f>SUMIFS(Scoreboard_38[Assists],Scoreboard_38[Role],"Ranged DPS",Scoreboard_38[Guild],"Best Regards")</f>
        <v>154</v>
      </c>
      <c r="AD34" s="51">
        <f>SUMIFS(Scoreboard_38[Assists],Scoreboard_38[Role],"Ranged DPS",Scoreboard_38[Team],"Unhinged肉")</f>
        <v>0</v>
      </c>
    </row>
    <row r="35" spans="1:30" ht="22.5" customHeight="1">
      <c r="A35" s="32">
        <v>20</v>
      </c>
      <c r="B35" s="94" t="str">
        <f>VLOOKUP(C35,Lists!I:J,2,FALSE)</f>
        <v>Tank</v>
      </c>
      <c r="C35" s="95" t="str">
        <f>VLOOKUP(E35&amp;D35,Lists!C:E,3,FALSE)</f>
        <v>SnS/Spear</v>
      </c>
      <c r="D35" s="35" t="s">
        <v>36</v>
      </c>
      <c r="E35" s="36" t="s">
        <v>289</v>
      </c>
      <c r="F35" s="35" t="s">
        <v>476</v>
      </c>
      <c r="G35" s="32">
        <v>15</v>
      </c>
      <c r="H35" s="32">
        <v>31</v>
      </c>
      <c r="I35" s="96">
        <f t="shared" si="0"/>
        <v>46</v>
      </c>
      <c r="J35" s="37">
        <v>1011481</v>
      </c>
      <c r="K35" s="37">
        <v>484792</v>
      </c>
      <c r="L35" s="37">
        <v>23547</v>
      </c>
      <c r="M35" s="38">
        <f>I35/(HLOOKUP(F35,Team_Composition_23[[#All],[Yellow]:[Red]],10,FALSE)+HLOOKUP(F35,Team_Composition_23[[#All],[Yellow]:[Red]],11,FALSE))</f>
        <v>1.1497125718570358E-2</v>
      </c>
      <c r="N35" s="38">
        <f>J35/HLOOKUP(F35,Team_Composition_23[[#All],[Yellow]:[Red]],6,FALSE)</f>
        <v>2.2799799953074133E-2</v>
      </c>
      <c r="O35" s="38">
        <f>K35/HLOOKUP(F35,Team_Composition_23[[#All],[Yellow]:[Red]],8,FALSE)</f>
        <v>2.7672730089447525E-2</v>
      </c>
      <c r="P35" s="38">
        <f>L35/HLOOKUP(F35,Team_Composition_23[[#All],[Yellow]:[Red]],7,FALSE)</f>
        <v>1.8190352338325875E-3</v>
      </c>
      <c r="Q35" s="31"/>
      <c r="R35" s="45" t="s">
        <v>54</v>
      </c>
      <c r="S35" s="46">
        <f t="shared" ref="S35:S46" si="6">COUNTIFS(C:C,R35,F:F,"Yellow")</f>
        <v>2</v>
      </c>
      <c r="T35" s="47">
        <f t="shared" ref="T35:T46" si="7">COUNTIFS(C:C,R35,F:F,"Red")</f>
        <v>3</v>
      </c>
      <c r="U35" s="31"/>
      <c r="V35" s="31"/>
      <c r="W35" s="31"/>
      <c r="X35" s="31"/>
      <c r="Y35" s="31"/>
      <c r="Z35" s="31"/>
      <c r="AA35" s="31"/>
      <c r="AB35" s="45" t="s">
        <v>54</v>
      </c>
      <c r="AC35" s="50">
        <f t="shared" ref="AC35:AC46" si="8">COUNTIFS(C:C,AB35,D:D,"Best Regards")</f>
        <v>3</v>
      </c>
      <c r="AD35" s="51">
        <f t="shared" ref="AD35:AD46" si="9">COUNTIFS(C:C,AB35,D:D,"Unhinged肉")</f>
        <v>2</v>
      </c>
    </row>
    <row r="36" spans="1:30" ht="22.5" customHeight="1">
      <c r="A36" s="32">
        <v>24</v>
      </c>
      <c r="B36" s="94" t="str">
        <f>VLOOKUP(C36,Lists!I:J,2,FALSE)</f>
        <v>Ranged DPS</v>
      </c>
      <c r="C36" s="95" t="str">
        <f>VLOOKUP(E36&amp;D36,Lists!C:E,3,FALSE)</f>
        <v>Staff/Dagger</v>
      </c>
      <c r="D36" s="35" t="s">
        <v>34</v>
      </c>
      <c r="E36" s="36" t="s">
        <v>172</v>
      </c>
      <c r="F36" s="35" t="s">
        <v>476</v>
      </c>
      <c r="G36" s="32">
        <v>14</v>
      </c>
      <c r="H36" s="32">
        <v>29</v>
      </c>
      <c r="I36" s="96">
        <f t="shared" si="0"/>
        <v>43</v>
      </c>
      <c r="J36" s="37">
        <v>1112029</v>
      </c>
      <c r="K36" s="37">
        <v>1374750</v>
      </c>
      <c r="L36" s="37">
        <v>9934</v>
      </c>
      <c r="M36" s="38">
        <f>I36/(HLOOKUP(F36,Team_Composition_23[[#All],[Yellow]:[Red]],10,FALSE)+HLOOKUP(F36,Team_Composition_23[[#All],[Yellow]:[Red]],11,FALSE))</f>
        <v>1.0747313171707074E-2</v>
      </c>
      <c r="N36" s="38">
        <f>J36/HLOOKUP(F36,Team_Composition_23[[#All],[Yellow]:[Red]],6,FALSE)</f>
        <v>2.5066253090287482E-2</v>
      </c>
      <c r="O36" s="38">
        <f>K36/HLOOKUP(F36,Team_Composition_23[[#All],[Yellow]:[Red]],8,FALSE)</f>
        <v>7.8473006341829049E-2</v>
      </c>
      <c r="P36" s="38">
        <f>L36/HLOOKUP(F36,Team_Composition_23[[#All],[Yellow]:[Red]],7,FALSE)</f>
        <v>7.6741393862882429E-4</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25</v>
      </c>
      <c r="B37" s="94" t="str">
        <f>VLOOKUP(C37,Lists!I:J,2,FALSE)</f>
        <v>Ranged DPS</v>
      </c>
      <c r="C37" s="95" t="str">
        <f>VLOOKUP(E37&amp;D37,Lists!C:E,3,FALSE)</f>
        <v>Crossbow/SnS</v>
      </c>
      <c r="D37" s="35" t="s">
        <v>34</v>
      </c>
      <c r="E37" s="36" t="s">
        <v>167</v>
      </c>
      <c r="F37" s="35" t="s">
        <v>483</v>
      </c>
      <c r="G37" s="32">
        <v>14</v>
      </c>
      <c r="H37" s="32">
        <v>29</v>
      </c>
      <c r="I37" s="96">
        <f t="shared" si="0"/>
        <v>43</v>
      </c>
      <c r="J37" s="37">
        <v>1104246</v>
      </c>
      <c r="K37" s="37">
        <v>503391</v>
      </c>
      <c r="L37" s="37">
        <v>1218</v>
      </c>
      <c r="M37" s="38">
        <f>I37/(HLOOKUP(F37,Team_Composition_23[[#All],[Yellow]:[Red]],10,FALSE)+HLOOKUP(F37,Team_Composition_23[[#All],[Yellow]:[Red]],11,FALSE))</f>
        <v>5.2375152253349572E-2</v>
      </c>
      <c r="N37" s="38">
        <f>J37/HLOOKUP(F37,Team_Composition_23[[#All],[Yellow]:[Red]],6,FALSE)</f>
        <v>6.2579804770703767E-2</v>
      </c>
      <c r="O37" s="38">
        <f>K37/HLOOKUP(F37,Team_Composition_23[[#All],[Yellow]:[Red]],8,FALSE)</f>
        <v>1.1436561910824211E-2</v>
      </c>
      <c r="P37" s="38">
        <f>L37/HLOOKUP(F37,Team_Composition_23[[#All],[Yellow]:[Red]],7,FALSE)</f>
        <v>5.0188704170924432E-5</v>
      </c>
      <c r="Q37" s="31"/>
      <c r="R37" s="45" t="s">
        <v>45</v>
      </c>
      <c r="S37" s="46">
        <f t="shared" si="6"/>
        <v>3</v>
      </c>
      <c r="T37" s="47">
        <f t="shared" si="7"/>
        <v>2</v>
      </c>
      <c r="U37" s="31"/>
      <c r="V37" s="31"/>
      <c r="W37" s="31"/>
      <c r="X37" s="31"/>
      <c r="Y37" s="31"/>
      <c r="Z37" s="31"/>
      <c r="AA37" s="31"/>
      <c r="AB37" s="45" t="s">
        <v>45</v>
      </c>
      <c r="AC37" s="50">
        <f t="shared" si="8"/>
        <v>3</v>
      </c>
      <c r="AD37" s="51">
        <f t="shared" si="9"/>
        <v>2</v>
      </c>
    </row>
    <row r="38" spans="1:30" ht="22.5" customHeight="1">
      <c r="A38" s="32">
        <v>31</v>
      </c>
      <c r="B38" s="94" t="str">
        <f>VLOOKUP(C38,Lists!I:J,2,FALSE)</f>
        <v>Tank</v>
      </c>
      <c r="C38" s="95" t="str">
        <f>VLOOKUP(E38&amp;D38,Lists!C:E,3,FALSE)</f>
        <v>SnS/Greatsword</v>
      </c>
      <c r="D38" s="35" t="s">
        <v>36</v>
      </c>
      <c r="E38" s="36" t="s">
        <v>288</v>
      </c>
      <c r="F38" s="35" t="s">
        <v>476</v>
      </c>
      <c r="G38" s="32">
        <v>7</v>
      </c>
      <c r="H38" s="32">
        <v>36</v>
      </c>
      <c r="I38" s="96">
        <f t="shared" si="0"/>
        <v>43</v>
      </c>
      <c r="J38" s="37">
        <v>646684</v>
      </c>
      <c r="K38" s="37">
        <v>688328</v>
      </c>
      <c r="L38" s="37">
        <v>36404</v>
      </c>
      <c r="M38" s="38">
        <f>I38/(HLOOKUP(F38,Team_Composition_23[[#All],[Yellow]:[Red]],10,FALSE)+HLOOKUP(F38,Team_Composition_23[[#All],[Yellow]:[Red]],11,FALSE))</f>
        <v>1.0747313171707074E-2</v>
      </c>
      <c r="N38" s="38">
        <f>J38/HLOOKUP(F38,Team_Composition_23[[#All],[Yellow]:[Red]],6,FALSE)</f>
        <v>1.457690834810915E-2</v>
      </c>
      <c r="O38" s="38">
        <f>K38/HLOOKUP(F38,Team_Composition_23[[#All],[Yellow]:[Red]],8,FALSE)</f>
        <v>3.929090198891326E-2</v>
      </c>
      <c r="P38" s="38">
        <f>L38/HLOOKUP(F38,Team_Composition_23[[#All],[Yellow]:[Red]],7,FALSE)</f>
        <v>2.8122545824283995E-3</v>
      </c>
      <c r="Q38" s="31"/>
      <c r="R38" s="45" t="s">
        <v>81</v>
      </c>
      <c r="S38" s="46">
        <f t="shared" si="6"/>
        <v>0</v>
      </c>
      <c r="T38" s="47">
        <f t="shared" si="7"/>
        <v>1</v>
      </c>
      <c r="U38" s="31"/>
      <c r="V38" s="31"/>
      <c r="W38" s="31"/>
      <c r="X38" s="31"/>
      <c r="Y38" s="31"/>
      <c r="Z38" s="31"/>
      <c r="AA38" s="31"/>
      <c r="AB38" s="45" t="s">
        <v>81</v>
      </c>
      <c r="AC38" s="50">
        <f t="shared" si="8"/>
        <v>1</v>
      </c>
      <c r="AD38" s="51">
        <f t="shared" si="9"/>
        <v>0</v>
      </c>
    </row>
    <row r="39" spans="1:30" ht="22.5" customHeight="1">
      <c r="A39" s="32">
        <v>39</v>
      </c>
      <c r="B39" s="94" t="str">
        <f>VLOOKUP(C39,Lists!I:J,2,FALSE)</f>
        <v>Healer</v>
      </c>
      <c r="C39" s="95" t="str">
        <f>VLOOKUP(E39&amp;D39,Lists!C:E,3,FALSE)</f>
        <v>Wand/Orb</v>
      </c>
      <c r="D39" s="35" t="s">
        <v>36</v>
      </c>
      <c r="E39" s="36" t="s">
        <v>314</v>
      </c>
      <c r="F39" s="35" t="s">
        <v>476</v>
      </c>
      <c r="G39" s="32">
        <v>1</v>
      </c>
      <c r="H39" s="32">
        <v>41</v>
      </c>
      <c r="I39" s="96">
        <f t="shared" si="0"/>
        <v>42</v>
      </c>
      <c r="J39" s="37">
        <v>9263</v>
      </c>
      <c r="K39" s="37">
        <v>79144</v>
      </c>
      <c r="L39" s="37">
        <v>454097</v>
      </c>
      <c r="M39" s="38">
        <f>I39/(HLOOKUP(F39,Team_Composition_23[[#All],[Yellow]:[Red]],10,FALSE)+HLOOKUP(F39,Team_Composition_23[[#All],[Yellow]:[Red]],11,FALSE))</f>
        <v>1.0497375656085979E-2</v>
      </c>
      <c r="N39" s="38">
        <f>J39/HLOOKUP(F39,Team_Composition_23[[#All],[Yellow]:[Red]],6,FALSE)</f>
        <v>2.0879734465138316E-4</v>
      </c>
      <c r="O39" s="38">
        <f>K39/HLOOKUP(F39,Team_Composition_23[[#All],[Yellow]:[Red]],8,FALSE)</f>
        <v>4.5176705684071413E-3</v>
      </c>
      <c r="P39" s="38">
        <f>L39/HLOOKUP(F39,Team_Composition_23[[#All],[Yellow]:[Red]],7,FALSE)</f>
        <v>3.5079561837078034E-2</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32">
        <v>57</v>
      </c>
      <c r="B40" s="94" t="str">
        <f>VLOOKUP(C40,Lists!I:J,2,FALSE)</f>
        <v>Healer</v>
      </c>
      <c r="C40" s="95" t="str">
        <f>VLOOKUP(E40&amp;D40,Lists!C:E,3,FALSE)</f>
        <v>Wand/Orb</v>
      </c>
      <c r="D40" s="35" t="s">
        <v>36</v>
      </c>
      <c r="E40" s="36" t="s">
        <v>269</v>
      </c>
      <c r="F40" s="35" t="s">
        <v>476</v>
      </c>
      <c r="G40" s="32">
        <v>0</v>
      </c>
      <c r="H40" s="32">
        <v>42</v>
      </c>
      <c r="I40" s="96">
        <f t="shared" si="0"/>
        <v>42</v>
      </c>
      <c r="J40" s="37">
        <v>8515</v>
      </c>
      <c r="K40" s="37">
        <v>324150</v>
      </c>
      <c r="L40" s="37">
        <v>750289</v>
      </c>
      <c r="M40" s="38">
        <f>I40/(HLOOKUP(F40,Team_Composition_23[[#All],[Yellow]:[Red]],10,FALSE)+HLOOKUP(F40,Team_Composition_23[[#All],[Yellow]:[Red]],11,FALSE))</f>
        <v>1.0497375656085979E-2</v>
      </c>
      <c r="N40" s="38">
        <f>J40/HLOOKUP(F40,Team_Composition_23[[#All],[Yellow]:[Red]],6,FALSE)</f>
        <v>1.9193667167294911E-4</v>
      </c>
      <c r="O40" s="38">
        <f>K40/HLOOKUP(F40,Team_Composition_23[[#All],[Yellow]:[Red]],8,FALSE)</f>
        <v>1.8503018734827337E-2</v>
      </c>
      <c r="P40" s="38">
        <f>L40/HLOOKUP(F40,Team_Composition_23[[#All],[Yellow]:[Red]],7,FALSE)</f>
        <v>5.7960764707054753E-2</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58</v>
      </c>
      <c r="B41" s="94" t="str">
        <f>VLOOKUP(C41,Lists!I:J,2,FALSE)</f>
        <v>Healer</v>
      </c>
      <c r="C41" s="95" t="str">
        <f>VLOOKUP(E41&amp;D41,Lists!C:E,3,FALSE)</f>
        <v>Wand/Orb</v>
      </c>
      <c r="D41" s="35" t="s">
        <v>34</v>
      </c>
      <c r="E41" s="36" t="s">
        <v>146</v>
      </c>
      <c r="F41" s="35" t="s">
        <v>483</v>
      </c>
      <c r="G41" s="32">
        <v>0</v>
      </c>
      <c r="H41" s="32">
        <v>42</v>
      </c>
      <c r="I41" s="96">
        <f t="shared" si="0"/>
        <v>42</v>
      </c>
      <c r="J41" s="37">
        <v>7597</v>
      </c>
      <c r="K41" s="37">
        <v>169071</v>
      </c>
      <c r="L41" s="37">
        <v>557813</v>
      </c>
      <c r="M41" s="38">
        <f>I41/(HLOOKUP(F41,Team_Composition_23[[#All],[Yellow]:[Red]],10,FALSE)+HLOOKUP(F41,Team_Composition_23[[#All],[Yellow]:[Red]],11,FALSE))</f>
        <v>5.1157125456760051E-2</v>
      </c>
      <c r="N41" s="38">
        <f>J41/HLOOKUP(F41,Team_Composition_23[[#All],[Yellow]:[Red]],6,FALSE)</f>
        <v>4.3053701516060415E-4</v>
      </c>
      <c r="O41" s="38">
        <f>K41/HLOOKUP(F41,Team_Composition_23[[#All],[Yellow]:[Red]],8,FALSE)</f>
        <v>3.8411313647342925E-3</v>
      </c>
      <c r="P41" s="38">
        <f>L41/HLOOKUP(F41,Team_Composition_23[[#All],[Yellow]:[Red]],7,FALSE)</f>
        <v>2.2985149129471156E-2</v>
      </c>
      <c r="Q41" s="31"/>
      <c r="R41" s="45" t="s">
        <v>52</v>
      </c>
      <c r="S41" s="46">
        <f t="shared" si="6"/>
        <v>0</v>
      </c>
      <c r="T41" s="47">
        <f t="shared" si="7"/>
        <v>0</v>
      </c>
      <c r="U41" s="31"/>
      <c r="V41" s="31"/>
      <c r="W41" s="31"/>
      <c r="X41" s="31"/>
      <c r="Y41" s="31"/>
      <c r="Z41" s="31"/>
      <c r="AA41" s="31"/>
      <c r="AB41" s="45" t="s">
        <v>52</v>
      </c>
      <c r="AC41" s="50">
        <f t="shared" si="8"/>
        <v>0</v>
      </c>
      <c r="AD41" s="51">
        <f t="shared" si="9"/>
        <v>0</v>
      </c>
    </row>
    <row r="42" spans="1:30" ht="22.5" customHeight="1">
      <c r="A42" s="32">
        <v>40</v>
      </c>
      <c r="B42" s="94" t="str">
        <f>VLOOKUP(C42,Lists!I:J,2,FALSE)</f>
        <v>Tank</v>
      </c>
      <c r="C42" s="95" t="str">
        <f>VLOOKUP(E42&amp;D42,Lists!C:E,3,FALSE)</f>
        <v>SnS/Greatsword</v>
      </c>
      <c r="D42" s="35" t="s">
        <v>34</v>
      </c>
      <c r="E42" s="36" t="s">
        <v>55</v>
      </c>
      <c r="F42" s="35" t="s">
        <v>476</v>
      </c>
      <c r="G42" s="32">
        <v>1</v>
      </c>
      <c r="H42" s="32">
        <v>40</v>
      </c>
      <c r="I42" s="96">
        <f t="shared" si="0"/>
        <v>41</v>
      </c>
      <c r="J42" s="37">
        <v>166609</v>
      </c>
      <c r="K42" s="37">
        <v>363628</v>
      </c>
      <c r="L42" s="37">
        <v>35866</v>
      </c>
      <c r="M42" s="38">
        <f>I42/(HLOOKUP(F42,Team_Composition_23[[#All],[Yellow]:[Red]],10,FALSE)+HLOOKUP(F42,Team_Composition_23[[#All],[Yellow]:[Red]],11,FALSE))</f>
        <v>1.0247438140464884E-2</v>
      </c>
      <c r="N42" s="38">
        <f>J42/HLOOKUP(F42,Team_Composition_23[[#All],[Yellow]:[Red]],6,FALSE)</f>
        <v>3.7555345778929393E-3</v>
      </c>
      <c r="O42" s="38">
        <f>K42/HLOOKUP(F42,Team_Composition_23[[#All],[Yellow]:[Red]],8,FALSE)</f>
        <v>2.0756488343383606E-2</v>
      </c>
      <c r="P42" s="38">
        <f>L42/HLOOKUP(F42,Team_Composition_23[[#All],[Yellow]:[Red]],7,FALSE)</f>
        <v>2.7706934087841162E-3</v>
      </c>
      <c r="Q42" s="31"/>
      <c r="R42" s="45" t="s">
        <v>32</v>
      </c>
      <c r="S42" s="46">
        <f t="shared" si="6"/>
        <v>3</v>
      </c>
      <c r="T42" s="47">
        <f t="shared" si="7"/>
        <v>3</v>
      </c>
      <c r="U42" s="31"/>
      <c r="V42" s="31"/>
      <c r="W42" s="31"/>
      <c r="X42" s="31"/>
      <c r="Y42" s="31"/>
      <c r="Z42" s="31"/>
      <c r="AA42" s="31"/>
      <c r="AB42" s="45" t="s">
        <v>32</v>
      </c>
      <c r="AC42" s="50">
        <f t="shared" si="8"/>
        <v>1</v>
      </c>
      <c r="AD42" s="51">
        <f t="shared" si="9"/>
        <v>5</v>
      </c>
    </row>
    <row r="43" spans="1:30" ht="22.5" customHeight="1">
      <c r="A43" s="32">
        <v>21</v>
      </c>
      <c r="B43" s="94" t="str">
        <f>VLOOKUP(C43,Lists!I:J,2,FALSE)</f>
        <v>KS</v>
      </c>
      <c r="C43" s="95" t="str">
        <f>VLOOKUP(E43&amp;D43,Lists!C:E,3,FALSE)</f>
        <v>Crossbow/Dagger</v>
      </c>
      <c r="D43" s="35" t="s">
        <v>36</v>
      </c>
      <c r="E43" s="36" t="s">
        <v>291</v>
      </c>
      <c r="F43" s="35" t="s">
        <v>476</v>
      </c>
      <c r="G43" s="32">
        <v>15</v>
      </c>
      <c r="H43" s="32">
        <v>25</v>
      </c>
      <c r="I43" s="96">
        <f t="shared" si="0"/>
        <v>40</v>
      </c>
      <c r="J43" s="37">
        <v>959196</v>
      </c>
      <c r="K43" s="37">
        <v>793058</v>
      </c>
      <c r="L43" s="37">
        <v>7318</v>
      </c>
      <c r="M43" s="38">
        <f>I43/(HLOOKUP(F43,Team_Composition_23[[#All],[Yellow]:[Red]],10,FALSE)+HLOOKUP(F43,Team_Composition_23[[#All],[Yellow]:[Red]],11,FALSE))</f>
        <v>9.997500624843789E-3</v>
      </c>
      <c r="N43" s="38">
        <f>J43/HLOOKUP(F43,Team_Composition_23[[#All],[Yellow]:[Red]],6,FALSE)</f>
        <v>2.1621243420082925E-2</v>
      </c>
      <c r="O43" s="38">
        <f>K43/HLOOKUP(F43,Team_Composition_23[[#All],[Yellow]:[Red]],8,FALSE)</f>
        <v>4.5269063803192039E-2</v>
      </c>
      <c r="P43" s="38">
        <f>L43/HLOOKUP(F43,Team_Composition_23[[#All],[Yellow]:[Red]],7,FALSE)</f>
        <v>5.6532466306480128E-4</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59</v>
      </c>
      <c r="B44" s="94" t="str">
        <f>VLOOKUP(C44,Lists!I:J,2,FALSE)</f>
        <v>Healer</v>
      </c>
      <c r="C44" s="95" t="str">
        <f>VLOOKUP(E44&amp;D44,Lists!C:E,3,FALSE)</f>
        <v>Wand/Longbow</v>
      </c>
      <c r="D44" s="35" t="s">
        <v>36</v>
      </c>
      <c r="E44" s="36" t="s">
        <v>299</v>
      </c>
      <c r="F44" s="35" t="s">
        <v>476</v>
      </c>
      <c r="G44" s="32">
        <v>0</v>
      </c>
      <c r="H44" s="32">
        <v>38</v>
      </c>
      <c r="I44" s="96">
        <f t="shared" si="0"/>
        <v>38</v>
      </c>
      <c r="J44" s="37">
        <v>31769</v>
      </c>
      <c r="K44" s="37">
        <v>35844</v>
      </c>
      <c r="L44" s="37">
        <v>764484</v>
      </c>
      <c r="M44" s="38">
        <f>I44/(HLOOKUP(F44,Team_Composition_23[[#All],[Yellow]:[Red]],10,FALSE)+HLOOKUP(F44,Team_Composition_23[[#All],[Yellow]:[Red]],11,FALSE))</f>
        <v>9.4976255936015993E-3</v>
      </c>
      <c r="N44" s="38">
        <f>J44/HLOOKUP(F44,Team_Composition_23[[#All],[Yellow]:[Red]],6,FALSE)</f>
        <v>7.1610524044367829E-4</v>
      </c>
      <c r="O44" s="38">
        <f>K44/HLOOKUP(F44,Team_Composition_23[[#All],[Yellow]:[Red]],8,FALSE)</f>
        <v>2.0460348712977054E-3</v>
      </c>
      <c r="P44" s="38">
        <f>L44/HLOOKUP(F44,Team_Composition_23[[#All],[Yellow]:[Red]],7,FALSE)</f>
        <v>5.9057346230996385E-2</v>
      </c>
      <c r="Q44" s="31"/>
      <c r="R44" s="45" t="s">
        <v>58</v>
      </c>
      <c r="S44" s="46">
        <f t="shared" si="6"/>
        <v>1</v>
      </c>
      <c r="T44" s="47">
        <f t="shared" si="7"/>
        <v>1</v>
      </c>
      <c r="U44" s="31"/>
      <c r="V44" s="31"/>
      <c r="W44" s="31"/>
      <c r="X44" s="31"/>
      <c r="Y44" s="31"/>
      <c r="Z44" s="31"/>
      <c r="AA44" s="31"/>
      <c r="AB44" s="45" t="s">
        <v>58</v>
      </c>
      <c r="AC44" s="50">
        <f t="shared" si="8"/>
        <v>2</v>
      </c>
      <c r="AD44" s="51">
        <f t="shared" si="9"/>
        <v>0</v>
      </c>
    </row>
    <row r="45" spans="1:30" ht="22.5" customHeight="1">
      <c r="A45" s="32">
        <v>60</v>
      </c>
      <c r="B45" s="94" t="str">
        <f>VLOOKUP(C45,Lists!I:J,2,FALSE)</f>
        <v>Healer</v>
      </c>
      <c r="C45" s="95" t="str">
        <f>VLOOKUP(E45&amp;D45,Lists!C:E,3,FALSE)</f>
        <v>Wand/Longbow</v>
      </c>
      <c r="D45" s="35" t="s">
        <v>36</v>
      </c>
      <c r="E45" s="36" t="s">
        <v>271</v>
      </c>
      <c r="F45" s="35" t="s">
        <v>476</v>
      </c>
      <c r="G45" s="32">
        <v>0</v>
      </c>
      <c r="H45" s="32">
        <v>38</v>
      </c>
      <c r="I45" s="96">
        <f t="shared" si="0"/>
        <v>38</v>
      </c>
      <c r="J45" s="37">
        <v>18163</v>
      </c>
      <c r="K45" s="37">
        <v>494058</v>
      </c>
      <c r="L45" s="37">
        <v>1203608</v>
      </c>
      <c r="M45" s="38">
        <f>I45/(HLOOKUP(F45,Team_Composition_23[[#All],[Yellow]:[Red]],10,FALSE)+HLOOKUP(F45,Team_Composition_23[[#All],[Yellow]:[Red]],11,FALSE))</f>
        <v>9.4976255936015993E-3</v>
      </c>
      <c r="N45" s="38">
        <f>J45/HLOOKUP(F45,Team_Composition_23[[#All],[Yellow]:[Red]],6,FALSE)</f>
        <v>4.0941230388676157E-4</v>
      </c>
      <c r="O45" s="38">
        <f>K45/HLOOKUP(F45,Team_Composition_23[[#All],[Yellow]:[Red]],8,FALSE)</f>
        <v>2.8201648712297779E-2</v>
      </c>
      <c r="P45" s="38">
        <f>L45/HLOOKUP(F45,Team_Composition_23[[#All],[Yellow]:[Red]],7,FALSE)</f>
        <v>9.2980225069978051E-2</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61</v>
      </c>
      <c r="B46" s="94" t="str">
        <f>VLOOKUP(C46,Lists!I:J,2,FALSE)</f>
        <v>Healer</v>
      </c>
      <c r="C46" s="95" t="str">
        <f>VLOOKUP(E46&amp;D46,Lists!C:E,3,FALSE)</f>
        <v>Wand/Longbow</v>
      </c>
      <c r="D46" s="35" t="s">
        <v>34</v>
      </c>
      <c r="E46" s="36" t="s">
        <v>29</v>
      </c>
      <c r="F46" s="35" t="s">
        <v>483</v>
      </c>
      <c r="G46" s="32">
        <v>0</v>
      </c>
      <c r="H46" s="32">
        <v>37</v>
      </c>
      <c r="I46" s="96">
        <f t="shared" si="0"/>
        <v>37</v>
      </c>
      <c r="J46" s="37">
        <v>66750</v>
      </c>
      <c r="K46" s="37">
        <v>222121</v>
      </c>
      <c r="L46" s="37">
        <v>1794601</v>
      </c>
      <c r="M46" s="38">
        <f>I46/(HLOOKUP(F46,Team_Composition_23[[#All],[Yellow]:[Red]],10,FALSE)+HLOOKUP(F46,Team_Composition_23[[#All],[Yellow]:[Red]],11,FALSE))</f>
        <v>4.5066991473812421E-2</v>
      </c>
      <c r="N46" s="38">
        <f>J46/HLOOKUP(F46,Team_Composition_23[[#All],[Yellow]:[Red]],6,FALSE)</f>
        <v>3.7828545165157729E-3</v>
      </c>
      <c r="O46" s="38">
        <f>K46/HLOOKUP(F46,Team_Composition_23[[#All],[Yellow]:[Red]],8,FALSE)</f>
        <v>5.0463766102178719E-3</v>
      </c>
      <c r="P46" s="38">
        <f>L46/HLOOKUP(F46,Team_Composition_23[[#All],[Yellow]:[Red]],7,FALSE)</f>
        <v>7.3948028484273523E-2</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62</v>
      </c>
      <c r="B47" s="94" t="str">
        <f>VLOOKUP(C47,Lists!I:J,2,FALSE)</f>
        <v>Healer</v>
      </c>
      <c r="C47" s="95" t="str">
        <f>VLOOKUP(E47&amp;D47,Lists!C:E,3,FALSE)</f>
        <v>Wand/Orb</v>
      </c>
      <c r="D47" s="35" t="s">
        <v>36</v>
      </c>
      <c r="E47" s="36" t="s">
        <v>326</v>
      </c>
      <c r="F47" s="35" t="s">
        <v>476</v>
      </c>
      <c r="G47" s="32">
        <v>0</v>
      </c>
      <c r="H47" s="32">
        <v>37</v>
      </c>
      <c r="I47" s="96">
        <f t="shared" si="0"/>
        <v>37</v>
      </c>
      <c r="J47" s="37">
        <v>22506</v>
      </c>
      <c r="K47" s="37">
        <v>164750</v>
      </c>
      <c r="L47" s="37">
        <v>83686</v>
      </c>
      <c r="M47" s="38">
        <f>I47/(HLOOKUP(F47,Team_Composition_23[[#All],[Yellow]:[Red]],10,FALSE)+HLOOKUP(F47,Team_Composition_23[[#All],[Yellow]:[Red]],11,FALSE))</f>
        <v>9.2476880779805044E-3</v>
      </c>
      <c r="N47" s="38">
        <f>J47/HLOOKUP(F47,Team_Composition_23[[#All],[Yellow]:[Red]],6,FALSE)</f>
        <v>5.0730789579229508E-4</v>
      </c>
      <c r="O47" s="38">
        <f>K47/HLOOKUP(F47,Team_Composition_23[[#All],[Yellow]:[Red]],8,FALSE)</f>
        <v>9.4042027967385592E-3</v>
      </c>
      <c r="P47" s="38">
        <f>L47/HLOOKUP(F47,Team_Composition_23[[#All],[Yellow]:[Red]],7,FALSE)</f>
        <v>6.4648482854934358E-3</v>
      </c>
      <c r="Q47" s="31"/>
      <c r="R47" s="48"/>
      <c r="S47" s="63"/>
      <c r="T47" s="63"/>
      <c r="U47" s="31"/>
      <c r="V47" s="31"/>
      <c r="W47" s="31"/>
      <c r="X47" s="31"/>
      <c r="Y47" s="31"/>
      <c r="Z47" s="31"/>
      <c r="AA47" s="31"/>
      <c r="AB47" s="48"/>
      <c r="AC47" s="63"/>
      <c r="AD47" s="63"/>
    </row>
    <row r="48" spans="1:30" ht="22.5" customHeight="1">
      <c r="A48" s="32">
        <v>63</v>
      </c>
      <c r="B48" s="94" t="str">
        <f>VLOOKUP(C48,Lists!I:J,2,FALSE)</f>
        <v>Tank</v>
      </c>
      <c r="C48" s="95" t="str">
        <f>VLOOKUP(E48&amp;D48,Lists!C:E,3,FALSE)</f>
        <v>SnS/Greatsword</v>
      </c>
      <c r="D48" s="35" t="s">
        <v>36</v>
      </c>
      <c r="E48" s="36" t="s">
        <v>293</v>
      </c>
      <c r="F48" s="35" t="s">
        <v>483</v>
      </c>
      <c r="G48" s="32">
        <v>0</v>
      </c>
      <c r="H48" s="32">
        <v>33</v>
      </c>
      <c r="I48" s="96">
        <f t="shared" si="0"/>
        <v>33</v>
      </c>
      <c r="J48" s="37">
        <v>42862</v>
      </c>
      <c r="K48" s="37">
        <v>173714</v>
      </c>
      <c r="L48" s="37">
        <v>24810</v>
      </c>
      <c r="M48" s="38">
        <f>I48/(HLOOKUP(F48,Team_Composition_23[[#All],[Yellow]:[Red]],10,FALSE)+HLOOKUP(F48,Team_Composition_23[[#All],[Yellow]:[Red]],11,FALSE))</f>
        <v>4.0194884287454324E-2</v>
      </c>
      <c r="N48" s="38">
        <f>J48/HLOOKUP(F48,Team_Composition_23[[#All],[Yellow]:[Red]],6,FALSE)</f>
        <v>2.429074311414218E-3</v>
      </c>
      <c r="O48" s="38">
        <f>K48/HLOOKUP(F48,Team_Composition_23[[#All],[Yellow]:[Red]],8,FALSE)</f>
        <v>3.9466158826377846E-3</v>
      </c>
      <c r="P48" s="38">
        <f>L48/HLOOKUP(F48,Team_Composition_23[[#All],[Yellow]:[Red]],7,FALSE)</f>
        <v>1.0223167081121799E-3</v>
      </c>
      <c r="Q48" s="31"/>
      <c r="R48" s="31"/>
      <c r="S48" s="64"/>
      <c r="T48" s="64"/>
      <c r="U48" s="31"/>
      <c r="V48" s="31"/>
      <c r="W48" s="31"/>
      <c r="X48" s="31"/>
      <c r="Y48" s="31"/>
      <c r="Z48" s="31"/>
      <c r="AA48" s="31"/>
      <c r="AB48" s="31"/>
      <c r="AC48" s="64"/>
      <c r="AD48" s="64"/>
    </row>
    <row r="49" spans="1:30" ht="22.5" customHeight="1">
      <c r="A49" s="32">
        <v>64</v>
      </c>
      <c r="B49" s="94" t="str">
        <f>VLOOKUP(C49,Lists!I:J,2,FALSE)</f>
        <v>Healer</v>
      </c>
      <c r="C49" s="95" t="str">
        <f>VLOOKUP(E49&amp;D49,Lists!C:E,3,FALSE)</f>
        <v>Wand/Orb</v>
      </c>
      <c r="D49" s="35" t="s">
        <v>36</v>
      </c>
      <c r="E49" s="36" t="s">
        <v>319</v>
      </c>
      <c r="F49" s="35" t="s">
        <v>483</v>
      </c>
      <c r="G49" s="32">
        <v>0</v>
      </c>
      <c r="H49" s="32">
        <v>32</v>
      </c>
      <c r="I49" s="96">
        <f t="shared" si="0"/>
        <v>32</v>
      </c>
      <c r="J49" s="37">
        <v>23445</v>
      </c>
      <c r="K49" s="37">
        <v>172162</v>
      </c>
      <c r="L49" s="37">
        <v>172294</v>
      </c>
      <c r="M49" s="38">
        <f>I49/(HLOOKUP(F49,Team_Composition_23[[#All],[Yellow]:[Red]],10,FALSE)+HLOOKUP(F49,Team_Composition_23[[#All],[Yellow]:[Red]],11,FALSE))</f>
        <v>3.8976857490864797E-2</v>
      </c>
      <c r="N49" s="38">
        <f>J49/HLOOKUP(F49,Team_Composition_23[[#All],[Yellow]:[Red]],6,FALSE)</f>
        <v>1.3286745189470006E-3</v>
      </c>
      <c r="O49" s="38">
        <f>K49/HLOOKUP(F49,Team_Composition_23[[#All],[Yellow]:[Red]],8,FALSE)</f>
        <v>3.9113559274824494E-3</v>
      </c>
      <c r="P49" s="38">
        <f>L49/HLOOKUP(F49,Team_Composition_23[[#All],[Yellow]:[Red]],7,FALSE)</f>
        <v>7.0995177310552169E-3</v>
      </c>
      <c r="Q49" s="31"/>
      <c r="R49" s="227" t="s">
        <v>67</v>
      </c>
      <c r="S49" s="228"/>
      <c r="T49" s="228"/>
      <c r="U49" s="31"/>
      <c r="V49" s="31"/>
      <c r="W49" s="31"/>
      <c r="X49" s="31"/>
      <c r="Y49" s="31"/>
      <c r="Z49" s="31"/>
      <c r="AA49" s="31"/>
      <c r="AB49" s="227" t="s">
        <v>67</v>
      </c>
      <c r="AC49" s="228"/>
      <c r="AD49" s="228"/>
    </row>
    <row r="50" spans="1:30" ht="22.5" customHeight="1">
      <c r="A50" s="32">
        <v>41</v>
      </c>
      <c r="B50" s="94" t="str">
        <f>VLOOKUP(C50,Lists!I:J,2,FALSE)</f>
        <v>Healer</v>
      </c>
      <c r="C50" s="95" t="str">
        <f>VLOOKUP(E50&amp;D50,Lists!C:E,3,FALSE)</f>
        <v>Wand/Orb</v>
      </c>
      <c r="D50" s="35" t="s">
        <v>36</v>
      </c>
      <c r="E50" s="36" t="s">
        <v>276</v>
      </c>
      <c r="F50" s="35" t="s">
        <v>476</v>
      </c>
      <c r="G50" s="32">
        <v>1</v>
      </c>
      <c r="H50" s="32">
        <v>30</v>
      </c>
      <c r="I50" s="96">
        <f t="shared" si="0"/>
        <v>31</v>
      </c>
      <c r="J50" s="37">
        <v>30702</v>
      </c>
      <c r="K50" s="37">
        <v>292829</v>
      </c>
      <c r="L50" s="37">
        <v>583005</v>
      </c>
      <c r="M50" s="38">
        <f>I50/(HLOOKUP(F50,Team_Composition_23[[#All],[Yellow]:[Red]],10,FALSE)+HLOOKUP(F50,Team_Composition_23[[#All],[Yellow]:[Red]],11,FALSE))</f>
        <v>7.7480629842539362E-3</v>
      </c>
      <c r="N50" s="38">
        <f>J50/HLOOKUP(F50,Team_Composition_23[[#All],[Yellow]:[Red]],6,FALSE)</f>
        <v>6.920539863420885E-4</v>
      </c>
      <c r="O50" s="38">
        <f>K50/HLOOKUP(F50,Team_Composition_23[[#All],[Yellow]:[Red]],8,FALSE)</f>
        <v>1.6715164192814297E-2</v>
      </c>
      <c r="P50" s="38">
        <f>L50/HLOOKUP(F50,Team_Composition_23[[#All],[Yellow]:[Red]],7,FALSE)</f>
        <v>4.5037866246255054E-2</v>
      </c>
      <c r="Q50" s="31"/>
      <c r="R50" s="41" t="s">
        <v>482</v>
      </c>
      <c r="S50" s="42" t="s">
        <v>476</v>
      </c>
      <c r="T50" s="42" t="s">
        <v>483</v>
      </c>
      <c r="U50" s="31"/>
      <c r="V50" s="31"/>
      <c r="W50" s="31"/>
      <c r="X50" s="31"/>
      <c r="Y50" s="31"/>
      <c r="Z50" s="31"/>
      <c r="AA50" s="31"/>
      <c r="AB50" s="41" t="s">
        <v>482</v>
      </c>
      <c r="AC50" s="42" t="s">
        <v>485</v>
      </c>
      <c r="AD50" s="42" t="s">
        <v>36</v>
      </c>
    </row>
    <row r="51" spans="1:30" ht="22.5" customHeight="1">
      <c r="A51" s="32">
        <v>65</v>
      </c>
      <c r="B51" s="94" t="str">
        <f>VLOOKUP(C51,Lists!I:J,2,FALSE)</f>
        <v>Tank</v>
      </c>
      <c r="C51" s="95" t="str">
        <f>VLOOKUP(E51&amp;D51,Lists!C:E,3,FALSE)</f>
        <v>SnS/Greatsword</v>
      </c>
      <c r="D51" s="35" t="s">
        <v>36</v>
      </c>
      <c r="E51" s="36" t="s">
        <v>320</v>
      </c>
      <c r="F51" s="35" t="s">
        <v>476</v>
      </c>
      <c r="G51" s="32">
        <v>0</v>
      </c>
      <c r="H51" s="32">
        <v>31</v>
      </c>
      <c r="I51" s="96">
        <f t="shared" si="0"/>
        <v>31</v>
      </c>
      <c r="J51" s="37">
        <v>75778</v>
      </c>
      <c r="K51" s="37">
        <v>58213</v>
      </c>
      <c r="L51" s="37">
        <v>11556</v>
      </c>
      <c r="M51" s="38">
        <f>I51/(HLOOKUP(F51,Team_Composition_23[[#All],[Yellow]:[Red]],10,FALSE)+HLOOKUP(F51,Team_Composition_23[[#All],[Yellow]:[Red]],11,FALSE))</f>
        <v>7.7480629842539362E-3</v>
      </c>
      <c r="N51" s="38">
        <f>J51/HLOOKUP(F51,Team_Composition_23[[#All],[Yellow]:[Red]],6,FALSE)</f>
        <v>1.7081124023526409E-3</v>
      </c>
      <c r="O51" s="38">
        <f>K51/HLOOKUP(F51,Team_Composition_23[[#All],[Yellow]:[Red]],8,FALSE)</f>
        <v>3.322894430388721E-3</v>
      </c>
      <c r="P51" s="38">
        <f>L51/HLOOKUP(F51,Team_Composition_23[[#All],[Yellow]:[Red]],7,FALSE)</f>
        <v>8.9271546957868863E-4</v>
      </c>
      <c r="Q51" s="31"/>
      <c r="R51" s="45" t="s">
        <v>468</v>
      </c>
      <c r="S51" s="46">
        <f>SUMIFS(Scoreboard_38[Damage Dealt],Scoreboard_38[Role],"Tank",Scoreboard_38[Team],"Yellow")</f>
        <v>2967189</v>
      </c>
      <c r="T51" s="47">
        <f>SUMIFS(Scoreboard_38[Damage Dealt],Scoreboard_38[Role],"Tank",Scoreboard_38[Team],"Red")</f>
        <v>1394242</v>
      </c>
      <c r="U51" s="31"/>
      <c r="V51" s="31"/>
      <c r="W51" s="31"/>
      <c r="X51" s="31"/>
      <c r="Y51" s="31"/>
      <c r="Z51" s="31"/>
      <c r="AA51" s="31"/>
      <c r="AB51" s="45" t="s">
        <v>468</v>
      </c>
      <c r="AC51" s="50">
        <f>SUMIFS(Scoreboard_38[Damage Dealt],Scoreboard_38[Role],"Tank",Scoreboard_38[Guild],"Best Regards")</f>
        <v>1591864</v>
      </c>
      <c r="AD51" s="51">
        <f>SUMIFS(Scoreboard_38[Damage Dealt],Scoreboard_38[Role],"Tank",Scoreboard_38[Guild],"Unhinged肉")</f>
        <v>2729412</v>
      </c>
    </row>
    <row r="52" spans="1:30" ht="22.5" customHeight="1">
      <c r="A52" s="32">
        <v>66</v>
      </c>
      <c r="B52" s="94" t="str">
        <f>VLOOKUP(C52,Lists!I:J,2,FALSE)</f>
        <v>Healer</v>
      </c>
      <c r="C52" s="95" t="str">
        <f>VLOOKUP(E52&amp;D52,Lists!C:E,3,FALSE)</f>
        <v>Wand/Longbow</v>
      </c>
      <c r="D52" s="35" t="s">
        <v>34</v>
      </c>
      <c r="E52" s="36" t="s">
        <v>157</v>
      </c>
      <c r="F52" s="35" t="s">
        <v>476</v>
      </c>
      <c r="G52" s="32">
        <v>0</v>
      </c>
      <c r="H52" s="32">
        <v>31</v>
      </c>
      <c r="I52" s="96">
        <f t="shared" si="0"/>
        <v>31</v>
      </c>
      <c r="J52" s="37">
        <v>20831</v>
      </c>
      <c r="K52" s="37">
        <v>233465</v>
      </c>
      <c r="L52" s="37">
        <v>1545783</v>
      </c>
      <c r="M52" s="38">
        <f>I52/(HLOOKUP(F52,Team_Composition_23[[#All],[Yellow]:[Red]],10,FALSE)+HLOOKUP(F52,Team_Composition_23[[#All],[Yellow]:[Red]],11,FALSE))</f>
        <v>7.7480629842539362E-3</v>
      </c>
      <c r="N52" s="38">
        <f>J52/HLOOKUP(F52,Team_Composition_23[[#All],[Yellow]:[Red]],6,FALSE)</f>
        <v>4.6955170964406374E-4</v>
      </c>
      <c r="O52" s="38">
        <f>K52/HLOOKUP(F52,Team_Composition_23[[#All],[Yellow]:[Red]],8,FALSE)</f>
        <v>1.3326568776574009E-2</v>
      </c>
      <c r="P52" s="38">
        <f>L52/HLOOKUP(F52,Team_Composition_23[[#All],[Yellow]:[Red]],7,FALSE)</f>
        <v>0.11941367226650693</v>
      </c>
      <c r="Q52" s="31"/>
      <c r="R52" s="45" t="s">
        <v>469</v>
      </c>
      <c r="S52" s="46">
        <f>SUMIFS(Scoreboard_38[Damage Taken],Scoreboard_38[Role],"Tank",Scoreboard_38[Team],"Yellow")</f>
        <v>6287738</v>
      </c>
      <c r="T52" s="47">
        <f>SUMIFS(Scoreboard_38[Damage Taken],Scoreboard_38[Role],"Tank",Scoreboard_38[Team],"Red")</f>
        <v>4621293</v>
      </c>
      <c r="U52" s="31"/>
      <c r="V52" s="31"/>
      <c r="W52" s="31"/>
      <c r="X52" s="31"/>
      <c r="Y52" s="31"/>
      <c r="Z52" s="31"/>
      <c r="AA52" s="31"/>
      <c r="AB52" s="45" t="s">
        <v>469</v>
      </c>
      <c r="AC52" s="50">
        <f>SUMIFS(Scoreboard_38[Damage Taken],Scoreboard_38[Role],"Tank",Scoreboard_38[Guild],"Best Regards")</f>
        <v>4827841</v>
      </c>
      <c r="AD52" s="51">
        <f>SUMIFS(Scoreboard_38[Damage Taken],Scoreboard_38[Role],"Tank",Scoreboard_38[Guild],"Unhinged肉")</f>
        <v>5856854</v>
      </c>
    </row>
    <row r="53" spans="1:30" ht="22.5" customHeight="1">
      <c r="A53" s="32">
        <v>67</v>
      </c>
      <c r="B53" s="94" t="str">
        <f>VLOOKUP(C53,Lists!I:J,2,FALSE)</f>
        <v>Tank</v>
      </c>
      <c r="C53" s="95" t="str">
        <f>VLOOKUP(E53&amp;D53,Lists!C:E,3,FALSE)</f>
        <v>SnS/Dagger</v>
      </c>
      <c r="D53" s="35" t="s">
        <v>36</v>
      </c>
      <c r="E53" s="36" t="s">
        <v>321</v>
      </c>
      <c r="F53" s="35" t="s">
        <v>476</v>
      </c>
      <c r="G53" s="32">
        <v>0</v>
      </c>
      <c r="H53" s="32">
        <v>29</v>
      </c>
      <c r="I53" s="96">
        <f t="shared" si="0"/>
        <v>29</v>
      </c>
      <c r="J53" s="37">
        <v>87913</v>
      </c>
      <c r="K53" s="37">
        <v>247675</v>
      </c>
      <c r="L53" s="37">
        <v>15825</v>
      </c>
      <c r="M53" s="38">
        <f>I53/(HLOOKUP(F53,Team_Composition_23[[#All],[Yellow]:[Red]],10,FALSE)+HLOOKUP(F53,Team_Composition_23[[#All],[Yellow]:[Red]],11,FALSE))</f>
        <v>7.2481879530117473E-3</v>
      </c>
      <c r="N53" s="38">
        <f>J53/HLOOKUP(F53,Team_Composition_23[[#All],[Yellow]:[Red]],6,FALSE)</f>
        <v>1.9816475181190811E-3</v>
      </c>
      <c r="O53" s="38">
        <f>K53/HLOOKUP(F53,Team_Composition_23[[#All],[Yellow]:[Red]],8,FALSE)</f>
        <v>1.4137699105810154E-2</v>
      </c>
      <c r="P53" s="38">
        <f>L53/HLOOKUP(F53,Team_Composition_23[[#All],[Yellow]:[Red]],7,FALSE)</f>
        <v>1.2225010649085106E-3</v>
      </c>
      <c r="Q53" s="31"/>
      <c r="R53" s="45" t="s">
        <v>470</v>
      </c>
      <c r="S53" s="46">
        <f>SUMIFS(Scoreboard_38[Amount Healed],Scoreboard_38[Role],"Tank",Scoreboard_38[Team],"Yellow")</f>
        <v>675777</v>
      </c>
      <c r="T53" s="47">
        <f>SUMIFS(Scoreboard_38[Amount Healed],Scoreboard_38[Role],"Tank",Scoreboard_38[Team],"Red")</f>
        <v>452487</v>
      </c>
      <c r="U53" s="31"/>
      <c r="V53" s="31"/>
      <c r="W53" s="31"/>
      <c r="X53" s="31"/>
      <c r="Y53" s="31"/>
      <c r="Z53" s="31"/>
      <c r="AA53" s="31"/>
      <c r="AB53" s="45" t="s">
        <v>470</v>
      </c>
      <c r="AC53" s="50">
        <f>SUMIFS(Scoreboard_38[Amount Healed],Scoreboard_38[Role],"Tank",Scoreboard_38[Guild],"Best Regards")</f>
        <v>378446</v>
      </c>
      <c r="AD53" s="51">
        <f>SUMIFS(Scoreboard_38[Amount Healed],Scoreboard_38[Role],"Tank",Scoreboard_38[Guild],"Unhinged肉")</f>
        <v>673034</v>
      </c>
    </row>
    <row r="54" spans="1:30" ht="22.5" customHeight="1">
      <c r="A54" s="32">
        <v>42</v>
      </c>
      <c r="B54" s="94" t="str">
        <f>VLOOKUP(C54,Lists!I:J,2,FALSE)</f>
        <v>Healer</v>
      </c>
      <c r="C54" s="95" t="str">
        <f>VLOOKUP(E54&amp;D54,Lists!C:E,3,FALSE)</f>
        <v>Wand/Orb</v>
      </c>
      <c r="D54" s="35" t="s">
        <v>34</v>
      </c>
      <c r="E54" s="36" t="s">
        <v>144</v>
      </c>
      <c r="F54" s="35" t="s">
        <v>483</v>
      </c>
      <c r="G54" s="32">
        <v>1</v>
      </c>
      <c r="H54" s="32">
        <v>27</v>
      </c>
      <c r="I54" s="96">
        <f t="shared" si="0"/>
        <v>28</v>
      </c>
      <c r="J54" s="37">
        <v>63850</v>
      </c>
      <c r="K54" s="37">
        <v>319582</v>
      </c>
      <c r="L54" s="37">
        <v>1207939</v>
      </c>
      <c r="M54" s="38">
        <f>I54/(HLOOKUP(F54,Team_Composition_23[[#All],[Yellow]:[Red]],10,FALSE)+HLOOKUP(F54,Team_Composition_23[[#All],[Yellow]:[Red]],11,FALSE))</f>
        <v>3.4104750304506701E-2</v>
      </c>
      <c r="N54" s="38">
        <f>J54/HLOOKUP(F54,Team_Composition_23[[#All],[Yellow]:[Red]],6,FALSE)</f>
        <v>3.6185057809667727E-3</v>
      </c>
      <c r="O54" s="38">
        <f>K54/HLOOKUP(F54,Team_Composition_23[[#All],[Yellow]:[Red]],8,FALSE)</f>
        <v>7.2605972863738584E-3</v>
      </c>
      <c r="P54" s="38">
        <f>L54/HLOOKUP(F54,Team_Composition_23[[#All],[Yellow]:[Red]],7,FALSE)</f>
        <v>4.9774132288606145E-2</v>
      </c>
      <c r="Q54" s="31"/>
      <c r="R54" s="45" t="s">
        <v>465</v>
      </c>
      <c r="S54" s="46">
        <f>SUMIFS(Scoreboard_38[Kills],Scoreboard_38[Role],"Tank",Scoreboard_38[Team],"Yellow")</f>
        <v>30</v>
      </c>
      <c r="T54" s="47">
        <f>SUMIFS(Scoreboard_38[Kills],Scoreboard_38[Role],"Tank",Scoreboard_38[Team],"Red")</f>
        <v>9</v>
      </c>
      <c r="U54" s="31"/>
      <c r="V54" s="31"/>
      <c r="W54" s="31"/>
      <c r="X54" s="31"/>
      <c r="Y54" s="31"/>
      <c r="Z54" s="31"/>
      <c r="AA54" s="31"/>
      <c r="AB54" s="45" t="s">
        <v>465</v>
      </c>
      <c r="AC54" s="50">
        <f>SUMIFS(Scoreboard_38[Kills],Scoreboard_38[Role],"Tank",Scoreboard_38[Guild],"Best Regards")</f>
        <v>12</v>
      </c>
      <c r="AD54" s="51">
        <f>SUMIFS(Scoreboard_38[Kills],Scoreboard_38[Role],"Tank",Scoreboard_38[Guild],"Unhinged肉")</f>
        <v>27</v>
      </c>
    </row>
    <row r="55" spans="1:30" ht="22.5" customHeight="1">
      <c r="A55" s="32">
        <v>34</v>
      </c>
      <c r="B55" s="94" t="str">
        <f>VLOOKUP(C55,Lists!I:J,2,FALSE)</f>
        <v>Tank</v>
      </c>
      <c r="C55" s="95" t="str">
        <f>VLOOKUP(E55&amp;D55,Lists!C:E,3,FALSE)</f>
        <v>SnS/Dagger</v>
      </c>
      <c r="D55" s="35" t="s">
        <v>34</v>
      </c>
      <c r="E55" s="36" t="s">
        <v>177</v>
      </c>
      <c r="F55" s="35" t="s">
        <v>483</v>
      </c>
      <c r="G55" s="32">
        <v>5</v>
      </c>
      <c r="H55" s="32">
        <v>22</v>
      </c>
      <c r="I55" s="96">
        <f t="shared" si="0"/>
        <v>27</v>
      </c>
      <c r="J55" s="37">
        <v>779082</v>
      </c>
      <c r="K55" s="37">
        <v>229691</v>
      </c>
      <c r="L55" s="37">
        <v>11850</v>
      </c>
      <c r="M55" s="38">
        <f>I55/(HLOOKUP(F55,Team_Composition_23[[#All],[Yellow]:[Red]],10,FALSE)+HLOOKUP(F55,Team_Composition_23[[#All],[Yellow]:[Red]],11,FALSE))</f>
        <v>3.2886723507917173E-2</v>
      </c>
      <c r="N55" s="38">
        <f>J55/HLOOKUP(F55,Team_Composition_23[[#All],[Yellow]:[Red]],6,FALSE)</f>
        <v>4.4152117789305487E-2</v>
      </c>
      <c r="O55" s="38">
        <f>K55/HLOOKUP(F55,Team_Composition_23[[#All],[Yellow]:[Red]],8,FALSE)</f>
        <v>5.2183597677732101E-3</v>
      </c>
      <c r="P55" s="38">
        <f>L55/HLOOKUP(F55,Team_Composition_23[[#All],[Yellow]:[Red]],7,FALSE)</f>
        <v>4.8828911693387072E-4</v>
      </c>
      <c r="Q55" s="31"/>
      <c r="R55" s="45" t="s">
        <v>466</v>
      </c>
      <c r="S55" s="46">
        <f>SUMIFS(Scoreboard_38[Assists],Scoreboard_38[Role],"Tank",Scoreboard_38[Team],"Yellow")</f>
        <v>306</v>
      </c>
      <c r="T55" s="47">
        <f>SUMIFS(Scoreboard_38[Assists],Scoreboard_38[Role],"Tank",Scoreboard_38[Team],"Red")</f>
        <v>154</v>
      </c>
      <c r="U55" s="31"/>
      <c r="V55" s="31"/>
      <c r="W55" s="31"/>
      <c r="X55" s="31"/>
      <c r="Y55" s="31"/>
      <c r="Z55" s="31"/>
      <c r="AA55" s="31"/>
      <c r="AB55" s="45" t="s">
        <v>466</v>
      </c>
      <c r="AC55" s="50">
        <f>SUMIFS(Scoreboard_38[Assists],Scoreboard_38[Role],"Tank",Scoreboard_38[Guild],"Best Regards")</f>
        <v>188</v>
      </c>
      <c r="AD55" s="51">
        <f>SUMIFS(Scoreboard_38[Assists],Scoreboard_38[Role],"Tank",Scoreboard_38[Guild],"Unhinged肉")</f>
        <v>264</v>
      </c>
    </row>
    <row r="56" spans="1:30" ht="22.5" customHeight="1">
      <c r="A56" s="32">
        <v>32</v>
      </c>
      <c r="B56" s="94" t="str">
        <f>VLOOKUP(C56,Lists!I:J,2,FALSE)</f>
        <v>Ranged DPS</v>
      </c>
      <c r="C56" s="95" t="str">
        <f>VLOOKUP(E56&amp;D56,Lists!C:E,3,FALSE)</f>
        <v>Crossbow/SnS</v>
      </c>
      <c r="D56" s="35" t="s">
        <v>34</v>
      </c>
      <c r="E56" s="36" t="s">
        <v>141</v>
      </c>
      <c r="F56" s="35" t="s">
        <v>483</v>
      </c>
      <c r="G56" s="32">
        <v>7</v>
      </c>
      <c r="H56" s="32">
        <v>19</v>
      </c>
      <c r="I56" s="96">
        <f t="shared" si="0"/>
        <v>26</v>
      </c>
      <c r="J56" s="37">
        <v>861819</v>
      </c>
      <c r="K56" s="37">
        <v>517641</v>
      </c>
      <c r="L56" s="37">
        <v>40533</v>
      </c>
      <c r="M56" s="38">
        <f>I56/(HLOOKUP(F56,Team_Composition_23[[#All],[Yellow]:[Red]],10,FALSE)+HLOOKUP(F56,Team_Composition_23[[#All],[Yellow]:[Red]],11,FALSE))</f>
        <v>3.1668696711327646E-2</v>
      </c>
      <c r="N56" s="38">
        <f>J56/HLOOKUP(F56,Team_Composition_23[[#All],[Yellow]:[Red]],6,FALSE)</f>
        <v>4.8840987214518454E-2</v>
      </c>
      <c r="O56" s="38">
        <f>K56/HLOOKUP(F56,Team_Composition_23[[#All],[Yellow]:[Red]],8,FALSE)</f>
        <v>1.1760308277424419E-2</v>
      </c>
      <c r="P56" s="38">
        <f>L56/HLOOKUP(F56,Team_Composition_23[[#All],[Yellow]:[Red]],7,FALSE)</f>
        <v>1.6701960149097536E-3</v>
      </c>
      <c r="Q56" s="31"/>
      <c r="R56" s="45" t="s">
        <v>62</v>
      </c>
      <c r="S56" s="46">
        <f t="shared" ref="S56:S60" si="10">COUNTIFS(C:C,R56,F:F,"Yellow")</f>
        <v>4</v>
      </c>
      <c r="T56" s="47">
        <f t="shared" ref="T56:T60" si="11">COUNTIFS(C:C,R56,F:F,"Red")</f>
        <v>2</v>
      </c>
      <c r="U56" s="31"/>
      <c r="V56" s="31"/>
      <c r="W56" s="31"/>
      <c r="X56" s="31"/>
      <c r="Y56" s="31"/>
      <c r="Z56" s="31"/>
      <c r="AA56" s="31"/>
      <c r="AB56" s="45" t="s">
        <v>62</v>
      </c>
      <c r="AC56" s="50">
        <f t="shared" ref="AC56:AC60" si="12">COUNTIFS(C:C,AB56,D:D,"Best Regards")</f>
        <v>3</v>
      </c>
      <c r="AD56" s="51">
        <f t="shared" ref="AD56:AD60" si="13">COUNTIFS(C:C,AB56,D:D,"Unhinged肉")</f>
        <v>3</v>
      </c>
    </row>
    <row r="57" spans="1:30" ht="22.5" customHeight="1">
      <c r="A57" s="32">
        <v>33</v>
      </c>
      <c r="B57" s="94" t="str">
        <f>VLOOKUP(C57,Lists!I:J,2,FALSE)</f>
        <v>Ranged DPS</v>
      </c>
      <c r="C57" s="95" t="str">
        <f>VLOOKUP(E57&amp;D57,Lists!C:E,3,FALSE)</f>
        <v>Staff/Dagger</v>
      </c>
      <c r="D57" s="35" t="s">
        <v>36</v>
      </c>
      <c r="E57" s="36" t="s">
        <v>294</v>
      </c>
      <c r="F57" s="35" t="s">
        <v>483</v>
      </c>
      <c r="G57" s="32">
        <v>7</v>
      </c>
      <c r="H57" s="32">
        <v>18</v>
      </c>
      <c r="I57" s="96">
        <f t="shared" si="0"/>
        <v>25</v>
      </c>
      <c r="J57" s="37">
        <v>727808</v>
      </c>
      <c r="K57" s="37">
        <v>461722</v>
      </c>
      <c r="L57" s="37">
        <v>22124</v>
      </c>
      <c r="M57" s="38">
        <f>I57/(HLOOKUP(F57,Team_Composition_23[[#All],[Yellow]:[Red]],10,FALSE)+HLOOKUP(F57,Team_Composition_23[[#All],[Yellow]:[Red]],11,FALSE))</f>
        <v>3.0450669914738125E-2</v>
      </c>
      <c r="N57" s="38">
        <f>J57/HLOOKUP(F57,Team_Composition_23[[#All],[Yellow]:[Red]],6,FALSE)</f>
        <v>4.1246318800843618E-2</v>
      </c>
      <c r="O57" s="38">
        <f>K57/HLOOKUP(F57,Team_Composition_23[[#All],[Yellow]:[Red]],8,FALSE)</f>
        <v>1.0489882096798664E-2</v>
      </c>
      <c r="P57" s="38">
        <f>L57/HLOOKUP(F57,Team_Composition_23[[#All],[Yellow]:[Red]],7,FALSE)</f>
        <v>9.1163784160716924E-4</v>
      </c>
      <c r="Q57" s="31"/>
      <c r="R57" s="45" t="s">
        <v>70</v>
      </c>
      <c r="S57" s="46">
        <f t="shared" si="10"/>
        <v>1</v>
      </c>
      <c r="T57" s="47">
        <f t="shared" si="11"/>
        <v>2</v>
      </c>
      <c r="U57" s="31"/>
      <c r="V57" s="31"/>
      <c r="W57" s="31"/>
      <c r="X57" s="31"/>
      <c r="Y57" s="31"/>
      <c r="Z57" s="31"/>
      <c r="AA57" s="31"/>
      <c r="AB57" s="45" t="s">
        <v>70</v>
      </c>
      <c r="AC57" s="50">
        <f t="shared" si="12"/>
        <v>1</v>
      </c>
      <c r="AD57" s="51">
        <f t="shared" si="13"/>
        <v>2</v>
      </c>
    </row>
    <row r="58" spans="1:30" ht="22.5" customHeight="1">
      <c r="A58" s="32">
        <v>35</v>
      </c>
      <c r="B58" s="94" t="str">
        <f>VLOOKUP(C58,Lists!I:J,2,FALSE)</f>
        <v>Tank</v>
      </c>
      <c r="C58" s="95" t="str">
        <f>VLOOKUP(E58&amp;D58,Lists!C:E,3,FALSE)</f>
        <v>SnS/Greatsword</v>
      </c>
      <c r="D58" s="35" t="s">
        <v>36</v>
      </c>
      <c r="E58" s="36" t="s">
        <v>313</v>
      </c>
      <c r="F58" s="35" t="s">
        <v>476</v>
      </c>
      <c r="G58" s="32">
        <v>3</v>
      </c>
      <c r="H58" s="32">
        <v>21</v>
      </c>
      <c r="I58" s="96">
        <f t="shared" si="0"/>
        <v>24</v>
      </c>
      <c r="J58" s="37">
        <v>184071</v>
      </c>
      <c r="K58" s="37">
        <v>447260</v>
      </c>
      <c r="L58" s="37">
        <v>46278</v>
      </c>
      <c r="M58" s="38">
        <f>I58/(HLOOKUP(F58,Team_Composition_23[[#All],[Yellow]:[Red]],10,FALSE)+HLOOKUP(F58,Team_Composition_23[[#All],[Yellow]:[Red]],11,FALSE))</f>
        <v>5.9985003749062731E-3</v>
      </c>
      <c r="N58" s="38">
        <f>J58/HLOOKUP(F58,Team_Composition_23[[#All],[Yellow]:[Red]],6,FALSE)</f>
        <v>4.1491456361140832E-3</v>
      </c>
      <c r="O58" s="38">
        <f>K58/HLOOKUP(F58,Team_Composition_23[[#All],[Yellow]:[Red]],8,FALSE)</f>
        <v>2.5530341383121626E-2</v>
      </c>
      <c r="P58" s="38">
        <f>L58/HLOOKUP(F58,Team_Composition_23[[#All],[Yellow]:[Red]],7,FALSE)</f>
        <v>3.5750334459296084E-3</v>
      </c>
      <c r="Q58" s="31"/>
      <c r="R58" s="45" t="s">
        <v>14</v>
      </c>
      <c r="S58" s="46">
        <f t="shared" si="10"/>
        <v>8</v>
      </c>
      <c r="T58" s="47">
        <f t="shared" si="11"/>
        <v>10</v>
      </c>
      <c r="U58" s="31"/>
      <c r="V58" s="31"/>
      <c r="W58" s="31"/>
      <c r="X58" s="31"/>
      <c r="Y58" s="31"/>
      <c r="Z58" s="31"/>
      <c r="AA58" s="31"/>
      <c r="AB58" s="45" t="s">
        <v>14</v>
      </c>
      <c r="AC58" s="50">
        <f t="shared" si="12"/>
        <v>9</v>
      </c>
      <c r="AD58" s="51">
        <f t="shared" si="13"/>
        <v>9</v>
      </c>
    </row>
    <row r="59" spans="1:30" ht="22.5" customHeight="1">
      <c r="A59" s="32">
        <v>43</v>
      </c>
      <c r="B59" s="94" t="str">
        <f>VLOOKUP(C59,Lists!I:J,2,FALSE)</f>
        <v>Tank</v>
      </c>
      <c r="C59" s="95" t="str">
        <f>VLOOKUP(E59&amp;D59,Lists!C:E,3,FALSE)</f>
        <v>SnS/Greatsword</v>
      </c>
      <c r="D59" s="35" t="s">
        <v>34</v>
      </c>
      <c r="E59" s="36" t="s">
        <v>57</v>
      </c>
      <c r="F59" s="35" t="s">
        <v>483</v>
      </c>
      <c r="G59" s="32">
        <v>1</v>
      </c>
      <c r="H59" s="32">
        <v>23</v>
      </c>
      <c r="I59" s="96">
        <f t="shared" si="0"/>
        <v>24</v>
      </c>
      <c r="J59" s="37">
        <v>31338</v>
      </c>
      <c r="K59" s="37">
        <v>161155</v>
      </c>
      <c r="L59" s="37">
        <v>11851</v>
      </c>
      <c r="M59" s="38">
        <f>I59/(HLOOKUP(F59,Team_Composition_23[[#All],[Yellow]:[Red]],10,FALSE)+HLOOKUP(F59,Team_Composition_23[[#All],[Yellow]:[Red]],11,FALSE))</f>
        <v>2.9232643118148598E-2</v>
      </c>
      <c r="N59" s="38">
        <f>J59/HLOOKUP(F59,Team_Composition_23[[#All],[Yellow]:[Red]],6,FALSE)</f>
        <v>1.7759864395291579E-3</v>
      </c>
      <c r="O59" s="38">
        <f>K59/HLOOKUP(F59,Team_Composition_23[[#All],[Yellow]:[Red]],8,FALSE)</f>
        <v>3.6612874182074683E-3</v>
      </c>
      <c r="P59" s="38">
        <f>L59/HLOOKUP(F59,Team_Composition_23[[#All],[Yellow]:[Red]],7,FALSE)</f>
        <v>4.883303227665234E-4</v>
      </c>
      <c r="Q59" s="31"/>
      <c r="R59" s="45" t="s">
        <v>73</v>
      </c>
      <c r="S59" s="46">
        <f t="shared" si="10"/>
        <v>2</v>
      </c>
      <c r="T59" s="47">
        <f t="shared" si="11"/>
        <v>0</v>
      </c>
      <c r="U59" s="31"/>
      <c r="V59" s="31"/>
      <c r="W59" s="31"/>
      <c r="X59" s="31"/>
      <c r="Y59" s="31"/>
      <c r="Z59" s="31"/>
      <c r="AA59" s="31"/>
      <c r="AB59" s="45" t="s">
        <v>73</v>
      </c>
      <c r="AC59" s="50">
        <f t="shared" si="12"/>
        <v>0</v>
      </c>
      <c r="AD59" s="51">
        <f t="shared" si="13"/>
        <v>1</v>
      </c>
    </row>
    <row r="60" spans="1:30" ht="22.5" customHeight="1">
      <c r="A60" s="32">
        <v>68</v>
      </c>
      <c r="B60" s="94" t="str">
        <f>VLOOKUP(C60,Lists!I:J,2,FALSE)</f>
        <v>Healer</v>
      </c>
      <c r="C60" s="95" t="str">
        <f>VLOOKUP(E60&amp;D60,Lists!C:E,3,FALSE)</f>
        <v>Wand/Longbow</v>
      </c>
      <c r="D60" s="35" t="s">
        <v>36</v>
      </c>
      <c r="E60" s="36" t="s">
        <v>322</v>
      </c>
      <c r="F60" s="35" t="s">
        <v>483</v>
      </c>
      <c r="G60" s="32">
        <v>0</v>
      </c>
      <c r="H60" s="32">
        <v>24</v>
      </c>
      <c r="I60" s="96">
        <f t="shared" si="0"/>
        <v>24</v>
      </c>
      <c r="J60" s="37">
        <v>433189</v>
      </c>
      <c r="K60" s="37">
        <v>1203902</v>
      </c>
      <c r="L60" s="37">
        <v>0</v>
      </c>
      <c r="M60" s="38">
        <f>I60/(HLOOKUP(F60,Team_Composition_23[[#All],[Yellow]:[Red]],10,FALSE)+HLOOKUP(F60,Team_Composition_23[[#All],[Yellow]:[Red]],11,FALSE))</f>
        <v>2.9232643118148598E-2</v>
      </c>
      <c r="N60" s="38">
        <f>J60/HLOOKUP(F60,Team_Composition_23[[#All],[Yellow]:[Red]],6,FALSE)</f>
        <v>2.4549677380598517E-2</v>
      </c>
      <c r="O60" s="38">
        <f>K60/HLOOKUP(F60,Team_Composition_23[[#All],[Yellow]:[Red]],8,FALSE)</f>
        <v>2.7351501631068274E-2</v>
      </c>
      <c r="P60" s="38">
        <f>L60/HLOOKUP(F60,Team_Composition_23[[#All],[Yellow]:[Red]],7,FALSE)</f>
        <v>0</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69</v>
      </c>
      <c r="B61" s="94" t="str">
        <f>VLOOKUP(C61,Lists!I:J,2,FALSE)</f>
        <v>Healer</v>
      </c>
      <c r="C61" s="95" t="str">
        <f>VLOOKUP(E61&amp;D61,Lists!C:E,3,FALSE)</f>
        <v>Wand/Orb</v>
      </c>
      <c r="D61" s="35" t="s">
        <v>34</v>
      </c>
      <c r="E61" s="36" t="s">
        <v>168</v>
      </c>
      <c r="F61" s="35" t="s">
        <v>476</v>
      </c>
      <c r="G61" s="32">
        <v>0</v>
      </c>
      <c r="H61" s="32">
        <v>24</v>
      </c>
      <c r="I61" s="96">
        <f t="shared" si="0"/>
        <v>24</v>
      </c>
      <c r="J61" s="37">
        <v>7036</v>
      </c>
      <c r="K61" s="37">
        <v>355026</v>
      </c>
      <c r="L61" s="37">
        <v>508656</v>
      </c>
      <c r="M61" s="38">
        <f>I61/(HLOOKUP(F61,Team_Composition_23[[#All],[Yellow]:[Red]],10,FALSE)+HLOOKUP(F61,Team_Composition_23[[#All],[Yellow]:[Red]],11,FALSE))</f>
        <v>5.9985003749062731E-3</v>
      </c>
      <c r="N61" s="38">
        <f>J61/HLOOKUP(F61,Team_Composition_23[[#All],[Yellow]:[Red]],6,FALSE)</f>
        <v>1.5859852282922723E-4</v>
      </c>
      <c r="O61" s="38">
        <f>K61/HLOOKUP(F61,Team_Composition_23[[#All],[Yellow]:[Red]],8,FALSE)</f>
        <v>2.0265471939999415E-2</v>
      </c>
      <c r="P61" s="38">
        <f>L61/HLOOKUP(F61,Team_Composition_23[[#All],[Yellow]:[Red]],7,FALSE)</f>
        <v>3.9294312901870673E-2</v>
      </c>
      <c r="Q61" s="31"/>
      <c r="R61" s="48"/>
      <c r="S61" s="63"/>
      <c r="T61" s="63"/>
      <c r="U61" s="31"/>
      <c r="V61" s="31"/>
      <c r="W61" s="31"/>
      <c r="X61" s="31"/>
      <c r="Y61" s="31"/>
      <c r="Z61" s="31"/>
      <c r="AA61" s="31"/>
      <c r="AB61" s="48"/>
      <c r="AC61" s="63"/>
      <c r="AD61" s="63"/>
    </row>
    <row r="62" spans="1:30" ht="22.5" customHeight="1">
      <c r="A62" s="32">
        <v>36</v>
      </c>
      <c r="B62" s="94" t="str">
        <f>VLOOKUP(C62,Lists!I:J,2,FALSE)</f>
        <v>Tank</v>
      </c>
      <c r="C62" s="95" t="str">
        <f>VLOOKUP(E62&amp;D62,Lists!C:E,3,FALSE)</f>
        <v>SnS/Greatsword</v>
      </c>
      <c r="D62" s="35" t="s">
        <v>34</v>
      </c>
      <c r="E62" s="36" t="s">
        <v>123</v>
      </c>
      <c r="F62" s="35" t="s">
        <v>476</v>
      </c>
      <c r="G62" s="32">
        <v>2</v>
      </c>
      <c r="H62" s="32">
        <v>21</v>
      </c>
      <c r="I62" s="96">
        <f t="shared" si="0"/>
        <v>23</v>
      </c>
      <c r="J62" s="37">
        <v>94581</v>
      </c>
      <c r="K62" s="37">
        <v>536975</v>
      </c>
      <c r="L62" s="37">
        <v>31250</v>
      </c>
      <c r="M62" s="38">
        <f>I62/(HLOOKUP(F62,Team_Composition_23[[#All],[Yellow]:[Red]],10,FALSE)+HLOOKUP(F62,Team_Composition_23[[#All],[Yellow]:[Red]],11,FALSE))</f>
        <v>5.7485628592851791E-3</v>
      </c>
      <c r="N62" s="38">
        <f>J62/HLOOKUP(F62,Team_Composition_23[[#All],[Yellow]:[Red]],6,FALSE)</f>
        <v>2.1319509504990251E-3</v>
      </c>
      <c r="O62" s="38">
        <f>K62/HLOOKUP(F62,Team_Composition_23[[#All],[Yellow]:[Red]],8,FALSE)</f>
        <v>3.065142213522724E-2</v>
      </c>
      <c r="P62" s="38">
        <f>L62/HLOOKUP(F62,Team_Composition_23[[#All],[Yellow]:[Red]],7,FALSE)</f>
        <v>2.4141016289662533E-3</v>
      </c>
      <c r="Q62" s="31"/>
      <c r="R62" s="31"/>
      <c r="S62" s="64"/>
      <c r="T62" s="64"/>
      <c r="U62" s="31"/>
      <c r="V62" s="31"/>
      <c r="W62" s="31"/>
      <c r="X62" s="31"/>
      <c r="Y62" s="31"/>
      <c r="Z62" s="31"/>
      <c r="AA62" s="31"/>
      <c r="AB62" s="31"/>
      <c r="AC62" s="64"/>
      <c r="AD62" s="64"/>
    </row>
    <row r="63" spans="1:30" ht="22.5" customHeight="1">
      <c r="A63" s="32">
        <v>44</v>
      </c>
      <c r="B63" s="94" t="str">
        <f>VLOOKUP(C63,Lists!I:J,2,FALSE)</f>
        <v>Healer</v>
      </c>
      <c r="C63" s="95" t="str">
        <f>VLOOKUP(E63&amp;D63,Lists!C:E,3,FALSE)</f>
        <v>Wand/Orb</v>
      </c>
      <c r="D63" s="35" t="s">
        <v>36</v>
      </c>
      <c r="E63" s="36" t="s">
        <v>315</v>
      </c>
      <c r="F63" s="35" t="s">
        <v>476</v>
      </c>
      <c r="G63" s="32">
        <v>1</v>
      </c>
      <c r="H63" s="32">
        <v>22</v>
      </c>
      <c r="I63" s="96">
        <f t="shared" si="0"/>
        <v>23</v>
      </c>
      <c r="J63" s="37">
        <v>6141</v>
      </c>
      <c r="K63" s="37">
        <v>417460</v>
      </c>
      <c r="L63" s="37">
        <v>609668</v>
      </c>
      <c r="M63" s="38">
        <f>I63/(HLOOKUP(F63,Team_Composition_23[[#All],[Yellow]:[Red]],10,FALSE)+HLOOKUP(F63,Team_Composition_23[[#All],[Yellow]:[Red]],11,FALSE))</f>
        <v>5.7485628592851791E-3</v>
      </c>
      <c r="N63" s="38">
        <f>J63/HLOOKUP(F63,Team_Composition_23[[#All],[Yellow]:[Red]],6,FALSE)</f>
        <v>1.384243218724111E-4</v>
      </c>
      <c r="O63" s="38">
        <f>K63/HLOOKUP(F63,Team_Composition_23[[#All],[Yellow]:[Red]],8,FALSE)</f>
        <v>2.3829308039614441E-2</v>
      </c>
      <c r="P63" s="38">
        <f>L63/HLOOKUP(F63,Team_Composition_23[[#All],[Yellow]:[Red]],7,FALSE)</f>
        <v>4.709761638171512E-2</v>
      </c>
      <c r="Q63" s="31"/>
      <c r="R63" s="227" t="s">
        <v>11</v>
      </c>
      <c r="S63" s="228"/>
      <c r="T63" s="228"/>
      <c r="U63" s="31"/>
      <c r="V63" s="31"/>
      <c r="W63" s="31"/>
      <c r="X63" s="31"/>
      <c r="Y63" s="31"/>
      <c r="Z63" s="31"/>
      <c r="AA63" s="31"/>
      <c r="AB63" s="227" t="s">
        <v>11</v>
      </c>
      <c r="AC63" s="228"/>
      <c r="AD63" s="228"/>
    </row>
    <row r="64" spans="1:30" ht="22.5" customHeight="1">
      <c r="A64" s="32">
        <v>70</v>
      </c>
      <c r="B64" s="94" t="str">
        <f>VLOOKUP(C64,Lists!I:J,2,FALSE)</f>
        <v>Healer</v>
      </c>
      <c r="C64" s="95" t="str">
        <f>VLOOKUP(E64&amp;D64,Lists!C:E,3,FALSE)</f>
        <v>Wand/Orb</v>
      </c>
      <c r="D64" s="35" t="s">
        <v>34</v>
      </c>
      <c r="E64" s="36" t="s">
        <v>164</v>
      </c>
      <c r="F64" s="35" t="s">
        <v>483</v>
      </c>
      <c r="G64" s="32">
        <v>0</v>
      </c>
      <c r="H64" s="32">
        <v>23</v>
      </c>
      <c r="I64" s="96">
        <f t="shared" si="0"/>
        <v>23</v>
      </c>
      <c r="J64" s="37">
        <v>9102</v>
      </c>
      <c r="K64" s="37">
        <v>250640</v>
      </c>
      <c r="L64" s="37">
        <v>262417</v>
      </c>
      <c r="M64" s="38">
        <f>I64/(HLOOKUP(F64,Team_Composition_23[[#All],[Yellow]:[Red]],10,FALSE)+HLOOKUP(F64,Team_Composition_23[[#All],[Yellow]:[Red]],11,FALSE))</f>
        <v>2.8014616321559074E-2</v>
      </c>
      <c r="N64" s="38">
        <f>J64/HLOOKUP(F64,Team_Composition_23[[#All],[Yellow]:[Red]],6,FALSE)</f>
        <v>5.1582834171275756E-4</v>
      </c>
      <c r="O64" s="38">
        <f>K64/HLOOKUP(F64,Team_Composition_23[[#All],[Yellow]:[Red]],8,FALSE)</f>
        <v>5.6943010052404198E-3</v>
      </c>
      <c r="P64" s="38">
        <f>L64/HLOOKUP(F64,Team_Composition_23[[#All],[Yellow]:[Red]],7,FALSE)</f>
        <v>1.081311098720975E-2</v>
      </c>
      <c r="Q64" s="31"/>
      <c r="R64" s="41" t="s">
        <v>482</v>
      </c>
      <c r="S64" s="42" t="s">
        <v>476</v>
      </c>
      <c r="T64" s="42" t="s">
        <v>483</v>
      </c>
      <c r="U64" s="31"/>
      <c r="V64" s="31"/>
      <c r="W64" s="31"/>
      <c r="X64" s="31"/>
      <c r="Y64" s="31"/>
      <c r="Z64" s="31"/>
      <c r="AA64" s="31"/>
      <c r="AB64" s="41" t="s">
        <v>482</v>
      </c>
      <c r="AC64" s="42" t="s">
        <v>485</v>
      </c>
      <c r="AD64" s="42" t="s">
        <v>36</v>
      </c>
    </row>
    <row r="65" spans="1:30" ht="22.5" customHeight="1">
      <c r="A65" s="32">
        <v>71</v>
      </c>
      <c r="B65" s="94" t="str">
        <f>VLOOKUP(C65,Lists!I:J,2,FALSE)</f>
        <v>Healer</v>
      </c>
      <c r="C65" s="95" t="str">
        <f>VLOOKUP(E65&amp;D65,Lists!C:E,3,FALSE)</f>
        <v>Wand/Orb</v>
      </c>
      <c r="D65" s="35" t="s">
        <v>34</v>
      </c>
      <c r="E65" s="36" t="s">
        <v>181</v>
      </c>
      <c r="F65" s="35" t="s">
        <v>483</v>
      </c>
      <c r="G65" s="32">
        <v>0</v>
      </c>
      <c r="H65" s="32">
        <v>23</v>
      </c>
      <c r="I65" s="96">
        <f t="shared" si="0"/>
        <v>23</v>
      </c>
      <c r="J65" s="37">
        <v>6946</v>
      </c>
      <c r="K65" s="37">
        <v>253322</v>
      </c>
      <c r="L65" s="37">
        <v>547829</v>
      </c>
      <c r="M65" s="38">
        <f>I65/(HLOOKUP(F65,Team_Composition_23[[#All],[Yellow]:[Red]],10,FALSE)+HLOOKUP(F65,Team_Composition_23[[#All],[Yellow]:[Red]],11,FALSE))</f>
        <v>2.8014616321559074E-2</v>
      </c>
      <c r="N65" s="38">
        <f>J65/HLOOKUP(F65,Team_Composition_23[[#All],[Yellow]:[Red]],6,FALSE)</f>
        <v>3.9364355762874244E-4</v>
      </c>
      <c r="O65" s="38">
        <f>K65/HLOOKUP(F65,Team_Composition_23[[#All],[Yellow]:[Red]],8,FALSE)</f>
        <v>5.7552334792910697E-3</v>
      </c>
      <c r="P65" s="38">
        <f>L65/HLOOKUP(F65,Team_Composition_23[[#All],[Yellow]:[Red]],7,FALSE)</f>
        <v>2.2573750096267126E-2</v>
      </c>
      <c r="Q65" s="31"/>
      <c r="R65" s="45" t="s">
        <v>468</v>
      </c>
      <c r="S65" s="46">
        <f>SUMIFS(Scoreboard_38[Damage Dealt],Scoreboard_38[Role],"Healer",Scoreboard_38[Team],"Yellow")</f>
        <v>458016</v>
      </c>
      <c r="T65" s="47">
        <f>SUMIFS(Scoreboard_38[Damage Dealt],Scoreboard_38[Role],"Healer",Scoreboard_38[Team],"Red")</f>
        <v>2110543</v>
      </c>
      <c r="U65" s="31"/>
      <c r="V65" s="31"/>
      <c r="W65" s="31"/>
      <c r="X65" s="31"/>
      <c r="Y65" s="31"/>
      <c r="Z65" s="31"/>
      <c r="AA65" s="31"/>
      <c r="AB65" s="45" t="s">
        <v>468</v>
      </c>
      <c r="AC65" s="50">
        <f>SUMIFS(Scoreboard_38[Damage Dealt],Scoreboard_38[Role],"Healer",Scoreboard_38[Guild],"Best Regards")</f>
        <v>1706424</v>
      </c>
      <c r="AD65" s="51">
        <f>SUMIFS(Scoreboard_38[Damage Dealt],Scoreboard_38[Role],"Healer",Scoreboard_38[Guild],"Unhinged肉")</f>
        <v>862135</v>
      </c>
    </row>
    <row r="66" spans="1:30" ht="22.5" customHeight="1">
      <c r="A66" s="32">
        <v>45</v>
      </c>
      <c r="B66" s="94" t="str">
        <f>VLOOKUP(C66,Lists!I:J,2,FALSE)</f>
        <v>Tank</v>
      </c>
      <c r="C66" s="95" t="str">
        <f>VLOOKUP(E66&amp;D66,Lists!C:E,3,FALSE)</f>
        <v>SnS/Greatsword</v>
      </c>
      <c r="D66" s="35" t="s">
        <v>36</v>
      </c>
      <c r="E66" s="36" t="s">
        <v>252</v>
      </c>
      <c r="F66" s="35" t="s">
        <v>476</v>
      </c>
      <c r="G66" s="32">
        <v>1</v>
      </c>
      <c r="H66" s="32">
        <v>19</v>
      </c>
      <c r="I66" s="96">
        <f t="shared" si="0"/>
        <v>20</v>
      </c>
      <c r="J66" s="37">
        <v>173523</v>
      </c>
      <c r="K66" s="37">
        <v>724192</v>
      </c>
      <c r="L66" s="37">
        <v>56419</v>
      </c>
      <c r="M66" s="38">
        <f>I66/(HLOOKUP(F66,Team_Composition_23[[#All],[Yellow]:[Red]],10,FALSE)+HLOOKUP(F66,Team_Composition_23[[#All],[Yellow]:[Red]],11,FALSE))</f>
        <v>4.9987503124218945E-3</v>
      </c>
      <c r="N66" s="38">
        <f>J66/HLOOKUP(F66,Team_Composition_23[[#All],[Yellow]:[Red]],6,FALSE)</f>
        <v>3.9113830979101757E-3</v>
      </c>
      <c r="O66" s="38">
        <f>K66/HLOOKUP(F66,Team_Composition_23[[#All],[Yellow]:[Red]],8,FALSE)</f>
        <v>4.1338078493327414E-2</v>
      </c>
      <c r="P66" s="38">
        <f>L66/HLOOKUP(F66,Team_Composition_23[[#All],[Yellow]:[Red]],7,FALSE)</f>
        <v>4.3584383937487047E-3</v>
      </c>
      <c r="Q66" s="31"/>
      <c r="R66" s="45" t="s">
        <v>469</v>
      </c>
      <c r="S66" s="46">
        <f>SUMIFS(Scoreboard_38[Damage Taken],Scoreboard_38[Role],"Healer",Scoreboard_38[Team],"Yellow")</f>
        <v>6468119</v>
      </c>
      <c r="T66" s="47">
        <f>SUMIFS(Scoreboard_38[Damage Taken],Scoreboard_38[Role],"Healer",Scoreboard_38[Team],"Red")</f>
        <v>5987284</v>
      </c>
      <c r="U66" s="31"/>
      <c r="V66" s="31"/>
      <c r="W66" s="31"/>
      <c r="X66" s="31"/>
      <c r="Y66" s="31"/>
      <c r="Z66" s="31"/>
      <c r="AA66" s="31"/>
      <c r="AB66" s="45" t="s">
        <v>469</v>
      </c>
      <c r="AC66" s="50">
        <f>SUMIFS(Scoreboard_38[Damage Taken],Scoreboard_38[Role],"Healer",Scoreboard_38[Guild],"Best Regards")</f>
        <v>5701036</v>
      </c>
      <c r="AD66" s="51">
        <f>SUMIFS(Scoreboard_38[Damage Taken],Scoreboard_38[Role],"Healer",Scoreboard_38[Guild],"Unhinged肉")</f>
        <v>6754367</v>
      </c>
    </row>
    <row r="67" spans="1:30" ht="22.5" customHeight="1">
      <c r="A67" s="32">
        <v>46</v>
      </c>
      <c r="B67" s="94" t="str">
        <f>VLOOKUP(C67,Lists!I:J,2,FALSE)</f>
        <v>Healer</v>
      </c>
      <c r="C67" s="95" t="str">
        <f>VLOOKUP(E67&amp;D67,Lists!C:E,3,FALSE)</f>
        <v>Wand/Longbow</v>
      </c>
      <c r="D67" s="35" t="s">
        <v>36</v>
      </c>
      <c r="E67" s="36" t="s">
        <v>279</v>
      </c>
      <c r="F67" s="35" t="s">
        <v>476</v>
      </c>
      <c r="G67" s="32">
        <v>1</v>
      </c>
      <c r="H67" s="32">
        <v>19</v>
      </c>
      <c r="I67" s="96">
        <f t="shared" si="0"/>
        <v>20</v>
      </c>
      <c r="J67" s="37">
        <v>12771</v>
      </c>
      <c r="K67" s="37">
        <v>254968</v>
      </c>
      <c r="L67" s="37">
        <v>536329</v>
      </c>
      <c r="M67" s="38">
        <f>I67/(HLOOKUP(F67,Team_Composition_23[[#All],[Yellow]:[Red]],10,FALSE)+HLOOKUP(F67,Team_Composition_23[[#All],[Yellow]:[Red]],11,FALSE))</f>
        <v>4.9987503124218945E-3</v>
      </c>
      <c r="N67" s="38">
        <f>J67/HLOOKUP(F67,Team_Composition_23[[#All],[Yellow]:[Red]],6,FALSE)</f>
        <v>2.8787119599944018E-4</v>
      </c>
      <c r="O67" s="38">
        <f>K67/HLOOKUP(F67,Team_Composition_23[[#All],[Yellow]:[Red]],8,FALSE)</f>
        <v>1.4553995621722835E-2</v>
      </c>
      <c r="P67" s="38">
        <f>L67/HLOOKUP(F67,Team_Composition_23[[#All],[Yellow]:[Red]],7,FALSE)</f>
        <v>4.1432086801978928E-2</v>
      </c>
      <c r="Q67" s="31"/>
      <c r="R67" s="45" t="s">
        <v>470</v>
      </c>
      <c r="S67" s="46">
        <f>SUMIFS(Scoreboard_38[Amount Healed],Scoreboard_38[Role],"Healer",Scoreboard_38[Team],"Yellow")</f>
        <v>16268844</v>
      </c>
      <c r="T67" s="47">
        <f>SUMIFS(Scoreboard_38[Amount Healed],Scoreboard_38[Role],"Healer",Scoreboard_38[Team],"Red")</f>
        <v>11655453</v>
      </c>
      <c r="U67" s="31"/>
      <c r="V67" s="31"/>
      <c r="W67" s="31"/>
      <c r="X67" s="31"/>
      <c r="Y67" s="31"/>
      <c r="Z67" s="31"/>
      <c r="AA67" s="31"/>
      <c r="AB67" s="45" t="s">
        <v>470</v>
      </c>
      <c r="AC67" s="50">
        <f>SUMIFS(Scoreboard_38[Amount Healed],Scoreboard_38[Role],"Healer",Scoreboard_38[Guild],"Best Regards")</f>
        <v>13642182</v>
      </c>
      <c r="AD67" s="51">
        <f>SUMIFS(Scoreboard_38[Amount Healed],Scoreboard_38[Role],"Healer",Scoreboard_38[Guild],"Unhinged肉")</f>
        <v>14282115</v>
      </c>
    </row>
    <row r="68" spans="1:30" ht="22.5" customHeight="1">
      <c r="A68" s="32">
        <v>72</v>
      </c>
      <c r="B68" s="94" t="str">
        <f>VLOOKUP(C68,Lists!I:J,2,FALSE)</f>
        <v>Tank</v>
      </c>
      <c r="C68" s="95" t="str">
        <f>VLOOKUP(E68&amp;D68,Lists!C:E,3,FALSE)</f>
        <v>SnS/Spear</v>
      </c>
      <c r="D68" s="35" t="s">
        <v>36</v>
      </c>
      <c r="E68" s="36" t="s">
        <v>263</v>
      </c>
      <c r="F68" s="35" t="s">
        <v>476</v>
      </c>
      <c r="G68" s="32">
        <v>0</v>
      </c>
      <c r="H68" s="32">
        <v>20</v>
      </c>
      <c r="I68" s="96">
        <f t="shared" si="0"/>
        <v>20</v>
      </c>
      <c r="J68" s="37">
        <v>144258</v>
      </c>
      <c r="K68" s="37">
        <v>344443</v>
      </c>
      <c r="L68" s="37">
        <v>15813</v>
      </c>
      <c r="M68" s="38">
        <f>I68/(HLOOKUP(F68,Team_Composition_23[[#All],[Yellow]:[Red]],10,FALSE)+HLOOKUP(F68,Team_Composition_23[[#All],[Yellow]:[Red]],11,FALSE))</f>
        <v>4.9987503124218945E-3</v>
      </c>
      <c r="N68" s="38">
        <f>J68/HLOOKUP(F68,Team_Composition_23[[#All],[Yellow]:[Red]],6,FALSE)</f>
        <v>3.2517205381322714E-3</v>
      </c>
      <c r="O68" s="38">
        <f>K68/HLOOKUP(F68,Team_Composition_23[[#All],[Yellow]:[Red]],8,FALSE)</f>
        <v>1.9661376776431077E-2</v>
      </c>
      <c r="P68" s="38">
        <f>L68/HLOOKUP(F68,Team_Composition_23[[#All],[Yellow]:[Red]],7,FALSE)</f>
        <v>1.2215740498829875E-3</v>
      </c>
      <c r="Q68" s="31"/>
      <c r="R68" s="45" t="s">
        <v>465</v>
      </c>
      <c r="S68" s="46">
        <f>SUMIFS(Scoreboard_38[Kills],Scoreboard_38[Role],"Healer",Scoreboard_38[Team],"Yellow")</f>
        <v>5</v>
      </c>
      <c r="T68" s="47">
        <f>SUMIFS(Scoreboard_38[Kills],Scoreboard_38[Role],"Healer",Scoreboard_38[Team],"Red")</f>
        <v>16</v>
      </c>
      <c r="U68" s="31"/>
      <c r="V68" s="31"/>
      <c r="W68" s="31"/>
      <c r="X68" s="31"/>
      <c r="Y68" s="31"/>
      <c r="Z68" s="31"/>
      <c r="AA68" s="31"/>
      <c r="AB68" s="45" t="s">
        <v>465</v>
      </c>
      <c r="AC68" s="50">
        <f>SUMIFS(Scoreboard_38[Kills],Scoreboard_38[Role],"Healer",Scoreboard_38[Guild],"Best Regards")</f>
        <v>16</v>
      </c>
      <c r="AD68" s="51">
        <f>SUMIFS(Scoreboard_38[Kills],Scoreboard_38[Role],"Healer",Scoreboard_38[Guild],"Unhinged肉")</f>
        <v>5</v>
      </c>
    </row>
    <row r="69" spans="1:30" ht="22.5" customHeight="1">
      <c r="A69" s="32">
        <v>28</v>
      </c>
      <c r="B69" s="94" t="str">
        <f>VLOOKUP(C69,Lists!I:J,2,FALSE)</f>
        <v>Ranged DPS</v>
      </c>
      <c r="C69" s="95" t="str">
        <f>VLOOKUP(E69&amp;D69,Lists!C:E,3,FALSE)</f>
        <v>Staff/Dagger</v>
      </c>
      <c r="D69" s="35" t="s">
        <v>36</v>
      </c>
      <c r="E69" s="36" t="s">
        <v>251</v>
      </c>
      <c r="F69" s="35" t="s">
        <v>476</v>
      </c>
      <c r="G69" s="32">
        <v>11</v>
      </c>
      <c r="H69" s="32">
        <v>8</v>
      </c>
      <c r="I69" s="96">
        <f t="shared" si="0"/>
        <v>19</v>
      </c>
      <c r="J69" s="37">
        <v>875713</v>
      </c>
      <c r="K69" s="37">
        <v>671335</v>
      </c>
      <c r="L69" s="37">
        <v>11992</v>
      </c>
      <c r="M69" s="38">
        <f>I69/(HLOOKUP(F69,Team_Composition_23[[#All],[Yellow]:[Red]],10,FALSE)+HLOOKUP(F69,Team_Composition_23[[#All],[Yellow]:[Red]],11,FALSE))</f>
        <v>4.7488127968007996E-3</v>
      </c>
      <c r="N69" s="38">
        <f>J69/HLOOKUP(F69,Team_Composition_23[[#All],[Yellow]:[Red]],6,FALSE)</f>
        <v>1.973945256144842E-2</v>
      </c>
      <c r="O69" s="38">
        <f>K69/HLOOKUP(F69,Team_Composition_23[[#All],[Yellow]:[Red]],8,FALSE)</f>
        <v>3.8320913411523404E-2</v>
      </c>
      <c r="P69" s="38">
        <f>L69/HLOOKUP(F69,Team_Composition_23[[#All],[Yellow]:[Red]],7,FALSE)</f>
        <v>9.2639701550602585E-4</v>
      </c>
      <c r="Q69" s="31"/>
      <c r="R69" s="45" t="s">
        <v>466</v>
      </c>
      <c r="S69" s="46">
        <f>SUMIFS(Scoreboard_38[Assists],Scoreboard_38[Role],"Healer",Scoreboard_38[Team],"Yellow")</f>
        <v>579</v>
      </c>
      <c r="T69" s="47">
        <f>SUMIFS(Scoreboard_38[Assists],Scoreboard_38[Role],"Healer",Scoreboard_38[Team],"Red")</f>
        <v>555</v>
      </c>
      <c r="U69" s="31"/>
      <c r="V69" s="31"/>
      <c r="W69" s="31"/>
      <c r="X69" s="31"/>
      <c r="Y69" s="31"/>
      <c r="Z69" s="31"/>
      <c r="AA69" s="31"/>
      <c r="AB69" s="45" t="s">
        <v>466</v>
      </c>
      <c r="AC69" s="50">
        <f>SUMIFS(Scoreboard_38[Assists],Scoreboard_38[Role],"Healer",Scoreboard_38[Guild],"Best Regards")</f>
        <v>575</v>
      </c>
      <c r="AD69" s="51">
        <f>SUMIFS(Scoreboard_38[Assists],Scoreboard_38[Role],"Healer",Scoreboard_38[Guild],"Unhinged肉")</f>
        <v>559</v>
      </c>
    </row>
    <row r="70" spans="1:30" ht="22.5" customHeight="1">
      <c r="A70" s="32">
        <v>73</v>
      </c>
      <c r="B70" s="94" t="str">
        <f>VLOOKUP(C70,Lists!I:J,2,FALSE)</f>
        <v>Tank</v>
      </c>
      <c r="C70" s="95" t="str">
        <f>VLOOKUP(E70&amp;D70,Lists!C:E,3,FALSE)</f>
        <v>SnS/Spear</v>
      </c>
      <c r="D70" s="35" t="s">
        <v>34</v>
      </c>
      <c r="E70" s="36" t="s">
        <v>61</v>
      </c>
      <c r="F70" s="35" t="s">
        <v>476</v>
      </c>
      <c r="G70" s="32">
        <v>0</v>
      </c>
      <c r="H70" s="32">
        <v>19</v>
      </c>
      <c r="I70" s="96">
        <f t="shared" si="0"/>
        <v>19</v>
      </c>
      <c r="J70" s="37">
        <v>145137</v>
      </c>
      <c r="K70" s="37">
        <v>368100</v>
      </c>
      <c r="L70" s="37">
        <v>25684</v>
      </c>
      <c r="M70" s="38">
        <f>I70/(HLOOKUP(F70,Team_Composition_23[[#All],[Yellow]:[Red]],10,FALSE)+HLOOKUP(F70,Team_Composition_23[[#All],[Yellow]:[Red]],11,FALSE))</f>
        <v>4.7488127968007996E-3</v>
      </c>
      <c r="N70" s="38">
        <f>J70/HLOOKUP(F70,Team_Composition_23[[#All],[Yellow]:[Red]],6,FALSE)</f>
        <v>3.2715340829825973E-3</v>
      </c>
      <c r="O70" s="38">
        <f>K70/HLOOKUP(F70,Team_Composition_23[[#All],[Yellow]:[Red]],8,FALSE)</f>
        <v>2.1011757508221329E-2</v>
      </c>
      <c r="P70" s="38">
        <f>L70/HLOOKUP(F70,Team_Composition_23[[#All],[Yellow]:[Red]],7,FALSE)</f>
        <v>1.9841211596278159E-3</v>
      </c>
      <c r="Q70" s="31"/>
      <c r="R70" s="45" t="s">
        <v>10</v>
      </c>
      <c r="S70" s="46">
        <f t="shared" ref="S70:S72" si="14">COUNTIFS(C:C,R70,F:F,"Yellow")</f>
        <v>8</v>
      </c>
      <c r="T70" s="47">
        <f t="shared" ref="T70:T72" si="15">COUNTIFS(C:C,R70,F:F,"Red")</f>
        <v>7</v>
      </c>
      <c r="U70" s="31"/>
      <c r="V70" s="31"/>
      <c r="W70" s="31"/>
      <c r="X70" s="31"/>
      <c r="Y70" s="31"/>
      <c r="Z70" s="31"/>
      <c r="AA70" s="31"/>
      <c r="AB70" s="45" t="s">
        <v>10</v>
      </c>
      <c r="AC70" s="50">
        <f t="shared" ref="AC70:AC72" si="16">COUNTIFS(C:C,AB70,D:D,"Best Regards")</f>
        <v>7</v>
      </c>
      <c r="AD70" s="51">
        <f t="shared" ref="AD70:AD72" si="17">COUNTIFS(C:C,AB70,D:D,"Unhinged肉")</f>
        <v>8</v>
      </c>
    </row>
    <row r="71" spans="1:30" ht="22.5" customHeight="1">
      <c r="A71" s="32">
        <v>74</v>
      </c>
      <c r="B71" s="94" t="str">
        <f>VLOOKUP(C71,Lists!I:J,2,FALSE)</f>
        <v>Healer</v>
      </c>
      <c r="C71" s="95" t="str">
        <f>VLOOKUP(E71&amp;D71,Lists!C:E,3,FALSE)</f>
        <v>Wand/Longbow</v>
      </c>
      <c r="D71" s="35" t="s">
        <v>34</v>
      </c>
      <c r="E71" s="36" t="s">
        <v>180</v>
      </c>
      <c r="F71" s="35" t="s">
        <v>483</v>
      </c>
      <c r="G71" s="32">
        <v>0</v>
      </c>
      <c r="H71" s="32">
        <v>19</v>
      </c>
      <c r="I71" s="96">
        <f t="shared" si="0"/>
        <v>19</v>
      </c>
      <c r="J71" s="37">
        <v>40803</v>
      </c>
      <c r="K71" s="37">
        <v>270397</v>
      </c>
      <c r="L71" s="37">
        <v>733093</v>
      </c>
      <c r="M71" s="38">
        <f>I71/(HLOOKUP(F71,Team_Composition_23[[#All],[Yellow]:[Red]],10,FALSE)+HLOOKUP(F71,Team_Composition_23[[#All],[Yellow]:[Red]],11,FALSE))</f>
        <v>2.3142509135200974E-2</v>
      </c>
      <c r="N71" s="38">
        <f>J71/HLOOKUP(F71,Team_Composition_23[[#All],[Yellow]:[Red]],6,FALSE)</f>
        <v>2.312386709174428E-3</v>
      </c>
      <c r="O71" s="38">
        <f>K71/HLOOKUP(F71,Team_Composition_23[[#All],[Yellow]:[Red]],8,FALSE)</f>
        <v>6.143161143129564E-3</v>
      </c>
      <c r="P71" s="38">
        <f>L71/HLOOKUP(F71,Team_Composition_23[[#All],[Yellow]:[Red]],7,FALSE)</f>
        <v>3.0207707476827179E-2</v>
      </c>
      <c r="Q71" s="31"/>
      <c r="R71" s="45" t="s">
        <v>9</v>
      </c>
      <c r="S71" s="46">
        <f t="shared" si="14"/>
        <v>10</v>
      </c>
      <c r="T71" s="47">
        <f t="shared" si="15"/>
        <v>11</v>
      </c>
      <c r="U71" s="31"/>
      <c r="V71" s="31"/>
      <c r="W71" s="31"/>
      <c r="X71" s="31"/>
      <c r="Y71" s="31"/>
      <c r="Z71" s="31"/>
      <c r="AA71" s="31"/>
      <c r="AB71" s="45" t="s">
        <v>9</v>
      </c>
      <c r="AC71" s="50">
        <f t="shared" si="16"/>
        <v>11</v>
      </c>
      <c r="AD71" s="51">
        <f t="shared" si="17"/>
        <v>10</v>
      </c>
    </row>
    <row r="72" spans="1:30" ht="22.5" customHeight="1">
      <c r="A72" s="32">
        <v>75</v>
      </c>
      <c r="B72" s="94" t="str">
        <f>VLOOKUP(C72,Lists!I:J,2,FALSE)</f>
        <v>Healer</v>
      </c>
      <c r="C72" s="95" t="str">
        <f>VLOOKUP(E72&amp;D72,Lists!C:E,3,FALSE)</f>
        <v>Wand/Longbow</v>
      </c>
      <c r="D72" s="35" t="s">
        <v>34</v>
      </c>
      <c r="E72" s="36" t="s">
        <v>44</v>
      </c>
      <c r="F72" s="35" t="s">
        <v>483</v>
      </c>
      <c r="G72" s="32">
        <v>0</v>
      </c>
      <c r="H72" s="32">
        <v>16</v>
      </c>
      <c r="I72" s="96">
        <f t="shared" si="0"/>
        <v>16</v>
      </c>
      <c r="J72" s="37">
        <v>32570</v>
      </c>
      <c r="K72" s="37">
        <v>480367</v>
      </c>
      <c r="L72" s="37">
        <v>1162941</v>
      </c>
      <c r="M72" s="38">
        <f>I72/(HLOOKUP(F72,Team_Composition_23[[#All],[Yellow]:[Red]],10,FALSE)+HLOOKUP(F72,Team_Composition_23[[#All],[Yellow]:[Red]],11,FALSE))</f>
        <v>1.9488428745432398E-2</v>
      </c>
      <c r="N72" s="38">
        <f>J72/HLOOKUP(F72,Team_Composition_23[[#All],[Yellow]:[Red]],6,FALSE)</f>
        <v>1.8458063161485951E-3</v>
      </c>
      <c r="O72" s="38">
        <f>K72/HLOOKUP(F72,Team_Composition_23[[#All],[Yellow]:[Red]],8,FALSE)</f>
        <v>1.0913478658571356E-2</v>
      </c>
      <c r="P72" s="38">
        <f>L72/HLOOKUP(F72,Team_Composition_23[[#All],[Yellow]:[Red]],7,FALSE)</f>
        <v>4.791995223090232E-2</v>
      </c>
      <c r="Q72" s="31"/>
      <c r="R72" s="45" t="s">
        <v>18</v>
      </c>
      <c r="S72" s="46">
        <f t="shared" si="14"/>
        <v>0</v>
      </c>
      <c r="T72" s="47">
        <f t="shared" si="15"/>
        <v>0</v>
      </c>
      <c r="U72" s="31"/>
      <c r="V72" s="31"/>
      <c r="W72" s="31"/>
      <c r="X72" s="31"/>
      <c r="Y72" s="31"/>
      <c r="Z72" s="31"/>
      <c r="AA72" s="31"/>
      <c r="AB72" s="45" t="s">
        <v>18</v>
      </c>
      <c r="AC72" s="50">
        <f t="shared" si="16"/>
        <v>0</v>
      </c>
      <c r="AD72" s="51">
        <f t="shared" si="17"/>
        <v>0</v>
      </c>
    </row>
    <row r="73" spans="1:30" ht="22.5" customHeight="1">
      <c r="A73" s="32">
        <v>76</v>
      </c>
      <c r="B73" s="94" t="str">
        <f>VLOOKUP(C73,Lists!I:J,2,FALSE)</f>
        <v>Healer</v>
      </c>
      <c r="C73" s="95" t="str">
        <f>VLOOKUP(E73&amp;D73,Lists!C:E,3,FALSE)</f>
        <v>Wand/Orb</v>
      </c>
      <c r="D73" s="35" t="s">
        <v>36</v>
      </c>
      <c r="E73" s="36" t="s">
        <v>285</v>
      </c>
      <c r="F73" s="35" t="s">
        <v>476</v>
      </c>
      <c r="G73" s="32">
        <v>0</v>
      </c>
      <c r="H73" s="32">
        <v>14</v>
      </c>
      <c r="I73" s="96">
        <f t="shared" si="0"/>
        <v>14</v>
      </c>
      <c r="J73" s="37">
        <v>28752</v>
      </c>
      <c r="K73" s="37">
        <v>742454</v>
      </c>
      <c r="L73" s="37">
        <v>588092</v>
      </c>
      <c r="M73" s="38">
        <f>I73/(HLOOKUP(F73,Team_Composition_23[[#All],[Yellow]:[Red]],10,FALSE)+HLOOKUP(F73,Team_Composition_23[[#All],[Yellow]:[Red]],11,FALSE))</f>
        <v>3.4991252186953262E-3</v>
      </c>
      <c r="N73" s="38">
        <f>J73/HLOOKUP(F73,Team_Composition_23[[#All],[Yellow]:[Red]],6,FALSE)</f>
        <v>6.4809902336355053E-4</v>
      </c>
      <c r="O73" s="38">
        <f>K73/HLOOKUP(F73,Team_Composition_23[[#All],[Yellow]:[Red]],8,FALSE)</f>
        <v>4.2380503691955874E-2</v>
      </c>
      <c r="P73" s="38">
        <f>L73/HLOOKUP(F73,Team_Composition_23[[#All],[Yellow]:[Red]],7,FALSE)</f>
        <v>4.5430843365824695E-2</v>
      </c>
      <c r="Q73" s="31"/>
      <c r="R73" s="31"/>
      <c r="S73" s="31"/>
      <c r="T73" s="31"/>
      <c r="U73" s="31"/>
      <c r="V73" s="31"/>
      <c r="W73" s="31"/>
      <c r="X73" s="31"/>
      <c r="Y73" s="31"/>
      <c r="Z73" s="31"/>
      <c r="AA73" s="31"/>
      <c r="AB73" s="31"/>
      <c r="AC73" s="31"/>
      <c r="AD73" s="31"/>
    </row>
    <row r="74" spans="1:30" ht="22.5" customHeight="1">
      <c r="A74" s="32">
        <v>77</v>
      </c>
      <c r="B74" s="94" t="str">
        <f>VLOOKUP(C74,Lists!I:J,2,FALSE)</f>
        <v>Tank</v>
      </c>
      <c r="C74" s="95" t="str">
        <f>VLOOKUP(E74&amp;D74,Lists!C:E,3,FALSE)</f>
        <v>SnS/Spear</v>
      </c>
      <c r="D74" s="35" t="s">
        <v>34</v>
      </c>
      <c r="E74" s="36" t="s">
        <v>79</v>
      </c>
      <c r="F74" s="35" t="s">
        <v>476</v>
      </c>
      <c r="G74" s="32">
        <v>0</v>
      </c>
      <c r="H74" s="32">
        <v>13</v>
      </c>
      <c r="I74" s="96">
        <f t="shared" si="0"/>
        <v>13</v>
      </c>
      <c r="J74" s="37">
        <v>97242</v>
      </c>
      <c r="K74" s="37">
        <v>259430</v>
      </c>
      <c r="L74" s="37">
        <v>9653</v>
      </c>
      <c r="M74" s="38">
        <f>I74/(HLOOKUP(F74,Team_Composition_23[[#All],[Yellow]:[Red]],10,FALSE)+HLOOKUP(F74,Team_Composition_23[[#All],[Yellow]:[Red]],11,FALSE))</f>
        <v>3.2491877030742314E-3</v>
      </c>
      <c r="N74" s="38">
        <f>J74/HLOOKUP(F74,Team_Composition_23[[#All],[Yellow]:[Red]],6,FALSE)</f>
        <v>2.1919325692097377E-3</v>
      </c>
      <c r="O74" s="38">
        <f>K74/HLOOKUP(F74,Team_Composition_23[[#All],[Yellow]:[Red]],8,FALSE)</f>
        <v>1.4808693970002335E-2</v>
      </c>
      <c r="P74" s="38">
        <f>L74/HLOOKUP(F74,Team_Composition_23[[#All],[Yellow]:[Red]],7,FALSE)</f>
        <v>7.4570633678115977E-4</v>
      </c>
      <c r="Q74" s="31"/>
    </row>
    <row r="75" spans="1:30" ht="22.5" customHeight="1">
      <c r="A75" s="32">
        <v>78</v>
      </c>
      <c r="B75" s="94" t="str">
        <f>VLOOKUP(C75,Lists!I:J,2,FALSE)</f>
        <v>Healer</v>
      </c>
      <c r="C75" s="95" t="str">
        <f>VLOOKUP(E75&amp;D75,Lists!C:E,3,FALSE)</f>
        <v>Wand/Longbow</v>
      </c>
      <c r="D75" s="35" t="s">
        <v>34</v>
      </c>
      <c r="E75" s="36" t="s">
        <v>136</v>
      </c>
      <c r="F75" s="35" t="s">
        <v>476</v>
      </c>
      <c r="G75" s="32">
        <v>0</v>
      </c>
      <c r="H75" s="32">
        <v>13</v>
      </c>
      <c r="I75" s="96">
        <f t="shared" si="0"/>
        <v>13</v>
      </c>
      <c r="J75" s="37">
        <v>76807</v>
      </c>
      <c r="K75" s="37">
        <v>421902</v>
      </c>
      <c r="L75" s="37">
        <v>824314</v>
      </c>
      <c r="M75" s="38">
        <f>I75/(HLOOKUP(F75,Team_Composition_23[[#All],[Yellow]:[Red]],10,FALSE)+HLOOKUP(F75,Team_Composition_23[[#All],[Yellow]:[Red]],11,FALSE))</f>
        <v>3.2491877030742314E-3</v>
      </c>
      <c r="N75" s="38">
        <f>J75/HLOOKUP(F75,Team_Composition_23[[#All],[Yellow]:[Red]],6,FALSE)</f>
        <v>1.7313070982013156E-3</v>
      </c>
      <c r="O75" s="38">
        <f>K75/HLOOKUP(F75,Team_Composition_23[[#All],[Yellow]:[Red]],8,FALSE)</f>
        <v>2.4082864754777493E-2</v>
      </c>
      <c r="P75" s="38">
        <f>L75/HLOOKUP(F75,Team_Composition_23[[#All],[Yellow]:[Red]],7,FALSE)</f>
        <v>6.367928864575001E-2</v>
      </c>
      <c r="Q75" s="31"/>
      <c r="R75" s="227" t="s">
        <v>78</v>
      </c>
      <c r="S75" s="228"/>
      <c r="T75" s="228"/>
      <c r="U75" s="31"/>
      <c r="V75" s="31"/>
      <c r="W75" s="31"/>
      <c r="X75" s="31"/>
      <c r="Y75" s="31"/>
      <c r="Z75" s="31"/>
      <c r="AA75" s="31"/>
      <c r="AB75" s="227" t="s">
        <v>78</v>
      </c>
      <c r="AC75" s="228"/>
      <c r="AD75" s="228"/>
    </row>
    <row r="76" spans="1:30" ht="22.5" customHeight="1">
      <c r="A76" s="32">
        <v>79</v>
      </c>
      <c r="B76" s="94" t="str">
        <f>VLOOKUP(C76,Lists!I:J,2,FALSE)</f>
        <v>Healer</v>
      </c>
      <c r="C76" s="95" t="str">
        <f>VLOOKUP(E76&amp;D76,Lists!C:E,3,FALSE)</f>
        <v>Wand/Orb</v>
      </c>
      <c r="D76" s="35" t="s">
        <v>36</v>
      </c>
      <c r="E76" s="36" t="s">
        <v>301</v>
      </c>
      <c r="F76" s="35" t="s">
        <v>476</v>
      </c>
      <c r="G76" s="32">
        <v>0</v>
      </c>
      <c r="H76" s="32">
        <v>13</v>
      </c>
      <c r="I76" s="96">
        <f t="shared" si="0"/>
        <v>13</v>
      </c>
      <c r="J76" s="37">
        <v>63733</v>
      </c>
      <c r="K76" s="37">
        <v>586133</v>
      </c>
      <c r="L76" s="37">
        <v>1318282</v>
      </c>
      <c r="M76" s="38">
        <f>I76/(HLOOKUP(F76,Team_Composition_23[[#All],[Yellow]:[Red]],10,FALSE)+HLOOKUP(F76,Team_Composition_23[[#All],[Yellow]:[Red]],11,FALSE))</f>
        <v>3.2491877030742314E-3</v>
      </c>
      <c r="N76" s="38">
        <f>J76/HLOOKUP(F76,Team_Composition_23[[#All],[Yellow]:[Red]],6,FALSE)</f>
        <v>1.4366059771852102E-3</v>
      </c>
      <c r="O76" s="38">
        <f>K76/HLOOKUP(F76,Team_Composition_23[[#All],[Yellow]:[Red]],8,FALSE)</f>
        <v>3.3457442172144233E-2</v>
      </c>
      <c r="P76" s="38">
        <f>L76/HLOOKUP(F76,Team_Composition_23[[#All],[Yellow]:[Red]],7,FALSE)</f>
        <v>0.10183893515638048</v>
      </c>
      <c r="Q76" s="31"/>
      <c r="R76" s="27" t="s">
        <v>482</v>
      </c>
      <c r="S76" s="72" t="s">
        <v>476</v>
      </c>
      <c r="T76" s="72" t="s">
        <v>483</v>
      </c>
      <c r="U76" s="31"/>
      <c r="V76" s="31"/>
      <c r="W76" s="31"/>
      <c r="X76" s="31"/>
      <c r="Y76" s="31"/>
      <c r="Z76" s="31"/>
      <c r="AA76" s="31"/>
      <c r="AB76" s="27" t="s">
        <v>482</v>
      </c>
      <c r="AC76" s="72" t="s">
        <v>485</v>
      </c>
      <c r="AD76" s="72" t="s">
        <v>36</v>
      </c>
    </row>
    <row r="77" spans="1:30" ht="22.5" customHeight="1">
      <c r="A77" s="32">
        <v>80</v>
      </c>
      <c r="B77" s="94" t="str">
        <f>VLOOKUP(C77,Lists!I:J,2,FALSE)</f>
        <v>Healer</v>
      </c>
      <c r="C77" s="95" t="str">
        <f>VLOOKUP(E77&amp;D77,Lists!C:E,3,FALSE)</f>
        <v>Wand/Orb</v>
      </c>
      <c r="D77" s="35" t="s">
        <v>34</v>
      </c>
      <c r="E77" s="36" t="s">
        <v>139</v>
      </c>
      <c r="F77" s="35" t="s">
        <v>483</v>
      </c>
      <c r="G77" s="32">
        <v>0</v>
      </c>
      <c r="H77" s="32">
        <v>13</v>
      </c>
      <c r="I77" s="96">
        <f t="shared" si="0"/>
        <v>13</v>
      </c>
      <c r="J77" s="37">
        <v>9391</v>
      </c>
      <c r="K77" s="37">
        <v>289183</v>
      </c>
      <c r="L77" s="37">
        <v>601011</v>
      </c>
      <c r="M77" s="38">
        <f>I77/(HLOOKUP(F77,Team_Composition_23[[#All],[Yellow]:[Red]],10,FALSE)+HLOOKUP(F77,Team_Composition_23[[#All],[Yellow]:[Red]],11,FALSE))</f>
        <v>1.5834348355663823E-2</v>
      </c>
      <c r="N77" s="38">
        <f>J77/HLOOKUP(F77,Team_Composition_23[[#All],[Yellow]:[Red]],6,FALSE)</f>
        <v>5.3220654328988196E-4</v>
      </c>
      <c r="O77" s="38">
        <f>K77/HLOOKUP(F77,Team_Composition_23[[#All],[Yellow]:[Red]],8,FALSE)</f>
        <v>6.5699610900033529E-3</v>
      </c>
      <c r="P77" s="38">
        <f>L77/HLOOKUP(F77,Team_Composition_23[[#All],[Yellow]:[Red]],7,FALSE)</f>
        <v>2.4765158688400218E-2</v>
      </c>
      <c r="Q77" s="31"/>
      <c r="R77" s="74" t="s">
        <v>468</v>
      </c>
      <c r="S77" s="75">
        <f>SUMIFS('BR m Unhinged Pakilo 2 2172026'!$J$2:$J$163,'BR m Unhinged Pakilo 2 2172026'!$B$2:$B$163,"KS",'BR m Unhinged Pakilo 2 2172026'!$F$2:$F$163,"Yellow")</f>
        <v>5304640</v>
      </c>
      <c r="T77" s="76">
        <f>SUMIFS('BR m Unhinged Pakilo 2 2172026'!$J$2:$J$163,'BR m Unhinged Pakilo 2 2172026'!$B$2:$B$163,"KS",'BR m Unhinged Pakilo 2 2172026'!$F$2:$F$163,"Red")</f>
        <v>8182057</v>
      </c>
      <c r="U77" s="31"/>
      <c r="V77" s="31"/>
      <c r="W77" s="31"/>
      <c r="X77" s="31"/>
      <c r="Y77" s="31"/>
      <c r="Z77" s="31"/>
      <c r="AA77" s="31"/>
      <c r="AB77" s="74" t="s">
        <v>468</v>
      </c>
      <c r="AC77" s="75">
        <f>SUMIFS('BR m Unhinged Pakilo 2 2172026'!$J$2:$J$163,'BR m Unhinged Pakilo 2 2172026'!$B$2:$B$163,"KS",'BR m Unhinged Pakilo 2 2172026'!$D$2:$D$163,"Best Regards")</f>
        <v>8913007</v>
      </c>
      <c r="AD77" s="76">
        <f>SUMIFS('BR m Unhinged Pakilo 2 2172026'!$J$2:$J$163,'BR m Unhinged Pakilo 2 2172026'!$B$2:$B$163,"KS",'BR m Unhinged Pakilo 2 2172026'!$D$2:$D$163,"Unhinged肉")</f>
        <v>4573690</v>
      </c>
    </row>
    <row r="78" spans="1:30" ht="22.5" customHeight="1">
      <c r="A78" s="32">
        <v>81</v>
      </c>
      <c r="B78" s="94" t="str">
        <f>VLOOKUP(C78,Lists!I:J,2,FALSE)</f>
        <v>Tank</v>
      </c>
      <c r="C78" s="95" t="str">
        <f>VLOOKUP(E78&amp;D78,Lists!C:E,3,FALSE)</f>
        <v>SnS/Dagger</v>
      </c>
      <c r="D78" s="35" t="s">
        <v>36</v>
      </c>
      <c r="E78" s="36" t="s">
        <v>323</v>
      </c>
      <c r="F78" s="35" t="s">
        <v>483</v>
      </c>
      <c r="G78" s="32">
        <v>0</v>
      </c>
      <c r="H78" s="32">
        <v>12</v>
      </c>
      <c r="I78" s="96">
        <f t="shared" si="0"/>
        <v>12</v>
      </c>
      <c r="J78" s="37">
        <v>74833</v>
      </c>
      <c r="K78" s="37">
        <v>208267</v>
      </c>
      <c r="L78" s="37">
        <v>27430</v>
      </c>
      <c r="M78" s="38">
        <f>I78/(HLOOKUP(F78,Team_Composition_23[[#All],[Yellow]:[Red]],10,FALSE)+HLOOKUP(F78,Team_Composition_23[[#All],[Yellow]:[Red]],11,FALSE))</f>
        <v>1.4616321559074299E-2</v>
      </c>
      <c r="N78" s="38">
        <f>J78/HLOOKUP(F78,Team_Composition_23[[#All],[Yellow]:[Red]],6,FALSE)</f>
        <v>4.2409341128752786E-3</v>
      </c>
      <c r="O78" s="38">
        <f>K78/HLOOKUP(F78,Team_Composition_23[[#All],[Yellow]:[Red]],8,FALSE)</f>
        <v>4.7316269847526597E-3</v>
      </c>
      <c r="P78" s="38">
        <f>L78/HLOOKUP(F78,Team_Composition_23[[#All],[Yellow]:[Red]],7,FALSE)</f>
        <v>1.130275989662116E-3</v>
      </c>
      <c r="Q78" s="31"/>
      <c r="R78" s="78" t="s">
        <v>469</v>
      </c>
      <c r="S78" s="75">
        <f>SUMIFS('BR m Unhinged Pakilo 2 2172026'!$K$2:$K$163,'BR m Unhinged Pakilo 2 2172026'!$B$2:$B$163,"KS",'BR m Unhinged Pakilo 2 2172026'!$F$2:$F$163,"Yellow")</f>
        <v>3975076</v>
      </c>
      <c r="T78" s="76">
        <f>SUMIFS('BR m Unhinged Pakilo 2 2172026'!$K$2:$K$163,'BR m Unhinged Pakilo 2 2172026'!$B$2:$B$163,"KS",'BR m Unhinged Pakilo 2 2172026'!$F$2:$F$163,"Red")</f>
        <v>3859395</v>
      </c>
      <c r="U78" s="31"/>
      <c r="V78" s="31"/>
      <c r="W78" s="31"/>
      <c r="X78" s="31"/>
      <c r="Y78" s="31"/>
      <c r="Z78" s="31"/>
      <c r="AA78" s="31"/>
      <c r="AB78" s="78" t="s">
        <v>469</v>
      </c>
      <c r="AC78" s="75">
        <f>SUMIFS('BR m Unhinged Pakilo 2 2172026'!$K$2:$K$163,'BR m Unhinged Pakilo 2 2172026'!$B$2:$B$163,"KS",'BR m Unhinged Pakilo 2 2172026'!$D$2:$D$163,"Best Regards")</f>
        <v>4811206</v>
      </c>
      <c r="AD78" s="76">
        <f>SUMIFS('BR m Unhinged Pakilo 2 2172026'!$K$2:$K$163,'BR m Unhinged Pakilo 2 2172026'!$B$2:$B$163,"KS",'BR m Unhinged Pakilo 2 2172026'!$D$2:$D$163,"Unhinged肉")</f>
        <v>3023265</v>
      </c>
    </row>
    <row r="79" spans="1:30" ht="22.5" customHeight="1">
      <c r="A79" s="32">
        <v>82</v>
      </c>
      <c r="B79" s="94" t="str">
        <f>VLOOKUP(C79,Lists!I:J,2,FALSE)</f>
        <v>Ranged DPS</v>
      </c>
      <c r="C79" s="95" t="str">
        <f>VLOOKUP(E79&amp;D79,Lists!C:E,3,FALSE)</f>
        <v>Crossbow/SnS</v>
      </c>
      <c r="D79" s="35" t="s">
        <v>34</v>
      </c>
      <c r="E79" s="36" t="s">
        <v>83</v>
      </c>
      <c r="F79" s="35" t="s">
        <v>476</v>
      </c>
      <c r="G79" s="32">
        <v>0</v>
      </c>
      <c r="H79" s="32">
        <v>11</v>
      </c>
      <c r="I79" s="96">
        <f t="shared" si="0"/>
        <v>11</v>
      </c>
      <c r="J79" s="37">
        <v>38732</v>
      </c>
      <c r="K79" s="37">
        <v>200875</v>
      </c>
      <c r="L79" s="37">
        <v>112444</v>
      </c>
      <c r="M79" s="38">
        <f>I79/(HLOOKUP(F79,Team_Composition_23[[#All],[Yellow]:[Red]],10,FALSE)+HLOOKUP(F79,Team_Composition_23[[#All],[Yellow]:[Red]],11,FALSE))</f>
        <v>2.7493126718320421E-3</v>
      </c>
      <c r="N79" s="38">
        <f>J79/HLOOKUP(F79,Team_Composition_23[[#All],[Yellow]:[Red]],6,FALSE)</f>
        <v>8.7305826978704222E-4</v>
      </c>
      <c r="O79" s="38">
        <f>K79/HLOOKUP(F79,Team_Composition_23[[#All],[Yellow]:[Red]],8,FALSE)</f>
        <v>1.1466277613322357E-2</v>
      </c>
      <c r="P79" s="38">
        <f>L79/HLOOKUP(F79,Team_Composition_23[[#All],[Yellow]:[Red]],7,FALSE)</f>
        <v>8.6864397941594038E-3</v>
      </c>
      <c r="Q79" s="31"/>
      <c r="R79" s="74" t="s">
        <v>470</v>
      </c>
      <c r="S79" s="75">
        <f>SUMIFS('BR m Unhinged Pakilo 2 2172026'!$L$2:$L$163,'BR m Unhinged Pakilo 2 2172026'!$B$2:$B$163,"KS",'BR m Unhinged Pakilo 2 2172026'!$F$2:$F$163,"Yellow")</f>
        <v>59163</v>
      </c>
      <c r="T79" s="76">
        <f>SUMIFS('BR m Unhinged Pakilo 2 2172026'!$L$2:$L$163,'BR m Unhinged Pakilo 2 2172026'!$B$2:$B$163,"KS",'BR m Unhinged Pakilo 2 2172026'!$F$2:$F$163,"Red")</f>
        <v>137481</v>
      </c>
      <c r="U79" s="31"/>
      <c r="V79" s="31"/>
      <c r="W79" s="31"/>
      <c r="X79" s="31"/>
      <c r="Y79" s="31"/>
      <c r="Z79" s="31"/>
      <c r="AA79" s="31"/>
      <c r="AB79" s="74" t="s">
        <v>470</v>
      </c>
      <c r="AC79" s="75">
        <f>SUMIFS('BR m Unhinged Pakilo 2 2172026'!$L$2:$L$163,'BR m Unhinged Pakilo 2 2172026'!$B$2:$B$163,"KS",'BR m Unhinged Pakilo 2 2172026'!$D$2:$D$163,"Best Regards")</f>
        <v>93877</v>
      </c>
      <c r="AD79" s="76">
        <f>SUMIFS('BR m Unhinged Pakilo 2 2172026'!$L$2:$L$163,'BR m Unhinged Pakilo 2 2172026'!$B$2:$B$163,"KS",'BR m Unhinged Pakilo 2 2172026'!$D$2:$D$163,"Unhinged肉")</f>
        <v>102767</v>
      </c>
    </row>
    <row r="80" spans="1:30" ht="22.5" customHeight="1">
      <c r="A80" s="32">
        <v>83</v>
      </c>
      <c r="B80" s="94" t="str">
        <f>VLOOKUP(C80,Lists!I:J,2,FALSE)</f>
        <v>Tank</v>
      </c>
      <c r="C80" s="95" t="str">
        <f>VLOOKUP(E80&amp;D80,Lists!C:E,3,FALSE)</f>
        <v>SnS/Greatsword</v>
      </c>
      <c r="D80" s="35" t="s">
        <v>34</v>
      </c>
      <c r="E80" s="36" t="s">
        <v>178</v>
      </c>
      <c r="F80" s="35" t="s">
        <v>483</v>
      </c>
      <c r="G80" s="32">
        <v>0</v>
      </c>
      <c r="H80" s="32">
        <v>11</v>
      </c>
      <c r="I80" s="96">
        <f t="shared" si="0"/>
        <v>11</v>
      </c>
      <c r="J80" s="37">
        <v>37446</v>
      </c>
      <c r="K80" s="37">
        <v>429418</v>
      </c>
      <c r="L80" s="37">
        <v>76530</v>
      </c>
      <c r="M80" s="38">
        <f>I80/(HLOOKUP(F80,Team_Composition_23[[#All],[Yellow]:[Red]],10,FALSE)+HLOOKUP(F80,Team_Composition_23[[#All],[Yellow]:[Red]],11,FALSE))</f>
        <v>1.3398294762484775E-2</v>
      </c>
      <c r="N80" s="38">
        <f>J80/HLOOKUP(F80,Team_Composition_23[[#All],[Yellow]:[Red]],6,FALSE)</f>
        <v>2.1221388797820167E-3</v>
      </c>
      <c r="O80" s="38">
        <f>K80/HLOOKUP(F80,Team_Composition_23[[#All],[Yellow]:[Red]],8,FALSE)</f>
        <v>9.7559661229984461E-3</v>
      </c>
      <c r="P80" s="38">
        <f>L80/HLOOKUP(F80,Team_Composition_23[[#All],[Yellow]:[Red]],7,FALSE)</f>
        <v>3.1534823729070993E-3</v>
      </c>
      <c r="Q80" s="31"/>
      <c r="R80" s="78" t="s">
        <v>465</v>
      </c>
      <c r="S80" s="75">
        <f>SUMIFS('BR m Unhinged Pakilo 2 2172026'!$G$2:$G$163,'BR m Unhinged Pakilo 2 2172026'!$B$2:$B$163,"KS",'BR m Unhinged Pakilo 2 2172026'!$F$2:$F$163,"Yellow")</f>
        <v>126</v>
      </c>
      <c r="T80" s="76">
        <f>SUMIFS('BR m Unhinged Pakilo 2 2172026'!$G$2:$G$163,'BR m Unhinged Pakilo 2 2172026'!$B$2:$B$163,"KS",'BR m Unhinged Pakilo 2 2172026'!$F$2:$F$163,"Red")</f>
        <v>167</v>
      </c>
      <c r="U80" s="31"/>
      <c r="V80" s="31"/>
      <c r="W80" s="31"/>
      <c r="X80" s="31"/>
      <c r="Y80" s="31"/>
      <c r="Z80" s="31"/>
      <c r="AA80" s="31"/>
      <c r="AB80" s="78" t="s">
        <v>465</v>
      </c>
      <c r="AC80" s="75">
        <f>SUMIFS('BR m Unhinged Pakilo 2 2172026'!$G$2:$G$163,'BR m Unhinged Pakilo 2 2172026'!$B$2:$B$163,"KS",'BR m Unhinged Pakilo 2 2172026'!$D$2:$D$163,"Best Regards")</f>
        <v>204</v>
      </c>
      <c r="AD80" s="76">
        <f>SUMIFS('BR m Unhinged Pakilo 2 2172026'!$G$2:$G$163,'BR m Unhinged Pakilo 2 2172026'!$B$2:$B$163,"KS",'BR m Unhinged Pakilo 2 2172026'!$D$2:$D$163,"Unhinged肉")</f>
        <v>89</v>
      </c>
    </row>
    <row r="81" spans="1:30" ht="22.5" customHeight="1">
      <c r="A81" s="32">
        <v>84</v>
      </c>
      <c r="B81" s="94" t="str">
        <f>VLOOKUP(C81,Lists!I:J,2,FALSE)</f>
        <v>Healer</v>
      </c>
      <c r="C81" s="95" t="str">
        <f>VLOOKUP(E81&amp;D81,Lists!C:E,3,FALSE)</f>
        <v>Wand/Orb</v>
      </c>
      <c r="D81" s="35" t="s">
        <v>34</v>
      </c>
      <c r="E81" s="36" t="s">
        <v>74</v>
      </c>
      <c r="F81" s="35" t="s">
        <v>483</v>
      </c>
      <c r="G81" s="32">
        <v>0</v>
      </c>
      <c r="H81" s="32">
        <v>10</v>
      </c>
      <c r="I81" s="96">
        <f t="shared" si="0"/>
        <v>10</v>
      </c>
      <c r="J81" s="37">
        <v>10309</v>
      </c>
      <c r="K81" s="37">
        <v>184538</v>
      </c>
      <c r="L81" s="37">
        <v>168900</v>
      </c>
      <c r="M81" s="38">
        <f>I81/(HLOOKUP(F81,Team_Composition_23[[#All],[Yellow]:[Red]],10,FALSE)+HLOOKUP(F81,Team_Composition_23[[#All],[Yellow]:[Red]],11,FALSE))</f>
        <v>1.2180267965895249E-2</v>
      </c>
      <c r="N81" s="38">
        <f>J81/HLOOKUP(F81,Team_Composition_23[[#All],[Yellow]:[Red]],6,FALSE)</f>
        <v>5.8423141888780676E-4</v>
      </c>
      <c r="O81" s="38">
        <f>K81/HLOOKUP(F81,Team_Composition_23[[#All],[Yellow]:[Red]],8,FALSE)</f>
        <v>4.1925268069943214E-3</v>
      </c>
      <c r="P81" s="38">
        <f>L81/HLOOKUP(F81,Team_Composition_23[[#All],[Yellow]:[Red]],7,FALSE)</f>
        <v>6.9596651350321316E-3</v>
      </c>
      <c r="Q81" s="31"/>
      <c r="R81" s="79" t="s">
        <v>466</v>
      </c>
      <c r="S81" s="80">
        <f>SUMIFS('BR m Unhinged Pakilo 2 2172026'!$H$2:$H$163,'BR m Unhinged Pakilo 2 2172026'!$B$2:$B$163,"KS",'BR m Unhinged Pakilo 2 2172026'!$F$2:$F$163,"Yellow")</f>
        <v>159</v>
      </c>
      <c r="T81" s="81">
        <f>SUMIFS('BR m Unhinged Pakilo 2 2172026'!$H$2:$H$163,'BR m Unhinged Pakilo 2 2172026'!$B$2:$B$163,"KS",'BR m Unhinged Pakilo 2 2172026'!$F$2:$F$163,"Red")</f>
        <v>188</v>
      </c>
      <c r="U81" s="31"/>
      <c r="V81" s="31"/>
      <c r="W81" s="31"/>
      <c r="X81" s="31"/>
      <c r="Y81" s="31"/>
      <c r="Z81" s="31"/>
      <c r="AA81" s="31"/>
      <c r="AB81" s="79" t="s">
        <v>466</v>
      </c>
      <c r="AC81" s="80">
        <f>SUMIFS('BR m Unhinged Pakilo 2 2172026'!$H$2:$H$163,'BR m Unhinged Pakilo 2 2172026'!$B$2:$B$163,"KS",'BR m Unhinged Pakilo 2 2172026'!$D$2:$D$163,"Best Regards")</f>
        <v>235</v>
      </c>
      <c r="AD81" s="81">
        <f>SUMIFS('BR m Unhinged Pakilo 2 2172026'!$H$2:$H$163,'BR m Unhinged Pakilo 2 2172026'!$B$2:$B$163,"KS",'BR m Unhinged Pakilo 2 2172026'!$D$2:$D$163,"Unhinged肉")</f>
        <v>112</v>
      </c>
    </row>
    <row r="82" spans="1:30" ht="22.5" customHeight="1">
      <c r="A82" s="32">
        <v>85</v>
      </c>
      <c r="B82" s="94" t="str">
        <f>VLOOKUP(C82,Lists!I:J,2,FALSE)</f>
        <v>Tank</v>
      </c>
      <c r="C82" s="95" t="str">
        <f>VLOOKUP(E82&amp;D82,Lists!C:E,3,FALSE)</f>
        <v>SnS/Greatsword</v>
      </c>
      <c r="D82" s="35" t="s">
        <v>34</v>
      </c>
      <c r="E82" s="36" t="s">
        <v>118</v>
      </c>
      <c r="F82" s="35" t="s">
        <v>483</v>
      </c>
      <c r="G82" s="32">
        <v>0</v>
      </c>
      <c r="H82" s="32">
        <v>9</v>
      </c>
      <c r="I82" s="96">
        <f t="shared" si="0"/>
        <v>9</v>
      </c>
      <c r="J82" s="37">
        <v>45815</v>
      </c>
      <c r="K82" s="37">
        <v>432220</v>
      </c>
      <c r="L82" s="37">
        <v>20324</v>
      </c>
      <c r="M82" s="38">
        <f>I82/(HLOOKUP(F82,Team_Composition_23[[#All],[Yellow]:[Red]],10,FALSE)+HLOOKUP(F82,Team_Composition_23[[#All],[Yellow]:[Red]],11,FALSE))</f>
        <v>1.0962241169305725E-2</v>
      </c>
      <c r="N82" s="38">
        <f>J82/HLOOKUP(F82,Team_Composition_23[[#All],[Yellow]:[Red]],6,FALSE)</f>
        <v>2.5964266617853203E-3</v>
      </c>
      <c r="O82" s="38">
        <f>K82/HLOOKUP(F82,Team_Composition_23[[#All],[Yellow]:[Red]],8,FALSE)</f>
        <v>9.8196248822415184E-3</v>
      </c>
      <c r="P82" s="38">
        <f>L82/HLOOKUP(F82,Team_Composition_23[[#All],[Yellow]:[Red]],7,FALSE)</f>
        <v>8.3746734283240401E-4</v>
      </c>
      <c r="Q82" s="31"/>
      <c r="R82" s="78" t="s">
        <v>54</v>
      </c>
      <c r="S82" s="75">
        <f t="shared" ref="S82:S84" si="18">COUNTIFS(C:C,R82,F:F,"Yellow")</f>
        <v>2</v>
      </c>
      <c r="T82" s="76">
        <f t="shared" ref="T82:T84" si="19">COUNTIFS(C:C,R82,F:F,"Red")</f>
        <v>3</v>
      </c>
      <c r="U82" s="31"/>
      <c r="V82" s="31"/>
      <c r="W82" s="31"/>
      <c r="X82" s="31"/>
      <c r="Y82" s="31"/>
      <c r="Z82" s="31"/>
      <c r="AA82" s="31"/>
      <c r="AB82" s="78" t="s">
        <v>54</v>
      </c>
      <c r="AC82" s="75">
        <f t="shared" ref="AC82:AC84" si="20">COUNTIFS(M:M,AB82,P:P,"Yellow")</f>
        <v>0</v>
      </c>
      <c r="AD82" s="76">
        <f t="shared" ref="AD82:AD84" si="21">COUNTIFS(M:M,AB82,P:P,"Red")</f>
        <v>0</v>
      </c>
    </row>
    <row r="83" spans="1:30" ht="22.5" customHeight="1">
      <c r="A83" s="32">
        <v>86</v>
      </c>
      <c r="B83" s="94" t="str">
        <f>VLOOKUP(C83,Lists!I:J,2,FALSE)</f>
        <v>Tank</v>
      </c>
      <c r="C83" s="95" t="str">
        <f>VLOOKUP(E83&amp;D83,Lists!C:E,3,FALSE)</f>
        <v>SnS/Longbow</v>
      </c>
      <c r="D83" s="35" t="s">
        <v>28</v>
      </c>
      <c r="E83" s="35" t="s">
        <v>363</v>
      </c>
      <c r="F83" s="35" t="s">
        <v>476</v>
      </c>
      <c r="G83" s="32">
        <v>0</v>
      </c>
      <c r="H83" s="32">
        <v>8</v>
      </c>
      <c r="I83" s="96">
        <f t="shared" si="0"/>
        <v>8</v>
      </c>
      <c r="J83" s="37">
        <v>40155</v>
      </c>
      <c r="K83" s="37">
        <v>224336</v>
      </c>
      <c r="L83" s="37">
        <v>76784</v>
      </c>
      <c r="M83" s="38">
        <f>I83/(HLOOKUP(F83,Team_Composition_23[[#All],[Yellow]:[Red]],10,FALSE)+HLOOKUP(F83,Team_Composition_23[[#All],[Yellow]:[Red]],11,FALSE))</f>
        <v>1.999500124968758E-3</v>
      </c>
      <c r="N83" s="38">
        <f>J83/HLOOKUP(F83,Team_Composition_23[[#All],[Yellow]:[Red]],6,FALSE)</f>
        <v>9.0513412225804715E-4</v>
      </c>
      <c r="O83" s="38">
        <f>K83/HLOOKUP(F83,Team_Composition_23[[#All],[Yellow]:[Red]],8,FALSE)</f>
        <v>1.2805470340571421E-2</v>
      </c>
      <c r="P83" s="38">
        <f>L83/HLOOKUP(F83,Team_Composition_23[[#All],[Yellow]:[Red]],7,FALSE)</f>
        <v>5.9316601433134332E-3</v>
      </c>
      <c r="Q83" s="31"/>
      <c r="R83" s="74" t="s">
        <v>69</v>
      </c>
      <c r="S83" s="75">
        <f t="shared" si="18"/>
        <v>3</v>
      </c>
      <c r="T83" s="76">
        <f t="shared" si="19"/>
        <v>2</v>
      </c>
      <c r="U83" s="31"/>
      <c r="V83" s="31"/>
      <c r="W83" s="31"/>
      <c r="X83" s="31"/>
      <c r="Y83" s="31"/>
      <c r="Z83" s="31"/>
      <c r="AA83" s="31"/>
      <c r="AB83" s="74" t="s">
        <v>69</v>
      </c>
      <c r="AC83" s="75">
        <f t="shared" si="20"/>
        <v>0</v>
      </c>
      <c r="AD83" s="76">
        <f t="shared" si="21"/>
        <v>0</v>
      </c>
    </row>
    <row r="84" spans="1:30" ht="22.5" customHeight="1">
      <c r="A84" s="32">
        <v>87</v>
      </c>
      <c r="B84" s="94" t="str">
        <f>VLOOKUP(C84,Lists!I:J,2,FALSE)</f>
        <v>Tank</v>
      </c>
      <c r="C84" s="95" t="str">
        <f>VLOOKUP(E84&amp;D84,Lists!C:E,3,FALSE)</f>
        <v>SnS/Greatsword</v>
      </c>
      <c r="D84" s="35" t="s">
        <v>34</v>
      </c>
      <c r="E84" s="36" t="s">
        <v>148</v>
      </c>
      <c r="F84" s="35" t="s">
        <v>483</v>
      </c>
      <c r="G84" s="32">
        <v>0</v>
      </c>
      <c r="H84" s="32">
        <v>8</v>
      </c>
      <c r="I84" s="96">
        <f t="shared" si="0"/>
        <v>8</v>
      </c>
      <c r="J84" s="37">
        <v>36186</v>
      </c>
      <c r="K84" s="37">
        <v>379392</v>
      </c>
      <c r="L84" s="37">
        <v>15286</v>
      </c>
      <c r="M84" s="38">
        <f>I84/(HLOOKUP(F84,Team_Composition_23[[#All],[Yellow]:[Red]],10,FALSE)+HLOOKUP(F84,Team_Composition_23[[#All],[Yellow]:[Red]],11,FALSE))</f>
        <v>9.7442143727161992E-3</v>
      </c>
      <c r="N84" s="38">
        <f>J84/HLOOKUP(F84,Team_Composition_23[[#All],[Yellow]:[Red]],6,FALSE)</f>
        <v>2.0507321877848653E-3</v>
      </c>
      <c r="O84" s="38">
        <f>K84/HLOOKUP(F84,Team_Composition_23[[#All],[Yellow]:[Red]],8,FALSE)</f>
        <v>8.6194232643639224E-3</v>
      </c>
      <c r="P84" s="38">
        <f>L84/HLOOKUP(F84,Team_Composition_23[[#All],[Yellow]:[Red]],7,FALSE)</f>
        <v>6.2987235792836692E-4</v>
      </c>
      <c r="Q84" s="31"/>
      <c r="R84" s="78" t="s">
        <v>81</v>
      </c>
      <c r="S84" s="75">
        <f t="shared" si="18"/>
        <v>0</v>
      </c>
      <c r="T84" s="76">
        <f t="shared" si="19"/>
        <v>1</v>
      </c>
      <c r="U84" s="31"/>
      <c r="V84" s="31"/>
      <c r="W84" s="31"/>
      <c r="X84" s="31"/>
      <c r="Y84" s="31"/>
      <c r="Z84" s="31"/>
      <c r="AA84" s="31"/>
      <c r="AB84" s="78" t="s">
        <v>81</v>
      </c>
      <c r="AC84" s="75">
        <f t="shared" si="20"/>
        <v>0</v>
      </c>
      <c r="AD84" s="76">
        <f t="shared" si="21"/>
        <v>0</v>
      </c>
    </row>
    <row r="85" spans="1:30" ht="22.5" customHeight="1">
      <c r="A85" s="32">
        <v>88</v>
      </c>
      <c r="B85" s="94" t="str">
        <f>VLOOKUP(C85,Lists!I:J,2,FALSE)</f>
        <v>Tank</v>
      </c>
      <c r="C85" s="95" t="str">
        <f>VLOOKUP(E85&amp;D85,Lists!C:E,3,FALSE)</f>
        <v>SnS/Longbow</v>
      </c>
      <c r="D85" s="35" t="s">
        <v>36</v>
      </c>
      <c r="E85" s="36" t="s">
        <v>284</v>
      </c>
      <c r="F85" s="35" t="s">
        <v>476</v>
      </c>
      <c r="G85" s="32">
        <v>0</v>
      </c>
      <c r="H85" s="32">
        <v>8</v>
      </c>
      <c r="I85" s="96">
        <f t="shared" si="0"/>
        <v>8</v>
      </c>
      <c r="J85" s="37">
        <v>35002</v>
      </c>
      <c r="K85" s="37">
        <v>496729</v>
      </c>
      <c r="L85" s="37">
        <v>201711</v>
      </c>
      <c r="M85" s="38">
        <f>I85/(HLOOKUP(F85,Team_Composition_23[[#All],[Yellow]:[Red]],10,FALSE)+HLOOKUP(F85,Team_Composition_23[[#All],[Yellow]:[Red]],11,FALSE))</f>
        <v>1.999500124968758E-3</v>
      </c>
      <c r="N85" s="38">
        <f>J85/HLOOKUP(F85,Team_Composition_23[[#All],[Yellow]:[Red]],6,FALSE)</f>
        <v>7.8898031496142857E-4</v>
      </c>
      <c r="O85" s="38">
        <f>K85/HLOOKUP(F85,Team_Composition_23[[#All],[Yellow]:[Red]],8,FALSE)</f>
        <v>2.8354113814999381E-2</v>
      </c>
      <c r="P85" s="38">
        <f>L85/HLOOKUP(F85,Team_Composition_23[[#All],[Yellow]:[Red]],7,FALSE)</f>
        <v>1.558242731777318E-2</v>
      </c>
      <c r="Q85" s="31"/>
      <c r="R85" s="31"/>
      <c r="S85" s="31"/>
      <c r="T85" s="31"/>
      <c r="U85" s="31"/>
      <c r="V85" s="31"/>
      <c r="W85" s="31"/>
      <c r="X85" s="31"/>
      <c r="Y85" s="31"/>
      <c r="Z85" s="31"/>
      <c r="AA85" s="31"/>
      <c r="AB85" s="31"/>
      <c r="AC85" s="31"/>
      <c r="AD85" s="31"/>
    </row>
    <row r="86" spans="1:30" ht="22.5" customHeight="1">
      <c r="A86" s="32">
        <v>47</v>
      </c>
      <c r="B86" s="94" t="str">
        <f>VLOOKUP(C86,Lists!I:J,2,FALSE)</f>
        <v>Tank</v>
      </c>
      <c r="C86" s="95" t="str">
        <f>VLOOKUP(E86&amp;D86,Lists!C:E,3,FALSE)</f>
        <v>SnS/Greatsword</v>
      </c>
      <c r="D86" s="35" t="s">
        <v>34</v>
      </c>
      <c r="E86" s="114" t="s">
        <v>176</v>
      </c>
      <c r="F86" s="35" t="s">
        <v>483</v>
      </c>
      <c r="G86" s="32">
        <v>1</v>
      </c>
      <c r="H86" s="32">
        <v>6</v>
      </c>
      <c r="I86" s="96">
        <f t="shared" si="0"/>
        <v>7</v>
      </c>
      <c r="J86" s="37">
        <v>38640</v>
      </c>
      <c r="K86" s="37">
        <v>273471</v>
      </c>
      <c r="L86" s="37">
        <v>48613</v>
      </c>
      <c r="M86" s="38">
        <f>I86/(HLOOKUP(F86,Team_Composition_23[[#All],[Yellow]:[Red]],10,FALSE)+HLOOKUP(F86,Team_Composition_23[[#All],[Yellow]:[Red]],11,FALSE))</f>
        <v>8.5261875761266752E-3</v>
      </c>
      <c r="N86" s="38">
        <f>J86/HLOOKUP(F86,Team_Composition_23[[#All],[Yellow]:[Red]],6,FALSE)</f>
        <v>2.1898052212459846E-3</v>
      </c>
      <c r="O86" s="38">
        <f>K86/HLOOKUP(F86,Team_Composition_23[[#All],[Yellow]:[Red]],8,FALSE)</f>
        <v>6.2129994821421277E-3</v>
      </c>
      <c r="P86" s="38">
        <f>L86/HLOOKUP(F86,Team_Composition_23[[#All],[Yellow]:[Red]],7,FALSE)</f>
        <v>2.0031391427431438E-3</v>
      </c>
      <c r="Q86" s="31"/>
      <c r="R86" s="31"/>
      <c r="S86" s="31"/>
      <c r="T86" s="31"/>
      <c r="U86" s="31"/>
      <c r="V86" s="31"/>
      <c r="W86" s="31"/>
      <c r="X86" s="31"/>
      <c r="Y86" s="31"/>
      <c r="Z86" s="31"/>
      <c r="AA86" s="31"/>
      <c r="AB86" s="31"/>
      <c r="AC86" s="31"/>
      <c r="AD86" s="31"/>
    </row>
    <row r="87" spans="1:30" ht="22.5" customHeight="1">
      <c r="A87" s="32">
        <v>89</v>
      </c>
      <c r="B87" s="94" t="str">
        <f>VLOOKUP(C87,Lists!I:J,2,FALSE)</f>
        <v>Tank</v>
      </c>
      <c r="C87" s="95" t="str">
        <f>VLOOKUP(E87&amp;D87,Lists!C:E,3,FALSE)</f>
        <v>SnS/Spear</v>
      </c>
      <c r="D87" s="35" t="s">
        <v>36</v>
      </c>
      <c r="E87" s="36" t="s">
        <v>327</v>
      </c>
      <c r="F87" s="35" t="s">
        <v>483</v>
      </c>
      <c r="G87" s="32">
        <v>0</v>
      </c>
      <c r="H87" s="32">
        <v>7</v>
      </c>
      <c r="I87" s="96">
        <f t="shared" si="0"/>
        <v>7</v>
      </c>
      <c r="J87" s="37">
        <v>42851</v>
      </c>
      <c r="K87" s="37">
        <v>182550</v>
      </c>
      <c r="L87" s="37">
        <v>9657</v>
      </c>
      <c r="M87" s="38">
        <f>I87/(HLOOKUP(F87,Team_Composition_23[[#All],[Yellow]:[Red]],10,FALSE)+HLOOKUP(F87,Team_Composition_23[[#All],[Yellow]:[Red]],11,FALSE))</f>
        <v>8.5261875761266752E-3</v>
      </c>
      <c r="N87" s="38">
        <f>J87/HLOOKUP(F87,Team_Composition_23[[#All],[Yellow]:[Red]],6,FALSE)</f>
        <v>2.4284509196586873E-3</v>
      </c>
      <c r="O87" s="38">
        <f>K87/HLOOKUP(F87,Team_Composition_23[[#All],[Yellow]:[Red]],8,FALSE)</f>
        <v>4.1473613489731833E-3</v>
      </c>
      <c r="P87" s="38">
        <f>L87/HLOOKUP(F87,Team_Composition_23[[#All],[Yellow]:[Red]],7,FALSE)</f>
        <v>3.9792472592661512E-4</v>
      </c>
      <c r="Q87" s="31"/>
      <c r="R87" s="31"/>
      <c r="S87" s="31"/>
      <c r="T87" s="31"/>
      <c r="U87" s="31"/>
      <c r="V87" s="31"/>
      <c r="W87" s="31"/>
      <c r="X87" s="31"/>
      <c r="Y87" s="31"/>
      <c r="Z87" s="31"/>
      <c r="AA87" s="31"/>
      <c r="AB87" s="31"/>
      <c r="AC87" s="31"/>
      <c r="AD87" s="31"/>
    </row>
    <row r="88" spans="1:30" ht="22.5" customHeight="1">
      <c r="A88" s="32">
        <v>90</v>
      </c>
      <c r="B88" s="94" t="str">
        <f>VLOOKUP(C88,Lists!I:J,2,FALSE)</f>
        <v>Tank</v>
      </c>
      <c r="C88" s="95" t="str">
        <f>VLOOKUP(E88&amp;D88,Lists!C:E,3,FALSE)</f>
        <v>SnS/Greatsword</v>
      </c>
      <c r="D88" s="35" t="s">
        <v>34</v>
      </c>
      <c r="E88" s="36" t="s">
        <v>109</v>
      </c>
      <c r="F88" s="35" t="s">
        <v>483</v>
      </c>
      <c r="G88" s="32">
        <v>0</v>
      </c>
      <c r="H88" s="32">
        <v>7</v>
      </c>
      <c r="I88" s="96">
        <f t="shared" si="0"/>
        <v>7</v>
      </c>
      <c r="J88" s="37">
        <v>34715</v>
      </c>
      <c r="K88" s="37">
        <v>466710</v>
      </c>
      <c r="L88" s="37">
        <v>20148</v>
      </c>
      <c r="M88" s="38">
        <f>I88/(HLOOKUP(F88,Team_Composition_23[[#All],[Yellow]:[Red]],10,FALSE)+HLOOKUP(F88,Team_Composition_23[[#All],[Yellow]:[Red]],11,FALSE))</f>
        <v>8.5261875761266752E-3</v>
      </c>
      <c r="N88" s="38">
        <f>J88/HLOOKUP(F88,Team_Composition_23[[#All],[Yellow]:[Red]],6,FALSE)</f>
        <v>1.9673677084770793E-3</v>
      </c>
      <c r="O88" s="38">
        <f>K88/HLOOKUP(F88,Team_Composition_23[[#All],[Yellow]:[Red]],8,FALSE)</f>
        <v>1.0603204684630371E-2</v>
      </c>
      <c r="P88" s="38">
        <f>L88/HLOOKUP(F88,Team_Composition_23[[#All],[Yellow]:[Red]],7,FALSE)</f>
        <v>8.3021511628553809E-4</v>
      </c>
      <c r="Q88" s="31"/>
      <c r="R88" s="31"/>
      <c r="S88" s="31"/>
      <c r="T88" s="31"/>
      <c r="U88" s="31"/>
      <c r="V88" s="31"/>
      <c r="W88" s="31"/>
      <c r="X88" s="31"/>
      <c r="Y88" s="31"/>
      <c r="Z88" s="31"/>
      <c r="AA88" s="31"/>
      <c r="AB88" s="31"/>
      <c r="AC88" s="31"/>
      <c r="AD88" s="31"/>
    </row>
    <row r="89" spans="1:30" ht="22.5" customHeight="1">
      <c r="A89" s="32">
        <v>91</v>
      </c>
      <c r="B89" s="94" t="str">
        <f>VLOOKUP(C89,Lists!I:J,2,FALSE)</f>
        <v>Tank</v>
      </c>
      <c r="C89" s="95" t="str">
        <f>VLOOKUP(E89&amp;D89,Lists!C:E,3,FALSE)</f>
        <v>SnS/Greatsword</v>
      </c>
      <c r="D89" s="35" t="s">
        <v>36</v>
      </c>
      <c r="E89" s="36" t="s">
        <v>282</v>
      </c>
      <c r="F89" s="35" t="s">
        <v>483</v>
      </c>
      <c r="G89" s="32">
        <v>0</v>
      </c>
      <c r="H89" s="32">
        <v>7</v>
      </c>
      <c r="I89" s="96">
        <f t="shared" si="0"/>
        <v>7</v>
      </c>
      <c r="J89" s="37">
        <v>34390</v>
      </c>
      <c r="K89" s="37">
        <v>233199</v>
      </c>
      <c r="L89" s="37">
        <v>47529</v>
      </c>
      <c r="M89" s="38">
        <f>I89/(HLOOKUP(F89,Team_Composition_23[[#All],[Yellow]:[Red]],10,FALSE)+HLOOKUP(F89,Team_Composition_23[[#All],[Yellow]:[Red]],11,FALSE))</f>
        <v>8.5261875761266752E-3</v>
      </c>
      <c r="N89" s="38">
        <f>J89/HLOOKUP(F89,Team_Composition_23[[#All],[Yellow]:[Red]],6,FALSE)</f>
        <v>1.9489493157000364E-3</v>
      </c>
      <c r="O89" s="38">
        <f>K89/HLOOKUP(F89,Team_Composition_23[[#All],[Yellow]:[Red]],8,FALSE)</f>
        <v>5.2980581715650361E-3</v>
      </c>
      <c r="P89" s="38">
        <f>L89/HLOOKUP(F89,Team_Composition_23[[#All],[Yellow]:[Red]],7,FALSE)</f>
        <v>1.9584720201476745E-3</v>
      </c>
      <c r="Q89" s="31"/>
      <c r="R89" s="31"/>
      <c r="S89" s="31"/>
      <c r="T89" s="31"/>
      <c r="U89" s="31"/>
      <c r="V89" s="31"/>
      <c r="W89" s="31"/>
      <c r="X89" s="31"/>
      <c r="Y89" s="31"/>
      <c r="Z89" s="31"/>
      <c r="AA89" s="31"/>
      <c r="AB89" s="31"/>
      <c r="AC89" s="31"/>
      <c r="AD89" s="31"/>
    </row>
    <row r="90" spans="1:30" ht="22.5" customHeight="1">
      <c r="A90" s="32">
        <v>48</v>
      </c>
      <c r="B90" s="94" t="str">
        <f>VLOOKUP(C90,Lists!I:J,2,FALSE)</f>
        <v>Tank</v>
      </c>
      <c r="C90" s="95" t="str">
        <f>VLOOKUP(E90&amp;D90,Lists!C:E,3,FALSE)</f>
        <v>SnS/Greatsword</v>
      </c>
      <c r="D90" s="35" t="s">
        <v>36</v>
      </c>
      <c r="E90" s="36" t="s">
        <v>316</v>
      </c>
      <c r="F90" s="35" t="s">
        <v>483</v>
      </c>
      <c r="G90" s="32">
        <v>1</v>
      </c>
      <c r="H90" s="32">
        <v>5</v>
      </c>
      <c r="I90" s="96">
        <f t="shared" si="0"/>
        <v>6</v>
      </c>
      <c r="J90" s="37">
        <v>140968</v>
      </c>
      <c r="K90" s="37">
        <v>449044</v>
      </c>
      <c r="L90" s="37">
        <v>51153</v>
      </c>
      <c r="M90" s="38">
        <f>I90/(HLOOKUP(F90,Team_Composition_23[[#All],[Yellow]:[Red]],10,FALSE)+HLOOKUP(F90,Team_Composition_23[[#All],[Yellow]:[Red]],11,FALSE))</f>
        <v>7.3081607795371494E-3</v>
      </c>
      <c r="N90" s="38">
        <f>J90/HLOOKUP(F90,Team_Composition_23[[#All],[Yellow]:[Red]],6,FALSE)</f>
        <v>7.9889353630591079E-3</v>
      </c>
      <c r="O90" s="38">
        <f>K90/HLOOKUP(F90,Team_Composition_23[[#All],[Yellow]:[Red]],8,FALSE)</f>
        <v>1.0201850066219195E-2</v>
      </c>
      <c r="P90" s="38">
        <f>L90/HLOOKUP(F90,Team_Composition_23[[#All],[Yellow]:[Red]],7,FALSE)</f>
        <v>2.1078019576808681E-3</v>
      </c>
      <c r="Q90" s="31"/>
      <c r="R90" s="31"/>
      <c r="S90" s="31"/>
      <c r="T90" s="31"/>
      <c r="U90" s="31"/>
      <c r="V90" s="31"/>
      <c r="W90" s="31"/>
      <c r="X90" s="31"/>
      <c r="Y90" s="31"/>
      <c r="Z90" s="31"/>
      <c r="AA90" s="31"/>
      <c r="AB90" s="31"/>
      <c r="AC90" s="31"/>
      <c r="AD90" s="31"/>
    </row>
    <row r="91" spans="1:30" ht="22.5" customHeight="1">
      <c r="A91" s="32">
        <v>49</v>
      </c>
      <c r="B91" s="94" t="str">
        <f>VLOOKUP(C91,Lists!I:J,2,FALSE)</f>
        <v>Tank</v>
      </c>
      <c r="C91" s="95" t="str">
        <f>VLOOKUP(E91&amp;D91,Lists!C:E,3,FALSE)</f>
        <v>SnS/Greatsword</v>
      </c>
      <c r="D91" s="35" t="s">
        <v>34</v>
      </c>
      <c r="E91" s="36" t="s">
        <v>166</v>
      </c>
      <c r="F91" s="35" t="s">
        <v>476</v>
      </c>
      <c r="G91" s="32">
        <v>1</v>
      </c>
      <c r="H91" s="32">
        <v>5</v>
      </c>
      <c r="I91" s="96">
        <f t="shared" si="0"/>
        <v>6</v>
      </c>
      <c r="J91" s="37">
        <v>39188</v>
      </c>
      <c r="K91" s="37">
        <v>540922</v>
      </c>
      <c r="L91" s="37">
        <v>49129</v>
      </c>
      <c r="M91" s="38">
        <f>I91/(HLOOKUP(F91,Team_Composition_23[[#All],[Yellow]:[Red]],10,FALSE)+HLOOKUP(F91,Team_Composition_23[[#All],[Yellow]:[Red]],11,FALSE))</f>
        <v>1.4996250937265683E-3</v>
      </c>
      <c r="N91" s="38">
        <f>J91/HLOOKUP(F91,Team_Composition_23[[#All],[Yellow]:[Red]],6,FALSE)</f>
        <v>8.8333696882202345E-4</v>
      </c>
      <c r="O91" s="38">
        <f>K91/HLOOKUP(F91,Team_Composition_23[[#All],[Yellow]:[Red]],8,FALSE)</f>
        <v>3.0876723430758212E-2</v>
      </c>
      <c r="P91" s="38">
        <f>L91/HLOOKUP(F91,Team_Composition_23[[#All],[Yellow]:[Red]],7,FALSE)</f>
        <v>3.7952767657434576E-3</v>
      </c>
      <c r="Q91" s="31"/>
      <c r="R91" s="31"/>
      <c r="S91" s="31"/>
      <c r="T91" s="31"/>
      <c r="U91" s="31"/>
      <c r="V91" s="31"/>
      <c r="W91" s="31"/>
      <c r="X91" s="31"/>
      <c r="Y91" s="31"/>
      <c r="Z91" s="31"/>
      <c r="AA91" s="31"/>
      <c r="AB91" s="31"/>
      <c r="AC91" s="31"/>
      <c r="AD91" s="31"/>
    </row>
    <row r="92" spans="1:30" ht="22.5" customHeight="1">
      <c r="A92" s="32">
        <v>92</v>
      </c>
      <c r="B92" s="94" t="str">
        <f>VLOOKUP(C92,Lists!I:J,2,FALSE)</f>
        <v>Healer</v>
      </c>
      <c r="C92" s="95" t="str">
        <f>VLOOKUP(E92&amp;D92,Lists!C:E,3,FALSE)</f>
        <v>Wand/Longbow</v>
      </c>
      <c r="D92" s="35" t="s">
        <v>36</v>
      </c>
      <c r="E92" s="36" t="s">
        <v>324</v>
      </c>
      <c r="F92" s="35" t="s">
        <v>483</v>
      </c>
      <c r="G92" s="32">
        <v>0</v>
      </c>
      <c r="H92" s="32">
        <v>6</v>
      </c>
      <c r="I92" s="96">
        <f t="shared" si="0"/>
        <v>6</v>
      </c>
      <c r="J92" s="37">
        <v>46916</v>
      </c>
      <c r="K92" s="37">
        <v>615678</v>
      </c>
      <c r="L92" s="37">
        <v>980151</v>
      </c>
      <c r="M92" s="38">
        <f>I92/(HLOOKUP(F92,Team_Composition_23[[#All],[Yellow]:[Red]],10,FALSE)+HLOOKUP(F92,Team_Composition_23[[#All],[Yellow]:[Red]],11,FALSE))</f>
        <v>7.3081607795371494E-3</v>
      </c>
      <c r="N92" s="38">
        <f>J92/HLOOKUP(F92,Team_Composition_23[[#All],[Yellow]:[Red]],6,FALSE)</f>
        <v>2.6588225093161647E-3</v>
      </c>
      <c r="O92" s="38">
        <f>K92/HLOOKUP(F92,Team_Composition_23[[#All],[Yellow]:[Red]],8,FALSE)</f>
        <v>1.3987615122504035E-2</v>
      </c>
      <c r="P92" s="38">
        <f>L92/HLOOKUP(F92,Team_Composition_23[[#All],[Yellow]:[Red]],7,FALSE)</f>
        <v>4.0387938080324919E-2</v>
      </c>
      <c r="Q92" s="31"/>
      <c r="R92" s="31"/>
      <c r="S92" s="31"/>
      <c r="T92" s="31"/>
      <c r="U92" s="31"/>
      <c r="V92" s="31"/>
      <c r="W92" s="31"/>
      <c r="X92" s="31"/>
      <c r="Y92" s="31"/>
      <c r="Z92" s="31"/>
      <c r="AA92" s="31"/>
      <c r="AB92" s="31"/>
      <c r="AC92" s="31"/>
      <c r="AD92" s="31"/>
    </row>
    <row r="93" spans="1:30" ht="22.5" customHeight="1">
      <c r="A93" s="32">
        <v>50</v>
      </c>
      <c r="B93" s="94" t="str">
        <f>VLOOKUP(C93,Lists!I:J,2,FALSE)</f>
        <v>Tank</v>
      </c>
      <c r="C93" s="95" t="str">
        <f>VLOOKUP(E93&amp;D93,Lists!C:E,3,FALSE)</f>
        <v>SnS/Spear</v>
      </c>
      <c r="D93" s="35" t="s">
        <v>34</v>
      </c>
      <c r="E93" s="36" t="s">
        <v>175</v>
      </c>
      <c r="F93" s="35" t="s">
        <v>483</v>
      </c>
      <c r="G93" s="32">
        <v>1</v>
      </c>
      <c r="H93" s="32">
        <v>4</v>
      </c>
      <c r="I93" s="96">
        <f t="shared" si="0"/>
        <v>5</v>
      </c>
      <c r="J93" s="37">
        <v>45885</v>
      </c>
      <c r="K93" s="37">
        <v>386729</v>
      </c>
      <c r="L93" s="37">
        <v>22262</v>
      </c>
      <c r="M93" s="38">
        <f>I93/(HLOOKUP(F93,Team_Composition_23[[#All],[Yellow]:[Red]],10,FALSE)+HLOOKUP(F93,Team_Composition_23[[#All],[Yellow]:[Red]],11,FALSE))</f>
        <v>6.0901339829476245E-3</v>
      </c>
      <c r="N93" s="38">
        <f>J93/HLOOKUP(F93,Team_Composition_23[[#All],[Yellow]:[Red]],6,FALSE)</f>
        <v>2.6003937002296064E-3</v>
      </c>
      <c r="O93" s="38">
        <f>K93/HLOOKUP(F93,Team_Composition_23[[#All],[Yellow]:[Red]],8,FALSE)</f>
        <v>8.7861128848373063E-3</v>
      </c>
      <c r="P93" s="38">
        <f>L93/HLOOKUP(F93,Team_Composition_23[[#All],[Yellow]:[Red]],7,FALSE)</f>
        <v>9.1732424651323459E-4</v>
      </c>
      <c r="Q93" s="31"/>
      <c r="R93" s="31"/>
      <c r="S93" s="31"/>
      <c r="T93" s="31"/>
      <c r="U93" s="31"/>
      <c r="V93" s="31"/>
      <c r="W93" s="31"/>
      <c r="X93" s="31"/>
      <c r="Y93" s="31"/>
      <c r="Z93" s="31"/>
      <c r="AA93" s="31"/>
      <c r="AB93" s="31"/>
      <c r="AC93" s="31"/>
      <c r="AD93" s="31"/>
    </row>
    <row r="94" spans="1:30" ht="22.5" customHeight="1">
      <c r="A94" s="32">
        <v>93</v>
      </c>
      <c r="B94" s="94" t="str">
        <f>VLOOKUP(C94,Lists!I:J,2,FALSE)</f>
        <v>Tank</v>
      </c>
      <c r="C94" s="95" t="str">
        <f>VLOOKUP(E94&amp;D94,Lists!C:E,3,FALSE)</f>
        <v>SnS/Greatsword</v>
      </c>
      <c r="D94" s="35" t="s">
        <v>36</v>
      </c>
      <c r="E94" s="36" t="s">
        <v>295</v>
      </c>
      <c r="F94" s="35" t="s">
        <v>476</v>
      </c>
      <c r="G94" s="32">
        <v>0</v>
      </c>
      <c r="H94" s="32">
        <v>5</v>
      </c>
      <c r="I94" s="96">
        <f t="shared" si="0"/>
        <v>5</v>
      </c>
      <c r="J94" s="37">
        <v>25567</v>
      </c>
      <c r="K94" s="37">
        <v>502715</v>
      </c>
      <c r="L94" s="37">
        <v>39858</v>
      </c>
      <c r="M94" s="38">
        <f>I94/(HLOOKUP(F94,Team_Composition_23[[#All],[Yellow]:[Red]],10,FALSE)+HLOOKUP(F94,Team_Composition_23[[#All],[Yellow]:[Red]],11,FALSE))</f>
        <v>1.2496875781054736E-3</v>
      </c>
      <c r="N94" s="38">
        <f>J94/HLOOKUP(F94,Team_Composition_23[[#All],[Yellow]:[Red]],6,FALSE)</f>
        <v>5.7630591716527184E-4</v>
      </c>
      <c r="O94" s="38">
        <f>K94/HLOOKUP(F94,Team_Composition_23[[#All],[Yellow]:[Red]],8,FALSE)</f>
        <v>2.8695804606752199E-2</v>
      </c>
      <c r="P94" s="38">
        <f>L94/HLOOKUP(F94,Team_Composition_23[[#All],[Yellow]:[Red]],7,FALSE)</f>
        <v>3.0790804072747813E-3</v>
      </c>
      <c r="Q94" s="31"/>
      <c r="R94" s="31"/>
      <c r="S94" s="31"/>
      <c r="T94" s="31"/>
      <c r="U94" s="31"/>
      <c r="V94" s="31"/>
      <c r="W94" s="31"/>
      <c r="X94" s="31"/>
      <c r="Y94" s="31"/>
      <c r="Z94" s="31"/>
      <c r="AA94" s="31"/>
      <c r="AB94" s="31"/>
      <c r="AC94" s="31"/>
      <c r="AD94" s="31"/>
    </row>
    <row r="95" spans="1:30" ht="22.5" customHeight="1">
      <c r="A95" s="32">
        <v>94</v>
      </c>
      <c r="B95" s="94" t="str">
        <f>VLOOKUP(C95,Lists!I:J,2,FALSE)</f>
        <v>Healer</v>
      </c>
      <c r="C95" s="95" t="str">
        <f>VLOOKUP(E95&amp;D95,Lists!C:E,3,FALSE)</f>
        <v>Wand/Orb</v>
      </c>
      <c r="D95" s="35" t="s">
        <v>36</v>
      </c>
      <c r="E95" s="36" t="s">
        <v>308</v>
      </c>
      <c r="F95" s="35" t="s">
        <v>483</v>
      </c>
      <c r="G95" s="32">
        <v>0</v>
      </c>
      <c r="H95" s="32">
        <v>1</v>
      </c>
      <c r="I95" s="96">
        <f t="shared" si="0"/>
        <v>1</v>
      </c>
      <c r="J95" s="37">
        <v>6172</v>
      </c>
      <c r="K95" s="37">
        <v>235301</v>
      </c>
      <c r="L95" s="37">
        <v>532484</v>
      </c>
      <c r="M95" s="38">
        <f>I95/(HLOOKUP(F95,Team_Composition_23[[#All],[Yellow]:[Red]],10,FALSE)+HLOOKUP(F95,Team_Composition_23[[#All],[Yellow]:[Red]],11,FALSE))</f>
        <v>1.2180267965895249E-3</v>
      </c>
      <c r="N95" s="38">
        <f>J95/HLOOKUP(F95,Team_Composition_23[[#All],[Yellow]:[Red]],6,FALSE)</f>
        <v>3.4977944683049214E-4</v>
      </c>
      <c r="O95" s="38">
        <f>K95/HLOOKUP(F95,Team_Composition_23[[#All],[Yellow]:[Red]],8,FALSE)</f>
        <v>5.3458136005189753E-3</v>
      </c>
      <c r="P95" s="38">
        <f>L95/HLOOKUP(F95,Team_Composition_23[[#All],[Yellow]:[Red]],7,FALSE)</f>
        <v>2.1941446594212252E-2</v>
      </c>
      <c r="Q95" s="31"/>
      <c r="R95" s="31"/>
      <c r="S95" s="31"/>
      <c r="T95" s="31"/>
      <c r="U95" s="31"/>
      <c r="V95" s="31"/>
      <c r="W95" s="31"/>
      <c r="X95" s="31"/>
      <c r="Y95" s="31"/>
      <c r="Z95" s="31"/>
      <c r="AA95" s="31"/>
      <c r="AB95" s="31"/>
      <c r="AC95" s="31"/>
      <c r="AD95" s="31"/>
    </row>
    <row r="96" spans="1:30" ht="22.5" customHeight="1">
      <c r="A96" s="32">
        <v>95</v>
      </c>
      <c r="B96" s="94" t="str">
        <f>VLOOKUP(C96,Lists!I:J,2,FALSE)</f>
        <v>Healer</v>
      </c>
      <c r="C96" s="95" t="str">
        <f>VLOOKUP(E96&amp;D96,Lists!C:E,3,FALSE)</f>
        <v>Wand/Orb</v>
      </c>
      <c r="D96" s="35" t="s">
        <v>34</v>
      </c>
      <c r="E96" s="36" t="s">
        <v>183</v>
      </c>
      <c r="F96" s="35" t="s">
        <v>476</v>
      </c>
      <c r="G96" s="32">
        <v>0</v>
      </c>
      <c r="H96" s="32">
        <v>1</v>
      </c>
      <c r="I96" s="96">
        <f t="shared" si="0"/>
        <v>1</v>
      </c>
      <c r="J96" s="37">
        <v>3821</v>
      </c>
      <c r="K96" s="37">
        <v>349884</v>
      </c>
      <c r="L96" s="37">
        <v>266536</v>
      </c>
      <c r="M96" s="38">
        <f>I96/(HLOOKUP(F96,Team_Composition_23[[#All],[Yellow]:[Red]],10,FALSE)+HLOOKUP(F96,Team_Composition_23[[#All],[Yellow]:[Red]],11,FALSE))</f>
        <v>2.4993751562109475E-4</v>
      </c>
      <c r="N96" s="38">
        <f>J96/HLOOKUP(F96,Team_Composition_23[[#All],[Yellow]:[Red]],6,FALSE)</f>
        <v>8.6129186431278755E-5</v>
      </c>
      <c r="O96" s="38">
        <f>K96/HLOOKUP(F96,Team_Composition_23[[#All],[Yellow]:[Red]],8,FALSE)</f>
        <v>1.9971958065760693E-2</v>
      </c>
      <c r="P96" s="38">
        <f>L96/HLOOKUP(F96,Team_Composition_23[[#All],[Yellow]:[Red]],7,FALSE)</f>
        <v>2.0590239736900776E-2</v>
      </c>
      <c r="Q96" s="31"/>
      <c r="R96" s="31"/>
      <c r="S96" s="31"/>
      <c r="T96" s="31"/>
      <c r="U96" s="31"/>
      <c r="V96" s="31"/>
      <c r="W96" s="31"/>
      <c r="X96" s="31"/>
      <c r="Y96" s="31"/>
      <c r="Z96" s="31"/>
      <c r="AA96" s="31"/>
      <c r="AB96" s="31"/>
      <c r="AC96" s="31"/>
      <c r="AD96" s="31"/>
    </row>
    <row r="97" spans="1:30" ht="22.5" customHeight="1">
      <c r="A97" s="32">
        <v>96</v>
      </c>
      <c r="B97" s="94" t="str">
        <f>VLOOKUP(C97,Lists!I:J,2,FALSE)</f>
        <v>Tank</v>
      </c>
      <c r="C97" s="95" t="str">
        <f>VLOOKUP(E97&amp;D97,Lists!C:E,3,FALSE)</f>
        <v>SnS/Greatsword</v>
      </c>
      <c r="D97" s="35" t="s">
        <v>36</v>
      </c>
      <c r="E97" s="36" t="s">
        <v>328</v>
      </c>
      <c r="F97" s="35" t="s">
        <v>483</v>
      </c>
      <c r="G97" s="32">
        <v>0</v>
      </c>
      <c r="H97" s="32">
        <v>0</v>
      </c>
      <c r="I97" s="96">
        <f t="shared" si="0"/>
        <v>0</v>
      </c>
      <c r="J97" s="37">
        <v>9231</v>
      </c>
      <c r="K97" s="37">
        <v>615733</v>
      </c>
      <c r="L97" s="37">
        <v>65044</v>
      </c>
      <c r="M97" s="38">
        <f>I97/(HLOOKUP(F97,Team_Composition_23[[#All],[Yellow]:[Red]],10,FALSE)+HLOOKUP(F97,Team_Composition_23[[#All],[Yellow]:[Red]],11,FALSE))</f>
        <v>0</v>
      </c>
      <c r="N97" s="38">
        <f>J97/HLOOKUP(F97,Team_Composition_23[[#All],[Yellow]:[Red]],6,FALSE)</f>
        <v>5.2313902684579929E-4</v>
      </c>
      <c r="O97" s="38">
        <f>K97/HLOOKUP(F97,Team_Composition_23[[#All],[Yellow]:[Red]],8,FALSE)</f>
        <v>1.3988864669883895E-2</v>
      </c>
      <c r="P97" s="38">
        <f>L97/HLOOKUP(F97,Team_Composition_23[[#All],[Yellow]:[Red]],7,FALSE)</f>
        <v>2.6801921790587922E-3</v>
      </c>
      <c r="Q97" s="31"/>
      <c r="R97" s="31"/>
      <c r="S97" s="31"/>
      <c r="T97" s="31"/>
      <c r="U97" s="31"/>
      <c r="V97" s="31"/>
      <c r="W97" s="31"/>
      <c r="X97" s="31"/>
      <c r="Y97" s="31"/>
      <c r="Z97" s="31"/>
      <c r="AA97" s="31"/>
      <c r="AB97" s="31"/>
      <c r="AC97" s="31"/>
      <c r="AD97" s="31"/>
    </row>
    <row r="98" spans="1:30" ht="22.5" customHeight="1">
      <c r="A98" s="99"/>
      <c r="B98" s="100" t="e">
        <f>VLOOKUP(C98,Lists!I:J,2,FALSE)</f>
        <v>#N/A</v>
      </c>
      <c r="C98" s="101"/>
      <c r="D98" s="102"/>
      <c r="E98" s="103"/>
      <c r="F98" s="102"/>
      <c r="G98" s="99"/>
      <c r="H98" s="99"/>
      <c r="I98" s="104"/>
      <c r="J98" s="105"/>
      <c r="K98" s="105"/>
      <c r="L98" s="105"/>
      <c r="M98" s="87"/>
      <c r="N98" s="87"/>
      <c r="O98" s="87"/>
      <c r="P98" s="87"/>
      <c r="Q98" s="31"/>
      <c r="R98" s="31"/>
      <c r="S98" s="31"/>
      <c r="T98" s="31"/>
      <c r="U98" s="31"/>
      <c r="V98" s="31"/>
      <c r="W98" s="31"/>
      <c r="X98" s="31"/>
      <c r="Y98" s="31"/>
      <c r="Z98" s="31"/>
      <c r="AA98" s="31"/>
      <c r="AB98" s="31"/>
      <c r="AC98" s="31"/>
      <c r="AD98" s="31"/>
    </row>
    <row r="99" spans="1:30" ht="22.5" customHeight="1">
      <c r="A99" s="99"/>
      <c r="B99" s="106" t="e">
        <f>VLOOKUP(C99,Lists!I:J,2,FALSE)</f>
        <v>#N/A</v>
      </c>
      <c r="C99" s="107"/>
      <c r="D99" s="102"/>
      <c r="E99" s="103"/>
      <c r="F99" s="102"/>
      <c r="G99" s="99"/>
      <c r="H99" s="99"/>
      <c r="I99" s="104"/>
      <c r="J99" s="105"/>
      <c r="K99" s="105"/>
      <c r="L99" s="105"/>
      <c r="M99" s="87"/>
      <c r="N99" s="87"/>
      <c r="O99" s="87"/>
      <c r="P99" s="87"/>
      <c r="Q99" s="31"/>
      <c r="R99" s="31"/>
      <c r="S99" s="31"/>
      <c r="T99" s="31"/>
      <c r="U99" s="31"/>
      <c r="V99" s="31"/>
      <c r="W99" s="31"/>
      <c r="X99" s="31"/>
      <c r="Y99" s="31"/>
      <c r="Z99" s="31"/>
      <c r="AA99" s="31"/>
      <c r="AB99" s="31"/>
      <c r="AC99" s="31"/>
      <c r="AD99" s="31"/>
    </row>
    <row r="100" spans="1:30" ht="22.5" customHeight="1">
      <c r="A100" s="99"/>
      <c r="B100" s="100" t="e">
        <f>VLOOKUP(C100,Lists!I:J,2,FALSE)</f>
        <v>#N/A</v>
      </c>
      <c r="C100" s="101"/>
      <c r="D100" s="102"/>
      <c r="E100" s="103"/>
      <c r="F100" s="102"/>
      <c r="G100" s="99"/>
      <c r="H100" s="99"/>
      <c r="I100" s="104"/>
      <c r="J100" s="105"/>
      <c r="K100" s="105"/>
      <c r="L100" s="105"/>
      <c r="M100" s="87"/>
      <c r="N100" s="87"/>
      <c r="O100" s="87"/>
      <c r="P100" s="87"/>
      <c r="Q100" s="31"/>
      <c r="R100" s="31"/>
      <c r="S100" s="31"/>
      <c r="T100" s="31"/>
      <c r="U100" s="31"/>
      <c r="V100" s="31"/>
      <c r="W100" s="31"/>
      <c r="X100" s="31"/>
      <c r="Y100" s="31"/>
      <c r="Z100" s="31"/>
      <c r="AA100" s="31"/>
      <c r="AB100" s="31"/>
      <c r="AC100" s="31"/>
      <c r="AD100" s="31"/>
    </row>
    <row r="101" spans="1:30" ht="22.5" customHeight="1">
      <c r="A101" s="99"/>
      <c r="B101" s="106" t="e">
        <f>VLOOKUP(C101,Lists!I:J,2,FALSE)</f>
        <v>#N/A</v>
      </c>
      <c r="C101" s="107"/>
      <c r="D101" s="102"/>
      <c r="E101" s="103"/>
      <c r="F101" s="102"/>
      <c r="G101" s="99"/>
      <c r="H101" s="99"/>
      <c r="I101" s="104"/>
      <c r="J101" s="105"/>
      <c r="K101" s="105"/>
      <c r="L101" s="105"/>
      <c r="M101" s="87"/>
      <c r="N101" s="87"/>
      <c r="O101" s="87"/>
      <c r="P101" s="87"/>
      <c r="Q101" s="31"/>
      <c r="R101" s="31"/>
      <c r="S101" s="31"/>
      <c r="T101" s="31"/>
      <c r="U101" s="31"/>
      <c r="V101" s="31"/>
      <c r="W101" s="31"/>
      <c r="X101" s="31"/>
      <c r="Y101" s="31"/>
      <c r="Z101" s="31"/>
      <c r="AA101" s="31"/>
      <c r="AB101" s="31"/>
      <c r="AC101" s="31"/>
      <c r="AD101" s="31"/>
    </row>
    <row r="102" spans="1:30" ht="22.5" customHeight="1">
      <c r="A102" s="99"/>
      <c r="B102" s="100" t="e">
        <f>VLOOKUP(C102,Lists!I:J,2,FALSE)</f>
        <v>#N/A</v>
      </c>
      <c r="C102" s="101"/>
      <c r="D102" s="102"/>
      <c r="E102" s="103"/>
      <c r="F102" s="102"/>
      <c r="G102" s="99"/>
      <c r="H102" s="99"/>
      <c r="I102" s="104"/>
      <c r="J102" s="105"/>
      <c r="K102" s="105"/>
      <c r="L102" s="105"/>
      <c r="M102" s="87"/>
      <c r="N102" s="87"/>
      <c r="O102" s="87"/>
      <c r="P102" s="87"/>
      <c r="Q102" s="31"/>
      <c r="R102" s="31"/>
      <c r="S102" s="31"/>
      <c r="T102" s="31"/>
      <c r="U102" s="31"/>
      <c r="V102" s="31"/>
      <c r="W102" s="31"/>
      <c r="X102" s="31"/>
      <c r="Y102" s="31"/>
      <c r="Z102" s="31"/>
      <c r="AA102" s="31"/>
      <c r="AB102" s="31"/>
      <c r="AC102" s="31"/>
      <c r="AD102" s="31"/>
    </row>
    <row r="103" spans="1:30" ht="22.5" customHeight="1">
      <c r="A103" s="99"/>
      <c r="B103" s="106" t="e">
        <f>VLOOKUP(C103,Lists!I:J,2,FALSE)</f>
        <v>#N/A</v>
      </c>
      <c r="C103" s="107"/>
      <c r="D103" s="102"/>
      <c r="E103" s="103"/>
      <c r="F103" s="102"/>
      <c r="G103" s="99"/>
      <c r="H103" s="99"/>
      <c r="I103" s="104"/>
      <c r="J103" s="105"/>
      <c r="K103" s="105"/>
      <c r="L103" s="105"/>
      <c r="M103" s="87"/>
      <c r="N103" s="87"/>
      <c r="O103" s="87"/>
      <c r="P103" s="87"/>
      <c r="Q103" s="31"/>
      <c r="R103" s="31"/>
      <c r="S103" s="31"/>
      <c r="T103" s="31"/>
      <c r="U103" s="31"/>
      <c r="V103" s="31"/>
      <c r="W103" s="31"/>
      <c r="X103" s="31"/>
      <c r="Y103" s="31"/>
      <c r="Z103" s="31"/>
      <c r="AA103" s="31"/>
      <c r="AB103" s="31"/>
      <c r="AC103" s="31"/>
      <c r="AD103" s="31"/>
    </row>
    <row r="104" spans="1:30" ht="22.5" customHeight="1">
      <c r="A104" s="99"/>
      <c r="B104" s="100" t="e">
        <f>VLOOKUP(C104,Lists!I:J,2,FALSE)</f>
        <v>#N/A</v>
      </c>
      <c r="C104" s="101"/>
      <c r="D104" s="102"/>
      <c r="E104" s="103"/>
      <c r="F104" s="102"/>
      <c r="G104" s="99"/>
      <c r="H104" s="99"/>
      <c r="I104" s="104"/>
      <c r="J104" s="105"/>
      <c r="K104" s="105"/>
      <c r="L104" s="105"/>
      <c r="M104" s="87"/>
      <c r="N104" s="87"/>
      <c r="O104" s="87"/>
      <c r="P104" s="87"/>
      <c r="Q104" s="31"/>
      <c r="R104" s="31"/>
      <c r="S104" s="31"/>
      <c r="T104" s="31"/>
      <c r="U104" s="31"/>
      <c r="V104" s="31"/>
      <c r="W104" s="31"/>
      <c r="X104" s="31"/>
      <c r="Y104" s="31"/>
      <c r="Z104" s="31"/>
      <c r="AA104" s="31"/>
      <c r="AB104" s="31"/>
      <c r="AC104" s="31"/>
      <c r="AD104" s="31"/>
    </row>
    <row r="105" spans="1:30" ht="22.5" customHeight="1">
      <c r="A105" s="99"/>
      <c r="B105" s="106" t="e">
        <f>VLOOKUP(C105,Lists!I:J,2,FALSE)</f>
        <v>#N/A</v>
      </c>
      <c r="C105" s="107"/>
      <c r="D105" s="102"/>
      <c r="E105" s="103"/>
      <c r="F105" s="102"/>
      <c r="G105" s="99"/>
      <c r="H105" s="99"/>
      <c r="I105" s="104"/>
      <c r="J105" s="105"/>
      <c r="K105" s="105"/>
      <c r="L105" s="105"/>
      <c r="M105" s="87"/>
      <c r="N105" s="87"/>
      <c r="O105" s="87"/>
      <c r="P105" s="87"/>
      <c r="Q105" s="31"/>
      <c r="R105" s="31"/>
      <c r="S105" s="31"/>
      <c r="T105" s="31"/>
      <c r="U105" s="31"/>
      <c r="V105" s="31"/>
      <c r="W105" s="31"/>
      <c r="X105" s="31"/>
      <c r="Y105" s="31"/>
      <c r="Z105" s="31"/>
      <c r="AA105" s="31"/>
      <c r="AB105" s="31"/>
      <c r="AC105" s="31"/>
      <c r="AD105" s="31"/>
    </row>
    <row r="106" spans="1:30" ht="22.5" customHeight="1">
      <c r="A106" s="99"/>
      <c r="B106" s="100" t="e">
        <f>VLOOKUP(C106,Lists!I:J,2,FALSE)</f>
        <v>#N/A</v>
      </c>
      <c r="C106" s="101"/>
      <c r="D106" s="102"/>
      <c r="E106" s="103"/>
      <c r="F106" s="102"/>
      <c r="G106" s="99"/>
      <c r="H106" s="99"/>
      <c r="I106" s="104"/>
      <c r="J106" s="105"/>
      <c r="K106" s="105"/>
      <c r="L106" s="105"/>
      <c r="M106" s="87"/>
      <c r="N106" s="87"/>
      <c r="O106" s="87"/>
      <c r="P106" s="87"/>
      <c r="Q106" s="31"/>
      <c r="R106" s="31"/>
      <c r="S106" s="31"/>
      <c r="T106" s="31"/>
      <c r="U106" s="31"/>
      <c r="V106" s="31"/>
      <c r="W106" s="31"/>
      <c r="X106" s="31"/>
      <c r="Y106" s="31"/>
      <c r="Z106" s="31"/>
      <c r="AA106" s="31"/>
      <c r="AB106" s="31"/>
      <c r="AC106" s="31"/>
      <c r="AD106" s="31"/>
    </row>
    <row r="107" spans="1:30" ht="22.5" customHeight="1">
      <c r="A107" s="99"/>
      <c r="B107" s="106" t="e">
        <f>VLOOKUP(C107,Lists!I:J,2,FALSE)</f>
        <v>#N/A</v>
      </c>
      <c r="C107" s="107"/>
      <c r="D107" s="102"/>
      <c r="E107" s="103"/>
      <c r="F107" s="102"/>
      <c r="G107" s="99"/>
      <c r="H107" s="99"/>
      <c r="I107" s="104"/>
      <c r="J107" s="105"/>
      <c r="K107" s="105"/>
      <c r="L107" s="105"/>
      <c r="M107" s="87"/>
      <c r="N107" s="87"/>
      <c r="O107" s="87"/>
      <c r="P107" s="87"/>
      <c r="Q107" s="31"/>
      <c r="R107" s="31"/>
      <c r="S107" s="31"/>
      <c r="T107" s="31"/>
      <c r="U107" s="31"/>
      <c r="V107" s="31"/>
      <c r="W107" s="31"/>
      <c r="X107" s="31"/>
      <c r="Y107" s="31"/>
      <c r="Z107" s="31"/>
      <c r="AA107" s="31"/>
      <c r="AB107" s="31"/>
      <c r="AC107" s="31"/>
      <c r="AD107" s="31"/>
    </row>
    <row r="108" spans="1:30" ht="22.5" customHeight="1">
      <c r="A108" s="99"/>
      <c r="B108" s="100" t="e">
        <f>VLOOKUP(C108,Lists!I:J,2,FALSE)</f>
        <v>#N/A</v>
      </c>
      <c r="C108" s="101"/>
      <c r="D108" s="102"/>
      <c r="E108" s="103"/>
      <c r="F108" s="102"/>
      <c r="G108" s="99"/>
      <c r="H108" s="99"/>
      <c r="I108" s="104"/>
      <c r="J108" s="105"/>
      <c r="K108" s="105"/>
      <c r="L108" s="105"/>
      <c r="M108" s="87"/>
      <c r="N108" s="87"/>
      <c r="O108" s="87"/>
      <c r="P108" s="87"/>
      <c r="Q108" s="31"/>
      <c r="R108" s="31"/>
      <c r="S108" s="31"/>
      <c r="T108" s="31"/>
      <c r="U108" s="31"/>
      <c r="V108" s="31"/>
      <c r="W108" s="31"/>
      <c r="X108" s="31"/>
      <c r="Y108" s="31"/>
      <c r="Z108" s="31"/>
      <c r="AA108" s="31"/>
      <c r="AB108" s="31"/>
      <c r="AC108" s="31"/>
      <c r="AD108" s="31"/>
    </row>
    <row r="109" spans="1:30" ht="22.5" customHeight="1">
      <c r="A109" s="99"/>
      <c r="B109" s="106" t="e">
        <f>VLOOKUP(C109,Lists!I:J,2,FALSE)</f>
        <v>#N/A</v>
      </c>
      <c r="C109" s="108"/>
      <c r="D109" s="102"/>
      <c r="E109" s="103"/>
      <c r="F109" s="102"/>
      <c r="G109" s="99"/>
      <c r="H109" s="99"/>
      <c r="I109" s="104"/>
      <c r="J109" s="105"/>
      <c r="K109" s="105"/>
      <c r="L109" s="105"/>
      <c r="M109" s="87"/>
      <c r="N109" s="87"/>
      <c r="O109" s="87"/>
      <c r="P109" s="87"/>
      <c r="Q109" s="31"/>
      <c r="R109" s="31"/>
      <c r="S109" s="31"/>
      <c r="T109" s="31"/>
      <c r="U109" s="31"/>
      <c r="V109" s="31"/>
      <c r="W109" s="31"/>
      <c r="X109" s="31"/>
      <c r="Y109" s="31"/>
      <c r="Z109" s="31"/>
      <c r="AA109" s="31"/>
      <c r="AB109" s="31"/>
      <c r="AC109" s="31"/>
      <c r="AD109" s="31"/>
    </row>
    <row r="110" spans="1:30" ht="22.5" customHeight="1">
      <c r="A110" s="99"/>
      <c r="B110" s="100" t="e">
        <f>VLOOKUP(C110,Lists!I:J,2,FALSE)</f>
        <v>#N/A</v>
      </c>
      <c r="C110" s="101"/>
      <c r="D110" s="102"/>
      <c r="E110" s="103"/>
      <c r="F110" s="102"/>
      <c r="G110" s="99"/>
      <c r="H110" s="99"/>
      <c r="I110" s="104"/>
      <c r="J110" s="105"/>
      <c r="K110" s="105"/>
      <c r="L110" s="105"/>
      <c r="M110" s="87"/>
      <c r="N110" s="87"/>
      <c r="O110" s="87"/>
      <c r="P110" s="87"/>
      <c r="Q110" s="31"/>
      <c r="R110" s="31"/>
      <c r="S110" s="31"/>
      <c r="T110" s="31"/>
      <c r="U110" s="31"/>
      <c r="V110" s="31"/>
      <c r="W110" s="31"/>
      <c r="X110" s="31"/>
      <c r="Y110" s="31"/>
      <c r="Z110" s="31"/>
      <c r="AA110" s="31"/>
      <c r="AB110" s="31"/>
      <c r="AC110" s="31"/>
      <c r="AD110" s="31"/>
    </row>
    <row r="111" spans="1:30" ht="22.5" customHeight="1">
      <c r="A111" s="99"/>
      <c r="B111" s="106" t="e">
        <f>VLOOKUP(C111,Lists!I:J,2,FALSE)</f>
        <v>#N/A</v>
      </c>
      <c r="C111" s="108"/>
      <c r="D111" s="102"/>
      <c r="E111" s="103"/>
      <c r="F111" s="102"/>
      <c r="G111" s="99"/>
      <c r="H111" s="99"/>
      <c r="I111" s="104"/>
      <c r="J111" s="105"/>
      <c r="K111" s="105"/>
      <c r="L111" s="105"/>
      <c r="M111" s="87"/>
      <c r="N111" s="87"/>
      <c r="O111" s="87"/>
      <c r="P111" s="87"/>
      <c r="Q111" s="31"/>
      <c r="R111" s="31"/>
      <c r="S111" s="31"/>
      <c r="T111" s="31"/>
      <c r="U111" s="31"/>
      <c r="V111" s="31"/>
      <c r="W111" s="31"/>
      <c r="X111" s="31"/>
      <c r="Y111" s="31"/>
      <c r="Z111" s="31"/>
      <c r="AA111" s="31"/>
      <c r="AB111" s="31"/>
      <c r="AC111" s="31"/>
      <c r="AD111" s="31"/>
    </row>
    <row r="112" spans="1:30" ht="22.5" customHeight="1">
      <c r="A112" s="99"/>
      <c r="B112" s="100" t="e">
        <f>VLOOKUP(C112,Lists!I:J,2,FALSE)</f>
        <v>#N/A</v>
      </c>
      <c r="C112" s="101"/>
      <c r="D112" s="102"/>
      <c r="E112" s="103"/>
      <c r="F112" s="102"/>
      <c r="G112" s="99"/>
      <c r="H112" s="99"/>
      <c r="I112" s="104"/>
      <c r="J112" s="105"/>
      <c r="K112" s="105"/>
      <c r="L112" s="105"/>
      <c r="M112" s="87"/>
      <c r="N112" s="87"/>
      <c r="O112" s="87"/>
      <c r="P112" s="87"/>
      <c r="Q112" s="31"/>
      <c r="R112" s="31"/>
      <c r="S112" s="31"/>
      <c r="T112" s="31"/>
      <c r="U112" s="31"/>
      <c r="V112" s="31"/>
      <c r="W112" s="31"/>
      <c r="X112" s="31"/>
      <c r="Y112" s="31"/>
      <c r="Z112" s="31"/>
      <c r="AA112" s="31"/>
      <c r="AB112" s="31"/>
      <c r="AC112" s="31"/>
      <c r="AD112" s="31"/>
    </row>
    <row r="113" spans="1:30" ht="22.5" customHeight="1">
      <c r="A113" s="99"/>
      <c r="B113" s="106" t="e">
        <f>VLOOKUP(C113,Lists!I:J,2,FALSE)</f>
        <v>#N/A</v>
      </c>
      <c r="C113" s="108"/>
      <c r="D113" s="102"/>
      <c r="E113" s="103"/>
      <c r="F113" s="102"/>
      <c r="G113" s="99"/>
      <c r="H113" s="99"/>
      <c r="I113" s="104"/>
      <c r="J113" s="105"/>
      <c r="K113" s="105"/>
      <c r="L113" s="105"/>
      <c r="M113" s="87"/>
      <c r="N113" s="87"/>
      <c r="O113" s="87"/>
      <c r="P113" s="87"/>
      <c r="Q113" s="31"/>
      <c r="R113" s="31"/>
      <c r="S113" s="31"/>
      <c r="T113" s="31"/>
      <c r="U113" s="31"/>
      <c r="V113" s="31"/>
      <c r="W113" s="31"/>
      <c r="X113" s="31"/>
      <c r="Y113" s="31"/>
      <c r="Z113" s="31"/>
      <c r="AA113" s="31"/>
      <c r="AB113" s="31"/>
      <c r="AC113" s="31"/>
      <c r="AD113" s="31"/>
    </row>
    <row r="114" spans="1:30" ht="22.5" customHeight="1">
      <c r="A114" s="99"/>
      <c r="B114" s="100" t="e">
        <f>VLOOKUP(C114,Lists!I:J,2,FALSE)</f>
        <v>#N/A</v>
      </c>
      <c r="C114" s="101"/>
      <c r="D114" s="102"/>
      <c r="E114" s="103"/>
      <c r="F114" s="102"/>
      <c r="G114" s="99"/>
      <c r="H114" s="99"/>
      <c r="I114" s="104"/>
      <c r="J114" s="105"/>
      <c r="K114" s="105"/>
      <c r="L114" s="105"/>
      <c r="M114" s="87"/>
      <c r="N114" s="87"/>
      <c r="O114" s="87"/>
      <c r="P114" s="87"/>
      <c r="Q114" s="31"/>
      <c r="R114" s="31"/>
      <c r="S114" s="31"/>
      <c r="T114" s="31"/>
      <c r="U114" s="31"/>
      <c r="V114" s="31"/>
      <c r="W114" s="31"/>
      <c r="X114" s="31"/>
      <c r="Y114" s="31"/>
      <c r="Z114" s="31"/>
      <c r="AA114" s="31"/>
      <c r="AB114" s="31"/>
      <c r="AC114" s="31"/>
      <c r="AD114" s="31"/>
    </row>
    <row r="115" spans="1:30" ht="22.5" customHeight="1">
      <c r="A115" s="99"/>
      <c r="B115" s="106" t="e">
        <f>VLOOKUP(C115,Lists!I:J,2,FALSE)</f>
        <v>#N/A</v>
      </c>
      <c r="C115" s="108"/>
      <c r="D115" s="102"/>
      <c r="E115" s="103"/>
      <c r="F115" s="102"/>
      <c r="G115" s="99"/>
      <c r="H115" s="99"/>
      <c r="I115" s="104"/>
      <c r="J115" s="105"/>
      <c r="K115" s="105"/>
      <c r="L115" s="105"/>
      <c r="M115" s="87"/>
      <c r="N115" s="87"/>
      <c r="O115" s="87"/>
      <c r="P115" s="87"/>
      <c r="Q115" s="31"/>
      <c r="R115" s="31"/>
      <c r="S115" s="31"/>
      <c r="T115" s="31"/>
      <c r="U115" s="31"/>
      <c r="V115" s="31"/>
      <c r="W115" s="31"/>
      <c r="X115" s="31"/>
      <c r="Y115" s="31"/>
      <c r="Z115" s="31"/>
      <c r="AA115" s="31"/>
      <c r="AB115" s="31"/>
      <c r="AC115" s="31"/>
      <c r="AD115" s="31"/>
    </row>
    <row r="116" spans="1:30" ht="22.5" customHeight="1">
      <c r="A116" s="99"/>
      <c r="B116" s="100" t="e">
        <f>VLOOKUP(C116,Lists!I:J,2,FALSE)</f>
        <v>#N/A</v>
      </c>
      <c r="C116" s="101"/>
      <c r="D116" s="102"/>
      <c r="E116" s="103"/>
      <c r="F116" s="102"/>
      <c r="G116" s="99"/>
      <c r="H116" s="99"/>
      <c r="I116" s="104"/>
      <c r="J116" s="105"/>
      <c r="K116" s="105"/>
      <c r="L116" s="105"/>
      <c r="M116" s="87"/>
      <c r="N116" s="87"/>
      <c r="O116" s="87"/>
      <c r="P116" s="87"/>
      <c r="Q116" s="31"/>
      <c r="R116" s="31"/>
      <c r="S116" s="31"/>
      <c r="T116" s="31"/>
      <c r="U116" s="31"/>
      <c r="V116" s="31"/>
      <c r="W116" s="31"/>
      <c r="X116" s="31"/>
      <c r="Y116" s="31"/>
      <c r="Z116" s="31"/>
      <c r="AA116" s="31"/>
      <c r="AB116" s="31"/>
      <c r="AC116" s="31"/>
      <c r="AD116" s="31"/>
    </row>
    <row r="117" spans="1:30" ht="22.5" customHeight="1">
      <c r="A117" s="99"/>
      <c r="B117" s="106" t="e">
        <f>VLOOKUP(C117,Lists!I:J,2,FALSE)</f>
        <v>#N/A</v>
      </c>
      <c r="C117" s="108"/>
      <c r="D117" s="102"/>
      <c r="E117" s="103"/>
      <c r="F117" s="102"/>
      <c r="G117" s="99"/>
      <c r="H117" s="99"/>
      <c r="I117" s="104"/>
      <c r="J117" s="105"/>
      <c r="K117" s="105"/>
      <c r="L117" s="105"/>
      <c r="M117" s="87"/>
      <c r="N117" s="87"/>
      <c r="O117" s="87"/>
      <c r="P117" s="87"/>
      <c r="Q117" s="31"/>
      <c r="R117" s="31"/>
      <c r="S117" s="31"/>
      <c r="T117" s="31"/>
      <c r="U117" s="31"/>
      <c r="V117" s="31"/>
      <c r="W117" s="31"/>
      <c r="X117" s="31"/>
      <c r="Y117" s="31"/>
      <c r="Z117" s="31"/>
      <c r="AA117" s="31"/>
      <c r="AB117" s="31"/>
      <c r="AC117" s="31"/>
      <c r="AD117" s="31"/>
    </row>
    <row r="118" spans="1:30" ht="22.5" customHeight="1">
      <c r="A118" s="99"/>
      <c r="B118" s="100" t="e">
        <f>VLOOKUP(C118,Lists!I:J,2,FALSE)</f>
        <v>#N/A</v>
      </c>
      <c r="C118" s="101"/>
      <c r="D118" s="102"/>
      <c r="E118" s="103"/>
      <c r="F118" s="102"/>
      <c r="G118" s="99"/>
      <c r="H118" s="99"/>
      <c r="I118" s="104"/>
      <c r="J118" s="105"/>
      <c r="K118" s="105"/>
      <c r="L118" s="105"/>
      <c r="M118" s="87"/>
      <c r="N118" s="87"/>
      <c r="O118" s="87"/>
      <c r="P118" s="87"/>
      <c r="Q118" s="31"/>
      <c r="R118" s="31"/>
      <c r="S118" s="31"/>
      <c r="T118" s="31"/>
      <c r="U118" s="31"/>
      <c r="V118" s="31"/>
      <c r="W118" s="31"/>
      <c r="X118" s="31"/>
      <c r="Y118" s="31"/>
      <c r="Z118" s="31"/>
      <c r="AA118" s="31"/>
      <c r="AB118" s="31"/>
      <c r="AC118" s="31"/>
      <c r="AD118" s="31"/>
    </row>
    <row r="119" spans="1:30" ht="22.5" customHeight="1">
      <c r="A119" s="99"/>
      <c r="B119" s="106" t="e">
        <f>VLOOKUP(C119,Lists!I:J,2,FALSE)</f>
        <v>#N/A</v>
      </c>
      <c r="C119" s="108"/>
      <c r="D119" s="102"/>
      <c r="E119" s="103"/>
      <c r="F119" s="102"/>
      <c r="G119" s="99"/>
      <c r="H119" s="99"/>
      <c r="I119" s="104"/>
      <c r="J119" s="105"/>
      <c r="K119" s="105"/>
      <c r="L119" s="105"/>
      <c r="M119" s="87"/>
      <c r="N119" s="87"/>
      <c r="O119" s="87"/>
      <c r="P119" s="87"/>
      <c r="Q119" s="31"/>
      <c r="R119" s="31"/>
      <c r="S119" s="31"/>
      <c r="T119" s="31"/>
      <c r="U119" s="31"/>
      <c r="V119" s="31"/>
      <c r="W119" s="31"/>
      <c r="X119" s="31"/>
      <c r="Y119" s="31"/>
      <c r="Z119" s="31"/>
      <c r="AA119" s="31"/>
      <c r="AB119" s="31"/>
      <c r="AC119" s="31"/>
      <c r="AD119" s="31"/>
    </row>
    <row r="120" spans="1:30" ht="22.5" customHeight="1">
      <c r="A120" s="99"/>
      <c r="B120" s="100" t="e">
        <f>VLOOKUP(C120,Lists!I:J,2,FALSE)</f>
        <v>#N/A</v>
      </c>
      <c r="C120" s="101"/>
      <c r="D120" s="102"/>
      <c r="E120" s="103"/>
      <c r="F120" s="102"/>
      <c r="G120" s="99"/>
      <c r="H120" s="99"/>
      <c r="I120" s="104"/>
      <c r="J120" s="105"/>
      <c r="K120" s="105"/>
      <c r="L120" s="105"/>
      <c r="M120" s="87"/>
      <c r="N120" s="87"/>
      <c r="O120" s="87"/>
      <c r="P120" s="87"/>
      <c r="Q120" s="31"/>
      <c r="R120" s="31"/>
      <c r="S120" s="31"/>
      <c r="T120" s="31"/>
      <c r="U120" s="31"/>
      <c r="V120" s="31"/>
      <c r="W120" s="31"/>
      <c r="X120" s="31"/>
      <c r="Y120" s="31"/>
      <c r="Z120" s="31"/>
      <c r="AA120" s="31"/>
      <c r="AB120" s="31"/>
      <c r="AC120" s="31"/>
      <c r="AD120" s="31"/>
    </row>
    <row r="121" spans="1:30" ht="22.5" customHeight="1">
      <c r="A121" s="99"/>
      <c r="B121" s="106" t="e">
        <f>VLOOKUP(C121,Lists!I:J,2,FALSE)</f>
        <v>#N/A</v>
      </c>
      <c r="C121" s="108"/>
      <c r="D121" s="102"/>
      <c r="E121" s="103"/>
      <c r="F121" s="102"/>
      <c r="G121" s="99"/>
      <c r="H121" s="99"/>
      <c r="I121" s="104"/>
      <c r="J121" s="105"/>
      <c r="K121" s="105"/>
      <c r="L121" s="105"/>
      <c r="M121" s="87"/>
      <c r="N121" s="87"/>
      <c r="O121" s="87"/>
      <c r="P121" s="87"/>
      <c r="Q121" s="31"/>
      <c r="R121" s="31"/>
      <c r="S121" s="31"/>
      <c r="T121" s="31"/>
      <c r="U121" s="31"/>
      <c r="V121" s="31"/>
      <c r="W121" s="31"/>
      <c r="X121" s="31"/>
      <c r="Y121" s="31"/>
      <c r="Z121" s="31"/>
      <c r="AA121" s="31"/>
      <c r="AB121" s="31"/>
      <c r="AC121" s="31"/>
      <c r="AD121" s="31"/>
    </row>
    <row r="122" spans="1:30" ht="22.5" customHeight="1">
      <c r="A122" s="99"/>
      <c r="B122" s="100" t="e">
        <f>VLOOKUP(C122,Lists!I:J,2,FALSE)</f>
        <v>#N/A</v>
      </c>
      <c r="C122" s="101"/>
      <c r="D122" s="102"/>
      <c r="E122" s="103"/>
      <c r="F122" s="102"/>
      <c r="G122" s="99"/>
      <c r="H122" s="99"/>
      <c r="I122" s="104"/>
      <c r="J122" s="105"/>
      <c r="K122" s="105"/>
      <c r="L122" s="105"/>
      <c r="M122" s="87"/>
      <c r="N122" s="87"/>
      <c r="O122" s="87"/>
      <c r="P122" s="87"/>
      <c r="Q122" s="31"/>
      <c r="R122" s="31"/>
      <c r="S122" s="31"/>
      <c r="T122" s="31"/>
      <c r="U122" s="31"/>
      <c r="V122" s="31"/>
      <c r="W122" s="31"/>
      <c r="X122" s="31"/>
      <c r="Y122" s="31"/>
      <c r="Z122" s="31"/>
      <c r="AA122" s="31"/>
      <c r="AB122" s="31"/>
      <c r="AC122" s="31"/>
      <c r="AD122" s="31"/>
    </row>
    <row r="123" spans="1:30" ht="22.5" customHeight="1">
      <c r="A123" s="99"/>
      <c r="B123" s="106" t="e">
        <f>VLOOKUP(C123,Lists!I:J,2,FALSE)</f>
        <v>#N/A</v>
      </c>
      <c r="C123" s="108"/>
      <c r="D123" s="102"/>
      <c r="E123" s="103"/>
      <c r="F123" s="102"/>
      <c r="G123" s="99"/>
      <c r="H123" s="99"/>
      <c r="I123" s="104"/>
      <c r="J123" s="105"/>
      <c r="K123" s="105"/>
      <c r="L123" s="105"/>
      <c r="M123" s="87"/>
      <c r="N123" s="87"/>
      <c r="O123" s="87"/>
      <c r="P123" s="87"/>
      <c r="Q123" s="31"/>
      <c r="R123" s="31"/>
      <c r="S123" s="31"/>
      <c r="T123" s="31"/>
      <c r="U123" s="31"/>
      <c r="V123" s="31"/>
      <c r="W123" s="31"/>
      <c r="X123" s="31"/>
      <c r="Y123" s="31"/>
      <c r="Z123" s="31"/>
      <c r="AA123" s="31"/>
      <c r="AB123" s="31"/>
      <c r="AC123" s="31"/>
      <c r="AD123" s="31"/>
    </row>
    <row r="124" spans="1:30" ht="22.5" customHeight="1">
      <c r="A124" s="99"/>
      <c r="B124" s="100" t="e">
        <f>VLOOKUP(C124,Lists!I:J,2,FALSE)</f>
        <v>#N/A</v>
      </c>
      <c r="C124" s="101"/>
      <c r="D124" s="102"/>
      <c r="E124" s="103"/>
      <c r="F124" s="102"/>
      <c r="G124" s="99"/>
      <c r="H124" s="99"/>
      <c r="I124" s="104"/>
      <c r="J124" s="105"/>
      <c r="K124" s="105"/>
      <c r="L124" s="105"/>
      <c r="M124" s="87"/>
      <c r="N124" s="87"/>
      <c r="O124" s="87"/>
      <c r="P124" s="87"/>
      <c r="Q124" s="31"/>
      <c r="R124" s="31"/>
      <c r="S124" s="31"/>
      <c r="T124" s="31"/>
      <c r="U124" s="31"/>
      <c r="V124" s="31"/>
      <c r="W124" s="31"/>
      <c r="X124" s="31"/>
      <c r="Y124" s="31"/>
      <c r="Z124" s="31"/>
      <c r="AA124" s="31"/>
      <c r="AB124" s="31"/>
      <c r="AC124" s="31"/>
      <c r="AD124" s="31"/>
    </row>
    <row r="125" spans="1:30" ht="22.5" customHeight="1">
      <c r="A125" s="99"/>
      <c r="B125" s="106" t="e">
        <f>VLOOKUP(C125,Lists!I:J,2,FALSE)</f>
        <v>#N/A</v>
      </c>
      <c r="C125" s="108"/>
      <c r="D125" s="102"/>
      <c r="E125" s="103"/>
      <c r="F125" s="102"/>
      <c r="G125" s="99"/>
      <c r="H125" s="99"/>
      <c r="I125" s="104"/>
      <c r="J125" s="105"/>
      <c r="K125" s="105"/>
      <c r="L125" s="105"/>
      <c r="M125" s="87"/>
      <c r="N125" s="87"/>
      <c r="O125" s="87"/>
      <c r="P125" s="87"/>
      <c r="Q125" s="31"/>
      <c r="R125" s="31"/>
      <c r="S125" s="31"/>
      <c r="T125" s="31"/>
      <c r="U125" s="31"/>
      <c r="V125" s="31"/>
      <c r="W125" s="31"/>
      <c r="X125" s="31"/>
      <c r="Y125" s="31"/>
      <c r="Z125" s="31"/>
      <c r="AA125" s="31"/>
      <c r="AB125" s="31"/>
      <c r="AC125" s="31"/>
      <c r="AD125" s="31"/>
    </row>
    <row r="126" spans="1:30" ht="22.5" customHeight="1">
      <c r="A126" s="99"/>
      <c r="B126" s="100" t="e">
        <f>VLOOKUP(C126,Lists!I:J,2,FALSE)</f>
        <v>#N/A</v>
      </c>
      <c r="C126" s="101"/>
      <c r="D126" s="102"/>
      <c r="E126" s="103"/>
      <c r="F126" s="102"/>
      <c r="G126" s="99"/>
      <c r="H126" s="99"/>
      <c r="I126" s="104"/>
      <c r="J126" s="105"/>
      <c r="K126" s="105"/>
      <c r="L126" s="105"/>
      <c r="M126" s="87"/>
      <c r="N126" s="87"/>
      <c r="O126" s="87"/>
      <c r="P126" s="87"/>
      <c r="Q126" s="31"/>
      <c r="R126" s="31"/>
      <c r="S126" s="31"/>
      <c r="T126" s="31"/>
      <c r="U126" s="31"/>
      <c r="V126" s="31"/>
      <c r="W126" s="31"/>
      <c r="X126" s="31"/>
      <c r="Y126" s="31"/>
      <c r="Z126" s="31"/>
      <c r="AA126" s="31"/>
      <c r="AB126" s="31"/>
      <c r="AC126" s="31"/>
      <c r="AD126" s="31"/>
    </row>
    <row r="127" spans="1:30" ht="22.5" customHeight="1">
      <c r="A127" s="99"/>
      <c r="B127" s="106" t="e">
        <f>VLOOKUP(C127,Lists!I:J,2,FALSE)</f>
        <v>#N/A</v>
      </c>
      <c r="C127" s="108"/>
      <c r="D127" s="102"/>
      <c r="E127" s="103"/>
      <c r="F127" s="102"/>
      <c r="G127" s="99"/>
      <c r="H127" s="99"/>
      <c r="I127" s="104"/>
      <c r="J127" s="105"/>
      <c r="K127" s="105"/>
      <c r="L127" s="105"/>
      <c r="M127" s="87"/>
      <c r="N127" s="87"/>
      <c r="O127" s="87"/>
      <c r="P127" s="87"/>
      <c r="Q127" s="31"/>
      <c r="R127" s="31"/>
      <c r="S127" s="31"/>
      <c r="T127" s="31"/>
      <c r="U127" s="31"/>
      <c r="V127" s="31"/>
      <c r="W127" s="31"/>
      <c r="X127" s="31"/>
      <c r="Y127" s="31"/>
      <c r="Z127" s="31"/>
      <c r="AA127" s="31"/>
      <c r="AB127" s="31"/>
      <c r="AC127" s="31"/>
      <c r="AD127" s="31"/>
    </row>
    <row r="128" spans="1:30" ht="22.5" customHeight="1">
      <c r="A128" s="99"/>
      <c r="B128" s="100" t="e">
        <f>VLOOKUP(C128,Lists!I:J,2,FALSE)</f>
        <v>#N/A</v>
      </c>
      <c r="C128" s="101"/>
      <c r="D128" s="102"/>
      <c r="E128" s="103"/>
      <c r="F128" s="102"/>
      <c r="G128" s="99"/>
      <c r="H128" s="99"/>
      <c r="I128" s="104"/>
      <c r="J128" s="105"/>
      <c r="K128" s="105"/>
      <c r="L128" s="105"/>
      <c r="M128" s="87"/>
      <c r="N128" s="87"/>
      <c r="O128" s="87"/>
      <c r="P128" s="87"/>
      <c r="Q128" s="31"/>
      <c r="R128" s="31"/>
      <c r="S128" s="31"/>
      <c r="T128" s="31"/>
      <c r="U128" s="31"/>
      <c r="V128" s="31"/>
      <c r="W128" s="31"/>
      <c r="X128" s="31"/>
      <c r="Y128" s="31"/>
      <c r="Z128" s="31"/>
      <c r="AA128" s="31"/>
      <c r="AB128" s="31"/>
      <c r="AC128" s="31"/>
      <c r="AD128" s="31"/>
    </row>
    <row r="129" spans="1:30" ht="22.5" customHeight="1">
      <c r="A129" s="99"/>
      <c r="B129" s="106" t="e">
        <f>VLOOKUP(C129,Lists!I:J,2,FALSE)</f>
        <v>#N/A</v>
      </c>
      <c r="C129" s="108"/>
      <c r="D129" s="102"/>
      <c r="E129" s="103"/>
      <c r="F129" s="102"/>
      <c r="G129" s="99"/>
      <c r="H129" s="99"/>
      <c r="I129" s="104"/>
      <c r="J129" s="105"/>
      <c r="K129" s="105"/>
      <c r="L129" s="105"/>
      <c r="M129" s="87"/>
      <c r="N129" s="87"/>
      <c r="O129" s="87"/>
      <c r="P129" s="87"/>
      <c r="Q129" s="31"/>
      <c r="R129" s="31"/>
      <c r="S129" s="31"/>
      <c r="T129" s="31"/>
      <c r="U129" s="31"/>
      <c r="V129" s="31"/>
      <c r="W129" s="31"/>
      <c r="X129" s="31"/>
      <c r="Y129" s="31"/>
      <c r="Z129" s="31"/>
      <c r="AA129" s="31"/>
      <c r="AB129" s="31"/>
      <c r="AC129" s="31"/>
      <c r="AD129" s="31"/>
    </row>
    <row r="130" spans="1:30" ht="22.5" customHeight="1">
      <c r="A130" s="99"/>
      <c r="B130" s="100" t="e">
        <f>VLOOKUP(C130,Lists!I:J,2,FALSE)</f>
        <v>#N/A</v>
      </c>
      <c r="C130" s="101"/>
      <c r="D130" s="102"/>
      <c r="E130" s="103"/>
      <c r="F130" s="102"/>
      <c r="G130" s="99"/>
      <c r="H130" s="99"/>
      <c r="I130" s="104"/>
      <c r="J130" s="105"/>
      <c r="K130" s="105"/>
      <c r="L130" s="105"/>
      <c r="M130" s="87"/>
      <c r="N130" s="87"/>
      <c r="O130" s="87"/>
      <c r="P130" s="87"/>
      <c r="Q130" s="31"/>
      <c r="R130" s="31"/>
      <c r="S130" s="31"/>
      <c r="T130" s="31"/>
      <c r="U130" s="31"/>
      <c r="V130" s="31"/>
      <c r="W130" s="31"/>
      <c r="X130" s="31"/>
      <c r="Y130" s="31"/>
      <c r="Z130" s="31"/>
      <c r="AA130" s="31"/>
      <c r="AB130" s="31"/>
      <c r="AC130" s="31"/>
      <c r="AD130" s="31"/>
    </row>
    <row r="131" spans="1:30" ht="22.5" customHeight="1">
      <c r="A131" s="99"/>
      <c r="B131" s="106" t="e">
        <f>VLOOKUP(C131,Lists!I:J,2,FALSE)</f>
        <v>#N/A</v>
      </c>
      <c r="C131" s="108"/>
      <c r="D131" s="102"/>
      <c r="E131" s="103"/>
      <c r="F131" s="102"/>
      <c r="G131" s="99"/>
      <c r="H131" s="99"/>
      <c r="I131" s="104"/>
      <c r="J131" s="105"/>
      <c r="K131" s="105"/>
      <c r="L131" s="105"/>
      <c r="M131" s="87"/>
      <c r="N131" s="87"/>
      <c r="O131" s="87"/>
      <c r="P131" s="87"/>
      <c r="Q131" s="31"/>
      <c r="R131" s="31"/>
      <c r="S131" s="31"/>
      <c r="T131" s="31"/>
      <c r="U131" s="31"/>
      <c r="V131" s="31"/>
      <c r="W131" s="31"/>
      <c r="X131" s="31"/>
      <c r="Y131" s="31"/>
      <c r="Z131" s="31"/>
      <c r="AA131" s="31"/>
      <c r="AB131" s="31"/>
      <c r="AC131" s="31"/>
      <c r="AD131" s="31"/>
    </row>
    <row r="132" spans="1:30" ht="22.5" customHeight="1">
      <c r="A132" s="99"/>
      <c r="B132" s="100" t="e">
        <f>VLOOKUP(C132,Lists!I:J,2,FALSE)</f>
        <v>#N/A</v>
      </c>
      <c r="C132" s="101"/>
      <c r="D132" s="102"/>
      <c r="E132" s="103"/>
      <c r="F132" s="102"/>
      <c r="G132" s="99"/>
      <c r="H132" s="99"/>
      <c r="I132" s="104"/>
      <c r="J132" s="105"/>
      <c r="K132" s="105"/>
      <c r="L132" s="105"/>
      <c r="M132" s="87"/>
      <c r="N132" s="87"/>
      <c r="O132" s="87"/>
      <c r="P132" s="87"/>
      <c r="Q132" s="31"/>
      <c r="R132" s="31"/>
      <c r="S132" s="31"/>
      <c r="T132" s="31"/>
      <c r="U132" s="31"/>
      <c r="V132" s="31"/>
      <c r="W132" s="31"/>
      <c r="X132" s="31"/>
      <c r="Y132" s="31"/>
      <c r="Z132" s="31"/>
      <c r="AA132" s="31"/>
      <c r="AB132" s="31"/>
      <c r="AC132" s="31"/>
      <c r="AD132" s="31"/>
    </row>
    <row r="133" spans="1:30" ht="22.5" customHeight="1">
      <c r="A133" s="99"/>
      <c r="B133" s="106" t="e">
        <f>VLOOKUP(C133,Lists!I:J,2,FALSE)</f>
        <v>#N/A</v>
      </c>
      <c r="C133" s="108"/>
      <c r="D133" s="102"/>
      <c r="E133" s="103"/>
      <c r="F133" s="102"/>
      <c r="G133" s="99"/>
      <c r="H133" s="99"/>
      <c r="I133" s="104"/>
      <c r="J133" s="105"/>
      <c r="K133" s="105"/>
      <c r="L133" s="105"/>
      <c r="M133" s="87"/>
      <c r="N133" s="87"/>
      <c r="O133" s="87"/>
      <c r="P133" s="87"/>
      <c r="Q133" s="31"/>
      <c r="R133" s="31"/>
      <c r="S133" s="31"/>
      <c r="T133" s="31"/>
      <c r="U133" s="31"/>
      <c r="V133" s="31"/>
      <c r="W133" s="31"/>
      <c r="X133" s="31"/>
      <c r="Y133" s="31"/>
      <c r="Z133" s="31"/>
      <c r="AA133" s="31"/>
      <c r="AB133" s="31"/>
      <c r="AC133" s="31"/>
      <c r="AD133" s="31"/>
    </row>
    <row r="134" spans="1:30" ht="22.5" customHeight="1">
      <c r="A134" s="99"/>
      <c r="B134" s="100" t="e">
        <f>VLOOKUP(C134,Lists!I:J,2,FALSE)</f>
        <v>#N/A</v>
      </c>
      <c r="C134" s="101"/>
      <c r="D134" s="102"/>
      <c r="E134" s="103"/>
      <c r="F134" s="102"/>
      <c r="G134" s="99"/>
      <c r="H134" s="99"/>
      <c r="I134" s="104"/>
      <c r="J134" s="105"/>
      <c r="K134" s="105"/>
      <c r="L134" s="105"/>
      <c r="M134" s="87"/>
      <c r="N134" s="87"/>
      <c r="O134" s="87"/>
      <c r="P134" s="87"/>
      <c r="Q134" s="31"/>
      <c r="R134" s="31"/>
      <c r="S134" s="31"/>
      <c r="T134" s="31"/>
      <c r="U134" s="31"/>
      <c r="V134" s="31"/>
      <c r="W134" s="31"/>
      <c r="X134" s="31"/>
      <c r="Y134" s="31"/>
      <c r="Z134" s="31"/>
      <c r="AA134" s="31"/>
      <c r="AB134" s="31"/>
      <c r="AC134" s="31"/>
      <c r="AD134" s="31"/>
    </row>
    <row r="135" spans="1:30" ht="22.5" customHeight="1">
      <c r="A135" s="99"/>
      <c r="B135" s="106" t="e">
        <f>VLOOKUP(C135,Lists!I:J,2,FALSE)</f>
        <v>#N/A</v>
      </c>
      <c r="C135" s="108"/>
      <c r="D135" s="102"/>
      <c r="E135" s="103"/>
      <c r="F135" s="102"/>
      <c r="G135" s="99"/>
      <c r="H135" s="99"/>
      <c r="I135" s="104"/>
      <c r="J135" s="105"/>
      <c r="K135" s="105"/>
      <c r="L135" s="105"/>
      <c r="M135" s="87"/>
      <c r="N135" s="87"/>
      <c r="O135" s="87"/>
      <c r="P135" s="87"/>
      <c r="Q135" s="31"/>
      <c r="R135" s="31"/>
      <c r="S135" s="31"/>
      <c r="T135" s="31"/>
      <c r="U135" s="31"/>
      <c r="V135" s="31"/>
      <c r="W135" s="31"/>
      <c r="X135" s="31"/>
      <c r="Y135" s="31"/>
      <c r="Z135" s="31"/>
      <c r="AA135" s="31"/>
      <c r="AB135" s="31"/>
      <c r="AC135" s="31"/>
      <c r="AD135" s="31"/>
    </row>
    <row r="136" spans="1:30" ht="22.5" customHeight="1">
      <c r="A136" s="99"/>
      <c r="B136" s="100" t="e">
        <f>VLOOKUP(C136,Lists!I:J,2,FALSE)</f>
        <v>#N/A</v>
      </c>
      <c r="C136" s="101"/>
      <c r="D136" s="102"/>
      <c r="E136" s="103"/>
      <c r="F136" s="102"/>
      <c r="G136" s="99"/>
      <c r="H136" s="99"/>
      <c r="I136" s="104"/>
      <c r="J136" s="105"/>
      <c r="K136" s="105"/>
      <c r="L136" s="105"/>
      <c r="M136" s="87"/>
      <c r="N136" s="87"/>
      <c r="O136" s="87"/>
      <c r="P136" s="87"/>
      <c r="Q136" s="31"/>
      <c r="R136" s="31"/>
      <c r="S136" s="31"/>
      <c r="T136" s="31"/>
      <c r="U136" s="31"/>
      <c r="V136" s="31"/>
      <c r="W136" s="31"/>
      <c r="X136" s="31"/>
      <c r="Y136" s="31"/>
      <c r="Z136" s="31"/>
      <c r="AA136" s="31"/>
      <c r="AB136" s="31"/>
      <c r="AC136" s="31"/>
      <c r="AD136" s="31"/>
    </row>
    <row r="137" spans="1:30" ht="22.5" customHeight="1">
      <c r="A137" s="99"/>
      <c r="B137" s="106" t="e">
        <f>VLOOKUP(C137,Lists!I:J,2,FALSE)</f>
        <v>#N/A</v>
      </c>
      <c r="C137" s="108"/>
      <c r="D137" s="102"/>
      <c r="E137" s="103"/>
      <c r="F137" s="102"/>
      <c r="G137" s="99"/>
      <c r="H137" s="99"/>
      <c r="I137" s="104"/>
      <c r="J137" s="105"/>
      <c r="K137" s="105"/>
      <c r="L137" s="105"/>
      <c r="M137" s="87"/>
      <c r="N137" s="87"/>
      <c r="O137" s="87"/>
      <c r="P137" s="87"/>
      <c r="Q137" s="31"/>
      <c r="R137" s="31"/>
      <c r="S137" s="31"/>
      <c r="T137" s="31"/>
      <c r="U137" s="31"/>
      <c r="V137" s="31"/>
      <c r="W137" s="31"/>
      <c r="X137" s="31"/>
      <c r="Y137" s="31"/>
      <c r="Z137" s="31"/>
      <c r="AA137" s="31"/>
      <c r="AB137" s="31"/>
      <c r="AC137" s="31"/>
      <c r="AD137" s="31"/>
    </row>
    <row r="138" spans="1:30" ht="22.5" customHeight="1">
      <c r="A138" s="99"/>
      <c r="B138" s="100" t="e">
        <f>VLOOKUP(C138,Lists!I:J,2,FALSE)</f>
        <v>#N/A</v>
      </c>
      <c r="C138" s="101"/>
      <c r="D138" s="102"/>
      <c r="E138" s="103"/>
      <c r="F138" s="102"/>
      <c r="G138" s="99"/>
      <c r="H138" s="99"/>
      <c r="I138" s="104"/>
      <c r="J138" s="105"/>
      <c r="K138" s="105"/>
      <c r="L138" s="105"/>
      <c r="M138" s="87"/>
      <c r="N138" s="87"/>
      <c r="O138" s="87"/>
      <c r="P138" s="87"/>
      <c r="Q138" s="31"/>
      <c r="R138" s="31"/>
      <c r="S138" s="31"/>
      <c r="T138" s="31"/>
      <c r="U138" s="31"/>
      <c r="V138" s="31"/>
      <c r="W138" s="31"/>
      <c r="X138" s="31"/>
      <c r="Y138" s="31"/>
      <c r="Z138" s="31"/>
      <c r="AA138" s="31"/>
      <c r="AB138" s="31"/>
      <c r="AC138" s="31"/>
      <c r="AD138" s="31"/>
    </row>
    <row r="139" spans="1:30" ht="22.5" customHeight="1">
      <c r="A139" s="99"/>
      <c r="B139" s="106" t="e">
        <f>VLOOKUP(C139,Lists!I:J,2,FALSE)</f>
        <v>#N/A</v>
      </c>
      <c r="C139" s="108"/>
      <c r="D139" s="102"/>
      <c r="E139" s="103"/>
      <c r="F139" s="102"/>
      <c r="G139" s="99"/>
      <c r="H139" s="99"/>
      <c r="I139" s="104"/>
      <c r="J139" s="105"/>
      <c r="K139" s="105"/>
      <c r="L139" s="105"/>
      <c r="M139" s="87"/>
      <c r="N139" s="87"/>
      <c r="O139" s="87"/>
      <c r="P139" s="87"/>
      <c r="Q139" s="31"/>
      <c r="R139" s="31"/>
      <c r="S139" s="31"/>
      <c r="T139" s="31"/>
      <c r="U139" s="31"/>
      <c r="V139" s="31"/>
      <c r="W139" s="31"/>
      <c r="X139" s="31"/>
      <c r="Y139" s="31"/>
      <c r="Z139" s="31"/>
      <c r="AA139" s="31"/>
      <c r="AB139" s="31"/>
      <c r="AC139" s="31"/>
      <c r="AD139" s="31"/>
    </row>
    <row r="140" spans="1:30" ht="22.5" customHeight="1">
      <c r="A140" s="99"/>
      <c r="B140" s="100" t="e">
        <f>VLOOKUP(C140,Lists!I:J,2,FALSE)</f>
        <v>#N/A</v>
      </c>
      <c r="C140" s="101"/>
      <c r="D140" s="102"/>
      <c r="E140" s="103"/>
      <c r="F140" s="102"/>
      <c r="G140" s="99"/>
      <c r="H140" s="99"/>
      <c r="I140" s="104"/>
      <c r="J140" s="105"/>
      <c r="K140" s="105"/>
      <c r="L140" s="105"/>
      <c r="M140" s="87"/>
      <c r="N140" s="87"/>
      <c r="O140" s="87"/>
      <c r="P140" s="87"/>
      <c r="Q140" s="31"/>
      <c r="R140" s="31"/>
      <c r="S140" s="31"/>
      <c r="T140" s="31"/>
      <c r="U140" s="31"/>
      <c r="V140" s="31"/>
      <c r="W140" s="31"/>
      <c r="X140" s="31"/>
      <c r="Y140" s="31"/>
      <c r="Z140" s="31"/>
      <c r="AA140" s="31"/>
      <c r="AB140" s="31"/>
      <c r="AC140" s="31"/>
      <c r="AD140" s="31"/>
    </row>
    <row r="141" spans="1:30" ht="22.5" customHeight="1">
      <c r="A141" s="99"/>
      <c r="B141" s="106" t="e">
        <f>VLOOKUP(C141,Lists!I:J,2,FALSE)</f>
        <v>#N/A</v>
      </c>
      <c r="C141" s="108"/>
      <c r="D141" s="102"/>
      <c r="E141" s="103"/>
      <c r="F141" s="102"/>
      <c r="G141" s="99"/>
      <c r="H141" s="99"/>
      <c r="I141" s="104"/>
      <c r="J141" s="105"/>
      <c r="K141" s="105"/>
      <c r="L141" s="105"/>
      <c r="M141" s="87"/>
      <c r="N141" s="87"/>
      <c r="O141" s="87"/>
      <c r="P141" s="87"/>
      <c r="Q141" s="31"/>
      <c r="R141" s="31"/>
      <c r="S141" s="31"/>
      <c r="T141" s="31"/>
      <c r="U141" s="31"/>
      <c r="V141" s="31"/>
      <c r="W141" s="31"/>
      <c r="X141" s="31"/>
      <c r="Y141" s="31"/>
      <c r="Z141" s="31"/>
      <c r="AA141" s="31"/>
      <c r="AB141" s="31"/>
      <c r="AC141" s="31"/>
      <c r="AD141" s="31"/>
    </row>
    <row r="142" spans="1:30" ht="22.5" customHeight="1">
      <c r="A142" s="99"/>
      <c r="B142" s="100" t="e">
        <f>VLOOKUP(C142,Lists!I:J,2,FALSE)</f>
        <v>#N/A</v>
      </c>
      <c r="C142" s="101"/>
      <c r="D142" s="102"/>
      <c r="E142" s="103"/>
      <c r="F142" s="102"/>
      <c r="G142" s="99"/>
      <c r="H142" s="99"/>
      <c r="I142" s="104"/>
      <c r="J142" s="105"/>
      <c r="K142" s="105"/>
      <c r="L142" s="105"/>
      <c r="M142" s="87"/>
      <c r="N142" s="87"/>
      <c r="O142" s="87"/>
      <c r="P142" s="87"/>
      <c r="Q142" s="31"/>
      <c r="R142" s="31"/>
      <c r="S142" s="31"/>
      <c r="T142" s="31"/>
      <c r="U142" s="31"/>
      <c r="V142" s="31"/>
      <c r="W142" s="31"/>
      <c r="X142" s="31"/>
      <c r="Y142" s="31"/>
      <c r="Z142" s="31"/>
      <c r="AA142" s="31"/>
      <c r="AB142" s="31"/>
      <c r="AC142" s="31"/>
      <c r="AD142" s="31"/>
    </row>
    <row r="143" spans="1:30" ht="22.5" customHeight="1">
      <c r="A143" s="99"/>
      <c r="B143" s="106" t="e">
        <f>VLOOKUP(C143,Lists!I:J,2,FALSE)</f>
        <v>#N/A</v>
      </c>
      <c r="C143" s="108"/>
      <c r="D143" s="102"/>
      <c r="E143" s="103"/>
      <c r="F143" s="102"/>
      <c r="G143" s="99"/>
      <c r="H143" s="99"/>
      <c r="I143" s="104"/>
      <c r="J143" s="105"/>
      <c r="K143" s="105"/>
      <c r="L143" s="105"/>
      <c r="M143" s="87"/>
      <c r="N143" s="87"/>
      <c r="O143" s="87"/>
      <c r="P143" s="87"/>
      <c r="Q143" s="31"/>
      <c r="R143" s="31"/>
      <c r="S143" s="31"/>
      <c r="T143" s="31"/>
      <c r="U143" s="31"/>
      <c r="V143" s="31"/>
      <c r="W143" s="31"/>
      <c r="X143" s="31"/>
      <c r="Y143" s="31"/>
      <c r="Z143" s="31"/>
      <c r="AA143" s="31"/>
      <c r="AB143" s="31"/>
      <c r="AC143" s="31"/>
      <c r="AD143" s="31"/>
    </row>
    <row r="144" spans="1:30" ht="22.5" customHeight="1">
      <c r="A144" s="99"/>
      <c r="B144" s="100" t="e">
        <f>VLOOKUP(C144,Lists!I:J,2,FALSE)</f>
        <v>#N/A</v>
      </c>
      <c r="C144" s="101"/>
      <c r="D144" s="102"/>
      <c r="E144" s="103"/>
      <c r="F144" s="102"/>
      <c r="G144" s="99"/>
      <c r="H144" s="99"/>
      <c r="I144" s="104"/>
      <c r="J144" s="105"/>
      <c r="K144" s="105"/>
      <c r="L144" s="105"/>
      <c r="M144" s="87"/>
      <c r="N144" s="87"/>
      <c r="O144" s="87"/>
      <c r="P144" s="87"/>
      <c r="Q144" s="31"/>
      <c r="R144" s="31"/>
      <c r="S144" s="31"/>
      <c r="T144" s="31"/>
      <c r="U144" s="31"/>
      <c r="V144" s="31"/>
      <c r="W144" s="31"/>
      <c r="X144" s="31"/>
      <c r="Y144" s="31"/>
      <c r="Z144" s="31"/>
      <c r="AA144" s="31"/>
      <c r="AB144" s="31"/>
      <c r="AC144" s="31"/>
      <c r="AD144" s="31"/>
    </row>
    <row r="145" spans="1:30" ht="22.5" customHeight="1">
      <c r="A145" s="99"/>
      <c r="B145" s="106" t="e">
        <f>VLOOKUP(C145,Lists!I:J,2,FALSE)</f>
        <v>#N/A</v>
      </c>
      <c r="C145" s="108"/>
      <c r="D145" s="102"/>
      <c r="E145" s="103"/>
      <c r="F145" s="102"/>
      <c r="G145" s="99"/>
      <c r="H145" s="99"/>
      <c r="I145" s="104"/>
      <c r="J145" s="105"/>
      <c r="K145" s="105"/>
      <c r="L145" s="105"/>
      <c r="M145" s="87"/>
      <c r="N145" s="87"/>
      <c r="O145" s="87"/>
      <c r="P145" s="87"/>
      <c r="Q145" s="31"/>
      <c r="R145" s="31"/>
      <c r="S145" s="31"/>
      <c r="T145" s="31"/>
      <c r="U145" s="31"/>
      <c r="V145" s="31"/>
      <c r="W145" s="31"/>
      <c r="X145" s="31"/>
      <c r="Y145" s="31"/>
      <c r="Z145" s="31"/>
      <c r="AA145" s="31"/>
      <c r="AB145" s="31"/>
      <c r="AC145" s="31"/>
      <c r="AD145" s="31"/>
    </row>
    <row r="146" spans="1:30" ht="22.5" customHeight="1">
      <c r="A146" s="99"/>
      <c r="B146" s="100" t="e">
        <f>VLOOKUP(C146,Lists!I:J,2,FALSE)</f>
        <v>#N/A</v>
      </c>
      <c r="C146" s="101"/>
      <c r="D146" s="102"/>
      <c r="E146" s="103"/>
      <c r="F146" s="102"/>
      <c r="G146" s="99"/>
      <c r="H146" s="99"/>
      <c r="I146" s="104"/>
      <c r="J146" s="105"/>
      <c r="K146" s="105"/>
      <c r="L146" s="105"/>
      <c r="M146" s="87"/>
      <c r="N146" s="87"/>
      <c r="O146" s="87"/>
      <c r="P146" s="87"/>
      <c r="Q146" s="31"/>
      <c r="R146" s="31"/>
      <c r="S146" s="31"/>
      <c r="T146" s="31"/>
      <c r="U146" s="31"/>
      <c r="V146" s="31"/>
      <c r="W146" s="31"/>
      <c r="X146" s="31"/>
      <c r="Y146" s="31"/>
      <c r="Z146" s="31"/>
      <c r="AA146" s="31"/>
      <c r="AB146" s="31"/>
      <c r="AC146" s="31"/>
      <c r="AD146" s="31"/>
    </row>
    <row r="147" spans="1:30" ht="22.5" customHeight="1">
      <c r="A147" s="99"/>
      <c r="B147" s="106" t="e">
        <f>VLOOKUP(C147,Lists!I:J,2,FALSE)</f>
        <v>#N/A</v>
      </c>
      <c r="C147" s="108"/>
      <c r="D147" s="102"/>
      <c r="E147" s="103"/>
      <c r="F147" s="102"/>
      <c r="G147" s="99"/>
      <c r="H147" s="99"/>
      <c r="I147" s="104"/>
      <c r="J147" s="105"/>
      <c r="K147" s="105"/>
      <c r="L147" s="105"/>
      <c r="M147" s="87"/>
      <c r="N147" s="87"/>
      <c r="O147" s="87"/>
      <c r="P147" s="87"/>
      <c r="Q147" s="31"/>
      <c r="R147" s="31"/>
      <c r="S147" s="31"/>
      <c r="T147" s="31"/>
      <c r="U147" s="31"/>
      <c r="V147" s="31"/>
      <c r="W147" s="31"/>
      <c r="X147" s="31"/>
      <c r="Y147" s="31"/>
      <c r="Z147" s="31"/>
      <c r="AA147" s="31"/>
      <c r="AB147" s="31"/>
      <c r="AC147" s="31"/>
      <c r="AD147" s="31"/>
    </row>
    <row r="148" spans="1:30" ht="22.5" customHeight="1">
      <c r="A148" s="99"/>
      <c r="B148" s="100" t="e">
        <f>VLOOKUP(C148,Lists!I:J,2,FALSE)</f>
        <v>#N/A</v>
      </c>
      <c r="C148" s="101"/>
      <c r="D148" s="102"/>
      <c r="E148" s="103"/>
      <c r="F148" s="102"/>
      <c r="G148" s="99"/>
      <c r="H148" s="99"/>
      <c r="I148" s="104"/>
      <c r="J148" s="105"/>
      <c r="K148" s="105"/>
      <c r="L148" s="105"/>
      <c r="M148" s="87"/>
      <c r="N148" s="87"/>
      <c r="O148" s="87"/>
      <c r="P148" s="87"/>
      <c r="Q148" s="31"/>
      <c r="R148" s="31"/>
      <c r="S148" s="31"/>
      <c r="T148" s="31"/>
      <c r="U148" s="31"/>
      <c r="V148" s="31"/>
      <c r="W148" s="31"/>
      <c r="X148" s="31"/>
      <c r="Y148" s="31"/>
      <c r="Z148" s="31"/>
      <c r="AA148" s="31"/>
      <c r="AB148" s="31"/>
      <c r="AC148" s="31"/>
      <c r="AD148" s="31"/>
    </row>
    <row r="149" spans="1:30" ht="22.5" customHeight="1">
      <c r="A149" s="99"/>
      <c r="B149" s="106" t="e">
        <f>VLOOKUP(C149,Lists!I:J,2,FALSE)</f>
        <v>#N/A</v>
      </c>
      <c r="C149" s="108"/>
      <c r="D149" s="102"/>
      <c r="E149" s="103"/>
      <c r="F149" s="102"/>
      <c r="G149" s="99"/>
      <c r="H149" s="99"/>
      <c r="I149" s="104"/>
      <c r="J149" s="105"/>
      <c r="K149" s="105"/>
      <c r="L149" s="105"/>
      <c r="M149" s="87"/>
      <c r="N149" s="87"/>
      <c r="O149" s="87"/>
      <c r="P149" s="87"/>
      <c r="Q149" s="31"/>
      <c r="R149" s="31"/>
      <c r="S149" s="31"/>
      <c r="T149" s="31"/>
      <c r="U149" s="31"/>
      <c r="V149" s="31"/>
      <c r="W149" s="31"/>
      <c r="X149" s="31"/>
      <c r="Y149" s="31"/>
      <c r="Z149" s="31"/>
      <c r="AA149" s="31"/>
      <c r="AB149" s="31"/>
      <c r="AC149" s="31"/>
      <c r="AD149" s="31"/>
    </row>
    <row r="150" spans="1:30" ht="22.5" customHeight="1">
      <c r="A150" s="99"/>
      <c r="B150" s="100" t="e">
        <f>VLOOKUP(C150,Lists!I:J,2,FALSE)</f>
        <v>#N/A</v>
      </c>
      <c r="C150" s="101"/>
      <c r="D150" s="102"/>
      <c r="E150" s="103"/>
      <c r="F150" s="102"/>
      <c r="G150" s="99"/>
      <c r="H150" s="99"/>
      <c r="I150" s="104"/>
      <c r="J150" s="105"/>
      <c r="K150" s="105"/>
      <c r="L150" s="105"/>
      <c r="M150" s="87"/>
      <c r="N150" s="87"/>
      <c r="O150" s="87"/>
      <c r="P150" s="87"/>
      <c r="Q150" s="31"/>
      <c r="R150" s="31"/>
      <c r="S150" s="31"/>
      <c r="T150" s="31"/>
      <c r="U150" s="31"/>
      <c r="V150" s="31"/>
      <c r="W150" s="31"/>
      <c r="X150" s="31"/>
      <c r="Y150" s="31"/>
      <c r="Z150" s="31"/>
      <c r="AA150" s="31"/>
      <c r="AB150" s="31"/>
      <c r="AC150" s="31"/>
      <c r="AD150" s="31"/>
    </row>
    <row r="151" spans="1:30" ht="22.5" customHeight="1">
      <c r="A151" s="99"/>
      <c r="B151" s="106" t="e">
        <f>VLOOKUP(C151,Lists!I:J,2,FALSE)</f>
        <v>#N/A</v>
      </c>
      <c r="C151" s="108"/>
      <c r="D151" s="102"/>
      <c r="E151" s="103"/>
      <c r="F151" s="102"/>
      <c r="G151" s="99"/>
      <c r="H151" s="99"/>
      <c r="I151" s="104"/>
      <c r="J151" s="105"/>
      <c r="K151" s="105"/>
      <c r="L151" s="105"/>
      <c r="M151" s="87"/>
      <c r="N151" s="87"/>
      <c r="O151" s="87"/>
      <c r="P151" s="87"/>
      <c r="Q151" s="31"/>
      <c r="R151" s="31"/>
      <c r="S151" s="31"/>
      <c r="T151" s="31"/>
      <c r="U151" s="31"/>
      <c r="V151" s="31"/>
      <c r="W151" s="31"/>
      <c r="X151" s="31"/>
      <c r="Y151" s="31"/>
      <c r="Z151" s="31"/>
      <c r="AA151" s="31"/>
      <c r="AB151" s="31"/>
      <c r="AC151" s="31"/>
      <c r="AD151" s="31"/>
    </row>
    <row r="152" spans="1:30" ht="22.5" customHeight="1">
      <c r="A152" s="99"/>
      <c r="B152" s="100" t="e">
        <f>VLOOKUP(C152,Lists!I:J,2,FALSE)</f>
        <v>#N/A</v>
      </c>
      <c r="C152" s="101"/>
      <c r="D152" s="102"/>
      <c r="E152" s="103"/>
      <c r="F152" s="102"/>
      <c r="G152" s="99"/>
      <c r="H152" s="99"/>
      <c r="I152" s="104"/>
      <c r="J152" s="105"/>
      <c r="K152" s="105"/>
      <c r="L152" s="105"/>
      <c r="M152" s="87"/>
      <c r="N152" s="87"/>
      <c r="O152" s="87"/>
      <c r="P152" s="87"/>
      <c r="Q152" s="31"/>
      <c r="R152" s="31"/>
      <c r="S152" s="31"/>
      <c r="T152" s="31"/>
      <c r="U152" s="31"/>
      <c r="V152" s="31"/>
      <c r="W152" s="31"/>
      <c r="X152" s="31"/>
      <c r="Y152" s="31"/>
      <c r="Z152" s="31"/>
      <c r="AA152" s="31"/>
      <c r="AB152" s="31"/>
      <c r="AC152" s="31"/>
      <c r="AD152" s="31"/>
    </row>
    <row r="153" spans="1:30" ht="22.5" customHeight="1">
      <c r="A153" s="99"/>
      <c r="B153" s="109"/>
      <c r="C153" s="106"/>
      <c r="D153" s="102"/>
      <c r="E153" s="103"/>
      <c r="F153" s="102"/>
      <c r="G153" s="99"/>
      <c r="H153" s="99"/>
      <c r="I153" s="110"/>
      <c r="J153" s="105"/>
      <c r="K153" s="105"/>
      <c r="L153" s="105"/>
      <c r="M153" s="87"/>
      <c r="N153" s="87"/>
      <c r="O153" s="87"/>
      <c r="P153" s="87"/>
      <c r="Q153" s="31"/>
      <c r="R153" s="31"/>
      <c r="S153" s="31"/>
      <c r="T153" s="31"/>
      <c r="U153" s="31"/>
      <c r="V153" s="31"/>
      <c r="W153" s="31"/>
      <c r="X153" s="31"/>
      <c r="Y153" s="31"/>
      <c r="Z153" s="31"/>
      <c r="AA153" s="31"/>
      <c r="AB153" s="31"/>
      <c r="AC153" s="31"/>
      <c r="AD153" s="31"/>
    </row>
    <row r="154" spans="1:30" ht="22.5" customHeight="1">
      <c r="A154" s="99"/>
      <c r="B154" s="100"/>
      <c r="C154" s="95"/>
      <c r="D154" s="102"/>
      <c r="E154" s="103"/>
      <c r="F154" s="102"/>
      <c r="G154" s="99"/>
      <c r="H154" s="99"/>
      <c r="I154" s="110"/>
      <c r="J154" s="105"/>
      <c r="K154" s="105"/>
      <c r="L154" s="105"/>
      <c r="M154" s="87"/>
      <c r="N154" s="87"/>
      <c r="O154" s="87"/>
      <c r="P154" s="87"/>
      <c r="Q154" s="31"/>
      <c r="R154" s="31"/>
      <c r="S154" s="31"/>
      <c r="T154" s="31"/>
      <c r="U154" s="31"/>
      <c r="V154" s="31"/>
      <c r="W154" s="31"/>
      <c r="X154" s="31"/>
      <c r="Y154" s="31"/>
      <c r="Z154" s="31"/>
      <c r="AA154" s="31"/>
      <c r="AB154" s="31"/>
      <c r="AC154" s="31"/>
      <c r="AD154" s="31"/>
    </row>
    <row r="155" spans="1:30" ht="22.5" customHeight="1">
      <c r="A155" s="99"/>
      <c r="B155" s="106"/>
      <c r="C155" s="106"/>
      <c r="D155" s="102"/>
      <c r="E155" s="103"/>
      <c r="F155" s="102"/>
      <c r="G155" s="99"/>
      <c r="H155" s="99"/>
      <c r="I155" s="110"/>
      <c r="J155" s="105"/>
      <c r="K155" s="105"/>
      <c r="L155" s="105"/>
      <c r="M155" s="87"/>
      <c r="N155" s="87"/>
      <c r="O155" s="87"/>
      <c r="P155" s="87"/>
      <c r="Q155" s="31"/>
      <c r="R155" s="31"/>
      <c r="S155" s="31"/>
      <c r="T155" s="31"/>
      <c r="U155" s="31"/>
      <c r="V155" s="31"/>
      <c r="W155" s="31"/>
      <c r="X155" s="31"/>
      <c r="Y155" s="31"/>
      <c r="Z155" s="31"/>
      <c r="AA155" s="31"/>
      <c r="AB155" s="31"/>
      <c r="AC155" s="31"/>
      <c r="AD155" s="31"/>
    </row>
    <row r="156" spans="1:30" ht="22.5" customHeight="1">
      <c r="A156" s="99"/>
      <c r="B156" s="95"/>
      <c r="C156" s="95"/>
      <c r="D156" s="102"/>
      <c r="E156" s="103"/>
      <c r="F156" s="102"/>
      <c r="G156" s="99"/>
      <c r="H156" s="99"/>
      <c r="I156" s="110"/>
      <c r="J156" s="105"/>
      <c r="K156" s="105"/>
      <c r="L156" s="105"/>
      <c r="M156" s="87"/>
      <c r="N156" s="87"/>
      <c r="O156" s="87"/>
      <c r="P156" s="87"/>
      <c r="Q156" s="31"/>
      <c r="R156" s="31"/>
      <c r="S156" s="31"/>
      <c r="T156" s="31"/>
      <c r="U156" s="31"/>
      <c r="V156" s="31"/>
      <c r="W156" s="31"/>
      <c r="X156" s="31"/>
      <c r="Y156" s="31"/>
      <c r="Z156" s="31"/>
      <c r="AA156" s="31"/>
      <c r="AB156" s="31"/>
      <c r="AC156" s="31"/>
      <c r="AD156" s="31"/>
    </row>
    <row r="157" spans="1:30" ht="22.5" customHeight="1">
      <c r="A157" s="99"/>
      <c r="B157" s="106"/>
      <c r="C157" s="106"/>
      <c r="D157" s="102"/>
      <c r="E157" s="103"/>
      <c r="F157" s="102"/>
      <c r="G157" s="99"/>
      <c r="H157" s="99"/>
      <c r="I157" s="110"/>
      <c r="J157" s="105"/>
      <c r="K157" s="105"/>
      <c r="L157" s="105"/>
      <c r="M157" s="87"/>
      <c r="N157" s="87"/>
      <c r="O157" s="87"/>
      <c r="P157" s="87"/>
      <c r="Q157" s="31"/>
      <c r="R157" s="31"/>
      <c r="S157" s="31"/>
      <c r="T157" s="31"/>
      <c r="U157" s="31"/>
      <c r="V157" s="31"/>
      <c r="W157" s="31"/>
      <c r="X157" s="31"/>
      <c r="Y157" s="31"/>
      <c r="Z157" s="31"/>
      <c r="AA157" s="31"/>
      <c r="AB157" s="31"/>
      <c r="AC157" s="31"/>
      <c r="AD157" s="31"/>
    </row>
    <row r="158" spans="1:30" ht="22.5" customHeight="1">
      <c r="A158" s="99"/>
      <c r="B158" s="100"/>
      <c r="C158" s="95"/>
      <c r="D158" s="102"/>
      <c r="E158" s="103"/>
      <c r="F158" s="102"/>
      <c r="G158" s="99"/>
      <c r="H158" s="99"/>
      <c r="I158" s="110"/>
      <c r="J158" s="105"/>
      <c r="K158" s="105"/>
      <c r="L158" s="105"/>
      <c r="M158" s="87"/>
      <c r="N158" s="87"/>
      <c r="O158" s="87"/>
      <c r="P158" s="87"/>
      <c r="Q158" s="31"/>
      <c r="R158" s="31"/>
      <c r="S158" s="31"/>
      <c r="T158" s="31"/>
      <c r="U158" s="31"/>
      <c r="V158" s="31"/>
      <c r="W158" s="31"/>
      <c r="X158" s="31"/>
      <c r="Y158" s="31"/>
      <c r="Z158" s="31"/>
      <c r="AA158" s="31"/>
      <c r="AB158" s="31"/>
      <c r="AC158" s="31"/>
      <c r="AD158" s="31"/>
    </row>
    <row r="159" spans="1:30" ht="22.5" customHeight="1">
      <c r="A159" s="99"/>
      <c r="B159" s="111"/>
      <c r="C159" s="106"/>
      <c r="D159" s="102"/>
      <c r="E159" s="103"/>
      <c r="F159" s="102"/>
      <c r="G159" s="99"/>
      <c r="H159" s="99"/>
      <c r="I159" s="110"/>
      <c r="J159" s="105"/>
      <c r="K159" s="105"/>
      <c r="L159" s="105"/>
      <c r="M159" s="87"/>
      <c r="N159" s="87"/>
      <c r="O159" s="87"/>
      <c r="P159" s="87"/>
      <c r="Q159" s="31"/>
      <c r="R159" s="31"/>
      <c r="S159" s="31"/>
      <c r="T159" s="31"/>
      <c r="U159" s="31"/>
      <c r="V159" s="31"/>
      <c r="W159" s="31"/>
      <c r="X159" s="31"/>
      <c r="Y159" s="31"/>
      <c r="Z159" s="31"/>
      <c r="AA159" s="31"/>
      <c r="AB159" s="31"/>
      <c r="AC159" s="31"/>
      <c r="AD159" s="31"/>
    </row>
    <row r="160" spans="1:30" ht="22.5" customHeight="1">
      <c r="A160" s="99"/>
      <c r="B160" s="100"/>
      <c r="C160" s="95"/>
      <c r="D160" s="102"/>
      <c r="E160" s="103"/>
      <c r="F160" s="102"/>
      <c r="G160" s="99"/>
      <c r="H160" s="99"/>
      <c r="I160" s="110"/>
      <c r="J160" s="105"/>
      <c r="K160" s="105"/>
      <c r="L160" s="105"/>
      <c r="M160" s="87"/>
      <c r="N160" s="87"/>
      <c r="O160" s="87"/>
      <c r="P160" s="87"/>
      <c r="Q160" s="31"/>
      <c r="R160" s="31"/>
      <c r="S160" s="31"/>
      <c r="T160" s="31"/>
      <c r="U160" s="31"/>
      <c r="V160" s="31"/>
      <c r="W160" s="31"/>
      <c r="X160" s="31"/>
      <c r="Y160" s="31"/>
      <c r="Z160" s="31"/>
      <c r="AA160" s="31"/>
      <c r="AB160" s="31"/>
      <c r="AC160" s="31"/>
      <c r="AD160" s="31"/>
    </row>
    <row r="161" spans="1:30" ht="22.5" customHeight="1">
      <c r="A161" s="99"/>
      <c r="B161" s="106"/>
      <c r="C161" s="106"/>
      <c r="D161" s="102"/>
      <c r="E161" s="103"/>
      <c r="F161" s="102"/>
      <c r="G161" s="99"/>
      <c r="H161" s="99"/>
      <c r="I161" s="110"/>
      <c r="J161" s="105"/>
      <c r="K161" s="105"/>
      <c r="L161" s="105"/>
      <c r="M161" s="87"/>
      <c r="N161" s="87"/>
      <c r="O161" s="87"/>
      <c r="P161" s="87"/>
      <c r="Q161" s="31"/>
      <c r="R161" s="31"/>
      <c r="S161" s="31"/>
      <c r="T161" s="31"/>
      <c r="U161" s="31"/>
      <c r="V161" s="31"/>
      <c r="W161" s="31"/>
      <c r="X161" s="31"/>
      <c r="Y161" s="31"/>
      <c r="Z161" s="31"/>
      <c r="AA161" s="31"/>
      <c r="AB161" s="31"/>
      <c r="AC161" s="31"/>
      <c r="AD161" s="31"/>
    </row>
    <row r="162" spans="1:30" ht="22.5" customHeight="1">
      <c r="A162" s="99"/>
      <c r="B162" s="100"/>
      <c r="C162" s="95"/>
      <c r="D162" s="102"/>
      <c r="E162" s="103"/>
      <c r="F162" s="102"/>
      <c r="G162" s="99"/>
      <c r="H162" s="99"/>
      <c r="I162" s="110"/>
      <c r="J162" s="105"/>
      <c r="K162" s="105"/>
      <c r="L162" s="105"/>
      <c r="M162" s="87"/>
      <c r="N162" s="87"/>
      <c r="O162" s="87"/>
      <c r="P162" s="87"/>
      <c r="Q162" s="31"/>
      <c r="R162" s="31"/>
      <c r="S162" s="31"/>
      <c r="T162" s="31"/>
      <c r="U162" s="31"/>
      <c r="V162" s="31"/>
      <c r="W162" s="31"/>
      <c r="X162" s="31"/>
      <c r="Y162" s="31"/>
      <c r="Z162" s="31"/>
      <c r="AA162" s="31"/>
      <c r="AB162" s="31"/>
      <c r="AC162" s="31"/>
      <c r="AD162" s="31"/>
    </row>
    <row r="163" spans="1:30" ht="22.5" customHeight="1">
      <c r="A163" s="99"/>
      <c r="B163" s="112"/>
      <c r="C163" s="112"/>
      <c r="D163" s="102"/>
      <c r="E163" s="103"/>
      <c r="F163" s="102"/>
      <c r="G163" s="99"/>
      <c r="H163" s="99"/>
      <c r="I163" s="110"/>
      <c r="J163" s="105"/>
      <c r="K163" s="105"/>
      <c r="L163" s="10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500-000000000000}">
      <formula1>#REF!</formula1>
    </dataValidation>
    <dataValidation type="list" allowBlank="1" sqref="F2:F163" xr:uid="{00000000-0002-0000-0500-000002000000}">
      <formula1>"Yellow,Red"</formula1>
    </dataValidation>
    <dataValidation type="custom" allowBlank="1" showDropDown="1" sqref="AC4:AD14 S4:T14 AC17:AD25 S17:T25 AC30:AD46 S30:T46 AC51:AD60 S51:T60 AC65:AD72 S65:T72 AC77:AD84 S77:T84 A2:A163 G2:L163" xr:uid="{00000000-0002-0000-0500-000003000000}">
      <formula1>AND(ISNUMBER(A2),(NOT(OR(NOT(ISERROR(DATEVALUE(A2))), AND(ISNUMBER(A2), LEFT(CELL("format", A2))="D")))))</formula1>
    </dataValidation>
    <dataValidation allowBlank="1" showDropDown="1" sqref="E2:E163" xr:uid="{00000000-0002-0000-05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4" customWidth="1"/>
    <col min="3" max="3" width="18.88671875" customWidth="1"/>
    <col min="4" max="4" width="16.6640625" customWidth="1"/>
    <col min="5" max="5" width="17.109375" customWidth="1"/>
    <col min="6" max="6" width="12.44140625" customWidth="1"/>
    <col min="7" max="7" width="11.6640625" customWidth="1"/>
    <col min="8" max="8" width="13.77734375" customWidth="1"/>
    <col min="9" max="9" width="12.21875" customWidth="1"/>
    <col min="10" max="10" width="18.109375" customWidth="1"/>
    <col min="11" max="11" width="18.77734375" customWidth="1"/>
    <col min="12" max="12" width="19.109375" customWidth="1"/>
    <col min="13"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91" t="s">
        <v>463</v>
      </c>
      <c r="B1" s="91" t="s">
        <v>5</v>
      </c>
      <c r="C1" s="91" t="s">
        <v>2</v>
      </c>
      <c r="D1" s="91" t="s">
        <v>3</v>
      </c>
      <c r="E1" s="91" t="s">
        <v>1</v>
      </c>
      <c r="F1" s="91" t="s">
        <v>464</v>
      </c>
      <c r="G1" s="91" t="s">
        <v>465</v>
      </c>
      <c r="H1" s="92" t="s">
        <v>466</v>
      </c>
      <c r="I1" s="93" t="s">
        <v>467</v>
      </c>
      <c r="J1" s="92" t="s">
        <v>468</v>
      </c>
      <c r="K1" s="92" t="s">
        <v>469</v>
      </c>
      <c r="L1" s="92"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1</v>
      </c>
      <c r="B2" s="94" t="str">
        <f>VLOOKUP(C2,Lists!I:J,2,FALSE)</f>
        <v>Ranged DPS</v>
      </c>
      <c r="C2" s="95" t="str">
        <f>VLOOKUP(E2&amp;D2,Lists!C:E,3,FALSE)</f>
        <v>Crossbow/SnS</v>
      </c>
      <c r="D2" s="35" t="s">
        <v>36</v>
      </c>
      <c r="E2" s="36" t="s">
        <v>244</v>
      </c>
      <c r="F2" s="35" t="s">
        <v>476</v>
      </c>
      <c r="G2" s="32">
        <v>43</v>
      </c>
      <c r="H2" s="32">
        <v>91</v>
      </c>
      <c r="I2" s="96">
        <f t="shared" ref="I2:I94" si="0">SUM(G2:H2)</f>
        <v>134</v>
      </c>
      <c r="J2" s="37">
        <v>2857217</v>
      </c>
      <c r="K2" s="37">
        <v>506352</v>
      </c>
      <c r="L2" s="37">
        <v>17604</v>
      </c>
      <c r="M2" s="38">
        <f>I2/(HLOOKUP(F2,Team_Composition_23[[#All],[Yellow]:[Red]],10,FALSE)+HLOOKUP(F2,Team_Composition_23[[#All],[Yellow]:[Red]],11,FALSE))</f>
        <v>3.3491627093226693E-2</v>
      </c>
      <c r="N2" s="38">
        <f>J2/HLOOKUP(F2,Team_Composition_23[[#All],[Yellow]:[Red]],6,FALSE)</f>
        <v>6.4404547413666316E-2</v>
      </c>
      <c r="O2" s="38">
        <f>K2/HLOOKUP(F2,Team_Composition_23[[#All],[Yellow]:[Red]],8,FALSE)</f>
        <v>2.8903410588978228E-2</v>
      </c>
      <c r="P2" s="38">
        <f>L2/HLOOKUP(F2,Team_Composition_23[[#All],[Yellow]:[Red]],7,FALSE)</f>
        <v>1.3599310424423014E-3</v>
      </c>
      <c r="Q2" s="31"/>
      <c r="R2" s="227" t="s">
        <v>477</v>
      </c>
      <c r="S2" s="228"/>
      <c r="T2" s="228"/>
      <c r="U2" s="31"/>
      <c r="V2" s="229" t="s">
        <v>478</v>
      </c>
      <c r="W2" s="228"/>
      <c r="X2" s="39"/>
      <c r="Y2" s="229" t="s">
        <v>479</v>
      </c>
      <c r="Z2" s="228"/>
      <c r="AA2" s="31"/>
      <c r="AB2" s="227" t="s">
        <v>480</v>
      </c>
      <c r="AC2" s="228"/>
      <c r="AD2" s="228"/>
    </row>
    <row r="3" spans="1:30" ht="22.5" customHeight="1">
      <c r="A3" s="32">
        <v>3</v>
      </c>
      <c r="B3" s="94" t="str">
        <f>VLOOKUP(C3,Lists!I:J,2,FALSE)</f>
        <v>Tank</v>
      </c>
      <c r="C3" s="95" t="str">
        <f>VLOOKUP(E3&amp;D3,Lists!C:E,3,FALSE)</f>
        <v>SnS/Spear</v>
      </c>
      <c r="D3" s="35" t="s">
        <v>36</v>
      </c>
      <c r="E3" s="36" t="s">
        <v>289</v>
      </c>
      <c r="F3" s="35" t="s">
        <v>476</v>
      </c>
      <c r="G3" s="32">
        <v>41</v>
      </c>
      <c r="H3" s="32">
        <v>75</v>
      </c>
      <c r="I3" s="96">
        <f t="shared" si="0"/>
        <v>116</v>
      </c>
      <c r="J3" s="37">
        <v>2199112</v>
      </c>
      <c r="K3" s="37">
        <v>375832</v>
      </c>
      <c r="L3" s="37">
        <v>7267</v>
      </c>
      <c r="M3" s="38">
        <f>I3/(HLOOKUP(F3,Team_Composition_23[[#All],[Yellow]:[Red]],10,FALSE)+HLOOKUP(F3,Team_Composition_23[[#All],[Yellow]:[Red]],11,FALSE))</f>
        <v>2.8992751812046989E-2</v>
      </c>
      <c r="N3" s="38">
        <f>J3/HLOOKUP(F3,Team_Composition_23[[#All],[Yellow]:[Red]],6,FALSE)</f>
        <v>4.9570198228542861E-2</v>
      </c>
      <c r="O3" s="38">
        <f>K3/HLOOKUP(F3,Team_Composition_23[[#All],[Yellow]:[Red]],8,FALSE)</f>
        <v>2.1453112871040039E-2</v>
      </c>
      <c r="P3" s="38">
        <f>L3/HLOOKUP(F3,Team_Composition_23[[#All],[Yellow]:[Red]],7,FALSE)</f>
        <v>5.6138484920632836E-4</v>
      </c>
      <c r="Q3" s="31"/>
      <c r="R3" s="41" t="s">
        <v>482</v>
      </c>
      <c r="S3" s="42" t="s">
        <v>476</v>
      </c>
      <c r="T3" s="42" t="s">
        <v>483</v>
      </c>
      <c r="U3" s="31"/>
      <c r="V3" s="43" t="s">
        <v>1</v>
      </c>
      <c r="W3" s="44" t="s">
        <v>467</v>
      </c>
      <c r="X3" s="31"/>
      <c r="Y3" s="43" t="s">
        <v>1</v>
      </c>
      <c r="Z3" s="44" t="s">
        <v>484</v>
      </c>
      <c r="AA3" s="31"/>
      <c r="AB3" s="41" t="s">
        <v>482</v>
      </c>
      <c r="AC3" s="42" t="s">
        <v>485</v>
      </c>
      <c r="AD3" s="42" t="s">
        <v>36</v>
      </c>
    </row>
    <row r="4" spans="1:30" ht="22.5" customHeight="1">
      <c r="A4" s="32">
        <v>8</v>
      </c>
      <c r="B4" s="94" t="str">
        <f>VLOOKUP(C4,Lists!I:J,2,FALSE)</f>
        <v>Ranged DPS</v>
      </c>
      <c r="C4" s="95" t="str">
        <f>VLOOKUP(E4&amp;D4,Lists!C:E,3,FALSE)</f>
        <v>Crossbow/SnS</v>
      </c>
      <c r="D4" s="35" t="s">
        <v>36</v>
      </c>
      <c r="E4" s="36" t="s">
        <v>253</v>
      </c>
      <c r="F4" s="35" t="s">
        <v>476</v>
      </c>
      <c r="G4" s="32">
        <v>35</v>
      </c>
      <c r="H4" s="32">
        <v>81</v>
      </c>
      <c r="I4" s="96">
        <f t="shared" si="0"/>
        <v>116</v>
      </c>
      <c r="J4" s="37">
        <v>2447896</v>
      </c>
      <c r="K4" s="37">
        <v>787795</v>
      </c>
      <c r="L4" s="37">
        <v>38767</v>
      </c>
      <c r="M4" s="38">
        <f>I4/(HLOOKUP(F4,Team_Composition_23[[#All],[Yellow]:[Red]],10,FALSE)+HLOOKUP(F4,Team_Composition_23[[#All],[Yellow]:[Red]],11,FALSE))</f>
        <v>2.8992751812046989E-2</v>
      </c>
      <c r="N4" s="38">
        <f>J4/HLOOKUP(F4,Team_Composition_23[[#All],[Yellow]:[Red]],6,FALSE)</f>
        <v>5.5178040028364704E-2</v>
      </c>
      <c r="O4" s="38">
        <f>K4/HLOOKUP(F4,Team_Composition_23[[#All],[Yellow]:[Red]],8,FALSE)</f>
        <v>4.4968643048598808E-2</v>
      </c>
      <c r="P4" s="38">
        <f>L4/HLOOKUP(F4,Team_Composition_23[[#All],[Yellow]:[Red]],7,FALSE)</f>
        <v>2.9947992912043113E-3</v>
      </c>
      <c r="Q4" s="31"/>
      <c r="R4" s="45" t="s">
        <v>25</v>
      </c>
      <c r="S4" s="46">
        <f>COUNTIFS(Scoreboard_39[Role],R4,Scoreboard_39[Team],"Yellow")</f>
        <v>3</v>
      </c>
      <c r="T4" s="47">
        <f>COUNTIFS(Scoreboard_39[Role],R4,Scoreboard_39[Team],"Red")</f>
        <v>4</v>
      </c>
      <c r="U4" s="31"/>
      <c r="V4" s="48" t="str">
        <f ca="1">IFERROR(__xludf.DUMMYFUNCTION("query(A1:P238, ""Select E,I where B!='Healer' Order by I Desc Limit 10"", 0)"),"Delirax")</f>
        <v>Delirax</v>
      </c>
      <c r="W4" s="49">
        <f ca="1">IFERROR(__xludf.DUMMYFUNCTION("""COMPUTED_VALUE"""),134)</f>
        <v>134</v>
      </c>
      <c r="X4" s="31"/>
      <c r="Y4" s="48" t="str">
        <f ca="1">IFERROR(__xludf.DUMMYFUNCTION("query(A1:P238, ""Select E,J Order by J Desc Limit 10"", 0)"),"Ryujin")</f>
        <v>Ryujin</v>
      </c>
      <c r="Z4" s="49">
        <f ca="1">IFERROR(__xludf.DUMMYFUNCTION("""COMPUTED_VALUE"""),3025906)</f>
        <v>3025906</v>
      </c>
      <c r="AA4" s="31"/>
      <c r="AB4" s="45" t="s">
        <v>25</v>
      </c>
      <c r="AC4" s="50">
        <f>COUNTIFS(Scoreboard_39[Role],AB4,Scoreboard_39[Guild],"Best Regards")</f>
        <v>4</v>
      </c>
      <c r="AD4" s="51">
        <f>COUNTIFS(Scoreboard_39[Role],AB4,Scoreboard_39[Guild],"Unhinged肉")</f>
        <v>3</v>
      </c>
    </row>
    <row r="5" spans="1:30" ht="22.5" customHeight="1">
      <c r="A5" s="32">
        <v>6</v>
      </c>
      <c r="B5" s="94" t="str">
        <f>VLOOKUP(C5,Lists!I:J,2,FALSE)</f>
        <v>Ranged DPS</v>
      </c>
      <c r="C5" s="95" t="str">
        <f>VLOOKUP(E5&amp;D5,Lists!C:E,3,FALSE)</f>
        <v>Staff/Dagger</v>
      </c>
      <c r="D5" s="35" t="s">
        <v>36</v>
      </c>
      <c r="E5" s="36" t="s">
        <v>250</v>
      </c>
      <c r="F5" s="35" t="s">
        <v>476</v>
      </c>
      <c r="G5" s="32">
        <v>38</v>
      </c>
      <c r="H5" s="32">
        <v>74</v>
      </c>
      <c r="I5" s="96">
        <f t="shared" si="0"/>
        <v>112</v>
      </c>
      <c r="J5" s="37">
        <v>2637178</v>
      </c>
      <c r="K5" s="37">
        <v>874508</v>
      </c>
      <c r="L5" s="37">
        <v>0</v>
      </c>
      <c r="M5" s="38">
        <f>I5/(HLOOKUP(F5,Team_Composition_23[[#All],[Yellow]:[Red]],10,FALSE)+HLOOKUP(F5,Team_Composition_23[[#All],[Yellow]:[Red]],11,FALSE))</f>
        <v>2.799300174956261E-2</v>
      </c>
      <c r="N5" s="38">
        <f>J5/HLOOKUP(F5,Team_Composition_23[[#All],[Yellow]:[Red]],6,FALSE)</f>
        <v>5.9444646850161431E-2</v>
      </c>
      <c r="O5" s="38">
        <f>K5/HLOOKUP(F5,Team_Composition_23[[#All],[Yellow]:[Red]],8,FALSE)</f>
        <v>4.9918364669925608E-2</v>
      </c>
      <c r="P5" s="38">
        <f>L5/HLOOKUP(F5,Team_Composition_23[[#All],[Yellow]:[Red]],7,FALSE)</f>
        <v>0</v>
      </c>
      <c r="Q5" s="31"/>
      <c r="R5" s="45" t="s">
        <v>39</v>
      </c>
      <c r="S5" s="46">
        <f>COUNTIFS(Scoreboard_39[Role],R5,Scoreboard_39[Team],"Yellow")</f>
        <v>7</v>
      </c>
      <c r="T5" s="47">
        <f>COUNTIFS(Scoreboard_39[Role],R5,Scoreboard_39[Team],"Red")</f>
        <v>7</v>
      </c>
      <c r="U5" s="31"/>
      <c r="V5" s="48" t="str">
        <f ca="1">IFERROR(__xludf.DUMMYFUNCTION("""COMPUTED_VALUE"""),"Hamiebarmund")</f>
        <v>Hamiebarmund</v>
      </c>
      <c r="W5" s="49">
        <f ca="1">IFERROR(__xludf.DUMMYFUNCTION("""COMPUTED_VALUE"""),116)</f>
        <v>116</v>
      </c>
      <c r="X5" s="31"/>
      <c r="Y5" s="48" t="str">
        <f ca="1">IFERROR(__xludf.DUMMYFUNCTION("""COMPUTED_VALUE"""),"Delirax")</f>
        <v>Delirax</v>
      </c>
      <c r="Z5" s="49">
        <f ca="1">IFERROR(__xludf.DUMMYFUNCTION("""COMPUTED_VALUE"""),2857217)</f>
        <v>2857217</v>
      </c>
      <c r="AA5" s="31"/>
      <c r="AB5" s="45" t="s">
        <v>39</v>
      </c>
      <c r="AC5" s="50">
        <f>COUNTIFS(Scoreboard_39[Role],AB5,Scoreboard_39[Guild],"Best Regards")</f>
        <v>7</v>
      </c>
      <c r="AD5" s="51">
        <f>COUNTIFS(Scoreboard_39[Role],AB5,Scoreboard_39[Guild],"Unhinged肉")</f>
        <v>7</v>
      </c>
    </row>
    <row r="6" spans="1:30" ht="22.5" customHeight="1">
      <c r="A6" s="32">
        <v>9</v>
      </c>
      <c r="B6" s="94" t="str">
        <f>VLOOKUP(C6,Lists!I:J,2,FALSE)</f>
        <v>KS</v>
      </c>
      <c r="C6" s="95" t="str">
        <f>VLOOKUP(E6&amp;D6,Lists!C:E,3,FALSE)</f>
        <v>Greatsword/Dagger</v>
      </c>
      <c r="D6" s="35" t="s">
        <v>34</v>
      </c>
      <c r="E6" s="36" t="s">
        <v>98</v>
      </c>
      <c r="F6" s="35" t="s">
        <v>476</v>
      </c>
      <c r="G6" s="32">
        <v>34</v>
      </c>
      <c r="H6" s="32">
        <v>64</v>
      </c>
      <c r="I6" s="96">
        <f t="shared" si="0"/>
        <v>98</v>
      </c>
      <c r="J6" s="37">
        <v>1891422</v>
      </c>
      <c r="K6" s="37">
        <v>539835</v>
      </c>
      <c r="L6" s="37">
        <v>22593</v>
      </c>
      <c r="M6" s="38">
        <f>I6/(HLOOKUP(F6,Team_Composition_23[[#All],[Yellow]:[Red]],10,FALSE)+HLOOKUP(F6,Team_Composition_23[[#All],[Yellow]:[Red]],11,FALSE))</f>
        <v>2.4493876530867282E-2</v>
      </c>
      <c r="N6" s="38">
        <f>J6/HLOOKUP(F6,Team_Composition_23[[#All],[Yellow]:[Red]],6,FALSE)</f>
        <v>4.263455589066268E-2</v>
      </c>
      <c r="O6" s="38">
        <f>K6/HLOOKUP(F6,Team_Composition_23[[#All],[Yellow]:[Red]],8,FALSE)</f>
        <v>3.0814675670879275E-2</v>
      </c>
      <c r="P6" s="38">
        <f>L6/HLOOKUP(F6,Team_Composition_23[[#All],[Yellow]:[Red]],7,FALSE)</f>
        <v>1.7453375393035057E-3</v>
      </c>
      <c r="Q6" s="31"/>
      <c r="R6" s="45" t="s">
        <v>67</v>
      </c>
      <c r="S6" s="46">
        <f>COUNTIFS(Scoreboard_39[Role],R6,Scoreboard_39[Team],"Yellow")</f>
        <v>15</v>
      </c>
      <c r="T6" s="47">
        <f>COUNTIFS(Scoreboard_39[Role],R6,Scoreboard_39[Team],"Red")</f>
        <v>14</v>
      </c>
      <c r="U6" s="31"/>
      <c r="V6" s="48" t="str">
        <f ca="1">IFERROR(__xludf.DUMMYFUNCTION("""COMPUTED_VALUE"""),"Beru")</f>
        <v>Beru</v>
      </c>
      <c r="W6" s="49">
        <f ca="1">IFERROR(__xludf.DUMMYFUNCTION("""COMPUTED_VALUE"""),116)</f>
        <v>116</v>
      </c>
      <c r="X6" s="31"/>
      <c r="Y6" s="48" t="str">
        <f ca="1">IFERROR(__xludf.DUMMYFUNCTION("""COMPUTED_VALUE"""),"AyoJohn")</f>
        <v>AyoJohn</v>
      </c>
      <c r="Z6" s="49">
        <f ca="1">IFERROR(__xludf.DUMMYFUNCTION("""COMPUTED_VALUE"""),2637178)</f>
        <v>2637178</v>
      </c>
      <c r="AA6" s="31"/>
      <c r="AB6" s="45" t="s">
        <v>67</v>
      </c>
      <c r="AC6" s="50">
        <f>COUNTIFS(Scoreboard_39[Role],AB6,Scoreboard_39[Guild],"Best Regards")</f>
        <v>14</v>
      </c>
      <c r="AD6" s="51">
        <f>COUNTIFS(Scoreboard_39[Role],AB6,Scoreboard_39[Guild],"Unhinged肉")</f>
        <v>14</v>
      </c>
    </row>
    <row r="7" spans="1:30" ht="22.5" customHeight="1">
      <c r="A7" s="32">
        <v>4</v>
      </c>
      <c r="B7" s="94" t="str">
        <f>VLOOKUP(C7,Lists!I:J,2,FALSE)</f>
        <v>Melee DPS</v>
      </c>
      <c r="C7" s="95" t="str">
        <f>VLOOKUP(E7&amp;D7,Lists!C:E,3,FALSE)</f>
        <v>Greatsword/Spear</v>
      </c>
      <c r="D7" s="35" t="s">
        <v>34</v>
      </c>
      <c r="E7" s="36" t="s">
        <v>145</v>
      </c>
      <c r="F7" s="35" t="s">
        <v>483</v>
      </c>
      <c r="G7" s="32">
        <v>40</v>
      </c>
      <c r="H7" s="32">
        <v>53</v>
      </c>
      <c r="I7" s="96">
        <f t="shared" si="0"/>
        <v>93</v>
      </c>
      <c r="J7" s="37">
        <v>2601371</v>
      </c>
      <c r="K7" s="37">
        <v>1616400</v>
      </c>
      <c r="L7" s="37">
        <v>21767</v>
      </c>
      <c r="M7" s="38">
        <f>I7/(HLOOKUP(F7,Team_Composition_23[[#All],[Yellow]:[Red]],10,FALSE)+HLOOKUP(F7,Team_Composition_23[[#All],[Yellow]:[Red]],11,FALSE))</f>
        <v>0.11327649208282582</v>
      </c>
      <c r="N7" s="38">
        <f>J7/HLOOKUP(F7,Team_Composition_23[[#All],[Yellow]:[Red]],6,FALSE)</f>
        <v>0.14742483949787494</v>
      </c>
      <c r="O7" s="38">
        <f>K7/HLOOKUP(F7,Team_Composition_23[[#All],[Yellow]:[Red]],8,FALSE)</f>
        <v>3.6723061541935102E-2</v>
      </c>
      <c r="P7" s="38">
        <f>L7/HLOOKUP(F7,Team_Composition_23[[#All],[Yellow]:[Red]],7,FALSE)</f>
        <v>8.9692735935017413E-4</v>
      </c>
      <c r="Q7" s="31"/>
      <c r="R7" s="45" t="s">
        <v>11</v>
      </c>
      <c r="S7" s="46">
        <f>COUNTIFS(Scoreboard_39[Role],R7,Scoreboard_39[Team],"Yellow")</f>
        <v>17</v>
      </c>
      <c r="T7" s="47">
        <f>COUNTIFS(Scoreboard_39[Role],R7,Scoreboard_39[Team],"Red")</f>
        <v>16</v>
      </c>
      <c r="U7" s="31"/>
      <c r="V7" s="48" t="str">
        <f ca="1">IFERROR(__xludf.DUMMYFUNCTION("""COMPUTED_VALUE"""),"AyoJohn")</f>
        <v>AyoJohn</v>
      </c>
      <c r="W7" s="49">
        <f ca="1">IFERROR(__xludf.DUMMYFUNCTION("""COMPUTED_VALUE"""),112)</f>
        <v>112</v>
      </c>
      <c r="X7" s="31"/>
      <c r="Y7" s="48" t="str">
        <f ca="1">IFERROR(__xludf.DUMMYFUNCTION("""COMPUTED_VALUE"""),"B")</f>
        <v>B</v>
      </c>
      <c r="Z7" s="49">
        <f ca="1">IFERROR(__xludf.DUMMYFUNCTION("""COMPUTED_VALUE"""),2601371)</f>
        <v>2601371</v>
      </c>
      <c r="AA7" s="31"/>
      <c r="AB7" s="45" t="s">
        <v>11</v>
      </c>
      <c r="AC7" s="50">
        <f>COUNTIFS(Scoreboard_39[Role],AB7,Scoreboard_39[Guild],"Best Regards")</f>
        <v>15</v>
      </c>
      <c r="AD7" s="51">
        <f>COUNTIFS(Scoreboard_39[Role],AB7,Scoreboard_39[Guild],"Unhinged肉")</f>
        <v>18</v>
      </c>
    </row>
    <row r="8" spans="1:30" ht="22.5" customHeight="1">
      <c r="A8" s="32">
        <v>5</v>
      </c>
      <c r="B8" s="94" t="str">
        <f>VLOOKUP(C8,Lists!I:J,2,FALSE)</f>
        <v>Ranged DPS</v>
      </c>
      <c r="C8" s="95" t="str">
        <f>VLOOKUP(E8&amp;D8,Lists!C:E,3,FALSE)</f>
        <v>Crossbow/SnS</v>
      </c>
      <c r="D8" s="35" t="s">
        <v>34</v>
      </c>
      <c r="E8" s="36" t="s">
        <v>167</v>
      </c>
      <c r="F8" s="35" t="s">
        <v>483</v>
      </c>
      <c r="G8" s="32">
        <v>40</v>
      </c>
      <c r="H8" s="32">
        <v>49</v>
      </c>
      <c r="I8" s="96">
        <f t="shared" si="0"/>
        <v>89</v>
      </c>
      <c r="J8" s="37">
        <v>2535567</v>
      </c>
      <c r="K8" s="37">
        <v>439416</v>
      </c>
      <c r="L8" s="37">
        <v>636</v>
      </c>
      <c r="M8" s="38">
        <f>I8/(HLOOKUP(F8,Team_Composition_23[[#All],[Yellow]:[Red]],10,FALSE)+HLOOKUP(F8,Team_Composition_23[[#All],[Yellow]:[Red]],11,FALSE))</f>
        <v>0.10840438489646773</v>
      </c>
      <c r="N8" s="38">
        <f>J8/HLOOKUP(F8,Team_Composition_23[[#All],[Yellow]:[Red]],6,FALSE)</f>
        <v>0.14369559667233481</v>
      </c>
      <c r="O8" s="38">
        <f>K8/HLOOKUP(F8,Team_Composition_23[[#All],[Yellow]:[Red]],8,FALSE)</f>
        <v>9.983111117613807E-3</v>
      </c>
      <c r="P8" s="38">
        <f>L8/HLOOKUP(F8,Team_Composition_23[[#All],[Yellow]:[Red]],7,FALSE)</f>
        <v>2.6206909567083692E-5</v>
      </c>
      <c r="Q8" s="31"/>
      <c r="R8" s="45" t="s">
        <v>468</v>
      </c>
      <c r="S8" s="46">
        <f>SUMIFS(Scoreboard_39[Damage Dealt],Scoreboard_39[Team],"Yellow")</f>
        <v>32114868</v>
      </c>
      <c r="T8" s="47">
        <f>SUMIFS(Scoreboard_39[Damage Dealt],Scoreboard_39[Team],"Red")</f>
        <v>26570893</v>
      </c>
      <c r="U8" s="31"/>
      <c r="V8" s="48" t="str">
        <f ca="1">IFERROR(__xludf.DUMMYFUNCTION("""COMPUTED_VALUE"""),"ShawarmaShuffle")</f>
        <v>ShawarmaShuffle</v>
      </c>
      <c r="W8" s="49">
        <f ca="1">IFERROR(__xludf.DUMMYFUNCTION("""COMPUTED_VALUE"""),98)</f>
        <v>98</v>
      </c>
      <c r="X8" s="31"/>
      <c r="Y8" s="48" t="str">
        <f ca="1">IFERROR(__xludf.DUMMYFUNCTION("""COMPUTED_VALUE"""),"charigueya")</f>
        <v>charigueya</v>
      </c>
      <c r="Z8" s="49">
        <f ca="1">IFERROR(__xludf.DUMMYFUNCTION("""COMPUTED_VALUE"""),2535567)</f>
        <v>2535567</v>
      </c>
      <c r="AA8" s="31"/>
      <c r="AB8" s="45" t="s">
        <v>468</v>
      </c>
      <c r="AC8" s="50">
        <f>SUMIFS(Scoreboard_39[Damage Dealt],Scoreboard_39[Guild],"Best Regards")</f>
        <v>31152421</v>
      </c>
      <c r="AD8" s="51">
        <f>SUMIFS(Scoreboard_39[Damage Dealt],Scoreboard_39[Guild],"Unhinged肉")</f>
        <v>27477170</v>
      </c>
    </row>
    <row r="9" spans="1:30" ht="22.5" customHeight="1">
      <c r="A9" s="32">
        <v>7</v>
      </c>
      <c r="B9" s="94" t="str">
        <f>VLOOKUP(C9,Lists!I:J,2,FALSE)</f>
        <v>KS</v>
      </c>
      <c r="C9" s="95" t="str">
        <f>VLOOKUP(E9&amp;D9,Lists!C:E,3,FALSE)</f>
        <v>Crossbow/Dagger</v>
      </c>
      <c r="D9" s="35" t="s">
        <v>34</v>
      </c>
      <c r="E9" s="36" t="s">
        <v>504</v>
      </c>
      <c r="F9" s="35" t="s">
        <v>476</v>
      </c>
      <c r="G9" s="32">
        <v>36</v>
      </c>
      <c r="H9" s="32">
        <v>52</v>
      </c>
      <c r="I9" s="96">
        <f t="shared" si="0"/>
        <v>88</v>
      </c>
      <c r="J9" s="37">
        <v>1542578</v>
      </c>
      <c r="K9" s="37">
        <v>452659</v>
      </c>
      <c r="L9" s="37">
        <v>0</v>
      </c>
      <c r="M9" s="38">
        <f>I9/(HLOOKUP(F9,Team_Composition_23[[#All],[Yellow]:[Red]],10,FALSE)+HLOOKUP(F9,Team_Composition_23[[#All],[Yellow]:[Red]],11,FALSE))</f>
        <v>2.1994501374656337E-2</v>
      </c>
      <c r="N9" s="38">
        <f>J9/HLOOKUP(F9,Team_Composition_23[[#All],[Yellow]:[Red]],6,FALSE)</f>
        <v>3.4771260964875456E-2</v>
      </c>
      <c r="O9" s="38">
        <f>K9/HLOOKUP(F9,Team_Composition_23[[#All],[Yellow]:[Red]],8,FALSE)</f>
        <v>2.5838525242906706E-2</v>
      </c>
      <c r="P9" s="38">
        <f>L9/HLOOKUP(F9,Team_Composition_23[[#All],[Yellow]:[Red]],7,FALSE)</f>
        <v>0</v>
      </c>
      <c r="Q9" s="31"/>
      <c r="R9" s="45" t="s">
        <v>470</v>
      </c>
      <c r="S9" s="46">
        <f>SUMIFS(Scoreboard_39[Amount Healed],Scoreboard_39[Team],"Yellow")</f>
        <v>15127473</v>
      </c>
      <c r="T9" s="47">
        <f>SUMIFS(Scoreboard_39[Amount Healed],Scoreboard_39[Team],"Red")</f>
        <v>20715974</v>
      </c>
      <c r="U9" s="31"/>
      <c r="V9" s="48" t="str">
        <f ca="1">IFERROR(__xludf.DUMMYFUNCTION("""COMPUTED_VALUE"""),"B")</f>
        <v>B</v>
      </c>
      <c r="W9" s="49">
        <f ca="1">IFERROR(__xludf.DUMMYFUNCTION("""COMPUTED_VALUE"""),93)</f>
        <v>93</v>
      </c>
      <c r="X9" s="31"/>
      <c r="Y9" s="48" t="str">
        <f ca="1">IFERROR(__xludf.DUMMYFUNCTION("""COMPUTED_VALUE"""),"Beru")</f>
        <v>Beru</v>
      </c>
      <c r="Z9" s="49">
        <f ca="1">IFERROR(__xludf.DUMMYFUNCTION("""COMPUTED_VALUE"""),2447896)</f>
        <v>2447896</v>
      </c>
      <c r="AA9" s="31"/>
      <c r="AB9" s="45" t="s">
        <v>470</v>
      </c>
      <c r="AC9" s="50">
        <f>SUMIFS(Scoreboard_39[Amount Healed],Scoreboard_39[Guild],"Best Regards")</f>
        <v>17537363</v>
      </c>
      <c r="AD9" s="51">
        <f>SUMIFS(Scoreboard_39[Amount Healed],Scoreboard_39[Guild],"Unhinged肉")</f>
        <v>18236477</v>
      </c>
    </row>
    <row r="10" spans="1:30" ht="22.5" customHeight="1">
      <c r="A10" s="115">
        <v>49</v>
      </c>
      <c r="B10" s="94" t="str">
        <f>VLOOKUP(C10,Lists!I:J,2,FALSE)</f>
        <v>Healer</v>
      </c>
      <c r="C10" s="95" t="str">
        <f>VLOOKUP(E10&amp;D10,Lists!C:E,3,FALSE)</f>
        <v>Wand/Orb</v>
      </c>
      <c r="D10" s="115" t="s">
        <v>34</v>
      </c>
      <c r="E10" s="98" t="s">
        <v>139</v>
      </c>
      <c r="F10" s="115" t="s">
        <v>476</v>
      </c>
      <c r="G10" s="115">
        <v>0</v>
      </c>
      <c r="H10" s="115">
        <v>87</v>
      </c>
      <c r="I10" s="96">
        <f t="shared" si="0"/>
        <v>87</v>
      </c>
      <c r="J10" s="116">
        <v>9475</v>
      </c>
      <c r="K10" s="116">
        <v>203290</v>
      </c>
      <c r="L10" s="116">
        <v>608010</v>
      </c>
      <c r="M10" s="38">
        <f>I12/(HLOOKUP(F12,Team_Composition_23[[#All],[Yellow]:[Red]],10,FALSE)+HLOOKUP(F12,Team_Composition_23[[#All],[Yellow]:[Red]],11,FALSE))</f>
        <v>2.0744813796550861E-2</v>
      </c>
      <c r="N10" s="38">
        <f>J12/HLOOKUP(F12,Team_Composition_23[[#All],[Yellow]:[Red]],6,FALSE)</f>
        <v>3.6056571705387869E-2</v>
      </c>
      <c r="O10" s="38">
        <f>K12/HLOOKUP(F12,Team_Composition_23[[#All],[Yellow]:[Red]],8,FALSE)</f>
        <v>1.6331118812441266E-2</v>
      </c>
      <c r="P10" s="38">
        <f>L12/HLOOKUP(F12,Team_Composition_23[[#All],[Yellow]:[Red]],7,FALSE)</f>
        <v>0</v>
      </c>
      <c r="Q10" s="31"/>
      <c r="R10" s="45" t="s">
        <v>469</v>
      </c>
      <c r="S10" s="46">
        <f>SUMIFS(Scoreboard_39[Damage Taken],Scoreboard_39[Team],"Yellow")</f>
        <v>26155207</v>
      </c>
      <c r="T10" s="47">
        <f>SUMIFS(Scoreboard_39[Damage Taken],Scoreboard_39[Team],"Red")</f>
        <v>31743340</v>
      </c>
      <c r="U10" s="31"/>
      <c r="V10" s="48" t="str">
        <f ca="1">IFERROR(__xludf.DUMMYFUNCTION("""COMPUTED_VALUE"""),"charigueya")</f>
        <v>charigueya</v>
      </c>
      <c r="W10" s="49">
        <f ca="1">IFERROR(__xludf.DUMMYFUNCTION("""COMPUTED_VALUE"""),89)</f>
        <v>89</v>
      </c>
      <c r="X10" s="31"/>
      <c r="Y10" s="48" t="str">
        <f ca="1">IFERROR(__xludf.DUMMYFUNCTION("""COMPUTED_VALUE"""),"EnoughCrazy")</f>
        <v>EnoughCrazy</v>
      </c>
      <c r="Z10" s="49">
        <f ca="1">IFERROR(__xludf.DUMMYFUNCTION("""COMPUTED_VALUE"""),2281344)</f>
        <v>2281344</v>
      </c>
      <c r="AA10" s="31"/>
      <c r="AB10" s="45" t="s">
        <v>469</v>
      </c>
      <c r="AC10" s="50">
        <f>SUMIFS(Scoreboard_39[Damage Taken],Scoreboard_39[Guild],"Best Regards")</f>
        <v>30387967</v>
      </c>
      <c r="AD10" s="51">
        <f>SUMIFS(Scoreboard_39[Damage Taken],Scoreboard_39[Guild],"Unhinged肉")</f>
        <v>27172789</v>
      </c>
    </row>
    <row r="11" spans="1:30" ht="22.5" customHeight="1">
      <c r="A11" s="32">
        <v>25</v>
      </c>
      <c r="B11" s="94" t="str">
        <f>VLOOKUP(C11,Lists!I:J,2,FALSE)</f>
        <v>Ranged DPS</v>
      </c>
      <c r="C11" s="95" t="str">
        <f>VLOOKUP(E11&amp;D11,Lists!C:E,3,FALSE)</f>
        <v>Staff/Dagger</v>
      </c>
      <c r="D11" s="35" t="s">
        <v>34</v>
      </c>
      <c r="E11" s="36" t="s">
        <v>31</v>
      </c>
      <c r="F11" s="35" t="s">
        <v>476</v>
      </c>
      <c r="G11" s="32">
        <v>16</v>
      </c>
      <c r="H11" s="32">
        <v>68</v>
      </c>
      <c r="I11" s="96">
        <f t="shared" si="0"/>
        <v>84</v>
      </c>
      <c r="J11" s="37">
        <v>1837498</v>
      </c>
      <c r="K11" s="37">
        <v>1192751</v>
      </c>
      <c r="L11" s="37">
        <v>0</v>
      </c>
      <c r="M11" s="38">
        <f>I11/(HLOOKUP(F11,Team_Composition_23[[#All],[Yellow]:[Red]],10,FALSE)+HLOOKUP(F11,Team_Composition_23[[#All],[Yellow]:[Red]],11,FALSE))</f>
        <v>2.0994751312171957E-2</v>
      </c>
      <c r="N11" s="38">
        <f>J11/HLOOKUP(F11,Team_Composition_23[[#All],[Yellow]:[Red]],6,FALSE)</f>
        <v>4.1419054647762847E-2</v>
      </c>
      <c r="O11" s="38">
        <f>K11/HLOOKUP(F11,Team_Composition_23[[#All],[Yellow]:[Red]],8,FALSE)</f>
        <v>6.8084202063810093E-2</v>
      </c>
      <c r="P11" s="38">
        <f>L11/HLOOKUP(F11,Team_Composition_23[[#All],[Yellow]:[Red]],7,FALSE)</f>
        <v>0</v>
      </c>
      <c r="Q11" s="31"/>
      <c r="R11" s="45" t="s">
        <v>495</v>
      </c>
      <c r="S11" s="46">
        <f ca="1">IFERROR(DIVIDE(SUMIFS(Scoreboard_39[Amount Healed],Scoreboard_39[Team],"Yellow"), SUMIFS(Scoreboard_39[Damage Taken],Scoreboard_39[Team],"Yellow"))*(100),0)</f>
        <v>0</v>
      </c>
      <c r="T11" s="47">
        <f ca="1">IFERROR(DIVIDE(SUMIFS(Scoreboard_39[Amount Healed],Scoreboard_39[Team],"Red"), SUMIFS(Scoreboard_39[Damage Taken],Scoreboard_39[Team],"Red"))*(100),0)</f>
        <v>0</v>
      </c>
      <c r="U11" s="31"/>
      <c r="V11" s="48" t="str">
        <f ca="1">IFERROR(__xludf.DUMMYFUNCTION("""COMPUTED_VALUE"""),"Raitou")</f>
        <v>Raitou</v>
      </c>
      <c r="W11" s="49">
        <f ca="1">IFERROR(__xludf.DUMMYFUNCTION("""COMPUTED_VALUE"""),88)</f>
        <v>88</v>
      </c>
      <c r="X11" s="31"/>
      <c r="Y11" s="48" t="str">
        <f ca="1">IFERROR(__xludf.DUMMYFUNCTION("""COMPUTED_VALUE"""),"Hamiebarmund")</f>
        <v>Hamiebarmund</v>
      </c>
      <c r="Z11" s="49">
        <f ca="1">IFERROR(__xludf.DUMMYFUNCTION("""COMPUTED_VALUE"""),2199112)</f>
        <v>2199112</v>
      </c>
      <c r="AA11" s="31"/>
      <c r="AB11" s="45" t="s">
        <v>495</v>
      </c>
      <c r="AC11" s="50">
        <f ca="1">IFERROR(DIVIDE(SUMIFS(Scoreboard_39[Amount Healed],Scoreboard_39[Guild],"Best Regards"), SUMIFS(Scoreboard_39[Damage Taken],Scoreboard_39[Guild],"Best Regards"))*(100),0)</f>
        <v>0</v>
      </c>
      <c r="AD11" s="51">
        <f ca="1">IFERROR(DIVIDE(SUMIFS(Scoreboard_39[Amount Healed],Scoreboard_39[Guild],"Unhinged肉"), SUMIFS(Scoreboard_39[Damage Taken],Scoreboard_39[Guild],"Unhinged肉"))*(100),0)</f>
        <v>0</v>
      </c>
    </row>
    <row r="12" spans="1:30" ht="22.5" customHeight="1">
      <c r="A12" s="32">
        <v>10</v>
      </c>
      <c r="B12" s="94" t="str">
        <f>VLOOKUP(C12,Lists!I:J,2,FALSE)</f>
        <v>KS</v>
      </c>
      <c r="C12" s="95" t="str">
        <f>VLOOKUP(E12&amp;D12,Lists!C:E,3,FALSE)</f>
        <v>Longbow/Dagger</v>
      </c>
      <c r="D12" s="35" t="s">
        <v>34</v>
      </c>
      <c r="E12" s="36" t="s">
        <v>51</v>
      </c>
      <c r="F12" s="35" t="s">
        <v>476</v>
      </c>
      <c r="G12" s="32">
        <v>34</v>
      </c>
      <c r="H12" s="32">
        <v>49</v>
      </c>
      <c r="I12" s="96">
        <f t="shared" si="0"/>
        <v>83</v>
      </c>
      <c r="J12" s="37">
        <v>1599599</v>
      </c>
      <c r="K12" s="37">
        <v>286101</v>
      </c>
      <c r="L12" s="37">
        <v>0</v>
      </c>
      <c r="M12" s="38">
        <f>I12/(HLOOKUP(F12,Team_Composition_23[[#All],[Yellow]:[Red]],10,FALSE)+HLOOKUP(F12,Team_Composition_23[[#All],[Yellow]:[Red]],11,FALSE))</f>
        <v>2.0744813796550861E-2</v>
      </c>
      <c r="N12" s="38">
        <f>J12/HLOOKUP(F12,Team_Composition_23[[#All],[Yellow]:[Red]],6,FALSE)</f>
        <v>3.6056571705387869E-2</v>
      </c>
      <c r="O12" s="38">
        <f>K12/HLOOKUP(F12,Team_Composition_23[[#All],[Yellow]:[Red]],8,FALSE)</f>
        <v>1.6331118812441266E-2</v>
      </c>
      <c r="P12" s="38">
        <f>L23/HLOOKUP(F23,Team_Composition_23[[#All],[Yellow]:[Red]],7,FALSE)</f>
        <v>8.9404295106448883E-4</v>
      </c>
      <c r="Q12" s="31"/>
      <c r="R12" s="45" t="s">
        <v>465</v>
      </c>
      <c r="S12" s="46">
        <f>SUMIFS(Scoreboard_39[Kills],Scoreboard_39[Team],"Yellow")</f>
        <v>503</v>
      </c>
      <c r="T12" s="47">
        <f>SUMIFS(Scoreboard_39[Kills],Scoreboard_39[Team],"Red")</f>
        <v>331</v>
      </c>
      <c r="U12" s="31"/>
      <c r="V12" s="48" t="str">
        <f ca="1">IFERROR(__xludf.DUMMYFUNCTION("""COMPUTED_VALUE"""),"CLEM")</f>
        <v>CLEM</v>
      </c>
      <c r="W12" s="49">
        <f ca="1">IFERROR(__xludf.DUMMYFUNCTION("""COMPUTED_VALUE"""),84)</f>
        <v>84</v>
      </c>
      <c r="X12" s="31"/>
      <c r="Y12" s="48" t="str">
        <f ca="1">IFERROR(__xludf.DUMMYFUNCTION("""COMPUTED_VALUE"""),"xxNODxx")</f>
        <v>xxNODxx</v>
      </c>
      <c r="Z12" s="49">
        <f ca="1">IFERROR(__xludf.DUMMYFUNCTION("""COMPUTED_VALUE"""),1945560)</f>
        <v>1945560</v>
      </c>
      <c r="AA12" s="31"/>
      <c r="AB12" s="45" t="s">
        <v>465</v>
      </c>
      <c r="AC12" s="50">
        <f>SUMIFS(Scoreboard_39[Kills],Scoreboard_39[Guild],"Best Regards")</f>
        <v>415</v>
      </c>
      <c r="AD12" s="51">
        <f>SUMIFS(Scoreboard_39[Kills],Scoreboard_39[Guild],"Unhinged肉")</f>
        <v>418</v>
      </c>
    </row>
    <row r="13" spans="1:30" ht="22.5" customHeight="1">
      <c r="A13" s="32">
        <v>15</v>
      </c>
      <c r="B13" s="94" t="str">
        <f>VLOOKUP(C13,Lists!I:J,2,FALSE)</f>
        <v>Tank</v>
      </c>
      <c r="C13" s="95" t="str">
        <f>VLOOKUP(E13&amp;D13,Lists!C:E,3,FALSE)</f>
        <v>SnS/Greatsword</v>
      </c>
      <c r="D13" s="35" t="s">
        <v>36</v>
      </c>
      <c r="E13" s="36" t="s">
        <v>288</v>
      </c>
      <c r="F13" s="35" t="s">
        <v>476</v>
      </c>
      <c r="G13" s="32">
        <v>26</v>
      </c>
      <c r="H13" s="32">
        <v>56</v>
      </c>
      <c r="I13" s="96">
        <f t="shared" si="0"/>
        <v>82</v>
      </c>
      <c r="J13" s="37">
        <v>1433934</v>
      </c>
      <c r="K13" s="37">
        <v>490155</v>
      </c>
      <c r="L13" s="37">
        <v>16960</v>
      </c>
      <c r="M13" s="38">
        <f>I13/(HLOOKUP(F13,Team_Composition_23[[#All],[Yellow]:[Red]],10,FALSE)+HLOOKUP(F13,Team_Composition_23[[#All],[Yellow]:[Red]],11,FALSE))</f>
        <v>2.0494876280929768E-2</v>
      </c>
      <c r="N13" s="38">
        <f>J24/HLOOKUP(F24,Team_Composition_23[[#All],[Yellow]:[Red]],6,FALSE)</f>
        <v>3.303720386386215E-2</v>
      </c>
      <c r="O13" s="38">
        <f>K24/HLOOKUP(F24,Team_Composition_23[[#All],[Yellow]:[Red]],8,FALSE)</f>
        <v>1.8330575052587901E-2</v>
      </c>
      <c r="P13" s="38">
        <f>L24/HLOOKUP(F24,Team_Composition_23[[#All],[Yellow]:[Red]],7,FALSE)</f>
        <v>9.7243876177367024E-4</v>
      </c>
      <c r="Q13" s="31"/>
      <c r="R13" s="45" t="s">
        <v>466</v>
      </c>
      <c r="S13" s="46">
        <f>SUMIFS(Scoreboard_39[Assists],Scoreboard_39[Team],"Yellow")</f>
        <v>2069</v>
      </c>
      <c r="T13" s="47">
        <f>SUMIFS(Scoreboard_39[Assists],Scoreboard_39[Team],"Red")</f>
        <v>1341</v>
      </c>
      <c r="U13" s="31"/>
      <c r="V13" s="48" t="str">
        <f ca="1">IFERROR(__xludf.DUMMYFUNCTION("""COMPUTED_VALUE"""),"Fuji")</f>
        <v>Fuji</v>
      </c>
      <c r="W13" s="49">
        <f ca="1">IFERROR(__xludf.DUMMYFUNCTION("""COMPUTED_VALUE"""),83)</f>
        <v>83</v>
      </c>
      <c r="X13" s="31"/>
      <c r="Y13" s="48" t="str">
        <f ca="1">IFERROR(__xludf.DUMMYFUNCTION("""COMPUTED_VALUE"""),"ShawarmaShuffle")</f>
        <v>ShawarmaShuffle</v>
      </c>
      <c r="Z13" s="49">
        <f ca="1">IFERROR(__xludf.DUMMYFUNCTION("""COMPUTED_VALUE"""),1891422)</f>
        <v>1891422</v>
      </c>
      <c r="AA13" s="31"/>
      <c r="AB13" s="45" t="s">
        <v>466</v>
      </c>
      <c r="AC13" s="50">
        <f>SUMIFS(Scoreboard_39[Assists],Scoreboard_39[Guild],"Best Regards")</f>
        <v>1687</v>
      </c>
      <c r="AD13" s="51">
        <f>SUMIFS(Scoreboard_39[Assists],Scoreboard_39[Guild],"Unhinged肉")</f>
        <v>1705</v>
      </c>
    </row>
    <row r="14" spans="1:30" ht="22.5" customHeight="1">
      <c r="A14" s="115">
        <v>50</v>
      </c>
      <c r="B14" s="94" t="str">
        <f>VLOOKUP(C14,Lists!I:J,2,FALSE)</f>
        <v>Healer</v>
      </c>
      <c r="C14" s="95" t="str">
        <f>VLOOKUP(E14&amp;D14,Lists!C:E,3,FALSE)</f>
        <v>Wand/Orb</v>
      </c>
      <c r="D14" s="115" t="s">
        <v>34</v>
      </c>
      <c r="E14" s="98" t="s">
        <v>151</v>
      </c>
      <c r="F14" s="115" t="s">
        <v>476</v>
      </c>
      <c r="G14" s="115">
        <v>0</v>
      </c>
      <c r="H14" s="115">
        <v>79</v>
      </c>
      <c r="I14" s="96">
        <f t="shared" si="0"/>
        <v>79</v>
      </c>
      <c r="J14" s="116">
        <v>3522</v>
      </c>
      <c r="K14" s="116">
        <v>270796</v>
      </c>
      <c r="L14" s="116">
        <v>545729</v>
      </c>
      <c r="M14" s="38">
        <f>I25/(HLOOKUP(F25,Team_Composition_23[[#All],[Yellow]:[Red]],10,FALSE)+HLOOKUP(F25,Team_Composition_23[[#All],[Yellow]:[Red]],11,FALSE))</f>
        <v>7.7953714981729594E-2</v>
      </c>
      <c r="N14" s="38">
        <f>J25/HLOOKUP(F25,Team_Composition_23[[#All],[Yellow]:[Red]],6,FALSE)</f>
        <v>4.8388801503847605E-2</v>
      </c>
      <c r="O14" s="38">
        <f>K25/HLOOKUP(F25,Team_Composition_23[[#All],[Yellow]:[Red]],8,FALSE)</f>
        <v>1.1922113303594712E-2</v>
      </c>
      <c r="P14" s="38">
        <f>L25/HLOOKUP(F25,Team_Composition_23[[#All],[Yellow]:[Red]],7,FALSE)</f>
        <v>8.5349641173428385E-4</v>
      </c>
      <c r="Q14" s="31"/>
      <c r="R14" s="48"/>
      <c r="S14" s="58">
        <f t="shared" ref="S14:T14" si="1">SUM(S4:S7)</f>
        <v>42</v>
      </c>
      <c r="T14" s="58">
        <f t="shared" si="1"/>
        <v>41</v>
      </c>
      <c r="U14" s="31"/>
      <c r="V14" s="31"/>
      <c r="W14" s="31"/>
      <c r="X14" s="31"/>
      <c r="Y14" s="31"/>
      <c r="Z14" s="31"/>
      <c r="AA14" s="31"/>
      <c r="AB14" s="48"/>
      <c r="AC14" s="58"/>
      <c r="AD14" s="58"/>
    </row>
    <row r="15" spans="1:30" ht="22.5" customHeight="1">
      <c r="A15" s="32">
        <v>12</v>
      </c>
      <c r="B15" s="94" t="str">
        <f>VLOOKUP(C15,Lists!I:J,2,FALSE)</f>
        <v>Ranged DPS</v>
      </c>
      <c r="C15" s="95" t="str">
        <f>VLOOKUP(E15&amp;D15,Lists!C:E,3,FALSE)</f>
        <v>Staff/Dagger</v>
      </c>
      <c r="D15" s="35" t="s">
        <v>36</v>
      </c>
      <c r="E15" s="36" t="s">
        <v>251</v>
      </c>
      <c r="F15" s="35" t="s">
        <v>476</v>
      </c>
      <c r="G15" s="32">
        <v>28</v>
      </c>
      <c r="H15" s="32">
        <v>49</v>
      </c>
      <c r="I15" s="96">
        <f t="shared" si="0"/>
        <v>77</v>
      </c>
      <c r="J15" s="37">
        <v>1945560</v>
      </c>
      <c r="K15" s="37">
        <v>815915</v>
      </c>
      <c r="L15" s="37">
        <v>19988</v>
      </c>
      <c r="M15" s="38">
        <f>I15/(HLOOKUP(F15,Team_Composition_23[[#All],[Yellow]:[Red]],10,FALSE)+HLOOKUP(F15,Team_Composition_23[[#All],[Yellow]:[Red]],11,FALSE))</f>
        <v>1.9245188702824295E-2</v>
      </c>
      <c r="N15" s="38">
        <f>J15/HLOOKUP(F15,Team_Composition_23[[#All],[Yellow]:[Red]],6,FALSE)</f>
        <v>4.3854880908986829E-2</v>
      </c>
      <c r="O15" s="38">
        <f>K15/HLOOKUP(F15,Team_Composition_23[[#All],[Yellow]:[Red]],8,FALSE)</f>
        <v>4.6573779210324379E-2</v>
      </c>
      <c r="P15" s="38">
        <f>L15/HLOOKUP(F15,Team_Composition_23[[#All],[Yellow]:[Red]],7,FALSE)</f>
        <v>1.544098027512879E-3</v>
      </c>
      <c r="Q15" s="31"/>
      <c r="R15" s="227" t="s">
        <v>25</v>
      </c>
      <c r="S15" s="228"/>
      <c r="T15" s="228"/>
      <c r="U15" s="31"/>
      <c r="V15" s="229" t="s">
        <v>496</v>
      </c>
      <c r="W15" s="228"/>
      <c r="X15" s="31"/>
      <c r="Y15" s="229" t="s">
        <v>497</v>
      </c>
      <c r="Z15" s="228"/>
      <c r="AA15" s="31"/>
      <c r="AB15" s="227" t="s">
        <v>25</v>
      </c>
      <c r="AC15" s="228"/>
      <c r="AD15" s="228"/>
    </row>
    <row r="16" spans="1:30" ht="22.5" customHeight="1">
      <c r="A16" s="32">
        <v>11</v>
      </c>
      <c r="B16" s="94" t="str">
        <f>VLOOKUP(C16,Lists!I:J,2,FALSE)</f>
        <v>Melee DPS</v>
      </c>
      <c r="C16" s="95" t="str">
        <f>VLOOKUP(E16&amp;D16,Lists!C:E,3,FALSE)</f>
        <v>Greatsword/Spear</v>
      </c>
      <c r="D16" s="35" t="s">
        <v>36</v>
      </c>
      <c r="E16" s="36" t="s">
        <v>312</v>
      </c>
      <c r="F16" s="35" t="s">
        <v>476</v>
      </c>
      <c r="G16" s="32">
        <v>29</v>
      </c>
      <c r="H16" s="32">
        <v>44</v>
      </c>
      <c r="I16" s="96">
        <f t="shared" si="0"/>
        <v>73</v>
      </c>
      <c r="J16" s="37">
        <v>1503945</v>
      </c>
      <c r="K16" s="37">
        <v>1426682</v>
      </c>
      <c r="L16" s="37">
        <v>60127</v>
      </c>
      <c r="M16" s="38">
        <f>I16/(HLOOKUP(F16,Team_Composition_23[[#All],[Yellow]:[Red]],10,FALSE)+HLOOKUP(F16,Team_Composition_23[[#All],[Yellow]:[Red]],11,FALSE))</f>
        <v>1.8245438640339916E-2</v>
      </c>
      <c r="N16" s="38">
        <f>J16/HLOOKUP(F16,Team_Composition_23[[#All],[Yellow]:[Red]],6,FALSE)</f>
        <v>3.3900434254747321E-2</v>
      </c>
      <c r="O16" s="38">
        <f>K16/HLOOKUP(F16,Team_Composition_23[[#All],[Yellow]:[Red]],8,FALSE)</f>
        <v>8.1437370891997346E-2</v>
      </c>
      <c r="P16" s="38">
        <f>L16/HLOOKUP(F16,Team_Composition_23[[#All],[Yellow]:[Red]],7,FALSE)</f>
        <v>4.644886036635325E-3</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32">
        <v>14</v>
      </c>
      <c r="B17" s="94" t="str">
        <f>VLOOKUP(C17,Lists!I:J,2,FALSE)</f>
        <v>Melee DPS</v>
      </c>
      <c r="C17" s="95" t="str">
        <f>VLOOKUP(E17&amp;D17,Lists!C:E,3,FALSE)</f>
        <v>Greatsword/Spear</v>
      </c>
      <c r="D17" s="35" t="s">
        <v>36</v>
      </c>
      <c r="E17" s="36" t="s">
        <v>311</v>
      </c>
      <c r="F17" s="35" t="s">
        <v>476</v>
      </c>
      <c r="G17" s="32">
        <v>27</v>
      </c>
      <c r="H17" s="32">
        <v>45</v>
      </c>
      <c r="I17" s="96">
        <f t="shared" si="0"/>
        <v>72</v>
      </c>
      <c r="J17" s="37">
        <v>1208582</v>
      </c>
      <c r="K17" s="37">
        <v>1128867</v>
      </c>
      <c r="L17" s="37">
        <v>48941</v>
      </c>
      <c r="M17" s="38">
        <f>I17/(HLOOKUP(F17,Team_Composition_23[[#All],[Yellow]:[Red]],10,FALSE)+HLOOKUP(F17,Team_Composition_23[[#All],[Yellow]:[Red]],11,FALSE))</f>
        <v>1.7995501124718819E-2</v>
      </c>
      <c r="N17" s="38">
        <f>J17/HLOOKUP(F17,Team_Composition_23[[#All],[Yellow]:[Red]],6,FALSE)</f>
        <v>2.7242654905911472E-2</v>
      </c>
      <c r="O17" s="38">
        <f>K17/HLOOKUP(F17,Team_Composition_23[[#All],[Yellow]:[Red]],8,FALSE)</f>
        <v>6.443759756325261E-2</v>
      </c>
      <c r="P17" s="38">
        <f>L17/HLOOKUP(F17,Team_Composition_23[[#All],[Yellow]:[Red]],7,FALSE)</f>
        <v>3.7807535303435967E-3</v>
      </c>
      <c r="Q17" s="31"/>
      <c r="R17" s="45" t="s">
        <v>468</v>
      </c>
      <c r="S17" s="46">
        <f>SUMIFS(Scoreboard_39[Damage Dealt],Scoreboard_39[Role],"Melee DPS",Scoreboard_39[Team],"Yellow")</f>
        <v>3876057</v>
      </c>
      <c r="T17" s="47">
        <f>SUMIFS(Scoreboard_39[Damage Dealt],Scoreboard_39[Role],"Melee DPS",Scoreboard_39[Team],"Red")</f>
        <v>7125844</v>
      </c>
      <c r="U17" s="31"/>
      <c r="V17" s="48" t="str">
        <f ca="1">IFERROR(__xludf.DUMMYFUNCTION("query(A1:P238, ""Select E,K Order by K Desc Limit 10"", 0)"),"B")</f>
        <v>B</v>
      </c>
      <c r="W17" s="49">
        <f ca="1">IFERROR(__xludf.DUMMYFUNCTION("""COMPUTED_VALUE"""),1616400)</f>
        <v>1616400</v>
      </c>
      <c r="X17" s="31"/>
      <c r="Y17" s="48" t="str">
        <f ca="1">IFERROR(__xludf.DUMMYFUNCTION("query(A1:P238, ""Select E,L Order by L Desc Limit 10"", 0)"),"Z")</f>
        <v>Z</v>
      </c>
      <c r="Z17" s="49">
        <f ca="1">IFERROR(__xludf.DUMMYFUNCTION("""COMPUTED_VALUE"""),3074766)</f>
        <v>3074766</v>
      </c>
      <c r="AA17" s="31"/>
      <c r="AB17" s="45" t="s">
        <v>468</v>
      </c>
      <c r="AC17" s="50">
        <f>SUMIFS(Scoreboard_39[Damage Dealt],Scoreboard_39[Role],"Melee DPS",Scoreboard_39[Guild],"Best Regards")</f>
        <v>7125844</v>
      </c>
      <c r="AD17" s="51">
        <f>SUMIFS(Scoreboard_39[Damage Dealt],Scoreboard_39[Role],"Melee DPS",Scoreboard_39[Guild],"Unhinged肉")</f>
        <v>3876057</v>
      </c>
    </row>
    <row r="18" spans="1:30" ht="22.5" customHeight="1">
      <c r="A18" s="32">
        <v>2</v>
      </c>
      <c r="B18" s="94" t="str">
        <f>VLOOKUP(C18,Lists!I:J,2,FALSE)</f>
        <v>KS</v>
      </c>
      <c r="C18" s="95" t="str">
        <f>VLOOKUP(E18&amp;D18,Lists!C:E,3,FALSE)</f>
        <v>Greatsword/Dagger</v>
      </c>
      <c r="D18" s="35" t="s">
        <v>36</v>
      </c>
      <c r="E18" s="36" t="s">
        <v>287</v>
      </c>
      <c r="F18" s="35" t="s">
        <v>476</v>
      </c>
      <c r="G18" s="32">
        <v>42</v>
      </c>
      <c r="H18" s="32">
        <v>28</v>
      </c>
      <c r="I18" s="96">
        <f t="shared" si="0"/>
        <v>70</v>
      </c>
      <c r="J18" s="37">
        <v>1394768</v>
      </c>
      <c r="K18" s="37">
        <v>1059153</v>
      </c>
      <c r="L18" s="37">
        <v>998</v>
      </c>
      <c r="M18" s="38">
        <f>I18/(HLOOKUP(F18,Team_Composition_23[[#All],[Yellow]:[Red]],10,FALSE)+HLOOKUP(F18,Team_Composition_23[[#All],[Yellow]:[Red]],11,FALSE))</f>
        <v>1.7495626093476629E-2</v>
      </c>
      <c r="N18" s="38">
        <f>J18/HLOOKUP(F18,Team_Composition_23[[#All],[Yellow]:[Red]],6,FALSE)</f>
        <v>3.1439474771102274E-2</v>
      </c>
      <c r="O18" s="38">
        <f>K18/HLOOKUP(F18,Team_Composition_23[[#All],[Yellow]:[Red]],8,FALSE)</f>
        <v>6.0458207009250593E-2</v>
      </c>
      <c r="P18" s="38">
        <f>L18/HLOOKUP(F18,Team_Composition_23[[#All],[Yellow]:[Red]],7,FALSE)</f>
        <v>7.7096749622666263E-5</v>
      </c>
      <c r="Q18" s="31"/>
      <c r="R18" s="45" t="s">
        <v>469</v>
      </c>
      <c r="S18" s="46">
        <f>SUMIFS(Scoreboard_39[Damage Taken],Scoreboard_39[Role],"Melee DPS",Scoreboard_39[Team],"Yellow")</f>
        <v>3597783</v>
      </c>
      <c r="T18" s="47">
        <f>SUMIFS(Scoreboard_39[Damage Taken],Scoreboard_39[Role],"Melee DPS",Scoreboard_39[Team],"Red")</f>
        <v>5725710</v>
      </c>
      <c r="U18" s="31"/>
      <c r="V18" s="48" t="str">
        <f ca="1">IFERROR(__xludf.DUMMYFUNCTION("""COMPUTED_VALUE"""),"Superluigi")</f>
        <v>Superluigi</v>
      </c>
      <c r="W18" s="49">
        <f ca="1">IFERROR(__xludf.DUMMYFUNCTION("""COMPUTED_VALUE"""),1437720)</f>
        <v>1437720</v>
      </c>
      <c r="X18" s="31"/>
      <c r="Y18" s="48" t="str">
        <f ca="1">IFERROR(__xludf.DUMMYFUNCTION("""COMPUTED_VALUE"""),"EgirlWaifu")</f>
        <v>EgirlWaifu</v>
      </c>
      <c r="Z18" s="49">
        <f ca="1">IFERROR(__xludf.DUMMYFUNCTION("""COMPUTED_VALUE"""),2962981)</f>
        <v>2962981</v>
      </c>
      <c r="AA18" s="31"/>
      <c r="AB18" s="45" t="s">
        <v>469</v>
      </c>
      <c r="AC18" s="50">
        <f>SUMIFS(Scoreboard_39[Damage Taken],Scoreboard_39[Role],"Melee DPS",Scoreboard_39[Guild],"Best Regards")</f>
        <v>5725710</v>
      </c>
      <c r="AD18" s="51">
        <f>SUMIFS(Scoreboard_39[Damage Taken],Scoreboard_39[Role],"Melee DPS",Scoreboard_39[Guild],"Unhinged肉")</f>
        <v>3597783</v>
      </c>
    </row>
    <row r="19" spans="1:30" ht="22.5" customHeight="1">
      <c r="A19" s="32">
        <v>22</v>
      </c>
      <c r="B19" s="94" t="str">
        <f>VLOOKUP(C19,Lists!I:J,2,FALSE)</f>
        <v>Ranged DPS</v>
      </c>
      <c r="C19" s="95" t="str">
        <f>VLOOKUP(E19&amp;D19,Lists!C:E,3,FALSE)</f>
        <v>Crossbow/SnS</v>
      </c>
      <c r="D19" s="35" t="s">
        <v>34</v>
      </c>
      <c r="E19" s="36" t="s">
        <v>141</v>
      </c>
      <c r="F19" s="35" t="s">
        <v>483</v>
      </c>
      <c r="G19" s="32">
        <v>19</v>
      </c>
      <c r="H19" s="32">
        <v>51</v>
      </c>
      <c r="I19" s="96">
        <f t="shared" si="0"/>
        <v>70</v>
      </c>
      <c r="J19" s="37">
        <v>1648756</v>
      </c>
      <c r="K19" s="37">
        <v>411960</v>
      </c>
      <c r="L19" s="37">
        <v>26096</v>
      </c>
      <c r="M19" s="38">
        <f>I19/(HLOOKUP(F19,Team_Composition_23[[#All],[Yellow]:[Red]],10,FALSE)+HLOOKUP(F19,Team_Composition_23[[#All],[Yellow]:[Red]],11,FALSE))</f>
        <v>8.5261875761266745E-2</v>
      </c>
      <c r="N19" s="38">
        <f>J19/HLOOKUP(F19,Team_Composition_23[[#All],[Yellow]:[Red]],6,FALSE)</f>
        <v>9.3438263389250625E-2</v>
      </c>
      <c r="O19" s="38">
        <f>K19/HLOOKUP(F19,Team_Composition_23[[#All],[Yellow]:[Red]],8,FALSE)</f>
        <v>9.35933706558747E-3</v>
      </c>
      <c r="P19" s="38">
        <f>L19/HLOOKUP(F19,Team_Composition_23[[#All],[Yellow]:[Red]],7,FALSE)</f>
        <v>1.0753074089034844E-3</v>
      </c>
      <c r="Q19" s="31"/>
      <c r="R19" s="45" t="s">
        <v>470</v>
      </c>
      <c r="S19" s="46">
        <f>SUMIFS(Scoreboard_39[Amount Healed],Scoreboard_39[Role],"Melee DPS",Scoreboard_39[Team],"Yellow")</f>
        <v>135486</v>
      </c>
      <c r="T19" s="47">
        <f>SUMIFS(Scoreboard_39[Amount Healed],Scoreboard_39[Role],"Melee DPS",Scoreboard_39[Team],"Red")</f>
        <v>162340</v>
      </c>
      <c r="U19" s="31"/>
      <c r="V19" s="48" t="str">
        <f ca="1">IFERROR(__xludf.DUMMYFUNCTION("""COMPUTED_VALUE"""),"K")</f>
        <v>K</v>
      </c>
      <c r="W19" s="49">
        <f ca="1">IFERROR(__xludf.DUMMYFUNCTION("""COMPUTED_VALUE"""),1428696)</f>
        <v>1428696</v>
      </c>
      <c r="X19" s="31"/>
      <c r="Y19" s="48" t="str">
        <f ca="1">IFERROR(__xludf.DUMMYFUNCTION("""COMPUTED_VALUE"""),"Koldwen")</f>
        <v>Koldwen</v>
      </c>
      <c r="Z19" s="49">
        <f ca="1">IFERROR(__xludf.DUMMYFUNCTION("""COMPUTED_VALUE"""),1860257)</f>
        <v>1860257</v>
      </c>
      <c r="AA19" s="31"/>
      <c r="AB19" s="45" t="s">
        <v>470</v>
      </c>
      <c r="AC19" s="50">
        <f>SUMIFS(Scoreboard_39[Amount Healed],Scoreboard_39[Role],"Melee DPS",Scoreboard_39[Guild],"Best Regards")</f>
        <v>162340</v>
      </c>
      <c r="AD19" s="51">
        <f>SUMIFS(Scoreboard_39[Amount Healed],Scoreboard_39[Role],"Melee DPS",Scoreboard_39[Guild],"Unhinged肉")</f>
        <v>135486</v>
      </c>
    </row>
    <row r="20" spans="1:30" ht="22.5" customHeight="1">
      <c r="A20" s="32">
        <v>18</v>
      </c>
      <c r="B20" s="94" t="str">
        <f>VLOOKUP(C20,Lists!I:J,2,FALSE)</f>
        <v>Ranged DPS</v>
      </c>
      <c r="C20" s="95" t="str">
        <f>VLOOKUP(E20&amp;D20,Lists!C:E,3,FALSE)</f>
        <v>Staff/Orb</v>
      </c>
      <c r="D20" s="35" t="s">
        <v>34</v>
      </c>
      <c r="E20" s="36" t="s">
        <v>160</v>
      </c>
      <c r="F20" s="35" t="s">
        <v>483</v>
      </c>
      <c r="G20" s="32">
        <v>22</v>
      </c>
      <c r="H20" s="32">
        <v>47</v>
      </c>
      <c r="I20" s="96">
        <f t="shared" si="0"/>
        <v>69</v>
      </c>
      <c r="J20" s="37">
        <v>2281344</v>
      </c>
      <c r="K20" s="37">
        <v>944078</v>
      </c>
      <c r="L20" s="37">
        <v>4</v>
      </c>
      <c r="M20" s="38">
        <f>I20/(HLOOKUP(F20,Team_Composition_23[[#All],[Yellow]:[Red]],10,FALSE)+HLOOKUP(F20,Team_Composition_23[[#All],[Yellow]:[Red]],11,FALSE))</f>
        <v>8.4043848964677217E-2</v>
      </c>
      <c r="N20" s="38">
        <f>J20/HLOOKUP(F20,Team_Composition_23[[#All],[Yellow]:[Red]],6,FALSE)</f>
        <v>0.1292882764663095</v>
      </c>
      <c r="O20" s="38">
        <f>K20/HLOOKUP(F20,Team_Composition_23[[#All],[Yellow]:[Red]],8,FALSE)</f>
        <v>2.144854893243443E-2</v>
      </c>
      <c r="P20" s="38">
        <f>L20/HLOOKUP(F20,Team_Composition_23[[#All],[Yellow]:[Red]],7,FALSE)</f>
        <v>1.6482333061058926E-7</v>
      </c>
      <c r="Q20" s="31"/>
      <c r="R20" s="45" t="s">
        <v>465</v>
      </c>
      <c r="S20" s="46">
        <f>SUMIFS(Scoreboard_39[Kills],Scoreboard_39[Role],"Melee DPS",Scoreboard_39[Team],"Yellow")</f>
        <v>64</v>
      </c>
      <c r="T20" s="47">
        <f>SUMIFS(Scoreboard_39[Kills],Scoreboard_39[Role],"Melee DPS",Scoreboard_39[Team],"Red")</f>
        <v>91</v>
      </c>
      <c r="U20" s="31"/>
      <c r="V20" s="48" t="str">
        <f ca="1">IFERROR(__xludf.DUMMYFUNCTION("""COMPUTED_VALUE"""),"HollowKnight")</f>
        <v>HollowKnight</v>
      </c>
      <c r="W20" s="49">
        <f ca="1">IFERROR(__xludf.DUMMYFUNCTION("""COMPUTED_VALUE"""),1426682)</f>
        <v>1426682</v>
      </c>
      <c r="X20" s="31"/>
      <c r="Y20" s="48" t="str">
        <f ca="1">IFERROR(__xludf.DUMMYFUNCTION("""COMPUTED_VALUE"""),"msk")</f>
        <v>msk</v>
      </c>
      <c r="Z20" s="49">
        <f ca="1">IFERROR(__xludf.DUMMYFUNCTION("""COMPUTED_VALUE"""),1824593)</f>
        <v>1824593</v>
      </c>
      <c r="AA20" s="31"/>
      <c r="AB20" s="45" t="s">
        <v>465</v>
      </c>
      <c r="AC20" s="50">
        <f>SUMIFS(Scoreboard_39[Kills],Scoreboard_39[Role],"Melee DPS",Scoreboard_39[Guild],"Best Regards")</f>
        <v>91</v>
      </c>
      <c r="AD20" s="51">
        <f>SUMIFS(Scoreboard_39[Kills],Scoreboard_39[Role],"Melee DPS",Scoreboard_39[Guild],"Unhinged肉")</f>
        <v>64</v>
      </c>
    </row>
    <row r="21" spans="1:30" ht="22.5" customHeight="1">
      <c r="A21" s="32">
        <v>13</v>
      </c>
      <c r="B21" s="94" t="str">
        <f>VLOOKUP(C21,Lists!I:J,2,FALSE)</f>
        <v>Ranged DPS</v>
      </c>
      <c r="C21" s="95" t="str">
        <f>VLOOKUP(E21&amp;D21,Lists!C:E,3,FALSE)</f>
        <v>Staff/Orb</v>
      </c>
      <c r="D21" s="35" t="s">
        <v>34</v>
      </c>
      <c r="E21" s="36" t="s">
        <v>156</v>
      </c>
      <c r="F21" s="35" t="s">
        <v>483</v>
      </c>
      <c r="G21" s="32">
        <v>28</v>
      </c>
      <c r="H21" s="32">
        <v>40</v>
      </c>
      <c r="I21" s="96">
        <f t="shared" si="0"/>
        <v>68</v>
      </c>
      <c r="J21" s="37">
        <v>3025906</v>
      </c>
      <c r="K21" s="37">
        <v>752884</v>
      </c>
      <c r="L21" s="37">
        <v>1927</v>
      </c>
      <c r="M21" s="38">
        <f>I21/(HLOOKUP(F21,Team_Composition_23[[#All],[Yellow]:[Red]],10,FALSE)+HLOOKUP(F21,Team_Composition_23[[#All],[Yellow]:[Red]],11,FALSE))</f>
        <v>8.2825822168087704E-2</v>
      </c>
      <c r="N21" s="38">
        <f>J21/HLOOKUP(F21,Team_Composition_23[[#All],[Yellow]:[Red]],6,FALSE)</f>
        <v>0.17148407758280412</v>
      </c>
      <c r="O21" s="38">
        <f>K21/HLOOKUP(F21,Team_Composition_23[[#All],[Yellow]:[Red]],8,FALSE)</f>
        <v>1.7104804173433723E-2</v>
      </c>
      <c r="P21" s="38">
        <f>L21/HLOOKUP(F21,Team_Composition_23[[#All],[Yellow]:[Red]],7,FALSE)</f>
        <v>7.9403639521651373E-5</v>
      </c>
      <c r="Q21" s="31"/>
      <c r="R21" s="45" t="s">
        <v>466</v>
      </c>
      <c r="S21" s="46">
        <f>SUMIFS(Scoreboard_39[Assists],Scoreboard_39[Role],"Melee DPS",Scoreboard_39[Team],"Yellow")</f>
        <v>148</v>
      </c>
      <c r="T21" s="47">
        <f>SUMIFS(Scoreboard_39[Assists],Scoreboard_39[Role],"Melee DPS",Scoreboard_39[Team],"Red")</f>
        <v>161</v>
      </c>
      <c r="U21" s="31"/>
      <c r="V21" s="48" t="str">
        <f ca="1">IFERROR(__xludf.DUMMYFUNCTION("""COMPUTED_VALUE"""),"ELCHAMO")</f>
        <v>ELCHAMO</v>
      </c>
      <c r="W21" s="49">
        <f ca="1">IFERROR(__xludf.DUMMYFUNCTION("""COMPUTED_VALUE"""),1263025)</f>
        <v>1263025</v>
      </c>
      <c r="X21" s="31"/>
      <c r="Y21" s="48" t="str">
        <f ca="1">IFERROR(__xludf.DUMMYFUNCTION("""COMPUTED_VALUE"""),"AdalaneShadow")</f>
        <v>AdalaneShadow</v>
      </c>
      <c r="Z21" s="49">
        <f ca="1">IFERROR(__xludf.DUMMYFUNCTION("""COMPUTED_VALUE"""),1720038)</f>
        <v>1720038</v>
      </c>
      <c r="AA21" s="31"/>
      <c r="AB21" s="45" t="s">
        <v>466</v>
      </c>
      <c r="AC21" s="50">
        <f>SUMIFS(Scoreboard_39[Assists],Scoreboard_39[Role],"Melee DPS",Scoreboard_39[Guild],"Best Regards")</f>
        <v>161</v>
      </c>
      <c r="AD21" s="51">
        <f>SUMIFS(Scoreboard_39[Assists],Scoreboard_39[Role],"Melee DPS",Scoreboard_39[Guild],"Unhinged肉")</f>
        <v>148</v>
      </c>
    </row>
    <row r="22" spans="1:30" ht="22.5" customHeight="1">
      <c r="A22" s="32">
        <v>31</v>
      </c>
      <c r="B22" s="94" t="str">
        <f>VLOOKUP(C22,Lists!I:J,2,FALSE)</f>
        <v>Melee DPS</v>
      </c>
      <c r="C22" s="95" t="str">
        <f>VLOOKUP(E22&amp;D22,Lists!C:E,3,FALSE)</f>
        <v>Greatsword/Spear</v>
      </c>
      <c r="D22" s="35" t="s">
        <v>36</v>
      </c>
      <c r="E22" s="36" t="s">
        <v>329</v>
      </c>
      <c r="F22" s="35" t="s">
        <v>476</v>
      </c>
      <c r="G22" s="32">
        <v>8</v>
      </c>
      <c r="H22" s="32">
        <v>59</v>
      </c>
      <c r="I22" s="96">
        <f t="shared" si="0"/>
        <v>67</v>
      </c>
      <c r="J22" s="37">
        <v>1163530</v>
      </c>
      <c r="K22" s="37">
        <v>1042234</v>
      </c>
      <c r="L22" s="37">
        <v>26418</v>
      </c>
      <c r="M22" s="38">
        <f>I22/(HLOOKUP(F22,Team_Composition_23[[#All],[Yellow]:[Red]],10,FALSE)+HLOOKUP(F22,Team_Composition_23[[#All],[Yellow]:[Red]],11,FALSE))</f>
        <v>1.6745813546613347E-2</v>
      </c>
      <c r="N22" s="38">
        <f>J22/HLOOKUP(F22,Team_Composition_23[[#All],[Yellow]:[Red]],6,FALSE)</f>
        <v>2.6227137474060656E-2</v>
      </c>
      <c r="O22" s="38">
        <f>K22/HLOOKUP(F22,Team_Composition_23[[#All],[Yellow]:[Red]],8,FALSE)</f>
        <v>5.9492442474391602E-2</v>
      </c>
      <c r="P22" s="38">
        <f>L22/HLOOKUP(F22,Team_Composition_23[[#All],[Yellow]:[Red]],7,FALSE)</f>
        <v>2.040823578688975E-3</v>
      </c>
      <c r="Q22" s="31"/>
      <c r="R22" s="45" t="s">
        <v>24</v>
      </c>
      <c r="S22" s="46">
        <f t="shared" ref="S22:S25" si="2">COUNTIFS(C:C,R22,F:F,"Yellow")</f>
        <v>0</v>
      </c>
      <c r="T22" s="47">
        <f t="shared" ref="T22:T25" si="3">COUNTIFS(C:C,R22,F:F,"Red")</f>
        <v>2</v>
      </c>
      <c r="U22" s="31"/>
      <c r="V22" s="48" t="str">
        <f ca="1">IFERROR(__xludf.DUMMYFUNCTION("""COMPUTED_VALUE"""),"H612")</f>
        <v>H612</v>
      </c>
      <c r="W22" s="49">
        <f ca="1">IFERROR(__xludf.DUMMYFUNCTION("""COMPUTED_VALUE"""),1242894)</f>
        <v>1242894</v>
      </c>
      <c r="X22" s="31"/>
      <c r="Y22" s="48" t="str">
        <f ca="1">IFERROR(__xludf.DUMMYFUNCTION("""COMPUTED_VALUE"""),"Selumii")</f>
        <v>Selumii</v>
      </c>
      <c r="Z22" s="49">
        <f ca="1">IFERROR(__xludf.DUMMYFUNCTION("""COMPUTED_VALUE"""),1552524)</f>
        <v>1552524</v>
      </c>
      <c r="AA22" s="31"/>
      <c r="AB22" s="45" t="s">
        <v>24</v>
      </c>
      <c r="AC22" s="50">
        <f t="shared" ref="AC22:AC25" si="4">COUNTIFS(C:C,AB22,D:D,"Best Regards")</f>
        <v>2</v>
      </c>
      <c r="AD22" s="51">
        <f t="shared" ref="AD22:AD25" si="5">COUNTIFS(C:C,AB22,D:D,"Unhinged肉")</f>
        <v>0</v>
      </c>
    </row>
    <row r="23" spans="1:30" ht="22.5" customHeight="1">
      <c r="A23" s="32">
        <v>16</v>
      </c>
      <c r="B23" s="94" t="str">
        <f>VLOOKUP(C23,Lists!I:J,2,FALSE)</f>
        <v>Melee DPS</v>
      </c>
      <c r="C23" s="95" t="str">
        <f>VLOOKUP(E23&amp;D23,Lists!C:E,3,FALSE)</f>
        <v>Greatsword/Spear</v>
      </c>
      <c r="D23" s="35" t="s">
        <v>34</v>
      </c>
      <c r="E23" s="36" t="s">
        <v>147</v>
      </c>
      <c r="F23" s="35" t="s">
        <v>483</v>
      </c>
      <c r="G23" s="32">
        <v>25</v>
      </c>
      <c r="H23" s="32">
        <v>40</v>
      </c>
      <c r="I23" s="96">
        <f t="shared" si="0"/>
        <v>65</v>
      </c>
      <c r="J23" s="37">
        <v>1775714</v>
      </c>
      <c r="K23" s="37">
        <v>1428696</v>
      </c>
      <c r="L23" s="37">
        <v>21697</v>
      </c>
      <c r="M23" s="38">
        <f>I23/(HLOOKUP(F23,Team_Composition_23[[#All],[Yellow]:[Red]],10,FALSE)+HLOOKUP(F23,Team_Composition_23[[#All],[Yellow]:[Red]],11,FALSE))</f>
        <v>7.9171741778319121E-2</v>
      </c>
      <c r="N23" s="38">
        <f>J23/HLOOKUP(F23,Team_Composition_23[[#All],[Yellow]:[Red]],6,FALSE)</f>
        <v>0.10063322434367473</v>
      </c>
      <c r="O23" s="38">
        <f>K23/HLOOKUP(F23,Team_Composition_23[[#All],[Yellow]:[Red]],8,FALSE)</f>
        <v>3.2458606243947363E-2</v>
      </c>
      <c r="P23" s="38">
        <f>L23/HLOOKUP(F23,Team_Composition_23[[#All],[Yellow]:[Red]],7,FALSE)</f>
        <v>8.9404295106448883E-4</v>
      </c>
      <c r="Q23" s="31"/>
      <c r="R23" s="45" t="s">
        <v>69</v>
      </c>
      <c r="S23" s="46">
        <f t="shared" si="2"/>
        <v>2</v>
      </c>
      <c r="T23" s="47">
        <f t="shared" si="3"/>
        <v>3</v>
      </c>
      <c r="U23" s="31"/>
      <c r="V23" s="48" t="str">
        <f ca="1">IFERROR(__xludf.DUMMYFUNCTION("""COMPUTED_VALUE"""),"CLEM")</f>
        <v>CLEM</v>
      </c>
      <c r="W23" s="49">
        <f ca="1">IFERROR(__xludf.DUMMYFUNCTION("""COMPUTED_VALUE"""),1192751)</f>
        <v>1192751</v>
      </c>
      <c r="X23" s="31"/>
      <c r="Y23" s="48" t="str">
        <f ca="1">IFERROR(__xludf.DUMMYFUNCTION("""COMPUTED_VALUE"""),"Skilletos")</f>
        <v>Skilletos</v>
      </c>
      <c r="Z23" s="49">
        <f ca="1">IFERROR(__xludf.DUMMYFUNCTION("""COMPUTED_VALUE"""),1485845)</f>
        <v>1485845</v>
      </c>
      <c r="AA23" s="31"/>
      <c r="AB23" s="45" t="s">
        <v>69</v>
      </c>
      <c r="AC23" s="50">
        <f t="shared" si="4"/>
        <v>3</v>
      </c>
      <c r="AD23" s="51">
        <f t="shared" si="5"/>
        <v>2</v>
      </c>
    </row>
    <row r="24" spans="1:30" ht="22.5" customHeight="1">
      <c r="A24" s="32">
        <v>26</v>
      </c>
      <c r="B24" s="94" t="str">
        <f>VLOOKUP(C24,Lists!I:J,2,FALSE)</f>
        <v>Ranged DPS</v>
      </c>
      <c r="C24" s="95" t="str">
        <f>VLOOKUP(E24&amp;D24,Lists!C:E,3,FALSE)</f>
        <v>Crossbow/SnS</v>
      </c>
      <c r="D24" s="35" t="s">
        <v>34</v>
      </c>
      <c r="E24" s="36" t="s">
        <v>83</v>
      </c>
      <c r="F24" s="35" t="s">
        <v>476</v>
      </c>
      <c r="G24" s="32">
        <v>15</v>
      </c>
      <c r="H24" s="32">
        <v>49</v>
      </c>
      <c r="I24" s="96">
        <f t="shared" si="0"/>
        <v>64</v>
      </c>
      <c r="J24" s="37">
        <v>1465649</v>
      </c>
      <c r="K24" s="37">
        <v>321129</v>
      </c>
      <c r="L24" s="37">
        <v>12588</v>
      </c>
      <c r="M24" s="38">
        <f>I24/(HLOOKUP(F24,Team_Composition_23[[#All],[Yellow]:[Red]],10,FALSE)+HLOOKUP(F24,Team_Composition_23[[#All],[Yellow]:[Red]],11,FALSE))</f>
        <v>1.5996000999750064E-2</v>
      </c>
      <c r="N24" s="38">
        <f>J24/HLOOKUP(F24,Team_Composition_23[[#All],[Yellow]:[Red]],6,FALSE)</f>
        <v>3.303720386386215E-2</v>
      </c>
      <c r="O24" s="38">
        <f>K24/HLOOKUP(F24,Team_Composition_23[[#All],[Yellow]:[Red]],8,FALSE)</f>
        <v>1.8330575052587901E-2</v>
      </c>
      <c r="P24" s="38">
        <f>L24/HLOOKUP(F24,Team_Composition_23[[#All],[Yellow]:[Red]],7,FALSE)</f>
        <v>9.7243876177367024E-4</v>
      </c>
      <c r="Q24" s="31"/>
      <c r="R24" s="45" t="s">
        <v>23</v>
      </c>
      <c r="S24" s="46">
        <f t="shared" si="2"/>
        <v>3</v>
      </c>
      <c r="T24" s="47">
        <f t="shared" si="3"/>
        <v>2</v>
      </c>
      <c r="U24" s="31"/>
      <c r="V24" s="48" t="str">
        <f ca="1">IFERROR(__xludf.DUMMYFUNCTION("""COMPUTED_VALUE"""),"Z")</f>
        <v>Z</v>
      </c>
      <c r="W24" s="49">
        <f ca="1">IFERROR(__xludf.DUMMYFUNCTION("""COMPUTED_VALUE"""),1188041)</f>
        <v>1188041</v>
      </c>
      <c r="X24" s="31"/>
      <c r="Y24" s="48" t="str">
        <f ca="1">IFERROR(__xludf.DUMMYFUNCTION("""COMPUTED_VALUE"""),"Curufinwei")</f>
        <v>Curufinwei</v>
      </c>
      <c r="Z24" s="49">
        <f ca="1">IFERROR(__xludf.DUMMYFUNCTION("""COMPUTED_VALUE"""),1468531)</f>
        <v>1468531</v>
      </c>
      <c r="AA24" s="31"/>
      <c r="AB24" s="45" t="s">
        <v>23</v>
      </c>
      <c r="AC24" s="50">
        <f t="shared" si="4"/>
        <v>2</v>
      </c>
      <c r="AD24" s="51">
        <f t="shared" si="5"/>
        <v>3</v>
      </c>
    </row>
    <row r="25" spans="1:30" ht="22.5" customHeight="1">
      <c r="A25" s="32">
        <v>19</v>
      </c>
      <c r="B25" s="94" t="str">
        <f>VLOOKUP(C25,Lists!I:J,2,FALSE)</f>
        <v>KS</v>
      </c>
      <c r="C25" s="95" t="str">
        <f>VLOOKUP(E25&amp;D25,Lists!C:E,3,FALSE)</f>
        <v>Crossbow/Dagger</v>
      </c>
      <c r="D25" s="35" t="s">
        <v>34</v>
      </c>
      <c r="E25" s="36" t="s">
        <v>161</v>
      </c>
      <c r="F25" s="35" t="s">
        <v>483</v>
      </c>
      <c r="G25" s="32">
        <v>22</v>
      </c>
      <c r="H25" s="32">
        <v>42</v>
      </c>
      <c r="I25" s="96">
        <f t="shared" si="0"/>
        <v>64</v>
      </c>
      <c r="J25" s="37">
        <v>853840</v>
      </c>
      <c r="K25" s="37">
        <v>524763</v>
      </c>
      <c r="L25" s="37">
        <v>20713</v>
      </c>
      <c r="M25" s="38">
        <f>I25/(HLOOKUP(F25,Team_Composition_23[[#All],[Yellow]:[Red]],10,FALSE)+HLOOKUP(F25,Team_Composition_23[[#All],[Yellow]:[Red]],11,FALSE))</f>
        <v>7.7953714981729594E-2</v>
      </c>
      <c r="N25" s="38">
        <f>J25/HLOOKUP(F25,Team_Composition_23[[#All],[Yellow]:[Red]],6,FALSE)</f>
        <v>4.8388801503847605E-2</v>
      </c>
      <c r="O25" s="38">
        <f>K25/HLOOKUP(F25,Team_Composition_23[[#All],[Yellow]:[Red]],8,FALSE)</f>
        <v>1.1922113303594712E-2</v>
      </c>
      <c r="P25" s="38">
        <f>L25/HLOOKUP(F25,Team_Composition_23[[#All],[Yellow]:[Red]],7,FALSE)</f>
        <v>8.5349641173428385E-4</v>
      </c>
      <c r="Q25" s="31"/>
      <c r="R25" s="45" t="s">
        <v>33</v>
      </c>
      <c r="S25" s="46">
        <f t="shared" si="2"/>
        <v>0</v>
      </c>
      <c r="T25" s="47">
        <f t="shared" si="3"/>
        <v>0</v>
      </c>
      <c r="U25" s="31"/>
      <c r="V25" s="48" t="str">
        <f ca="1">IFERROR(__xludf.DUMMYFUNCTION("""COMPUTED_VALUE"""),"Oathellius")</f>
        <v>Oathellius</v>
      </c>
      <c r="W25" s="49">
        <f ca="1">IFERROR(__xludf.DUMMYFUNCTION("""COMPUTED_VALUE"""),1128867)</f>
        <v>1128867</v>
      </c>
      <c r="X25" s="31"/>
      <c r="Y25" s="48" t="str">
        <f ca="1">IFERROR(__xludf.DUMMYFUNCTION("""COMPUTED_VALUE"""),"Tagato")</f>
        <v>Tagato</v>
      </c>
      <c r="Z25" s="49">
        <f ca="1">IFERROR(__xludf.DUMMYFUNCTION("""COMPUTED_VALUE"""),1369893)</f>
        <v>1369893</v>
      </c>
      <c r="AA25" s="31"/>
      <c r="AB25" s="45" t="s">
        <v>33</v>
      </c>
      <c r="AC25" s="50">
        <f t="shared" si="4"/>
        <v>0</v>
      </c>
      <c r="AD25" s="51">
        <f t="shared" si="5"/>
        <v>0</v>
      </c>
    </row>
    <row r="26" spans="1:30" ht="22.5" customHeight="1">
      <c r="A26" s="32">
        <v>51</v>
      </c>
      <c r="B26" s="94" t="str">
        <f>VLOOKUP(C26,Lists!I:J,2,FALSE)</f>
        <v>Healer</v>
      </c>
      <c r="C26" s="95" t="str">
        <f>VLOOKUP(E26&amp;D26,Lists!C:E,3,FALSE)</f>
        <v>Wand/Longbow</v>
      </c>
      <c r="D26" s="35" t="s">
        <v>34</v>
      </c>
      <c r="E26" s="36" t="s">
        <v>149</v>
      </c>
      <c r="F26" s="35" t="s">
        <v>483</v>
      </c>
      <c r="G26" s="32">
        <v>0</v>
      </c>
      <c r="H26" s="32">
        <v>60</v>
      </c>
      <c r="I26" s="96">
        <f t="shared" si="0"/>
        <v>60</v>
      </c>
      <c r="J26" s="37">
        <v>67178</v>
      </c>
      <c r="K26" s="37">
        <v>1188041</v>
      </c>
      <c r="L26" s="37">
        <v>3074766</v>
      </c>
      <c r="M26" s="38">
        <f>I37/(HLOOKUP(F37,Team_Composition_23[[#All],[Yellow]:[Red]],10,FALSE)+HLOOKUP(F37,Team_Composition_23[[#All],[Yellow]:[Red]],11,FALSE))</f>
        <v>6.5773447015834346E-2</v>
      </c>
      <c r="N26" s="38">
        <f>J37/HLOOKUP(F37,Team_Composition_23[[#All],[Yellow]:[Red]],6,FALSE)</f>
        <v>1.1009665122449727E-3</v>
      </c>
      <c r="O26" s="38">
        <f>K37/HLOOKUP(F37,Team_Composition_23[[#All],[Yellow]:[Red]],8,FALSE)</f>
        <v>1.1022552785311539E-2</v>
      </c>
      <c r="P26" s="38">
        <f>L37/HLOOKUP(F37,Team_Composition_23[[#All],[Yellow]:[Red]],7,FALSE)</f>
        <v>4.2603493290392459E-2</v>
      </c>
      <c r="Q26" s="31"/>
      <c r="R26" s="48"/>
      <c r="S26" s="63"/>
      <c r="T26" s="63"/>
      <c r="U26" s="31"/>
      <c r="V26" s="48" t="str">
        <f ca="1">IFERROR(__xludf.DUMMYFUNCTION("""COMPUTED_VALUE"""),"EgirlWaifu")</f>
        <v>EgirlWaifu</v>
      </c>
      <c r="W26" s="49">
        <f ca="1">IFERROR(__xludf.DUMMYFUNCTION("""COMPUTED_VALUE"""),1110884)</f>
        <v>1110884</v>
      </c>
      <c r="X26" s="31"/>
      <c r="Y26" s="48" t="str">
        <f ca="1">IFERROR(__xludf.DUMMYFUNCTION("""COMPUTED_VALUE"""),"LiquidZod")</f>
        <v>LiquidZod</v>
      </c>
      <c r="Z26" s="49">
        <f ca="1">IFERROR(__xludf.DUMMYFUNCTION("""COMPUTED_VALUE"""),1349016)</f>
        <v>1349016</v>
      </c>
      <c r="AA26" s="31"/>
      <c r="AB26" s="48"/>
      <c r="AC26" s="63"/>
      <c r="AD26" s="63"/>
    </row>
    <row r="27" spans="1:30" ht="22.5" customHeight="1">
      <c r="A27" s="32">
        <v>21</v>
      </c>
      <c r="B27" s="94" t="str">
        <f>VLOOKUP(C27,Lists!I:J,2,FALSE)</f>
        <v>KS</v>
      </c>
      <c r="C27" s="95" t="str">
        <f>VLOOKUP(E27&amp;D27,Lists!C:E,3,FALSE)</f>
        <v>Greatsword/Dagger</v>
      </c>
      <c r="D27" s="35" t="s">
        <v>36</v>
      </c>
      <c r="E27" s="36" t="s">
        <v>290</v>
      </c>
      <c r="F27" s="35" t="s">
        <v>483</v>
      </c>
      <c r="G27" s="32">
        <v>20</v>
      </c>
      <c r="H27" s="32">
        <v>38</v>
      </c>
      <c r="I27" s="96">
        <f t="shared" si="0"/>
        <v>58</v>
      </c>
      <c r="J27" s="37">
        <v>1047636</v>
      </c>
      <c r="K27" s="37">
        <v>854834</v>
      </c>
      <c r="L27" s="37">
        <v>26314</v>
      </c>
      <c r="M27" s="38">
        <f>I27/(HLOOKUP(F27,Team_Composition_23[[#All],[Yellow]:[Red]],10,FALSE)+HLOOKUP(F27,Team_Composition_23[[#All],[Yellow]:[Red]],11,FALSE))</f>
        <v>7.0645554202192443E-2</v>
      </c>
      <c r="N27" s="38">
        <f>J27/HLOOKUP(F27,Team_Composition_23[[#All],[Yellow]:[Red]],6,FALSE)</f>
        <v>5.937160410883173E-2</v>
      </c>
      <c r="O27" s="38">
        <f>K27/HLOOKUP(F27,Team_Composition_23[[#All],[Yellow]:[Red]],8,FALSE)</f>
        <v>1.9421010634829594E-2</v>
      </c>
      <c r="P27" s="38">
        <f>L27/HLOOKUP(F27,Team_Composition_23[[#All],[Yellow]:[Red]],7,FALSE)</f>
        <v>1.0842902804217615E-3</v>
      </c>
      <c r="Q27" s="31"/>
      <c r="R27" s="31"/>
      <c r="S27" s="64"/>
      <c r="T27" s="64"/>
      <c r="U27" s="31"/>
      <c r="V27" s="31"/>
      <c r="W27" s="31"/>
      <c r="X27" s="31"/>
      <c r="Y27" s="31"/>
      <c r="Z27" s="31"/>
      <c r="AA27" s="31"/>
      <c r="AB27" s="31"/>
      <c r="AC27" s="64"/>
      <c r="AD27" s="64"/>
    </row>
    <row r="28" spans="1:30" ht="22.5" customHeight="1">
      <c r="A28" s="32">
        <v>20</v>
      </c>
      <c r="B28" s="94" t="str">
        <f>VLOOKUP(C28,Lists!I:J,2,FALSE)</f>
        <v>KS</v>
      </c>
      <c r="C28" s="95" t="str">
        <f>VLOOKUP(E28&amp;D28,Lists!C:E,3,FALSE)</f>
        <v>Greatsword/Dagger</v>
      </c>
      <c r="D28" s="35" t="s">
        <v>34</v>
      </c>
      <c r="E28" s="36" t="s">
        <v>502</v>
      </c>
      <c r="F28" s="35" t="s">
        <v>483</v>
      </c>
      <c r="G28" s="32">
        <v>21</v>
      </c>
      <c r="H28" s="32">
        <v>37</v>
      </c>
      <c r="I28" s="96">
        <f t="shared" si="0"/>
        <v>58</v>
      </c>
      <c r="J28" s="37">
        <v>936265</v>
      </c>
      <c r="K28" s="37">
        <v>982200</v>
      </c>
      <c r="L28" s="37">
        <v>39138</v>
      </c>
      <c r="M28" s="38">
        <f>I28/(HLOOKUP(F28,Team_Composition_23[[#All],[Yellow]:[Red]],10,FALSE)+HLOOKUP(F28,Team_Composition_23[[#All],[Yellow]:[Red]],11,FALSE))</f>
        <v>7.0645554202192443E-2</v>
      </c>
      <c r="N28" s="38">
        <f>J28/HLOOKUP(F28,Team_Composition_23[[#All],[Yellow]:[Red]],6,FALSE)</f>
        <v>5.3059989271994609E-2</v>
      </c>
      <c r="O28" s="38">
        <f>K28/HLOOKUP(F28,Team_Composition_23[[#All],[Yellow]:[Red]],8,FALSE)</f>
        <v>2.2314644299980611E-2</v>
      </c>
      <c r="P28" s="38">
        <f>L28/HLOOKUP(F28,Team_Composition_23[[#All],[Yellow]:[Red]],7,FALSE)</f>
        <v>1.6127138783593106E-3</v>
      </c>
      <c r="Q28" s="31"/>
      <c r="R28" s="227" t="s">
        <v>39</v>
      </c>
      <c r="S28" s="228"/>
      <c r="T28" s="228"/>
      <c r="U28" s="31"/>
      <c r="V28" s="31"/>
      <c r="W28" s="31"/>
      <c r="X28" s="31"/>
      <c r="Y28" s="31"/>
      <c r="Z28" s="31"/>
      <c r="AA28" s="31"/>
      <c r="AB28" s="227" t="s">
        <v>39</v>
      </c>
      <c r="AC28" s="228"/>
      <c r="AD28" s="228"/>
    </row>
    <row r="29" spans="1:30" ht="22.5" customHeight="1">
      <c r="A29" s="32">
        <v>52</v>
      </c>
      <c r="B29" s="94" t="str">
        <f>VLOOKUP(C29,Lists!I:J,2,FALSE)</f>
        <v>Healer</v>
      </c>
      <c r="C29" s="95" t="str">
        <f>VLOOKUP(E29&amp;D29,Lists!C:E,3,FALSE)</f>
        <v>Wand/Longbow</v>
      </c>
      <c r="D29" s="35" t="s">
        <v>36</v>
      </c>
      <c r="E29" s="36" t="s">
        <v>318</v>
      </c>
      <c r="F29" s="35" t="s">
        <v>476</v>
      </c>
      <c r="G29" s="32">
        <v>0</v>
      </c>
      <c r="H29" s="32">
        <v>57</v>
      </c>
      <c r="I29" s="96">
        <f t="shared" si="0"/>
        <v>57</v>
      </c>
      <c r="J29" s="37">
        <v>51903</v>
      </c>
      <c r="K29" s="37">
        <v>503778</v>
      </c>
      <c r="L29" s="37">
        <v>1860257</v>
      </c>
      <c r="M29" s="38">
        <f>I40/(HLOOKUP(F40,Team_Composition_23[[#All],[Yellow]:[Red]],10,FALSE)+HLOOKUP(F40,Team_Composition_23[[#All],[Yellow]:[Red]],11,FALSE))</f>
        <v>1.2746813296675831E-2</v>
      </c>
      <c r="N29" s="38">
        <f>J40/HLOOKUP(F40,Team_Composition_23[[#All],[Yellow]:[Red]],6,FALSE)</f>
        <v>4.5352505391188915E-4</v>
      </c>
      <c r="O29" s="38">
        <f>K40/HLOOKUP(F40,Team_Composition_23[[#All],[Yellow]:[Red]],8,FALSE)</f>
        <v>1.7162113557903601E-2</v>
      </c>
      <c r="P29" s="38">
        <f>L40/HLOOKUP(F40,Team_Composition_23[[#All],[Yellow]:[Red]],7,FALSE)</f>
        <v>8.6743113475754776E-3</v>
      </c>
      <c r="Q29" s="31"/>
      <c r="R29" s="41" t="s">
        <v>482</v>
      </c>
      <c r="S29" s="42" t="s">
        <v>476</v>
      </c>
      <c r="T29" s="42" t="s">
        <v>483</v>
      </c>
      <c r="U29" s="31"/>
      <c r="V29" s="31"/>
      <c r="W29" s="31"/>
      <c r="X29" s="31"/>
      <c r="Y29" s="31"/>
      <c r="Z29" s="31"/>
      <c r="AA29" s="31"/>
      <c r="AB29" s="41" t="s">
        <v>482</v>
      </c>
      <c r="AC29" s="42" t="s">
        <v>485</v>
      </c>
      <c r="AD29" s="42" t="s">
        <v>36</v>
      </c>
    </row>
    <row r="30" spans="1:30" ht="22.5" customHeight="1">
      <c r="A30" s="32">
        <v>32</v>
      </c>
      <c r="B30" s="94" t="str">
        <f>VLOOKUP(C30,Lists!I:J,2,FALSE)</f>
        <v>Ranged DPS</v>
      </c>
      <c r="C30" s="95" t="str">
        <f>VLOOKUP(E30&amp;D30,Lists!C:E,3,FALSE)</f>
        <v>Staff/Dagger</v>
      </c>
      <c r="D30" s="35" t="s">
        <v>36</v>
      </c>
      <c r="E30" s="36" t="s">
        <v>245</v>
      </c>
      <c r="F30" s="35" t="s">
        <v>483</v>
      </c>
      <c r="G30" s="32">
        <v>8</v>
      </c>
      <c r="H30" s="32">
        <v>49</v>
      </c>
      <c r="I30" s="96">
        <f t="shared" si="0"/>
        <v>57</v>
      </c>
      <c r="J30" s="37">
        <v>1623101</v>
      </c>
      <c r="K30" s="37">
        <v>530378</v>
      </c>
      <c r="L30" s="37">
        <v>0</v>
      </c>
      <c r="M30" s="38">
        <f>I30/(HLOOKUP(F30,Team_Composition_23[[#All],[Yellow]:[Red]],10,FALSE)+HLOOKUP(F30,Team_Composition_23[[#All],[Yellow]:[Red]],11,FALSE))</f>
        <v>6.9427527405602929E-2</v>
      </c>
      <c r="N30" s="38">
        <f>J30/HLOOKUP(F30,Team_Composition_23[[#All],[Yellow]:[Red]],6,FALSE)</f>
        <v>9.1984343799419735E-2</v>
      </c>
      <c r="O30" s="38">
        <f>K30/HLOOKUP(F30,Team_Composition_23[[#All],[Yellow]:[Red]],8,FALSE)</f>
        <v>1.2049680731556829E-2</v>
      </c>
      <c r="P30" s="38">
        <f>L30/HLOOKUP(F30,Team_Composition_23[[#All],[Yellow]:[Red]],7,FALSE)</f>
        <v>0</v>
      </c>
      <c r="Q30" s="31"/>
      <c r="R30" s="45" t="s">
        <v>468</v>
      </c>
      <c r="S30" s="46">
        <f>SUMIFS(Scoreboard_39[Damage Dealt],Scoreboard_39[Role],"Ranged DPS",Scoreboard_39[Team],"Yellow")</f>
        <v>14778825</v>
      </c>
      <c r="T30" s="47">
        <f>SUMIFS(Scoreboard_39[Damage Dealt],Scoreboard_39[Role],"Ranged DPS",Scoreboard_39[Team],"Red")</f>
        <v>13016746</v>
      </c>
      <c r="U30" s="31"/>
      <c r="V30" s="31"/>
      <c r="W30" s="31"/>
      <c r="X30" s="31"/>
      <c r="Y30" s="31"/>
      <c r="Z30" s="31"/>
      <c r="AA30" s="31"/>
      <c r="AB30" s="45" t="s">
        <v>468</v>
      </c>
      <c r="AC30" s="50">
        <f>SUMIFS(Scoreboard_39[Damage Dealt],Scoreboard_39[Role],"Ranged DPS",Scoreboard_39[Guild],"Best Regards")</f>
        <v>14382547</v>
      </c>
      <c r="AD30" s="51">
        <f>SUMIFS(Scoreboard_39[Damage Dealt],Scoreboard_39[Role],"Ranged DPS",Scoreboard_39[Guild],"Unhinged肉")</f>
        <v>13413024</v>
      </c>
    </row>
    <row r="31" spans="1:30" ht="22.5" customHeight="1">
      <c r="A31" s="32">
        <v>28</v>
      </c>
      <c r="B31" s="94" t="str">
        <f>VLOOKUP(C31,Lists!I:J,2,FALSE)</f>
        <v>Ranged DPS</v>
      </c>
      <c r="C31" s="95" t="str">
        <f>VLOOKUP(E31&amp;D31,Lists!C:E,3,FALSE)</f>
        <v>Staff/Dagger</v>
      </c>
      <c r="D31" s="35" t="s">
        <v>34</v>
      </c>
      <c r="E31" s="36" t="s">
        <v>172</v>
      </c>
      <c r="F31" s="35" t="s">
        <v>476</v>
      </c>
      <c r="G31" s="32">
        <v>14</v>
      </c>
      <c r="H31" s="32">
        <v>43</v>
      </c>
      <c r="I31" s="96">
        <f t="shared" si="0"/>
        <v>57</v>
      </c>
      <c r="J31" s="37">
        <v>1587827</v>
      </c>
      <c r="K31" s="37">
        <v>1263025</v>
      </c>
      <c r="L31" s="37">
        <v>0</v>
      </c>
      <c r="M31" s="38">
        <f>I31/(HLOOKUP(F31,Team_Composition_23[[#All],[Yellow]:[Red]],10,FALSE)+HLOOKUP(F31,Team_Composition_23[[#All],[Yellow]:[Red]],11,FALSE))</f>
        <v>1.42464383904024E-2</v>
      </c>
      <c r="N31" s="38">
        <f>J31/HLOOKUP(F31,Team_Composition_23[[#All],[Yellow]:[Red]],6,FALSE)</f>
        <v>3.5791218975037432E-2</v>
      </c>
      <c r="O31" s="38">
        <f>K31/HLOOKUP(F31,Team_Composition_23[[#All],[Yellow]:[Red]],8,FALSE)</f>
        <v>7.2095558345072655E-2</v>
      </c>
      <c r="P31" s="38">
        <f>L31/HLOOKUP(F31,Team_Composition_23[[#All],[Yellow]:[Red]],7,FALSE)</f>
        <v>0</v>
      </c>
      <c r="Q31" s="31"/>
      <c r="R31" s="45" t="s">
        <v>469</v>
      </c>
      <c r="S31" s="46">
        <f>SUMIFS(Scoreboard_39[Damage Taken],Scoreboard_39[Role],"Ranged DPS",Scoreboard_39[Team],"Yellow")</f>
        <v>5761475</v>
      </c>
      <c r="T31" s="47">
        <f>SUMIFS(Scoreboard_39[Damage Taken],Scoreboard_39[Role],"Ranged DPS",Scoreboard_39[Team],"Red")</f>
        <v>4378980</v>
      </c>
      <c r="U31" s="31"/>
      <c r="V31" s="31"/>
      <c r="W31" s="31"/>
      <c r="X31" s="31"/>
      <c r="Y31" s="31"/>
      <c r="Z31" s="31"/>
      <c r="AA31" s="31"/>
      <c r="AB31" s="45" t="s">
        <v>469</v>
      </c>
      <c r="AC31" s="50">
        <f>SUMIFS(Scoreboard_39[Damage Taken],Scoreboard_39[Role],"Ranged DPS",Scoreboard_39[Guild],"Best Regards")</f>
        <v>5325243</v>
      </c>
      <c r="AD31" s="51">
        <f>SUMIFS(Scoreboard_39[Damage Taken],Scoreboard_39[Role],"Ranged DPS",Scoreboard_39[Guild],"Unhinged肉")</f>
        <v>4815212</v>
      </c>
    </row>
    <row r="32" spans="1:30" ht="22.5" customHeight="1">
      <c r="A32" s="32">
        <v>53</v>
      </c>
      <c r="B32" s="94" t="str">
        <f>VLOOKUP(C32,Lists!I:J,2,FALSE)</f>
        <v>Healer</v>
      </c>
      <c r="C32" s="95" t="str">
        <f>VLOOKUP(E32&amp;D32,Lists!C:E,3,FALSE)</f>
        <v>Wand/Longbow</v>
      </c>
      <c r="D32" s="35" t="s">
        <v>36</v>
      </c>
      <c r="E32" s="36" t="s">
        <v>299</v>
      </c>
      <c r="F32" s="35" t="s">
        <v>476</v>
      </c>
      <c r="G32" s="32">
        <v>0</v>
      </c>
      <c r="H32" s="32">
        <v>56</v>
      </c>
      <c r="I32" s="96">
        <f t="shared" si="0"/>
        <v>56</v>
      </c>
      <c r="J32" s="37">
        <v>79143</v>
      </c>
      <c r="K32" s="37">
        <v>195405</v>
      </c>
      <c r="L32" s="37">
        <v>1021907</v>
      </c>
      <c r="M32" s="38">
        <f>I43/(HLOOKUP(F43,Team_Composition_23[[#All],[Yellow]:[Red]],10,FALSE)+HLOOKUP(F43,Team_Composition_23[[#All],[Yellow]:[Red]],11,FALSE))</f>
        <v>6.090133982947625E-2</v>
      </c>
      <c r="N32" s="38">
        <f>J43/HLOOKUP(F43,Team_Composition_23[[#All],[Yellow]:[Red]],6,FALSE)</f>
        <v>4.1262867018354072E-4</v>
      </c>
      <c r="O32" s="38">
        <f>K43/HLOOKUP(F43,Team_Composition_23[[#All],[Yellow]:[Red]],8,FALSE)</f>
        <v>6.1530439269520962E-3</v>
      </c>
      <c r="P32" s="38">
        <f>L43/HLOOKUP(F43,Team_Composition_23[[#All],[Yellow]:[Red]],7,FALSE)</f>
        <v>2.4564239048385908E-2</v>
      </c>
      <c r="Q32" s="31"/>
      <c r="R32" s="45" t="s">
        <v>470</v>
      </c>
      <c r="S32" s="46">
        <f>SUMIFS(Scoreboard_39[Amount Healed],Scoreboard_39[Role],"Ranged DPS",Scoreboard_39[Team],"Yellow")</f>
        <v>88947</v>
      </c>
      <c r="T32" s="47">
        <f>SUMIFS(Scoreboard_39[Amount Healed],Scoreboard_39[Role],"Ranged DPS",Scoreboard_39[Team],"Red")</f>
        <v>39458</v>
      </c>
      <c r="U32" s="31"/>
      <c r="V32" s="31"/>
      <c r="W32" s="31"/>
      <c r="X32" s="31"/>
      <c r="Y32" s="31"/>
      <c r="Z32" s="31"/>
      <c r="AA32" s="31"/>
      <c r="AB32" s="45" t="s">
        <v>470</v>
      </c>
      <c r="AC32" s="50">
        <f>SUMIFS(Scoreboard_39[Amount Healed],Scoreboard_39[Role],"Ranged DPS",Scoreboard_39[Guild],"Best Regards")</f>
        <v>41251</v>
      </c>
      <c r="AD32" s="51">
        <f>SUMIFS(Scoreboard_39[Amount Healed],Scoreboard_39[Role],"Ranged DPS",Scoreboard_39[Guild],"Unhinged肉")</f>
        <v>87154</v>
      </c>
    </row>
    <row r="33" spans="1:30" ht="22.5" customHeight="1">
      <c r="A33" s="32">
        <v>54</v>
      </c>
      <c r="B33" s="94" t="str">
        <f>VLOOKUP(C33,Lists!I:J,2,FALSE)</f>
        <v>Healer</v>
      </c>
      <c r="C33" s="95" t="str">
        <f>VLOOKUP(E33&amp;D33,Lists!C:E,3,FALSE)</f>
        <v>Wand/Longbow</v>
      </c>
      <c r="D33" s="35" t="s">
        <v>36</v>
      </c>
      <c r="E33" s="36" t="s">
        <v>271</v>
      </c>
      <c r="F33" s="35" t="s">
        <v>476</v>
      </c>
      <c r="G33" s="32">
        <v>0</v>
      </c>
      <c r="H33" s="32">
        <v>56</v>
      </c>
      <c r="I33" s="96">
        <f t="shared" si="0"/>
        <v>56</v>
      </c>
      <c r="J33" s="37">
        <v>36736</v>
      </c>
      <c r="K33" s="37">
        <v>359104</v>
      </c>
      <c r="L33" s="37">
        <v>1485845</v>
      </c>
      <c r="M33" s="38">
        <f>I44/(HLOOKUP(F44,Team_Composition_23[[#All],[Yellow]:[Red]],10,FALSE)+HLOOKUP(F44,Team_Composition_23[[#All],[Yellow]:[Red]],11,FALSE))</f>
        <v>1.2496875781054736E-2</v>
      </c>
      <c r="N33" s="38">
        <f>J44/HLOOKUP(F44,Team_Composition_23[[#All],[Yellow]:[Red]],6,FALSE)</f>
        <v>2.179147310234647E-2</v>
      </c>
      <c r="O33" s="38">
        <f>K44/HLOOKUP(F44,Team_Composition_23[[#All],[Yellow]:[Red]],8,FALSE)</f>
        <v>4.5002035817254905E-2</v>
      </c>
      <c r="P33" s="38">
        <f>L44/HLOOKUP(F44,Team_Composition_23[[#All],[Yellow]:[Red]],7,FALSE)</f>
        <v>2.338858909394633E-3</v>
      </c>
      <c r="Q33" s="31"/>
      <c r="R33" s="45" t="s">
        <v>465</v>
      </c>
      <c r="S33" s="46">
        <f>SUMIFS(Scoreboard_39[Kills],Scoreboard_39[Role],"Ranged DPS",Scoreboard_39[Team],"Yellow")</f>
        <v>189</v>
      </c>
      <c r="T33" s="47">
        <f>SUMIFS(Scoreboard_39[Kills],Scoreboard_39[Role],"Ranged DPS",Scoreboard_39[Team],"Red")</f>
        <v>132</v>
      </c>
      <c r="U33" s="31"/>
      <c r="V33" s="31"/>
      <c r="W33" s="31"/>
      <c r="X33" s="31"/>
      <c r="Y33" s="31"/>
      <c r="Z33" s="31"/>
      <c r="AA33" s="31"/>
      <c r="AB33" s="45" t="s">
        <v>465</v>
      </c>
      <c r="AC33" s="50">
        <f>SUMIFS(Scoreboard_39[Kills],Scoreboard_39[Role],"Ranged DPS",Scoreboard_39[Guild],"Best Regards")</f>
        <v>154</v>
      </c>
      <c r="AD33" s="51">
        <f>SUMIFS(Scoreboard_39[Kills],Scoreboard_39[Role],"Ranged DPS",Scoreboard_39[Guild],"Unhinged肉")</f>
        <v>167</v>
      </c>
    </row>
    <row r="34" spans="1:30" ht="22.5" customHeight="1">
      <c r="A34" s="32">
        <v>55</v>
      </c>
      <c r="B34" s="94" t="str">
        <f>VLOOKUP(C34,Lists!I:J,2,FALSE)</f>
        <v>Healer</v>
      </c>
      <c r="C34" s="95" t="str">
        <f>VLOOKUP(E34&amp;D34,Lists!C:E,3,FALSE)</f>
        <v>Wand/Orb</v>
      </c>
      <c r="D34" s="35" t="s">
        <v>36</v>
      </c>
      <c r="E34" s="36" t="s">
        <v>276</v>
      </c>
      <c r="F34" s="35" t="s">
        <v>476</v>
      </c>
      <c r="G34" s="32">
        <v>0</v>
      </c>
      <c r="H34" s="32">
        <v>55</v>
      </c>
      <c r="I34" s="96">
        <f t="shared" si="0"/>
        <v>55</v>
      </c>
      <c r="J34" s="37">
        <v>37782</v>
      </c>
      <c r="K34" s="37">
        <v>245785</v>
      </c>
      <c r="L34" s="37">
        <v>544105</v>
      </c>
      <c r="M34" s="38">
        <f>I45/(HLOOKUP(F45,Team_Composition_23[[#All],[Yellow]:[Red]],10,FALSE)+HLOOKUP(F45,Team_Composition_23[[#All],[Yellow]:[Red]],11,FALSE))</f>
        <v>5.8465286236297195E-2</v>
      </c>
      <c r="N34" s="38">
        <f>J45/HLOOKUP(F45,Team_Composition_23[[#All],[Yellow]:[Red]],6,FALSE)</f>
        <v>2.5166325170773922E-3</v>
      </c>
      <c r="O34" s="38">
        <f>K45/HLOOKUP(F45,Team_Composition_23[[#All],[Yellow]:[Red]],8,FALSE)</f>
        <v>5.9590687355112141E-3</v>
      </c>
      <c r="P34" s="38">
        <f>L45/HLOOKUP(F45,Team_Composition_23[[#All],[Yellow]:[Red]],7,FALSE)</f>
        <v>5.6447581710032987E-2</v>
      </c>
      <c r="Q34" s="31"/>
      <c r="R34" s="45" t="s">
        <v>466</v>
      </c>
      <c r="S34" s="46">
        <f>SUMIFS(Scoreboard_39[Assists],Scoreboard_39[Role],"Ranged DPS",Scoreboard_39[Team],"Yellow")</f>
        <v>455</v>
      </c>
      <c r="T34" s="47">
        <f>SUMIFS(Scoreboard_39[Assists],Scoreboard_39[Role],"Ranged DPS",Scoreboard_39[Team],"Red")</f>
        <v>294</v>
      </c>
      <c r="U34" s="31"/>
      <c r="V34" s="31"/>
      <c r="W34" s="31"/>
      <c r="X34" s="31"/>
      <c r="Y34" s="31"/>
      <c r="Z34" s="31"/>
      <c r="AA34" s="31"/>
      <c r="AB34" s="45" t="s">
        <v>466</v>
      </c>
      <c r="AC34" s="50">
        <f>SUMIFS(Scoreboard_39[Assists],Scoreboard_39[Role],"Ranged DPS",Scoreboard_39[Guild],"Best Regards")</f>
        <v>347</v>
      </c>
      <c r="AD34" s="51">
        <f>SUMIFS(Scoreboard_39[Assists],Scoreboard_39[Role],"Ranged DPS",Scoreboard_39[Team],"Unhinged肉")</f>
        <v>0</v>
      </c>
    </row>
    <row r="35" spans="1:30" ht="22.5" customHeight="1">
      <c r="A35" s="32">
        <v>56</v>
      </c>
      <c r="B35" s="94" t="str">
        <f>VLOOKUP(C35,Lists!I:J,2,FALSE)</f>
        <v>Healer</v>
      </c>
      <c r="C35" s="95" t="str">
        <f>VLOOKUP(E35&amp;D35,Lists!C:E,3,FALSE)</f>
        <v>Wand/Orb</v>
      </c>
      <c r="D35" s="35" t="s">
        <v>34</v>
      </c>
      <c r="E35" s="36" t="s">
        <v>171</v>
      </c>
      <c r="F35" s="35" t="s">
        <v>483</v>
      </c>
      <c r="G35" s="32">
        <v>0</v>
      </c>
      <c r="H35" s="32">
        <v>55</v>
      </c>
      <c r="I35" s="96">
        <f t="shared" si="0"/>
        <v>55</v>
      </c>
      <c r="J35" s="37">
        <v>12539</v>
      </c>
      <c r="K35" s="37">
        <v>376260</v>
      </c>
      <c r="L35" s="37">
        <v>534481</v>
      </c>
      <c r="M35" s="38">
        <f>I46/(HLOOKUP(F46,Team_Composition_23[[#All],[Yellow]:[Red]],10,FALSE)+HLOOKUP(F46,Team_Composition_23[[#All],[Yellow]:[Red]],11,FALSE))</f>
        <v>1.1747063234191453E-2</v>
      </c>
      <c r="N35" s="38">
        <f>J46/HLOOKUP(F46,Team_Composition_23[[#All],[Yellow]:[Red]],6,FALSE)</f>
        <v>6.4852054018801142E-3</v>
      </c>
      <c r="O35" s="38">
        <f>K46/HLOOKUP(F46,Team_Composition_23[[#All],[Yellow]:[Red]],8,FALSE)</f>
        <v>2.0994119276572212E-2</v>
      </c>
      <c r="P35" s="38">
        <f>L46/HLOOKUP(F46,Team_Composition_23[[#All],[Yellow]:[Red]],7,FALSE)</f>
        <v>4.0315883459997063E-3</v>
      </c>
      <c r="Q35" s="31"/>
      <c r="R35" s="45" t="s">
        <v>54</v>
      </c>
      <c r="S35" s="46">
        <f t="shared" ref="S35:S46" si="6">COUNTIFS(C:C,R35,F:F,"Yellow")</f>
        <v>2</v>
      </c>
      <c r="T35" s="47">
        <f t="shared" ref="T35:T46" si="7">COUNTIFS(C:C,R35,F:F,"Red")</f>
        <v>2</v>
      </c>
      <c r="U35" s="31"/>
      <c r="V35" s="31"/>
      <c r="W35" s="31"/>
      <c r="X35" s="31"/>
      <c r="Y35" s="31"/>
      <c r="Z35" s="31"/>
      <c r="AA35" s="31"/>
      <c r="AB35" s="45" t="s">
        <v>54</v>
      </c>
      <c r="AC35" s="50">
        <f t="shared" ref="AC35:AC46" si="8">COUNTIFS(C:C,AB35,D:D,"Best Regards")</f>
        <v>2</v>
      </c>
      <c r="AD35" s="51">
        <f t="shared" ref="AD35:AD46" si="9">COUNTIFS(C:C,AB35,D:D,"Unhinged肉")</f>
        <v>2</v>
      </c>
    </row>
    <row r="36" spans="1:30" ht="22.5" customHeight="1">
      <c r="A36" s="32">
        <v>58</v>
      </c>
      <c r="B36" s="94" t="str">
        <f>VLOOKUP(C36,Lists!I:J,2,FALSE)</f>
        <v>Healer</v>
      </c>
      <c r="C36" s="95" t="str">
        <f>VLOOKUP(E36&amp;D36,Lists!C:E,3,FALSE)</f>
        <v>Wand/Orb</v>
      </c>
      <c r="D36" s="35" t="s">
        <v>36</v>
      </c>
      <c r="E36" s="36" t="s">
        <v>315</v>
      </c>
      <c r="F36" s="35" t="s">
        <v>476</v>
      </c>
      <c r="G36" s="32">
        <v>0</v>
      </c>
      <c r="H36" s="32">
        <v>54</v>
      </c>
      <c r="I36" s="96">
        <f t="shared" si="0"/>
        <v>54</v>
      </c>
      <c r="J36" s="37">
        <v>12641</v>
      </c>
      <c r="K36" s="37">
        <v>282103</v>
      </c>
      <c r="L36" s="37">
        <v>492927</v>
      </c>
      <c r="M36" s="38">
        <f>I47/(HLOOKUP(F47,Team_Composition_23[[#All],[Yellow]:[Red]],10,FALSE)+HLOOKUP(F47,Team_Composition_23[[#All],[Yellow]:[Red]],11,FALSE))</f>
        <v>5.3593179049939099E-2</v>
      </c>
      <c r="N36" s="38">
        <f>J47/HLOOKUP(F47,Team_Composition_23[[#All],[Yellow]:[Red]],6,FALSE)</f>
        <v>1.7933847367062417E-3</v>
      </c>
      <c r="O36" s="38">
        <f>K47/HLOOKUP(F47,Team_Composition_23[[#All],[Yellow]:[Red]],8,FALSE)</f>
        <v>1.1272280508937468E-2</v>
      </c>
      <c r="P36" s="38">
        <f>L47/HLOOKUP(F47,Team_Composition_23[[#All],[Yellow]:[Red]],7,FALSE)</f>
        <v>5.558732754174367E-2</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57</v>
      </c>
      <c r="B37" s="94" t="str">
        <f>VLOOKUP(C37,Lists!I:J,2,FALSE)</f>
        <v>Healer</v>
      </c>
      <c r="C37" s="95" t="str">
        <f>VLOOKUP(E37&amp;D37,Lists!C:E,3,FALSE)</f>
        <v>Wand/Orb</v>
      </c>
      <c r="D37" s="35" t="s">
        <v>34</v>
      </c>
      <c r="E37" s="36" t="s">
        <v>96</v>
      </c>
      <c r="F37" s="35" t="s">
        <v>483</v>
      </c>
      <c r="G37" s="32">
        <v>0</v>
      </c>
      <c r="H37" s="32">
        <v>54</v>
      </c>
      <c r="I37" s="96">
        <f t="shared" si="0"/>
        <v>54</v>
      </c>
      <c r="J37" s="37">
        <v>19427</v>
      </c>
      <c r="K37" s="37">
        <v>485168</v>
      </c>
      <c r="L37" s="37">
        <v>1033919</v>
      </c>
      <c r="M37" s="38">
        <f>I48/(HLOOKUP(F48,Team_Composition_23[[#All],[Yellow]:[Red]],10,FALSE)+HLOOKUP(F48,Team_Composition_23[[#All],[Yellow]:[Red]],11,FALSE))</f>
        <v>1.0747313171707074E-2</v>
      </c>
      <c r="N37" s="38">
        <f>J48/HLOOKUP(F48,Team_Composition_23[[#All],[Yellow]:[Red]],6,FALSE)</f>
        <v>4.8246770645775719E-3</v>
      </c>
      <c r="O37" s="38">
        <f>K48/HLOOKUP(F48,Team_Composition_23[[#All],[Yellow]:[Red]],8,FALSE)</f>
        <v>2.8165230615883097E-2</v>
      </c>
      <c r="P37" s="38">
        <f>L48/HLOOKUP(F48,Team_Composition_23[[#All],[Yellow]:[Red]],7,FALSE)</f>
        <v>1.9295817756262103E-3</v>
      </c>
      <c r="Q37" s="31"/>
      <c r="R37" s="45" t="s">
        <v>45</v>
      </c>
      <c r="S37" s="46">
        <f t="shared" si="6"/>
        <v>3</v>
      </c>
      <c r="T37" s="47">
        <f t="shared" si="7"/>
        <v>2</v>
      </c>
      <c r="U37" s="31"/>
      <c r="V37" s="31"/>
      <c r="W37" s="31"/>
      <c r="X37" s="31"/>
      <c r="Y37" s="31"/>
      <c r="Z37" s="31"/>
      <c r="AA37" s="31"/>
      <c r="AB37" s="45" t="s">
        <v>45</v>
      </c>
      <c r="AC37" s="50">
        <f t="shared" si="8"/>
        <v>3</v>
      </c>
      <c r="AD37" s="51">
        <f t="shared" si="9"/>
        <v>2</v>
      </c>
    </row>
    <row r="38" spans="1:30" ht="22.5" customHeight="1">
      <c r="A38" s="32">
        <v>59</v>
      </c>
      <c r="B38" s="94" t="str">
        <f>VLOOKUP(C38,Lists!I:J,2,FALSE)</f>
        <v>Healer</v>
      </c>
      <c r="C38" s="95" t="str">
        <f>VLOOKUP(E38&amp;D38,Lists!C:E,3,FALSE)</f>
        <v>Wand/Orb</v>
      </c>
      <c r="D38" s="35" t="s">
        <v>36</v>
      </c>
      <c r="E38" s="36" t="s">
        <v>314</v>
      </c>
      <c r="F38" s="35" t="s">
        <v>476</v>
      </c>
      <c r="G38" s="32">
        <v>0</v>
      </c>
      <c r="H38" s="32">
        <v>53</v>
      </c>
      <c r="I38" s="96">
        <f t="shared" si="0"/>
        <v>53</v>
      </c>
      <c r="J38" s="37">
        <v>17617</v>
      </c>
      <c r="K38" s="37">
        <v>153526</v>
      </c>
      <c r="L38" s="37">
        <v>575701</v>
      </c>
      <c r="M38" s="38">
        <f>I49/(HLOOKUP(F49,Team_Composition_23[[#All],[Yellow]:[Red]],10,FALSE)+HLOOKUP(F49,Team_Composition_23[[#All],[Yellow]:[Red]],11,FALSE))</f>
        <v>5.2375152253349572E-2</v>
      </c>
      <c r="N38" s="38">
        <f>J49/HLOOKUP(F49,Team_Composition_23[[#All],[Yellow]:[Red]],6,FALSE)</f>
        <v>5.2630415680456184E-2</v>
      </c>
      <c r="O38" s="38">
        <f>K49/HLOOKUP(F49,Team_Composition_23[[#All],[Yellow]:[Red]],8,FALSE)</f>
        <v>1.5066019949410142E-2</v>
      </c>
      <c r="P38" s="38">
        <f>L49/HLOOKUP(F49,Team_Composition_23[[#All],[Yellow]:[Red]],7,FALSE)</f>
        <v>6.1829351895297294E-4</v>
      </c>
      <c r="Q38" s="31"/>
      <c r="R38" s="45" t="s">
        <v>81</v>
      </c>
      <c r="S38" s="46">
        <f t="shared" si="6"/>
        <v>1</v>
      </c>
      <c r="T38" s="47">
        <f t="shared" si="7"/>
        <v>0</v>
      </c>
      <c r="U38" s="31"/>
      <c r="V38" s="31"/>
      <c r="W38" s="31"/>
      <c r="X38" s="31"/>
      <c r="Y38" s="31"/>
      <c r="Z38" s="31"/>
      <c r="AA38" s="31"/>
      <c r="AB38" s="45" t="s">
        <v>81</v>
      </c>
      <c r="AC38" s="50">
        <f t="shared" si="8"/>
        <v>1</v>
      </c>
      <c r="AD38" s="51">
        <f t="shared" si="9"/>
        <v>0</v>
      </c>
    </row>
    <row r="39" spans="1:30" ht="22.5" customHeight="1">
      <c r="A39" s="32">
        <v>24</v>
      </c>
      <c r="B39" s="94" t="str">
        <f>VLOOKUP(C39,Lists!I:J,2,FALSE)</f>
        <v>Melee DPS</v>
      </c>
      <c r="C39" s="95" t="str">
        <f>VLOOKUP(E39&amp;D39,Lists!C:E,3,FALSE)</f>
        <v>Spear/Dagger</v>
      </c>
      <c r="D39" s="35" t="s">
        <v>34</v>
      </c>
      <c r="E39" s="36" t="s">
        <v>104</v>
      </c>
      <c r="F39" s="35" t="s">
        <v>483</v>
      </c>
      <c r="G39" s="32">
        <v>17</v>
      </c>
      <c r="H39" s="32">
        <v>35</v>
      </c>
      <c r="I39" s="96">
        <f t="shared" si="0"/>
        <v>52</v>
      </c>
      <c r="J39" s="37">
        <v>1710129</v>
      </c>
      <c r="K39" s="37">
        <v>1437720</v>
      </c>
      <c r="L39" s="37">
        <v>67845</v>
      </c>
      <c r="M39" s="38">
        <f>I39/(HLOOKUP(F39,Team_Composition_23[[#All],[Yellow]:[Red]],10,FALSE)+HLOOKUP(F39,Team_Composition_23[[#All],[Yellow]:[Red]],11,FALSE))</f>
        <v>6.3337393422655291E-2</v>
      </c>
      <c r="N39" s="38">
        <f>J39/HLOOKUP(F39,Team_Composition_23[[#All],[Yellow]:[Red]],6,FALSE)</f>
        <v>9.6916392681267449E-2</v>
      </c>
      <c r="O39" s="38">
        <f>K39/HLOOKUP(F39,Team_Composition_23[[#All],[Yellow]:[Red]],8,FALSE)</f>
        <v>3.2663622890417555E-2</v>
      </c>
      <c r="P39" s="38">
        <f>L39/HLOOKUP(F39,Team_Composition_23[[#All],[Yellow]:[Red]],7,FALSE)</f>
        <v>2.7956097163188572E-3</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32">
        <v>60</v>
      </c>
      <c r="B40" s="94" t="str">
        <f>VLOOKUP(C40,Lists!I:J,2,FALSE)</f>
        <v>Healer</v>
      </c>
      <c r="C40" s="95" t="str">
        <f>VLOOKUP(E40&amp;D40,Lists!C:E,3,FALSE)</f>
        <v>Wand/Orb</v>
      </c>
      <c r="D40" s="35" t="s">
        <v>36</v>
      </c>
      <c r="E40" s="36" t="s">
        <v>304</v>
      </c>
      <c r="F40" s="35" t="s">
        <v>476</v>
      </c>
      <c r="G40" s="32">
        <v>0</v>
      </c>
      <c r="H40" s="32">
        <v>51</v>
      </c>
      <c r="I40" s="96">
        <f t="shared" si="0"/>
        <v>51</v>
      </c>
      <c r="J40" s="37">
        <v>20120</v>
      </c>
      <c r="K40" s="37">
        <v>300659</v>
      </c>
      <c r="L40" s="37">
        <v>112287</v>
      </c>
      <c r="M40" s="38">
        <f>I51/(HLOOKUP(F51,Team_Composition_23[[#All],[Yellow]:[Red]],10,FALSE)+HLOOKUP(F51,Team_Composition_23[[#All],[Yellow]:[Red]],11,FALSE))</f>
        <v>4.9939098660170524E-2</v>
      </c>
      <c r="N40" s="38">
        <f>J51/HLOOKUP(F51,Team_Composition_23[[#All],[Yellow]:[Red]],6,FALSE)</f>
        <v>2.9316414103275047E-4</v>
      </c>
      <c r="O40" s="38">
        <f>K51/HLOOKUP(F51,Team_Composition_23[[#All],[Yellow]:[Red]],8,FALSE)</f>
        <v>7.7620065713469516E-3</v>
      </c>
      <c r="P40" s="38">
        <f>L51/HLOOKUP(F51,Team_Composition_23[[#All],[Yellow]:[Red]],7,FALSE)</f>
        <v>2.2029915516917489E-2</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35</v>
      </c>
      <c r="B41" s="94" t="str">
        <f>VLOOKUP(C41,Lists!I:J,2,FALSE)</f>
        <v>Healer</v>
      </c>
      <c r="C41" s="95" t="str">
        <f>VLOOKUP(E41&amp;D41,Lists!C:E,3,FALSE)</f>
        <v>Wand/Longbow</v>
      </c>
      <c r="D41" s="35" t="s">
        <v>36</v>
      </c>
      <c r="E41" s="35" t="s">
        <v>325</v>
      </c>
      <c r="F41" s="35" t="s">
        <v>476</v>
      </c>
      <c r="G41" s="32">
        <v>2</v>
      </c>
      <c r="H41" s="32">
        <v>49</v>
      </c>
      <c r="I41" s="96">
        <f t="shared" si="0"/>
        <v>51</v>
      </c>
      <c r="J41" s="37">
        <v>64206</v>
      </c>
      <c r="K41" s="37">
        <v>776137</v>
      </c>
      <c r="L41" s="37">
        <v>1824593</v>
      </c>
      <c r="M41" s="38">
        <f>I41/(HLOOKUP(F41,Team_Composition_23[[#All],[Yellow]:[Red]],10,FALSE)+HLOOKUP(F41,Team_Composition_23[[#All],[Yellow]:[Red]],11,FALSE))</f>
        <v>1.2746813296675831E-2</v>
      </c>
      <c r="N41" s="38">
        <f>J41/HLOOKUP(F41,Team_Composition_23[[#All],[Yellow]:[Red]],6,FALSE)</f>
        <v>1.4472678733333376E-3</v>
      </c>
      <c r="O41" s="38">
        <f>K41/HLOOKUP(F41,Team_Composition_23[[#All],[Yellow]:[Red]],8,FALSE)</f>
        <v>4.4303185105021396E-2</v>
      </c>
      <c r="P41" s="38">
        <f>L41/HLOOKUP(F41,Team_Composition_23[[#All],[Yellow]:[Red]],7,FALSE)</f>
        <v>0.14095209387201352</v>
      </c>
      <c r="Q41" s="31"/>
      <c r="R41" s="45" t="s">
        <v>52</v>
      </c>
      <c r="S41" s="46">
        <f t="shared" si="6"/>
        <v>0</v>
      </c>
      <c r="T41" s="47">
        <f t="shared" si="7"/>
        <v>0</v>
      </c>
      <c r="U41" s="31"/>
      <c r="V41" s="31"/>
      <c r="W41" s="31"/>
      <c r="X41" s="31"/>
      <c r="Y41" s="31"/>
      <c r="Z41" s="31"/>
      <c r="AA41" s="31"/>
      <c r="AB41" s="45" t="s">
        <v>52</v>
      </c>
      <c r="AC41" s="50">
        <f t="shared" si="8"/>
        <v>0</v>
      </c>
      <c r="AD41" s="51">
        <f t="shared" si="9"/>
        <v>0</v>
      </c>
    </row>
    <row r="42" spans="1:30" ht="22.5" customHeight="1">
      <c r="A42" s="32">
        <v>27</v>
      </c>
      <c r="B42" s="94" t="str">
        <f>VLOOKUP(C42,Lists!I:J,2,FALSE)</f>
        <v>KS</v>
      </c>
      <c r="C42" s="95" t="str">
        <f>VLOOKUP(E42&amp;D42,Lists!C:E,3,FALSE)</f>
        <v>Greatsword/Dagger</v>
      </c>
      <c r="D42" s="35" t="s">
        <v>34</v>
      </c>
      <c r="E42" s="36" t="s">
        <v>182</v>
      </c>
      <c r="F42" s="35" t="s">
        <v>483</v>
      </c>
      <c r="G42" s="32">
        <v>15</v>
      </c>
      <c r="H42" s="32">
        <v>36</v>
      </c>
      <c r="I42" s="96">
        <f t="shared" si="0"/>
        <v>51</v>
      </c>
      <c r="J42" s="37">
        <v>829300</v>
      </c>
      <c r="K42" s="37">
        <v>900101</v>
      </c>
      <c r="L42" s="37">
        <v>28435</v>
      </c>
      <c r="M42" s="38">
        <f>I42/(HLOOKUP(F42,Team_Composition_23[[#All],[Yellow]:[Red]],10,FALSE)+HLOOKUP(F42,Team_Composition_23[[#All],[Yellow]:[Red]],11,FALSE))</f>
        <v>6.2119366626065771E-2</v>
      </c>
      <c r="N42" s="38">
        <f>J42/HLOOKUP(F42,Team_Composition_23[[#All],[Yellow]:[Red]],6,FALSE)</f>
        <v>4.6998071169236412E-2</v>
      </c>
      <c r="O42" s="38">
        <f>K42/HLOOKUP(F42,Team_Composition_23[[#All],[Yellow]:[Red]],8,FALSE)</f>
        <v>2.0449433566541282E-2</v>
      </c>
      <c r="P42" s="38">
        <f>L42/HLOOKUP(F42,Team_Composition_23[[#All],[Yellow]:[Red]],7,FALSE)</f>
        <v>1.1716878514780264E-3</v>
      </c>
      <c r="Q42" s="31"/>
      <c r="R42" s="45" t="s">
        <v>32</v>
      </c>
      <c r="S42" s="46">
        <f t="shared" si="6"/>
        <v>4</v>
      </c>
      <c r="T42" s="47">
        <f t="shared" si="7"/>
        <v>3</v>
      </c>
      <c r="U42" s="31"/>
      <c r="V42" s="31"/>
      <c r="W42" s="31"/>
      <c r="X42" s="31"/>
      <c r="Y42" s="31"/>
      <c r="Z42" s="31"/>
      <c r="AA42" s="31"/>
      <c r="AB42" s="45" t="s">
        <v>32</v>
      </c>
      <c r="AC42" s="50">
        <f t="shared" si="8"/>
        <v>2</v>
      </c>
      <c r="AD42" s="51">
        <f t="shared" si="9"/>
        <v>5</v>
      </c>
    </row>
    <row r="43" spans="1:30" ht="22.5" customHeight="1">
      <c r="A43" s="32">
        <v>61</v>
      </c>
      <c r="B43" s="94" t="str">
        <f>VLOOKUP(C43,Lists!I:J,2,FALSE)</f>
        <v>Healer</v>
      </c>
      <c r="C43" s="95" t="str">
        <f>VLOOKUP(E43&amp;D43,Lists!C:E,3,FALSE)</f>
        <v>Wand/Orb</v>
      </c>
      <c r="D43" s="35" t="s">
        <v>34</v>
      </c>
      <c r="E43" s="36" t="s">
        <v>181</v>
      </c>
      <c r="F43" s="35" t="s">
        <v>483</v>
      </c>
      <c r="G43" s="32">
        <v>0</v>
      </c>
      <c r="H43" s="32">
        <v>50</v>
      </c>
      <c r="I43" s="96">
        <f t="shared" si="0"/>
        <v>50</v>
      </c>
      <c r="J43" s="37">
        <v>7281</v>
      </c>
      <c r="K43" s="37">
        <v>270832</v>
      </c>
      <c r="L43" s="37">
        <v>596135</v>
      </c>
      <c r="M43" s="38">
        <f>I54/(HLOOKUP(F54,Team_Composition_23[[#All],[Yellow]:[Red]],10,FALSE)+HLOOKUP(F54,Team_Composition_23[[#All],[Yellow]:[Red]],11,FALSE))</f>
        <v>9.7475631092226941E-3</v>
      </c>
      <c r="N43" s="38">
        <f>J54/HLOOKUP(F54,Team_Composition_23[[#All],[Yellow]:[Red]],6,FALSE)</f>
        <v>5.985403661304154E-3</v>
      </c>
      <c r="O43" s="38">
        <f>K54/HLOOKUP(F54,Team_Composition_23[[#All],[Yellow]:[Red]],8,FALSE)</f>
        <v>3.561398712911408E-2</v>
      </c>
      <c r="P43" s="38">
        <f>L54/HLOOKUP(F54,Team_Composition_23[[#All],[Yellow]:[Red]],7,FALSE)</f>
        <v>4.8242634440740333E-3</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23</v>
      </c>
      <c r="B44" s="94" t="str">
        <f>VLOOKUP(C44,Lists!I:J,2,FALSE)</f>
        <v>KS</v>
      </c>
      <c r="C44" s="95" t="str">
        <f>VLOOKUP(E44&amp;D44,Lists!C:E,3,FALSE)</f>
        <v>Crossbow/Dagger</v>
      </c>
      <c r="D44" s="35" t="s">
        <v>36</v>
      </c>
      <c r="E44" s="36" t="s">
        <v>291</v>
      </c>
      <c r="F44" s="35" t="s">
        <v>476</v>
      </c>
      <c r="G44" s="32">
        <v>19</v>
      </c>
      <c r="H44" s="32">
        <v>31</v>
      </c>
      <c r="I44" s="96">
        <f t="shared" si="0"/>
        <v>50</v>
      </c>
      <c r="J44" s="37">
        <v>966748</v>
      </c>
      <c r="K44" s="37">
        <v>788380</v>
      </c>
      <c r="L44" s="37">
        <v>30276</v>
      </c>
      <c r="M44" s="38">
        <f>I44/(HLOOKUP(F44,Team_Composition_23[[#All],[Yellow]:[Red]],10,FALSE)+HLOOKUP(F44,Team_Composition_23[[#All],[Yellow]:[Red]],11,FALSE))</f>
        <v>1.2496875781054736E-2</v>
      </c>
      <c r="N44" s="38">
        <f>J44/HLOOKUP(F44,Team_Composition_23[[#All],[Yellow]:[Red]],6,FALSE)</f>
        <v>2.179147310234647E-2</v>
      </c>
      <c r="O44" s="38">
        <f>K44/HLOOKUP(F44,Team_Composition_23[[#All],[Yellow]:[Red]],8,FALSE)</f>
        <v>4.5002035817254905E-2</v>
      </c>
      <c r="P44" s="38">
        <f>L44/HLOOKUP(F44,Team_Composition_23[[#All],[Yellow]:[Red]],7,FALSE)</f>
        <v>2.338858909394633E-3</v>
      </c>
      <c r="Q44" s="31"/>
      <c r="R44" s="45" t="s">
        <v>58</v>
      </c>
      <c r="S44" s="46">
        <f t="shared" si="6"/>
        <v>0</v>
      </c>
      <c r="T44" s="47">
        <f t="shared" si="7"/>
        <v>2</v>
      </c>
      <c r="U44" s="31"/>
      <c r="V44" s="31"/>
      <c r="W44" s="31"/>
      <c r="X44" s="31"/>
      <c r="Y44" s="31"/>
      <c r="Z44" s="31"/>
      <c r="AA44" s="31"/>
      <c r="AB44" s="45" t="s">
        <v>58</v>
      </c>
      <c r="AC44" s="50">
        <f t="shared" si="8"/>
        <v>2</v>
      </c>
      <c r="AD44" s="51">
        <f t="shared" si="9"/>
        <v>0</v>
      </c>
    </row>
    <row r="45" spans="1:30" ht="22.5" customHeight="1">
      <c r="A45" s="32">
        <v>62</v>
      </c>
      <c r="B45" s="94" t="str">
        <f>VLOOKUP(C45,Lists!I:J,2,FALSE)</f>
        <v>Healer</v>
      </c>
      <c r="C45" s="95" t="str">
        <f>VLOOKUP(E45&amp;D45,Lists!C:E,3,FALSE)</f>
        <v>Wand/Longbow</v>
      </c>
      <c r="D45" s="35" t="s">
        <v>34</v>
      </c>
      <c r="E45" s="36" t="s">
        <v>106</v>
      </c>
      <c r="F45" s="35" t="s">
        <v>483</v>
      </c>
      <c r="G45" s="32">
        <v>0</v>
      </c>
      <c r="H45" s="32">
        <v>48</v>
      </c>
      <c r="I45" s="96">
        <f t="shared" si="0"/>
        <v>48</v>
      </c>
      <c r="J45" s="37">
        <v>44407</v>
      </c>
      <c r="K45" s="37">
        <v>262294</v>
      </c>
      <c r="L45" s="37">
        <v>1369893</v>
      </c>
      <c r="M45" s="38">
        <f>I45/(HLOOKUP(F45,Team_Composition_23[[#All],[Yellow]:[Red]],10,FALSE)+HLOOKUP(F45,Team_Composition_23[[#All],[Yellow]:[Red]],11,FALSE))</f>
        <v>5.8465286236297195E-2</v>
      </c>
      <c r="N45" s="38">
        <f>J56/HLOOKUP(F56,Team_Composition_23[[#All],[Yellow]:[Red]],6,FALSE)</f>
        <v>2.5823202634791217E-3</v>
      </c>
      <c r="O45" s="38">
        <f>K45/HLOOKUP(F45,Team_Composition_23[[#All],[Yellow]:[Red]],8,FALSE)</f>
        <v>5.9590687355112141E-3</v>
      </c>
      <c r="P45" s="38">
        <f>L45/HLOOKUP(F45,Team_Composition_23[[#All],[Yellow]:[Red]],7,FALSE)</f>
        <v>5.6447581710032987E-2</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63</v>
      </c>
      <c r="B46" s="94" t="str">
        <f>VLOOKUP(C46,Lists!I:J,2,FALSE)</f>
        <v>Tank</v>
      </c>
      <c r="C46" s="95" t="str">
        <f>VLOOKUP(E46&amp;D46,Lists!C:E,3,FALSE)</f>
        <v>SnS/Spear</v>
      </c>
      <c r="D46" s="35" t="s">
        <v>34</v>
      </c>
      <c r="E46" s="36" t="s">
        <v>79</v>
      </c>
      <c r="F46" s="35" t="s">
        <v>476</v>
      </c>
      <c r="G46" s="32">
        <v>0</v>
      </c>
      <c r="H46" s="32">
        <v>47</v>
      </c>
      <c r="I46" s="96">
        <f t="shared" si="0"/>
        <v>47</v>
      </c>
      <c r="J46" s="37">
        <v>287707</v>
      </c>
      <c r="K46" s="37">
        <v>367791</v>
      </c>
      <c r="L46" s="37">
        <v>52188</v>
      </c>
      <c r="M46" s="38">
        <f>I46/(HLOOKUP(F46,Team_Composition_23[[#All],[Yellow]:[Red]],10,FALSE)+HLOOKUP(F46,Team_Composition_23[[#All],[Yellow]:[Red]],11,FALSE))</f>
        <v>1.1747063234191453E-2</v>
      </c>
      <c r="N46" s="38">
        <f>J57/HLOOKUP(F57,Team_Composition_23[[#All],[Yellow]:[Red]],6,FALSE)</f>
        <v>1.8971511280132137E-3</v>
      </c>
      <c r="O46" s="38">
        <f>K57/HLOOKUP(F57,Team_Composition_23[[#All],[Yellow]:[Red]],8,FALSE)</f>
        <v>1.4023443053741124E-2</v>
      </c>
      <c r="P46" s="38">
        <f>L57/HLOOKUP(F57,Team_Composition_23[[#All],[Yellow]:[Red]],7,FALSE)</f>
        <v>6.0512042631224817E-2</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64</v>
      </c>
      <c r="B47" s="94" t="str">
        <f>VLOOKUP(C47,Lists!I:J,2,FALSE)</f>
        <v>Healer</v>
      </c>
      <c r="C47" s="95" t="str">
        <f>VLOOKUP(E47&amp;D47,Lists!C:E,3,FALSE)</f>
        <v>Wand/Longbow</v>
      </c>
      <c r="D47" s="35" t="s">
        <v>36</v>
      </c>
      <c r="E47" s="36" t="s">
        <v>309</v>
      </c>
      <c r="F47" s="35" t="s">
        <v>483</v>
      </c>
      <c r="G47" s="32">
        <v>0</v>
      </c>
      <c r="H47" s="32">
        <v>44</v>
      </c>
      <c r="I47" s="96">
        <f t="shared" si="0"/>
        <v>44</v>
      </c>
      <c r="J47" s="37">
        <v>31645</v>
      </c>
      <c r="K47" s="37">
        <v>496160</v>
      </c>
      <c r="L47" s="37">
        <v>1349016</v>
      </c>
      <c r="M47" s="38">
        <f>I58/(HLOOKUP(F58,Team_Composition_23[[#All],[Yellow]:[Red]],10,FALSE)+HLOOKUP(F58,Team_Composition_23[[#All],[Yellow]:[Red]],11,FALSE))</f>
        <v>8.9977505623594096E-3</v>
      </c>
      <c r="N47" s="38">
        <f>J58/HLOOKUP(F58,Team_Composition_23[[#All],[Yellow]:[Red]],6,FALSE)</f>
        <v>3.1271363943464361E-3</v>
      </c>
      <c r="O47" s="38">
        <f>K58/HLOOKUP(F58,Team_Composition_23[[#All],[Yellow]:[Red]],8,FALSE)</f>
        <v>1.6700208798988831E-2</v>
      </c>
      <c r="P47" s="38">
        <f>L58/HLOOKUP(F58,Team_Composition_23[[#All],[Yellow]:[Red]],7,FALSE)</f>
        <v>1.2975892819758769E-3</v>
      </c>
      <c r="Q47" s="31"/>
      <c r="R47" s="48"/>
      <c r="S47" s="63"/>
      <c r="T47" s="63"/>
      <c r="U47" s="31"/>
      <c r="V47" s="31"/>
      <c r="W47" s="31"/>
      <c r="X47" s="31"/>
      <c r="Y47" s="31"/>
      <c r="Z47" s="31"/>
      <c r="AA47" s="31"/>
      <c r="AB47" s="48"/>
      <c r="AC47" s="63"/>
      <c r="AD47" s="63"/>
    </row>
    <row r="48" spans="1:30" ht="22.5" customHeight="1">
      <c r="A48" s="32">
        <v>65</v>
      </c>
      <c r="B48" s="94" t="str">
        <f>VLOOKUP(C48,Lists!I:J,2,FALSE)</f>
        <v>Tank</v>
      </c>
      <c r="C48" s="95" t="str">
        <f>VLOOKUP(E48&amp;D48,Lists!C:E,3,FALSE)</f>
        <v>SnS/Spear</v>
      </c>
      <c r="D48" s="35" t="s">
        <v>34</v>
      </c>
      <c r="E48" s="36" t="s">
        <v>61</v>
      </c>
      <c r="F48" s="35" t="s">
        <v>476</v>
      </c>
      <c r="G48" s="32">
        <v>0</v>
      </c>
      <c r="H48" s="32">
        <v>43</v>
      </c>
      <c r="I48" s="96">
        <f t="shared" si="0"/>
        <v>43</v>
      </c>
      <c r="J48" s="37">
        <v>214040</v>
      </c>
      <c r="K48" s="37">
        <v>493420</v>
      </c>
      <c r="L48" s="37">
        <v>24978</v>
      </c>
      <c r="M48" s="38">
        <f>I48/(HLOOKUP(F48,Team_Composition_23[[#All],[Yellow]:[Red]],10,FALSE)+HLOOKUP(F48,Team_Composition_23[[#All],[Yellow]:[Red]],11,FALSE))</f>
        <v>1.0747313171707074E-2</v>
      </c>
      <c r="N48" s="38">
        <f>J59/HLOOKUP(F59,Team_Composition_23[[#All],[Yellow]:[Red]],6,FALSE)</f>
        <v>4.4696168775950451E-2</v>
      </c>
      <c r="O48" s="38">
        <f>K59/HLOOKUP(F59,Team_Composition_23[[#All],[Yellow]:[Red]],8,FALSE)</f>
        <v>1.3720689083122573E-2</v>
      </c>
      <c r="P48" s="38">
        <f>L59/HLOOKUP(F59,Team_Composition_23[[#All],[Yellow]:[Red]],7,FALSE)</f>
        <v>4.4481696348532777E-4</v>
      </c>
      <c r="Q48" s="31"/>
      <c r="R48" s="31"/>
      <c r="S48" s="64"/>
      <c r="T48" s="64"/>
      <c r="U48" s="31"/>
      <c r="V48" s="31"/>
      <c r="W48" s="31"/>
      <c r="X48" s="31"/>
      <c r="Y48" s="31"/>
      <c r="Z48" s="31"/>
      <c r="AA48" s="31"/>
      <c r="AB48" s="31"/>
      <c r="AC48" s="64"/>
      <c r="AD48" s="64"/>
    </row>
    <row r="49" spans="1:30" ht="22.5" customHeight="1">
      <c r="A49" s="32">
        <v>17</v>
      </c>
      <c r="B49" s="94" t="str">
        <f>VLOOKUP(C49,Lists!I:J,2,FALSE)</f>
        <v>KS</v>
      </c>
      <c r="C49" s="95" t="str">
        <f>VLOOKUP(E49&amp;D49,Lists!C:E,3,FALSE)</f>
        <v>Crossbow/Dagger</v>
      </c>
      <c r="D49" s="35" t="s">
        <v>36</v>
      </c>
      <c r="E49" s="36" t="s">
        <v>233</v>
      </c>
      <c r="F49" s="35" t="s">
        <v>483</v>
      </c>
      <c r="G49" s="32">
        <v>25</v>
      </c>
      <c r="H49" s="32">
        <v>18</v>
      </c>
      <c r="I49" s="96">
        <f t="shared" si="0"/>
        <v>43</v>
      </c>
      <c r="J49" s="37">
        <v>928685</v>
      </c>
      <c r="K49" s="37">
        <v>663145</v>
      </c>
      <c r="L49" s="37">
        <v>15005</v>
      </c>
      <c r="M49" s="38">
        <f>I49/(HLOOKUP(F49,Team_Composition_23[[#All],[Yellow]:[Red]],10,FALSE)+HLOOKUP(F49,Team_Composition_23[[#All],[Yellow]:[Red]],11,FALSE))</f>
        <v>5.2375152253349572E-2</v>
      </c>
      <c r="N49" s="38">
        <f>J49/HLOOKUP(F49,Team_Composition_23[[#All],[Yellow]:[Red]],6,FALSE)</f>
        <v>5.2630415680456184E-2</v>
      </c>
      <c r="O49" s="38">
        <f>K49/HLOOKUP(F49,Team_Composition_23[[#All],[Yellow]:[Red]],8,FALSE)</f>
        <v>1.5066019949410142E-2</v>
      </c>
      <c r="P49" s="38">
        <f>L49/HLOOKUP(F49,Team_Composition_23[[#All],[Yellow]:[Red]],7,FALSE)</f>
        <v>6.1829351895297294E-4</v>
      </c>
      <c r="Q49" s="31"/>
      <c r="R49" s="227" t="s">
        <v>67</v>
      </c>
      <c r="S49" s="228"/>
      <c r="T49" s="228"/>
      <c r="U49" s="31"/>
      <c r="V49" s="31"/>
      <c r="W49" s="31"/>
      <c r="X49" s="31"/>
      <c r="Y49" s="31"/>
      <c r="Z49" s="31"/>
      <c r="AA49" s="31"/>
      <c r="AB49" s="227" t="s">
        <v>67</v>
      </c>
      <c r="AC49" s="228"/>
      <c r="AD49" s="228"/>
    </row>
    <row r="50" spans="1:30" ht="22.5" customHeight="1">
      <c r="A50" s="32">
        <v>30</v>
      </c>
      <c r="B50" s="94" t="str">
        <f>VLOOKUP(C50,Lists!I:J,2,FALSE)</f>
        <v>Melee DPS</v>
      </c>
      <c r="C50" s="95" t="str">
        <f>VLOOKUP(E50&amp;D50,Lists!C:E,3,FALSE)</f>
        <v>Spear/Dagger</v>
      </c>
      <c r="D50" s="35" t="s">
        <v>34</v>
      </c>
      <c r="E50" s="36" t="s">
        <v>169</v>
      </c>
      <c r="F50" s="35" t="s">
        <v>483</v>
      </c>
      <c r="G50" s="32">
        <v>9</v>
      </c>
      <c r="H50" s="32">
        <v>33</v>
      </c>
      <c r="I50" s="96">
        <f t="shared" si="0"/>
        <v>42</v>
      </c>
      <c r="J50" s="37">
        <v>1038630</v>
      </c>
      <c r="K50" s="37">
        <v>1242894</v>
      </c>
      <c r="L50" s="37">
        <v>51031</v>
      </c>
      <c r="M50" s="38">
        <f>I50/(HLOOKUP(F50,Team_Composition_23[[#All],[Yellow]:[Red]],10,FALSE)+HLOOKUP(F50,Team_Composition_23[[#All],[Yellow]:[Red]],11,FALSE))</f>
        <v>5.1157125456760051E-2</v>
      </c>
      <c r="N50" s="38">
        <f>J50/HLOOKUP(F50,Team_Composition_23[[#All],[Yellow]:[Red]],6,FALSE)</f>
        <v>5.8861216276985422E-2</v>
      </c>
      <c r="O50" s="38">
        <f>K50/HLOOKUP(F50,Team_Composition_23[[#All],[Yellow]:[Red]],8,FALSE)</f>
        <v>2.823736256625952E-2</v>
      </c>
      <c r="P50" s="38">
        <f>L50/HLOOKUP(F50,Team_Composition_23[[#All],[Yellow]:[Red]],7,FALSE)</f>
        <v>2.1027748460972452E-3</v>
      </c>
      <c r="Q50" s="31"/>
      <c r="R50" s="41" t="s">
        <v>482</v>
      </c>
      <c r="S50" s="42" t="s">
        <v>476</v>
      </c>
      <c r="T50" s="42" t="s">
        <v>483</v>
      </c>
      <c r="U50" s="31"/>
      <c r="V50" s="31"/>
      <c r="W50" s="31"/>
      <c r="X50" s="31"/>
      <c r="Y50" s="31"/>
      <c r="Z50" s="31"/>
      <c r="AA50" s="31"/>
      <c r="AB50" s="41" t="s">
        <v>482</v>
      </c>
      <c r="AC50" s="42" t="s">
        <v>485</v>
      </c>
      <c r="AD50" s="42" t="s">
        <v>36</v>
      </c>
    </row>
    <row r="51" spans="1:30" ht="22.5" customHeight="1">
      <c r="A51" s="32">
        <v>66</v>
      </c>
      <c r="B51" s="94" t="str">
        <f>VLOOKUP(C51,Lists!I:J,2,FALSE)</f>
        <v>Healer</v>
      </c>
      <c r="C51" s="95" t="str">
        <f>VLOOKUP(E51&amp;D51,Lists!C:E,3,FALSE)</f>
        <v>Wand/Orb</v>
      </c>
      <c r="D51" s="35" t="s">
        <v>36</v>
      </c>
      <c r="E51" s="36" t="s">
        <v>317</v>
      </c>
      <c r="F51" s="35" t="s">
        <v>483</v>
      </c>
      <c r="G51" s="32">
        <v>0</v>
      </c>
      <c r="H51" s="32">
        <v>41</v>
      </c>
      <c r="I51" s="96">
        <f t="shared" si="0"/>
        <v>41</v>
      </c>
      <c r="J51" s="37">
        <v>5173</v>
      </c>
      <c r="K51" s="37">
        <v>341652</v>
      </c>
      <c r="L51" s="37">
        <v>534631</v>
      </c>
      <c r="M51" s="38">
        <f>I62/(HLOOKUP(F62,Team_Composition_23[[#All],[Yellow]:[Red]],10,FALSE)+HLOOKUP(F62,Team_Composition_23[[#All],[Yellow]:[Red]],11,FALSE))</f>
        <v>8.2479380154961267E-3</v>
      </c>
      <c r="N51" s="38">
        <f>J62/HLOOKUP(F62,Team_Composition_23[[#All],[Yellow]:[Red]],6,FALSE)</f>
        <v>1.0919539854201614E-3</v>
      </c>
      <c r="O51" s="38">
        <f>K62/HLOOKUP(F62,Team_Composition_23[[#All],[Yellow]:[Red]],8,FALSE)</f>
        <v>1.3512255402964239E-2</v>
      </c>
      <c r="P51" s="38">
        <f>L62/HLOOKUP(F62,Team_Composition_23[[#All],[Yellow]:[Red]],7,FALSE)</f>
        <v>1.9822671295767697E-3</v>
      </c>
      <c r="Q51" s="31"/>
      <c r="R51" s="45" t="s">
        <v>468</v>
      </c>
      <c r="S51" s="46">
        <f>SUMIFS(Scoreboard_39[Damage Dealt],Scoreboard_39[Role],"Tank",Scoreboard_39[Team],"Yellow")</f>
        <v>5429439</v>
      </c>
      <c r="T51" s="47">
        <f>SUMIFS(Scoreboard_39[Damage Dealt],Scoreboard_39[Role],"Tank",Scoreboard_39[Team],"Red")</f>
        <v>1330228</v>
      </c>
      <c r="U51" s="31"/>
      <c r="V51" s="31"/>
      <c r="W51" s="31"/>
      <c r="X51" s="31"/>
      <c r="Y51" s="31"/>
      <c r="Z51" s="31"/>
      <c r="AA51" s="31"/>
      <c r="AB51" s="45" t="s">
        <v>468</v>
      </c>
      <c r="AC51" s="50">
        <f>SUMIFS(Scoreboard_39[Damage Dealt],Scoreboard_39[Role],"Tank",Scoreboard_39[Guild],"Best Regards")</f>
        <v>1555393</v>
      </c>
      <c r="AD51" s="51">
        <f>SUMIFS(Scoreboard_39[Damage Dealt],Scoreboard_39[Role],"Tank",Scoreboard_39[Guild],"Unhinged肉")</f>
        <v>5148104</v>
      </c>
    </row>
    <row r="52" spans="1:30" ht="22.5" customHeight="1">
      <c r="A52" s="32">
        <v>36</v>
      </c>
      <c r="B52" s="94" t="str">
        <f>VLOOKUP(C52,Lists!I:J,2,FALSE)</f>
        <v>Healer</v>
      </c>
      <c r="C52" s="95" t="str">
        <f>VLOOKUP(E52&amp;D52,Lists!C:E,3,FALSE)</f>
        <v>Wand/Orb</v>
      </c>
      <c r="D52" s="35" t="s">
        <v>36</v>
      </c>
      <c r="E52" s="36" t="s">
        <v>301</v>
      </c>
      <c r="F52" s="35" t="s">
        <v>476</v>
      </c>
      <c r="G52" s="32">
        <v>2</v>
      </c>
      <c r="H52" s="32">
        <v>39</v>
      </c>
      <c r="I52" s="96">
        <f t="shared" si="0"/>
        <v>41</v>
      </c>
      <c r="J52" s="37">
        <v>120941</v>
      </c>
      <c r="K52" s="37">
        <v>561561</v>
      </c>
      <c r="L52" s="37">
        <v>1077103</v>
      </c>
      <c r="M52" s="38">
        <f>I52/(HLOOKUP(F52,Team_Composition_23[[#All],[Yellow]:[Red]],10,FALSE)+HLOOKUP(F52,Team_Composition_23[[#All],[Yellow]:[Red]],11,FALSE))</f>
        <v>1.0247438140464884E-2</v>
      </c>
      <c r="N52" s="38">
        <f>J52/HLOOKUP(F52,Team_Composition_23[[#All],[Yellow]:[Red]],6,FALSE)</f>
        <v>2.7261318859422359E-3</v>
      </c>
      <c r="O52" s="38">
        <f>K52/HLOOKUP(F52,Team_Composition_23[[#All],[Yellow]:[Red]],8,FALSE)</f>
        <v>3.2054831725276491E-2</v>
      </c>
      <c r="P52" s="38">
        <f>L52/HLOOKUP(F52,Team_Composition_23[[#All],[Yellow]:[Red]],7,FALSE)</f>
        <v>8.3207555419662016E-2</v>
      </c>
      <c r="Q52" s="31"/>
      <c r="R52" s="45" t="s">
        <v>469</v>
      </c>
      <c r="S52" s="46">
        <f>SUMIFS(Scoreboard_39[Damage Taken],Scoreboard_39[Role],"Tank",Scoreboard_39[Team],"Yellow")</f>
        <v>7395997</v>
      </c>
      <c r="T52" s="47">
        <f>SUMIFS(Scoreboard_39[Damage Taken],Scoreboard_39[Role],"Tank",Scoreboard_39[Team],"Red")</f>
        <v>9136372</v>
      </c>
      <c r="U52" s="31"/>
      <c r="V52" s="31"/>
      <c r="W52" s="31"/>
      <c r="X52" s="31"/>
      <c r="Y52" s="31"/>
      <c r="Z52" s="31"/>
      <c r="AA52" s="31"/>
      <c r="AB52" s="45" t="s">
        <v>469</v>
      </c>
      <c r="AC52" s="50">
        <f>SUMIFS(Scoreboard_39[Damage Taken],Scoreboard_39[Role],"Tank",Scoreboard_39[Guild],"Best Regards")</f>
        <v>8406262</v>
      </c>
      <c r="AD52" s="51">
        <f>SUMIFS(Scoreboard_39[Damage Taken],Scoreboard_39[Role],"Tank",Scoreboard_39[Guild],"Unhinged肉")</f>
        <v>7788316</v>
      </c>
    </row>
    <row r="53" spans="1:30" ht="22.5" customHeight="1">
      <c r="A53" s="32">
        <v>33</v>
      </c>
      <c r="B53" s="94" t="str">
        <f>VLOOKUP(C53,Lists!I:J,2,FALSE)</f>
        <v>Ranged DPS</v>
      </c>
      <c r="C53" s="95" t="str">
        <f>VLOOKUP(E53&amp;D53,Lists!C:E,3,FALSE)</f>
        <v>Staff/Dagger</v>
      </c>
      <c r="D53" s="35" t="s">
        <v>36</v>
      </c>
      <c r="E53" s="36" t="s">
        <v>259</v>
      </c>
      <c r="F53" s="35" t="s">
        <v>483</v>
      </c>
      <c r="G53" s="32">
        <v>5</v>
      </c>
      <c r="H53" s="32">
        <v>34</v>
      </c>
      <c r="I53" s="96">
        <f t="shared" si="0"/>
        <v>39</v>
      </c>
      <c r="J53" s="37">
        <v>1113390</v>
      </c>
      <c r="K53" s="37">
        <v>696335</v>
      </c>
      <c r="L53" s="37">
        <v>0</v>
      </c>
      <c r="M53" s="38">
        <f>I53/(HLOOKUP(F53,Team_Composition_23[[#All],[Yellow]:[Red]],10,FALSE)+HLOOKUP(F53,Team_Composition_23[[#All],[Yellow]:[Red]],11,FALSE))</f>
        <v>4.7503045066991476E-2</v>
      </c>
      <c r="N53" s="38">
        <f>J53/HLOOKUP(F53,Team_Composition_23[[#All],[Yellow]:[Red]],6,FALSE)</f>
        <v>6.3098013335483094E-2</v>
      </c>
      <c r="O53" s="38">
        <f>K53/HLOOKUP(F53,Team_Composition_23[[#All],[Yellow]:[Red]],8,FALSE)</f>
        <v>1.582006499554775E-2</v>
      </c>
      <c r="P53" s="38">
        <f>L53/HLOOKUP(F53,Team_Composition_23[[#All],[Yellow]:[Red]],7,FALSE)</f>
        <v>0</v>
      </c>
      <c r="Q53" s="31"/>
      <c r="R53" s="45" t="s">
        <v>470</v>
      </c>
      <c r="S53" s="46">
        <f>SUMIFS(Scoreboard_39[Amount Healed],Scoreboard_39[Role],"Tank",Scoreboard_39[Team],"Yellow")</f>
        <v>597933</v>
      </c>
      <c r="T53" s="47">
        <f>SUMIFS(Scoreboard_39[Amount Healed],Scoreboard_39[Role],"Tank",Scoreboard_39[Team],"Red")</f>
        <v>637272</v>
      </c>
      <c r="U53" s="31"/>
      <c r="V53" s="31"/>
      <c r="W53" s="31"/>
      <c r="X53" s="31"/>
      <c r="Y53" s="31"/>
      <c r="Z53" s="31"/>
      <c r="AA53" s="31"/>
      <c r="AB53" s="45" t="s">
        <v>470</v>
      </c>
      <c r="AC53" s="50">
        <f>SUMIFS(Scoreboard_39[Amount Healed],Scoreboard_39[Role],"Tank",Scoreboard_39[Guild],"Best Regards")</f>
        <v>517204</v>
      </c>
      <c r="AD53" s="51">
        <f>SUMIFS(Scoreboard_39[Amount Healed],Scoreboard_39[Role],"Tank",Scoreboard_39[Guild],"Unhinged肉")</f>
        <v>648394</v>
      </c>
    </row>
    <row r="54" spans="1:30" ht="22.5" customHeight="1">
      <c r="A54" s="32">
        <v>37</v>
      </c>
      <c r="B54" s="94" t="str">
        <f>VLOOKUP(C54,Lists!I:J,2,FALSE)</f>
        <v>Tank</v>
      </c>
      <c r="C54" s="95" t="str">
        <f>VLOOKUP(E54&amp;D54,Lists!C:E,3,FALSE)</f>
        <v>SnS/Greatsword</v>
      </c>
      <c r="D54" s="35" t="s">
        <v>36</v>
      </c>
      <c r="E54" s="36" t="s">
        <v>252</v>
      </c>
      <c r="F54" s="35" t="s">
        <v>476</v>
      </c>
      <c r="G54" s="32">
        <v>2</v>
      </c>
      <c r="H54" s="32">
        <v>37</v>
      </c>
      <c r="I54" s="96">
        <f t="shared" si="0"/>
        <v>39</v>
      </c>
      <c r="J54" s="37">
        <v>265534</v>
      </c>
      <c r="K54" s="37">
        <v>623913</v>
      </c>
      <c r="L54" s="37">
        <v>62449</v>
      </c>
      <c r="M54" s="38">
        <f>I54/(HLOOKUP(F54,Team_Composition_23[[#All],[Yellow]:[Red]],10,FALSE)+HLOOKUP(F54,Team_Composition_23[[#All],[Yellow]:[Red]],11,FALSE))</f>
        <v>9.7475631092226941E-3</v>
      </c>
      <c r="N54" s="38">
        <f>J65/HLOOKUP(F65,Team_Composition_23[[#All],[Yellow]:[Red]],6,FALSE)</f>
        <v>1.6278118864372908E-2</v>
      </c>
      <c r="O54" s="38">
        <f>K65/HLOOKUP(F65,Team_Composition_23[[#All],[Yellow]:[Red]],8,FALSE)</f>
        <v>2.3164063889766474E-2</v>
      </c>
      <c r="P54" s="38">
        <f>L65/HLOOKUP(F65,Team_Composition_23[[#All],[Yellow]:[Red]],7,FALSE)</f>
        <v>3.0115282794187289E-3</v>
      </c>
      <c r="Q54" s="31"/>
      <c r="R54" s="45" t="s">
        <v>465</v>
      </c>
      <c r="S54" s="46">
        <f>SUMIFS(Scoreboard_39[Kills],Scoreboard_39[Role],"Tank",Scoreboard_39[Team],"Yellow")</f>
        <v>80</v>
      </c>
      <c r="T54" s="47">
        <f>SUMIFS(Scoreboard_39[Kills],Scoreboard_39[Role],"Tank",Scoreboard_39[Team],"Red")</f>
        <v>5</v>
      </c>
      <c r="U54" s="31"/>
      <c r="V54" s="31"/>
      <c r="W54" s="31"/>
      <c r="X54" s="31"/>
      <c r="Y54" s="31"/>
      <c r="Z54" s="31"/>
      <c r="AA54" s="31"/>
      <c r="AB54" s="45" t="s">
        <v>465</v>
      </c>
      <c r="AC54" s="50">
        <f>SUMIFS(Scoreboard_39[Kills],Scoreboard_39[Role],"Tank",Scoreboard_39[Guild],"Best Regards")</f>
        <v>7</v>
      </c>
      <c r="AD54" s="51">
        <f>SUMIFS(Scoreboard_39[Kills],Scoreboard_39[Role],"Tank",Scoreboard_39[Guild],"Unhinged肉")</f>
        <v>77</v>
      </c>
    </row>
    <row r="55" spans="1:30" ht="22.5" customHeight="1">
      <c r="A55" s="32">
        <v>67</v>
      </c>
      <c r="B55" s="94" t="str">
        <f>VLOOKUP(C55,Lists!I:J,2,FALSE)</f>
        <v>Healer</v>
      </c>
      <c r="C55" s="95" t="str">
        <f>VLOOKUP(E55&amp;D55,Lists!C:E,3,FALSE)</f>
        <v>Wand/Orb</v>
      </c>
      <c r="D55" s="35" t="s">
        <v>34</v>
      </c>
      <c r="E55" s="36" t="s">
        <v>164</v>
      </c>
      <c r="F55" s="35" t="s">
        <v>483</v>
      </c>
      <c r="G55" s="32">
        <v>0</v>
      </c>
      <c r="H55" s="32">
        <v>37</v>
      </c>
      <c r="I55" s="96">
        <f t="shared" si="0"/>
        <v>37</v>
      </c>
      <c r="J55" s="37">
        <v>11450</v>
      </c>
      <c r="K55" s="37">
        <v>432446</v>
      </c>
      <c r="L55" s="37">
        <v>608305</v>
      </c>
      <c r="M55" s="38">
        <f>I66/(HLOOKUP(F66,Team_Composition_23[[#All],[Yellow]:[Red]],10,FALSE)+HLOOKUP(F66,Team_Composition_23[[#All],[Yellow]:[Red]],11,FALSE))</f>
        <v>3.0450669914738125E-2</v>
      </c>
      <c r="N55" s="38">
        <f>J66/HLOOKUP(F66,Team_Composition_23[[#All],[Yellow]:[Red]],6,FALSE)</f>
        <v>1.0725171794016628E-3</v>
      </c>
      <c r="O55" s="38">
        <f>K66/HLOOKUP(F66,Team_Composition_23[[#All],[Yellow]:[Red]],8,FALSE)</f>
        <v>7.8022647160217286E-3</v>
      </c>
      <c r="P55" s="38">
        <f>L66/HLOOKUP(F66,Team_Composition_23[[#All],[Yellow]:[Red]],7,FALSE)</f>
        <v>4.5325344566263082E-2</v>
      </c>
      <c r="Q55" s="31"/>
      <c r="R55" s="45" t="s">
        <v>466</v>
      </c>
      <c r="S55" s="46">
        <f>SUMIFS(Scoreboard_39[Assists],Scoreboard_39[Role],"Tank",Scoreboard_39[Team],"Yellow")</f>
        <v>456</v>
      </c>
      <c r="T55" s="47">
        <f>SUMIFS(Scoreboard_39[Assists],Scoreboard_39[Role],"Tank",Scoreboard_39[Team],"Red")</f>
        <v>163</v>
      </c>
      <c r="U55" s="31"/>
      <c r="V55" s="31"/>
      <c r="W55" s="31"/>
      <c r="X55" s="31"/>
      <c r="Y55" s="31"/>
      <c r="Z55" s="31"/>
      <c r="AA55" s="31"/>
      <c r="AB55" s="45" t="s">
        <v>466</v>
      </c>
      <c r="AC55" s="50">
        <f>SUMIFS(Scoreboard_39[Assists],Scoreboard_39[Role],"Tank",Scoreboard_39[Guild],"Best Regards")</f>
        <v>253</v>
      </c>
      <c r="AD55" s="51">
        <f>SUMIFS(Scoreboard_39[Assists],Scoreboard_39[Role],"Tank",Scoreboard_39[Guild],"Unhinged肉")</f>
        <v>348</v>
      </c>
    </row>
    <row r="56" spans="1:30" ht="22.5" customHeight="1">
      <c r="A56" s="32">
        <v>38</v>
      </c>
      <c r="B56" s="94" t="str">
        <f>VLOOKUP(C56,Lists!I:J,2,FALSE)</f>
        <v>Tank</v>
      </c>
      <c r="C56" s="95" t="str">
        <f>VLOOKUP(E56&amp;D56,Lists!C:E,3,FALSE)</f>
        <v>SnS/Greatsword</v>
      </c>
      <c r="D56" s="35" t="s">
        <v>36</v>
      </c>
      <c r="E56" s="36" t="s">
        <v>320</v>
      </c>
      <c r="F56" s="35" t="s">
        <v>476</v>
      </c>
      <c r="G56" s="32">
        <v>2</v>
      </c>
      <c r="H56" s="32">
        <v>35</v>
      </c>
      <c r="I56" s="96">
        <f t="shared" si="0"/>
        <v>37</v>
      </c>
      <c r="J56" s="37">
        <v>114561</v>
      </c>
      <c r="K56" s="37">
        <v>103303</v>
      </c>
      <c r="L56" s="37">
        <v>13708</v>
      </c>
      <c r="M56" s="38">
        <f>I56/(HLOOKUP(F56,Team_Composition_23[[#All],[Yellow]:[Red]],10,FALSE)+HLOOKUP(F56,Team_Composition_23[[#All],[Yellow]:[Red]],11,FALSE))</f>
        <v>9.2476880779805044E-3</v>
      </c>
      <c r="N56" s="38">
        <f>J67/HLOOKUP(F67,Team_Composition_23[[#All],[Yellow]:[Red]],6,FALSE)</f>
        <v>4.0736107228109648E-3</v>
      </c>
      <c r="O56" s="38">
        <f>K67/HLOOKUP(F67,Team_Composition_23[[#All],[Yellow]:[Red]],8,FALSE)</f>
        <v>3.3669843013459343E-2</v>
      </c>
      <c r="P56" s="38">
        <f>L67/HLOOKUP(F67,Team_Composition_23[[#All],[Yellow]:[Red]],7,FALSE)</f>
        <v>1.5465700675809403E-3</v>
      </c>
      <c r="Q56" s="31"/>
      <c r="R56" s="45" t="s">
        <v>62</v>
      </c>
      <c r="S56" s="46">
        <f t="shared" ref="S56:S60" si="10">COUNTIFS(C:C,R56,F:F,"Yellow")</f>
        <v>4</v>
      </c>
      <c r="T56" s="47">
        <f t="shared" ref="T56:T60" si="11">COUNTIFS(C:C,R56,F:F,"Red")</f>
        <v>2</v>
      </c>
      <c r="U56" s="31"/>
      <c r="V56" s="31"/>
      <c r="W56" s="31"/>
      <c r="X56" s="31"/>
      <c r="Y56" s="31"/>
      <c r="Z56" s="31"/>
      <c r="AA56" s="31"/>
      <c r="AB56" s="45" t="s">
        <v>62</v>
      </c>
      <c r="AC56" s="50">
        <f t="shared" ref="AC56:AC60" si="12">COUNTIFS(C:C,AB56,D:D,"Best Regards")</f>
        <v>3</v>
      </c>
      <c r="AD56" s="51">
        <f t="shared" ref="AD56:AD60" si="13">COUNTIFS(C:C,AB56,D:D,"Unhinged肉")</f>
        <v>3</v>
      </c>
    </row>
    <row r="57" spans="1:30" ht="22.5" customHeight="1">
      <c r="A57" s="32">
        <v>68</v>
      </c>
      <c r="B57" s="94" t="str">
        <f>VLOOKUP(C57,Lists!I:J,2,FALSE)</f>
        <v>Healer</v>
      </c>
      <c r="C57" s="95" t="str">
        <f>VLOOKUP(E57&amp;D57,Lists!C:E,3,FALSE)</f>
        <v>Wand/Orb</v>
      </c>
      <c r="D57" s="35" t="s">
        <v>34</v>
      </c>
      <c r="E57" s="36" t="s">
        <v>144</v>
      </c>
      <c r="F57" s="35" t="s">
        <v>483</v>
      </c>
      <c r="G57" s="32">
        <v>0</v>
      </c>
      <c r="H57" s="32">
        <v>36</v>
      </c>
      <c r="I57" s="96">
        <f t="shared" si="0"/>
        <v>36</v>
      </c>
      <c r="J57" s="37">
        <v>33476</v>
      </c>
      <c r="K57" s="37">
        <v>617255</v>
      </c>
      <c r="L57" s="37">
        <v>1468531</v>
      </c>
      <c r="M57" s="38">
        <f>I68/(HLOOKUP(F68,Team_Composition_23[[#All],[Yellow]:[Red]],10,FALSE)+HLOOKUP(F68,Team_Composition_23[[#All],[Yellow]:[Red]],11,FALSE))</f>
        <v>5.7485628592851791E-3</v>
      </c>
      <c r="N57" s="38">
        <f>J68/HLOOKUP(F68,Team_Composition_23[[#All],[Yellow]:[Red]],6,FALSE)</f>
        <v>9.6926328619340127E-5</v>
      </c>
      <c r="O57" s="38">
        <f>K68/HLOOKUP(F68,Team_Composition_23[[#All],[Yellow]:[Red]],8,FALSE)</f>
        <v>2.3076971815875355E-2</v>
      </c>
      <c r="P57" s="38">
        <f>L68/HLOOKUP(F68,Team_Composition_23[[#All],[Yellow]:[Red]],7,FALSE)</f>
        <v>4.9810525853908307E-2</v>
      </c>
      <c r="Q57" s="31"/>
      <c r="R57" s="45" t="s">
        <v>70</v>
      </c>
      <c r="S57" s="46">
        <f t="shared" si="10"/>
        <v>1</v>
      </c>
      <c r="T57" s="47">
        <f t="shared" si="11"/>
        <v>2</v>
      </c>
      <c r="U57" s="31"/>
      <c r="V57" s="31"/>
      <c r="W57" s="31"/>
      <c r="X57" s="31"/>
      <c r="Y57" s="31"/>
      <c r="Z57" s="31"/>
      <c r="AA57" s="31"/>
      <c r="AB57" s="45" t="s">
        <v>70</v>
      </c>
      <c r="AC57" s="50">
        <f t="shared" si="12"/>
        <v>1</v>
      </c>
      <c r="AD57" s="51">
        <f t="shared" si="13"/>
        <v>2</v>
      </c>
    </row>
    <row r="58" spans="1:30" ht="22.5" customHeight="1">
      <c r="A58" s="32">
        <v>39</v>
      </c>
      <c r="B58" s="94" t="str">
        <f>VLOOKUP(C58,Lists!I:J,2,FALSE)</f>
        <v>Tank</v>
      </c>
      <c r="C58" s="95" t="str">
        <f>VLOOKUP(E58&amp;D58,Lists!C:E,3,FALSE)</f>
        <v>SnS/Dagger</v>
      </c>
      <c r="D58" s="35" t="s">
        <v>36</v>
      </c>
      <c r="E58" s="36" t="s">
        <v>321</v>
      </c>
      <c r="F58" s="35" t="s">
        <v>476</v>
      </c>
      <c r="G58" s="32">
        <v>2</v>
      </c>
      <c r="H58" s="32">
        <v>34</v>
      </c>
      <c r="I58" s="96">
        <f t="shared" si="0"/>
        <v>36</v>
      </c>
      <c r="J58" s="37">
        <v>138731</v>
      </c>
      <c r="K58" s="37">
        <v>292567</v>
      </c>
      <c r="L58" s="37">
        <v>16797</v>
      </c>
      <c r="M58" s="38">
        <f>I58/(HLOOKUP(F58,Team_Composition_23[[#All],[Yellow]:[Red]],10,FALSE)+HLOOKUP(F58,Team_Composition_23[[#All],[Yellow]:[Red]],11,FALSE))</f>
        <v>8.9977505623594096E-3</v>
      </c>
      <c r="N58" s="38">
        <f>J58/HLOOKUP(F58,Team_Composition_23[[#All],[Yellow]:[Red]],6,FALSE)</f>
        <v>3.1271363943464361E-3</v>
      </c>
      <c r="O58" s="38">
        <f>K58/HLOOKUP(F58,Team_Composition_23[[#All],[Yellow]:[Red]],8,FALSE)</f>
        <v>1.6700208798988831E-2</v>
      </c>
      <c r="P58" s="38">
        <f>L69/HLOOKUP(F69,Team_Composition_23[[#All],[Yellow]:[Red]],7,FALSE)</f>
        <v>2.2223953782878805E-2</v>
      </c>
      <c r="Q58" s="31"/>
      <c r="R58" s="45" t="s">
        <v>14</v>
      </c>
      <c r="S58" s="46">
        <f t="shared" si="10"/>
        <v>8</v>
      </c>
      <c r="T58" s="47">
        <f t="shared" si="11"/>
        <v>10</v>
      </c>
      <c r="U58" s="31"/>
      <c r="V58" s="31"/>
      <c r="W58" s="31"/>
      <c r="X58" s="31"/>
      <c r="Y58" s="31"/>
      <c r="Z58" s="31"/>
      <c r="AA58" s="31"/>
      <c r="AB58" s="45" t="s">
        <v>14</v>
      </c>
      <c r="AC58" s="50">
        <f t="shared" si="12"/>
        <v>10</v>
      </c>
      <c r="AD58" s="51">
        <f t="shared" si="13"/>
        <v>8</v>
      </c>
    </row>
    <row r="59" spans="1:30" ht="22.5" customHeight="1">
      <c r="A59" s="32">
        <v>29</v>
      </c>
      <c r="B59" s="94" t="str">
        <f>VLOOKUP(C59,Lists!I:J,2,FALSE)</f>
        <v>Ranged DPS</v>
      </c>
      <c r="C59" s="95" t="str">
        <f>VLOOKUP(E59&amp;D59,Lists!C:E,3,FALSE)</f>
        <v>Staff/Dagger</v>
      </c>
      <c r="D59" s="35" t="s">
        <v>36</v>
      </c>
      <c r="E59" s="36" t="s">
        <v>294</v>
      </c>
      <c r="F59" s="35" t="s">
        <v>483</v>
      </c>
      <c r="G59" s="32">
        <v>10</v>
      </c>
      <c r="H59" s="32">
        <v>24</v>
      </c>
      <c r="I59" s="96">
        <f t="shared" si="0"/>
        <v>34</v>
      </c>
      <c r="J59" s="37">
        <v>788682</v>
      </c>
      <c r="K59" s="37">
        <v>603929</v>
      </c>
      <c r="L59" s="37">
        <v>10795</v>
      </c>
      <c r="M59" s="38">
        <f>I59/(HLOOKUP(F59,Team_Composition_23[[#All],[Yellow]:[Red]],10,FALSE)+HLOOKUP(F59,Team_Composition_23[[#All],[Yellow]:[Red]],11,FALSE))</f>
        <v>4.1412911084043852E-2</v>
      </c>
      <c r="N59" s="38">
        <f>J59/HLOOKUP(F59,Team_Composition_23[[#All],[Yellow]:[Red]],6,FALSE)</f>
        <v>4.4696168775950451E-2</v>
      </c>
      <c r="O59" s="38">
        <f>K59/HLOOKUP(F59,Team_Composition_23[[#All],[Yellow]:[Red]],8,FALSE)</f>
        <v>1.3720689083122573E-2</v>
      </c>
      <c r="P59" s="38">
        <f>L59/HLOOKUP(F59,Team_Composition_23[[#All],[Yellow]:[Red]],7,FALSE)</f>
        <v>4.4481696348532777E-4</v>
      </c>
      <c r="Q59" s="31"/>
      <c r="R59" s="45" t="s">
        <v>73</v>
      </c>
      <c r="S59" s="46">
        <f t="shared" si="10"/>
        <v>2</v>
      </c>
      <c r="T59" s="47">
        <f t="shared" si="11"/>
        <v>0</v>
      </c>
      <c r="U59" s="31"/>
      <c r="V59" s="31"/>
      <c r="W59" s="31"/>
      <c r="X59" s="31"/>
      <c r="Y59" s="31"/>
      <c r="Z59" s="31"/>
      <c r="AA59" s="31"/>
      <c r="AB59" s="45" t="s">
        <v>73</v>
      </c>
      <c r="AC59" s="50">
        <f t="shared" si="12"/>
        <v>0</v>
      </c>
      <c r="AD59" s="51">
        <f t="shared" si="13"/>
        <v>1</v>
      </c>
    </row>
    <row r="60" spans="1:30" ht="22.5" customHeight="1">
      <c r="A60" s="32">
        <v>70</v>
      </c>
      <c r="B60" s="94" t="str">
        <f>VLOOKUP(C60,Lists!I:J,2,FALSE)</f>
        <v>Healer</v>
      </c>
      <c r="C60" s="95" t="str">
        <f>VLOOKUP(E60&amp;D60,Lists!C:E,3,FALSE)</f>
        <v>Wand/Orb</v>
      </c>
      <c r="D60" s="35" t="s">
        <v>36</v>
      </c>
      <c r="E60" s="36" t="s">
        <v>285</v>
      </c>
      <c r="F60" s="35" t="s">
        <v>476</v>
      </c>
      <c r="G60" s="32">
        <v>0</v>
      </c>
      <c r="H60" s="32">
        <v>33</v>
      </c>
      <c r="I60" s="96">
        <f t="shared" si="0"/>
        <v>33</v>
      </c>
      <c r="J60" s="37">
        <v>40539</v>
      </c>
      <c r="K60" s="37">
        <v>553376</v>
      </c>
      <c r="L60" s="37">
        <v>588548</v>
      </c>
      <c r="M60" s="38">
        <f>I71/(HLOOKUP(F71,Team_Composition_23[[#All],[Yellow]:[Red]],10,FALSE)+HLOOKUP(F71,Team_Composition_23[[#All],[Yellow]:[Red]],11,FALSE))</f>
        <v>2.5578562728380026E-2</v>
      </c>
      <c r="N60" s="38">
        <f>J71/HLOOKUP(F71,Team_Composition_23[[#All],[Yellow]:[Red]],6,FALSE)</f>
        <v>2.3535872370172291E-3</v>
      </c>
      <c r="O60" s="38">
        <f>K71/HLOOKUP(F71,Team_Composition_23[[#All],[Yellow]:[Red]],8,FALSE)</f>
        <v>5.2090903981189722E-3</v>
      </c>
      <c r="P60" s="38">
        <f>L71/HLOOKUP(F71,Team_Composition_23[[#All],[Yellow]:[Red]],7,FALSE)</f>
        <v>4.8882479275835506E-4</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71</v>
      </c>
      <c r="B61" s="94" t="str">
        <f>VLOOKUP(C61,Lists!I:J,2,FALSE)</f>
        <v>Healer</v>
      </c>
      <c r="C61" s="95" t="str">
        <f>VLOOKUP(E61&amp;D61,Lists!C:E,3,FALSE)</f>
        <v>Wand/Longbow</v>
      </c>
      <c r="D61" s="35" t="s">
        <v>36</v>
      </c>
      <c r="E61" s="36" t="s">
        <v>279</v>
      </c>
      <c r="F61" s="35" t="s">
        <v>476</v>
      </c>
      <c r="G61" s="32">
        <v>0</v>
      </c>
      <c r="H61" s="32">
        <v>33</v>
      </c>
      <c r="I61" s="96">
        <f t="shared" si="0"/>
        <v>33</v>
      </c>
      <c r="J61" s="37">
        <v>31280</v>
      </c>
      <c r="K61" s="37">
        <v>248977</v>
      </c>
      <c r="L61" s="37">
        <v>605817</v>
      </c>
      <c r="M61" s="38">
        <f>I72/(HLOOKUP(F72,Team_Composition_23[[#All],[Yellow]:[Red]],10,FALSE)+HLOOKUP(F72,Team_Composition_23[[#All],[Yellow]:[Red]],11,FALSE))</f>
        <v>2.3142509135200974E-2</v>
      </c>
      <c r="N61" s="38">
        <f>J72/HLOOKUP(F72,Team_Composition_23[[#All],[Yellow]:[Red]],6,FALSE)</f>
        <v>1.4527861502753832E-3</v>
      </c>
      <c r="O61" s="38">
        <f>K72/HLOOKUP(F72,Team_Composition_23[[#All],[Yellow]:[Red]],8,FALSE)</f>
        <v>1.1983432001380955E-2</v>
      </c>
      <c r="P61" s="38">
        <f>L72/HLOOKUP(F72,Team_Composition_23[[#All],[Yellow]:[Red]],7,FALSE)</f>
        <v>7.0875597984194183E-2</v>
      </c>
      <c r="Q61" s="31"/>
      <c r="R61" s="48"/>
      <c r="S61" s="63"/>
      <c r="T61" s="63"/>
      <c r="U61" s="31"/>
      <c r="V61" s="31"/>
      <c r="W61" s="31"/>
      <c r="X61" s="31"/>
      <c r="Y61" s="31"/>
      <c r="Z61" s="31"/>
      <c r="AA61" s="31"/>
      <c r="AB61" s="48"/>
      <c r="AC61" s="63"/>
      <c r="AD61" s="63"/>
    </row>
    <row r="62" spans="1:30" ht="22.5" customHeight="1">
      <c r="A62" s="32">
        <v>69</v>
      </c>
      <c r="B62" s="94" t="str">
        <f>VLOOKUP(C62,Lists!I:J,2,FALSE)</f>
        <v>Tank</v>
      </c>
      <c r="C62" s="95" t="str">
        <f>VLOOKUP(E62&amp;D62,Lists!C:E,3,FALSE)</f>
        <v>SnS/Greatsword</v>
      </c>
      <c r="D62" s="35" t="s">
        <v>34</v>
      </c>
      <c r="E62" s="36" t="s">
        <v>150</v>
      </c>
      <c r="F62" s="35" t="s">
        <v>476</v>
      </c>
      <c r="G62" s="32">
        <v>0</v>
      </c>
      <c r="H62" s="32">
        <v>33</v>
      </c>
      <c r="I62" s="96">
        <f t="shared" si="0"/>
        <v>33</v>
      </c>
      <c r="J62" s="37">
        <v>48443</v>
      </c>
      <c r="K62" s="37">
        <v>236718</v>
      </c>
      <c r="L62" s="37">
        <v>25660</v>
      </c>
      <c r="M62" s="38">
        <f>I62/(HLOOKUP(F62,Team_Composition_23[[#All],[Yellow]:[Red]],10,FALSE)+HLOOKUP(F62,Team_Composition_23[[#All],[Yellow]:[Red]],11,FALSE))</f>
        <v>8.2479380154961267E-3</v>
      </c>
      <c r="N62" s="38">
        <f>J73/HLOOKUP(F73,Team_Composition_23[[#All],[Yellow]:[Red]],6,FALSE)</f>
        <v>1.26612834384845E-3</v>
      </c>
      <c r="O62" s="38">
        <f>K73/HLOOKUP(F73,Team_Composition_23[[#All],[Yellow]:[Red]],8,FALSE)</f>
        <v>1.9281669601900545E-2</v>
      </c>
      <c r="P62" s="38">
        <f>L73/HLOOKUP(F73,Team_Composition_23[[#All],[Yellow]:[Red]],7,FALSE)</f>
        <v>5.3772279067985269E-3</v>
      </c>
      <c r="Q62" s="31"/>
      <c r="R62" s="31"/>
      <c r="S62" s="64"/>
      <c r="T62" s="64"/>
      <c r="U62" s="31"/>
      <c r="V62" s="31"/>
      <c r="W62" s="31"/>
      <c r="X62" s="31"/>
      <c r="Y62" s="31"/>
      <c r="Z62" s="31"/>
      <c r="AA62" s="31"/>
      <c r="AB62" s="31"/>
      <c r="AC62" s="64"/>
      <c r="AD62" s="64"/>
    </row>
    <row r="63" spans="1:30" ht="22.5" customHeight="1">
      <c r="A63" s="32">
        <v>72</v>
      </c>
      <c r="B63" s="94" t="str">
        <f>VLOOKUP(C63,Lists!I:J,2,FALSE)</f>
        <v>Healer</v>
      </c>
      <c r="C63" s="95" t="str">
        <f>VLOOKUP(E63&amp;D63,Lists!C:E,3,FALSE)</f>
        <v>Wand/Longbow</v>
      </c>
      <c r="D63" s="35" t="s">
        <v>34</v>
      </c>
      <c r="E63" s="36" t="s">
        <v>44</v>
      </c>
      <c r="F63" s="35" t="s">
        <v>483</v>
      </c>
      <c r="G63" s="32">
        <v>0</v>
      </c>
      <c r="H63" s="32">
        <v>31</v>
      </c>
      <c r="I63" s="96">
        <f t="shared" si="0"/>
        <v>31</v>
      </c>
      <c r="J63" s="37">
        <v>86742</v>
      </c>
      <c r="K63" s="37">
        <v>1110884</v>
      </c>
      <c r="L63" s="37">
        <v>2962981</v>
      </c>
      <c r="M63" s="38">
        <f>I74/(HLOOKUP(F74,Team_Composition_23[[#All],[Yellow]:[Red]],10,FALSE)+HLOOKUP(F74,Team_Composition_23[[#All],[Yellow]:[Red]],11,FALSE))</f>
        <v>2.192448233861145E-2</v>
      </c>
      <c r="N63" s="38">
        <f>J74/HLOOKUP(F74,Team_Composition_23[[#All],[Yellow]:[Red]],6,FALSE)</f>
        <v>2.1996661453789245E-3</v>
      </c>
      <c r="O63" s="38">
        <f>K74/HLOOKUP(F74,Team_Composition_23[[#All],[Yellow]:[Red]],8,FALSE)</f>
        <v>8.4506662109529503E-3</v>
      </c>
      <c r="P63" s="38">
        <f>L74/HLOOKUP(F74,Team_Composition_23[[#All],[Yellow]:[Red]],7,FALSE)</f>
        <v>9.2681394977313925E-3</v>
      </c>
      <c r="Q63" s="31"/>
      <c r="R63" s="227" t="s">
        <v>11</v>
      </c>
      <c r="S63" s="228"/>
      <c r="T63" s="228"/>
      <c r="U63" s="31"/>
      <c r="V63" s="31"/>
      <c r="W63" s="31"/>
      <c r="X63" s="31"/>
      <c r="Y63" s="31"/>
      <c r="Z63" s="31"/>
      <c r="AA63" s="31"/>
      <c r="AB63" s="227" t="s">
        <v>11</v>
      </c>
      <c r="AC63" s="228"/>
      <c r="AD63" s="228"/>
    </row>
    <row r="64" spans="1:30" ht="22.5" customHeight="1">
      <c r="A64" s="32">
        <v>73</v>
      </c>
      <c r="B64" s="94" t="str">
        <f>VLOOKUP(C64,Lists!I:J,2,FALSE)</f>
        <v>Healer</v>
      </c>
      <c r="C64" s="95" t="str">
        <f>VLOOKUP(E64&amp;D64,Lists!C:E,3,FALSE)</f>
        <v>Wand/Orb</v>
      </c>
      <c r="D64" s="35" t="s">
        <v>34</v>
      </c>
      <c r="E64" s="36" t="s">
        <v>121</v>
      </c>
      <c r="F64" s="35" t="s">
        <v>476</v>
      </c>
      <c r="G64" s="32">
        <v>0</v>
      </c>
      <c r="H64" s="32">
        <v>29</v>
      </c>
      <c r="I64" s="96">
        <f t="shared" si="0"/>
        <v>29</v>
      </c>
      <c r="J64" s="37">
        <v>30575</v>
      </c>
      <c r="K64" s="37">
        <v>473672</v>
      </c>
      <c r="L64" s="37">
        <v>852243</v>
      </c>
      <c r="M64" s="38">
        <f>I75/(HLOOKUP(F75,Team_Composition_23[[#All],[Yellow]:[Red]],10,FALSE)+HLOOKUP(F75,Team_Composition_23[[#All],[Yellow]:[Red]],11,FALSE))</f>
        <v>4.4988752811797048E-3</v>
      </c>
      <c r="N64" s="38">
        <f>J75/HLOOKUP(F75,Team_Composition_23[[#All],[Yellow]:[Red]],6,FALSE)</f>
        <v>4.4468897930287024E-4</v>
      </c>
      <c r="O64" s="38">
        <f>K75/HLOOKUP(F75,Team_Composition_23[[#All],[Yellow]:[Red]],8,FALSE)</f>
        <v>1.9371630291476628E-2</v>
      </c>
      <c r="P64" s="38">
        <f>L75/HLOOKUP(F75,Team_Composition_23[[#All],[Yellow]:[Red]],7,FALSE)</f>
        <v>3.9761451223482153E-2</v>
      </c>
      <c r="Q64" s="31"/>
      <c r="R64" s="41" t="s">
        <v>482</v>
      </c>
      <c r="S64" s="42" t="s">
        <v>476</v>
      </c>
      <c r="T64" s="42" t="s">
        <v>483</v>
      </c>
      <c r="U64" s="31"/>
      <c r="V64" s="31"/>
      <c r="W64" s="31"/>
      <c r="X64" s="31"/>
      <c r="Y64" s="31"/>
      <c r="Z64" s="31"/>
      <c r="AA64" s="31"/>
      <c r="AB64" s="41" t="s">
        <v>482</v>
      </c>
      <c r="AC64" s="42" t="s">
        <v>485</v>
      </c>
      <c r="AD64" s="42" t="s">
        <v>36</v>
      </c>
    </row>
    <row r="65" spans="1:30" ht="22.5" customHeight="1">
      <c r="A65" s="32">
        <v>40</v>
      </c>
      <c r="B65" s="94" t="str">
        <f>VLOOKUP(C65,Lists!I:J,2,FALSE)</f>
        <v>Tank</v>
      </c>
      <c r="C65" s="95" t="str">
        <f>VLOOKUP(E65&amp;D65,Lists!C:E,3,FALSE)</f>
        <v>SnS/Greatsword</v>
      </c>
      <c r="D65" s="35" t="s">
        <v>34</v>
      </c>
      <c r="E65" s="36" t="s">
        <v>55</v>
      </c>
      <c r="F65" s="35" t="s">
        <v>483</v>
      </c>
      <c r="G65" s="32">
        <v>2</v>
      </c>
      <c r="H65" s="32">
        <v>24</v>
      </c>
      <c r="I65" s="96">
        <f t="shared" si="0"/>
        <v>26</v>
      </c>
      <c r="J65" s="37">
        <v>287234</v>
      </c>
      <c r="K65" s="37">
        <v>1019588</v>
      </c>
      <c r="L65" s="37">
        <v>73085</v>
      </c>
      <c r="M65" s="38">
        <f>I65/(HLOOKUP(F65,Team_Composition_23[[#All],[Yellow]:[Red]],10,FALSE)+HLOOKUP(F65,Team_Composition_23[[#All],[Yellow]:[Red]],11,FALSE))</f>
        <v>3.1668696711327646E-2</v>
      </c>
      <c r="N65" s="38">
        <f>J76/HLOOKUP(F76,Team_Composition_23[[#All],[Yellow]:[Red]],6,FALSE)</f>
        <v>4.1621968789677102E-3</v>
      </c>
      <c r="O65" s="38">
        <f>K76/HLOOKUP(F76,Team_Composition_23[[#All],[Yellow]:[Red]],8,FALSE)</f>
        <v>5.4566295576919444E-2</v>
      </c>
      <c r="P65" s="38">
        <f>L76/HLOOKUP(F76,Team_Composition_23[[#All],[Yellow]:[Red]],7,FALSE)</f>
        <v>3.6695117272808318E-3</v>
      </c>
      <c r="Q65" s="31"/>
      <c r="R65" s="45" t="s">
        <v>468</v>
      </c>
      <c r="S65" s="46">
        <f>SUMIFS(Scoreboard_39[Damage Dealt],Scoreboard_39[Role],"Healer",Scoreboard_39[Team],"Yellow")</f>
        <v>635432</v>
      </c>
      <c r="T65" s="47">
        <f>SUMIFS(Scoreboard_39[Damage Dealt],Scoreboard_39[Role],"Healer",Scoreboard_39[Team],"Red")</f>
        <v>502349</v>
      </c>
      <c r="U65" s="31"/>
      <c r="V65" s="31"/>
      <c r="W65" s="31"/>
      <c r="X65" s="31"/>
      <c r="Y65" s="31"/>
      <c r="Z65" s="31"/>
      <c r="AA65" s="31"/>
      <c r="AB65" s="45" t="s">
        <v>468</v>
      </c>
      <c r="AC65" s="50">
        <f>SUMIFS(Scoreboard_39[Damage Dealt],Scoreboard_39[Role],"Healer",Scoreboard_39[Guild],"Best Regards")</f>
        <v>435633</v>
      </c>
      <c r="AD65" s="51">
        <f>SUMIFS(Scoreboard_39[Damage Dealt],Scoreboard_39[Role],"Healer",Scoreboard_39[Guild],"Unhinged肉")</f>
        <v>702148</v>
      </c>
    </row>
    <row r="66" spans="1:30" ht="22.5" customHeight="1">
      <c r="A66" s="32">
        <v>74</v>
      </c>
      <c r="B66" s="94" t="str">
        <f>VLOOKUP(C66,Lists!I:J,2,FALSE)</f>
        <v>Healer</v>
      </c>
      <c r="C66" s="95" t="str">
        <f>VLOOKUP(E66&amp;D66,Lists!C:E,3,FALSE)</f>
        <v>Wand/Longbow</v>
      </c>
      <c r="D66" s="35" t="s">
        <v>34</v>
      </c>
      <c r="E66" s="36" t="s">
        <v>180</v>
      </c>
      <c r="F66" s="35" t="s">
        <v>483</v>
      </c>
      <c r="G66" s="32">
        <v>0</v>
      </c>
      <c r="H66" s="32">
        <v>25</v>
      </c>
      <c r="I66" s="96">
        <f t="shared" si="0"/>
        <v>25</v>
      </c>
      <c r="J66" s="37">
        <v>18925</v>
      </c>
      <c r="K66" s="37">
        <v>343424</v>
      </c>
      <c r="L66" s="37">
        <v>1099974</v>
      </c>
      <c r="M66" s="38">
        <f>I77/(HLOOKUP(F77,Team_Composition_23[[#All],[Yellow]:[Red]],10,FALSE)+HLOOKUP(F77,Team_Composition_23[[#All],[Yellow]:[Red]],11,FALSE))</f>
        <v>3.7490627343164211E-3</v>
      </c>
      <c r="N66" s="38">
        <f>J77/HLOOKUP(F77,Team_Composition_23[[#All],[Yellow]:[Red]],6,FALSE)</f>
        <v>1.2380422495554969E-3</v>
      </c>
      <c r="O66" s="38">
        <f>K77/HLOOKUP(F77,Team_Composition_23[[#All],[Yellow]:[Red]],8,FALSE)</f>
        <v>2.2947282293846887E-2</v>
      </c>
      <c r="P66" s="38">
        <f>L77/HLOOKUP(F77,Team_Composition_23[[#All],[Yellow]:[Red]],7,FALSE)</f>
        <v>6.9269575505914588E-2</v>
      </c>
      <c r="Q66" s="31"/>
      <c r="R66" s="45" t="s">
        <v>469</v>
      </c>
      <c r="S66" s="46">
        <f>SUMIFS(Scoreboard_39[Damage Taken],Scoreboard_39[Role],"Healer",Scoreboard_39[Team],"Yellow")</f>
        <v>6273824</v>
      </c>
      <c r="T66" s="47">
        <f>SUMIFS(Scoreboard_39[Damage Taken],Scoreboard_39[Role],"Healer",Scoreboard_39[Team],"Red")</f>
        <v>8577235</v>
      </c>
      <c r="U66" s="31"/>
      <c r="V66" s="31"/>
      <c r="W66" s="31"/>
      <c r="X66" s="31"/>
      <c r="Y66" s="31"/>
      <c r="Z66" s="31"/>
      <c r="AA66" s="31"/>
      <c r="AB66" s="45" t="s">
        <v>469</v>
      </c>
      <c r="AC66" s="50">
        <f>SUMIFS(Scoreboard_39[Damage Taken],Scoreboard_39[Role],"Healer",Scoreboard_39[Guild],"Best Regards")</f>
        <v>7245093</v>
      </c>
      <c r="AD66" s="51">
        <f>SUMIFS(Scoreboard_39[Damage Taken],Scoreboard_39[Role],"Healer",Scoreboard_39[Guild],"Unhinged肉")</f>
        <v>7605966</v>
      </c>
    </row>
    <row r="67" spans="1:30" ht="22.5" customHeight="1">
      <c r="A67" s="32">
        <v>41</v>
      </c>
      <c r="B67" s="94" t="str">
        <f>VLOOKUP(C67,Lists!I:J,2,FALSE)</f>
        <v>Tank</v>
      </c>
      <c r="C67" s="95" t="str">
        <f>VLOOKUP(E67&amp;D67,Lists!C:E,3,FALSE)</f>
        <v>SnS/Spear</v>
      </c>
      <c r="D67" s="35" t="s">
        <v>36</v>
      </c>
      <c r="E67" s="36" t="s">
        <v>263</v>
      </c>
      <c r="F67" s="35" t="s">
        <v>476</v>
      </c>
      <c r="G67" s="32">
        <v>2</v>
      </c>
      <c r="H67" s="32">
        <v>22</v>
      </c>
      <c r="I67" s="96">
        <f t="shared" si="0"/>
        <v>24</v>
      </c>
      <c r="J67" s="37">
        <v>180720</v>
      </c>
      <c r="K67" s="37">
        <v>589854</v>
      </c>
      <c r="L67" s="37">
        <v>20020</v>
      </c>
      <c r="M67" s="38">
        <f>I67/(HLOOKUP(F67,Team_Composition_23[[#All],[Yellow]:[Red]],10,FALSE)+HLOOKUP(F67,Team_Composition_23[[#All],[Yellow]:[Red]],11,FALSE))</f>
        <v>5.9985003749062731E-3</v>
      </c>
      <c r="N67" s="38">
        <f>J67/HLOOKUP(F67,Team_Composition_23[[#All],[Yellow]:[Red]],6,FALSE)</f>
        <v>4.0736107228109648E-3</v>
      </c>
      <c r="O67" s="38">
        <f>K67/HLOOKUP(F67,Team_Composition_23[[#All],[Yellow]:[Red]],8,FALSE)</f>
        <v>3.3669843013459343E-2</v>
      </c>
      <c r="P67" s="38">
        <f>L67/HLOOKUP(F67,Team_Composition_23[[#All],[Yellow]:[Red]],7,FALSE)</f>
        <v>1.5465700675809403E-3</v>
      </c>
      <c r="Q67" s="31"/>
      <c r="R67" s="45" t="s">
        <v>470</v>
      </c>
      <c r="S67" s="46">
        <f>SUMIFS(Scoreboard_39[Amount Healed],Scoreboard_39[Role],"Healer",Scoreboard_39[Team],"Yellow")</f>
        <v>14251240</v>
      </c>
      <c r="T67" s="47">
        <f>SUMIFS(Scoreboard_39[Amount Healed],Scoreboard_39[Role],"Healer",Scoreboard_39[Team],"Red")</f>
        <v>19747299</v>
      </c>
      <c r="U67" s="31"/>
      <c r="V67" s="31"/>
      <c r="W67" s="31"/>
      <c r="X67" s="31"/>
      <c r="Y67" s="31"/>
      <c r="Z67" s="31"/>
      <c r="AA67" s="31"/>
      <c r="AB67" s="45" t="s">
        <v>470</v>
      </c>
      <c r="AC67" s="50">
        <f>SUMIFS(Scoreboard_39[Amount Healed],Scoreboard_39[Role],"Healer",Scoreboard_39[Guild],"Best Regards")</f>
        <v>16705689</v>
      </c>
      <c r="AD67" s="51">
        <f>SUMIFS(Scoreboard_39[Amount Healed],Scoreboard_39[Role],"Healer",Scoreboard_39[Guild],"Unhinged肉")</f>
        <v>17292850</v>
      </c>
    </row>
    <row r="68" spans="1:30" ht="22.5" customHeight="1">
      <c r="A68" s="32">
        <v>76</v>
      </c>
      <c r="B68" s="94" t="str">
        <f>VLOOKUP(C68,Lists!I:J,2,FALSE)</f>
        <v>Healer</v>
      </c>
      <c r="C68" s="95" t="str">
        <f>VLOOKUP(E68&amp;D68,Lists!C:E,3,FALSE)</f>
        <v>Wand/Orb</v>
      </c>
      <c r="D68" s="35" t="s">
        <v>36</v>
      </c>
      <c r="E68" s="36" t="s">
        <v>269</v>
      </c>
      <c r="F68" s="35" t="s">
        <v>476</v>
      </c>
      <c r="G68" s="32">
        <v>0</v>
      </c>
      <c r="H68" s="32">
        <v>23</v>
      </c>
      <c r="I68" s="96">
        <f t="shared" si="0"/>
        <v>23</v>
      </c>
      <c r="J68" s="37">
        <v>4300</v>
      </c>
      <c r="K68" s="37">
        <v>404280</v>
      </c>
      <c r="L68" s="37">
        <v>644786</v>
      </c>
      <c r="M68" s="38">
        <f>I79/(HLOOKUP(F79,Team_Composition_23[[#All],[Yellow]:[Red]],10,FALSE)+HLOOKUP(F79,Team_Composition_23[[#All],[Yellow]:[Red]],11,FALSE))</f>
        <v>1.705237515225335E-2</v>
      </c>
      <c r="N68" s="38">
        <f>J79/HLOOKUP(F79,Team_Composition_23[[#All],[Yellow]:[Red]],6,FALSE)</f>
        <v>7.3394744977516814E-3</v>
      </c>
      <c r="O68" s="38">
        <f>K79/HLOOKUP(F79,Team_Composition_23[[#All],[Yellow]:[Red]],8,FALSE)</f>
        <v>9.8034034853466036E-3</v>
      </c>
      <c r="P68" s="38">
        <f>L79/HLOOKUP(F79,Team_Composition_23[[#All],[Yellow]:[Red]],7,FALSE)</f>
        <v>1.7834708488718811E-3</v>
      </c>
      <c r="Q68" s="31"/>
      <c r="R68" s="45" t="s">
        <v>465</v>
      </c>
      <c r="S68" s="46">
        <f>SUMIFS(Scoreboard_39[Kills],Scoreboard_39[Role],"Healer",Scoreboard_39[Team],"Yellow")</f>
        <v>5</v>
      </c>
      <c r="T68" s="47">
        <f>SUMIFS(Scoreboard_39[Kills],Scoreboard_39[Role],"Healer",Scoreboard_39[Team],"Red")</f>
        <v>0</v>
      </c>
      <c r="U68" s="31"/>
      <c r="V68" s="31"/>
      <c r="W68" s="31"/>
      <c r="X68" s="31"/>
      <c r="Y68" s="31"/>
      <c r="Z68" s="31"/>
      <c r="AA68" s="31"/>
      <c r="AB68" s="45" t="s">
        <v>465</v>
      </c>
      <c r="AC68" s="50">
        <f>SUMIFS(Scoreboard_39[Kills],Scoreboard_39[Role],"Healer",Scoreboard_39[Guild],"Best Regards")</f>
        <v>1</v>
      </c>
      <c r="AD68" s="51">
        <f>SUMIFS(Scoreboard_39[Kills],Scoreboard_39[Role],"Healer",Scoreboard_39[Guild],"Unhinged肉")</f>
        <v>4</v>
      </c>
    </row>
    <row r="69" spans="1:30" ht="22.5" customHeight="1">
      <c r="A69" s="32">
        <v>75</v>
      </c>
      <c r="B69" s="94" t="str">
        <f>VLOOKUP(C69,Lists!I:J,2,FALSE)</f>
        <v>Healer</v>
      </c>
      <c r="C69" s="95" t="str">
        <f>VLOOKUP(E69&amp;D69,Lists!C:E,3,FALSE)</f>
        <v>Wand/Orb</v>
      </c>
      <c r="D69" s="35" t="s">
        <v>34</v>
      </c>
      <c r="E69" s="36" t="s">
        <v>74</v>
      </c>
      <c r="F69" s="35" t="s">
        <v>483</v>
      </c>
      <c r="G69" s="32">
        <v>0</v>
      </c>
      <c r="H69" s="32">
        <v>23</v>
      </c>
      <c r="I69" s="96">
        <f t="shared" si="0"/>
        <v>23</v>
      </c>
      <c r="J69" s="37">
        <v>15984</v>
      </c>
      <c r="K69" s="37">
        <v>469356</v>
      </c>
      <c r="L69" s="37">
        <v>539340</v>
      </c>
      <c r="M69" s="38">
        <f>I80/(HLOOKUP(F80,Team_Composition_23[[#All],[Yellow]:[Red]],10,FALSE)+HLOOKUP(F80,Team_Composition_23[[#All],[Yellow]:[Red]],11,FALSE))</f>
        <v>1.705237515225335E-2</v>
      </c>
      <c r="N69" s="38">
        <f>J80/HLOOKUP(F80,Team_Composition_23[[#All],[Yellow]:[Red]],6,FALSE)</f>
        <v>2.3449164244175751E-3</v>
      </c>
      <c r="O69" s="38">
        <f>K80/HLOOKUP(F80,Team_Composition_23[[#All],[Yellow]:[Red]],8,FALSE)</f>
        <v>2.8672795749575984E-3</v>
      </c>
      <c r="P69" s="38">
        <f>L80/HLOOKUP(F80,Team_Composition_23[[#All],[Yellow]:[Red]],7,FALSE)</f>
        <v>3.7703336877172294E-4</v>
      </c>
      <c r="Q69" s="31"/>
      <c r="R69" s="45" t="s">
        <v>466</v>
      </c>
      <c r="S69" s="46">
        <f>SUMIFS(Scoreboard_39[Assists],Scoreboard_39[Role],"Healer",Scoreboard_39[Team],"Yellow")</f>
        <v>786</v>
      </c>
      <c r="T69" s="47">
        <f>SUMIFS(Scoreboard_39[Assists],Scoreboard_39[Role],"Healer",Scoreboard_39[Team],"Red")</f>
        <v>552</v>
      </c>
      <c r="U69" s="31"/>
      <c r="V69" s="31"/>
      <c r="W69" s="31"/>
      <c r="X69" s="31"/>
      <c r="Y69" s="31"/>
      <c r="Z69" s="31"/>
      <c r="AA69" s="31"/>
      <c r="AB69" s="45" t="s">
        <v>466</v>
      </c>
      <c r="AC69" s="50">
        <f>SUMIFS(Scoreboard_39[Assists],Scoreboard_39[Role],"Healer",Scoreboard_39[Guild],"Best Regards")</f>
        <v>646</v>
      </c>
      <c r="AD69" s="51">
        <f>SUMIFS(Scoreboard_39[Assists],Scoreboard_39[Role],"Healer",Scoreboard_39[Guild],"Unhinged肉")</f>
        <v>692</v>
      </c>
    </row>
    <row r="70" spans="1:30" ht="22.5" customHeight="1">
      <c r="A70" s="32">
        <v>77</v>
      </c>
      <c r="B70" s="94" t="str">
        <f>VLOOKUP(C70,Lists!I:J,2,FALSE)</f>
        <v>Tank</v>
      </c>
      <c r="C70" s="95" t="str">
        <f>VLOOKUP(E70&amp;D70,Lists!C:E,3,FALSE)</f>
        <v>SnS/Greatsword</v>
      </c>
      <c r="D70" s="35" t="s">
        <v>36</v>
      </c>
      <c r="E70" s="36" t="s">
        <v>313</v>
      </c>
      <c r="F70" s="35" t="s">
        <v>476</v>
      </c>
      <c r="G70" s="32">
        <v>0</v>
      </c>
      <c r="H70" s="32">
        <v>22</v>
      </c>
      <c r="I70" s="96">
        <f t="shared" si="0"/>
        <v>22</v>
      </c>
      <c r="J70" s="37">
        <v>197550</v>
      </c>
      <c r="K70" s="37">
        <v>795154</v>
      </c>
      <c r="L70" s="37">
        <v>54800</v>
      </c>
      <c r="M70" s="38">
        <f>I70/(HLOOKUP(F70,Team_Composition_23[[#All],[Yellow]:[Red]],10,FALSE)+HLOOKUP(F70,Team_Composition_23[[#All],[Yellow]:[Red]],11,FALSE))</f>
        <v>5.4986253436640842E-3</v>
      </c>
      <c r="N70" s="38">
        <f>J81/HLOOKUP(F81,Team_Composition_23[[#All],[Yellow]:[Red]],6,FALSE)</f>
        <v>7.4398405703921221E-3</v>
      </c>
      <c r="O70" s="38">
        <f>K81/HLOOKUP(F81,Team_Composition_23[[#All],[Yellow]:[Red]],8,FALSE)</f>
        <v>1.758615254319924E-2</v>
      </c>
      <c r="P70" s="38">
        <f>L81/HLOOKUP(F81,Team_Composition_23[[#All],[Yellow]:[Red]],7,FALSE)</f>
        <v>2.4108708568410893E-3</v>
      </c>
      <c r="Q70" s="31"/>
      <c r="R70" s="45" t="s">
        <v>10</v>
      </c>
      <c r="S70" s="46">
        <f t="shared" ref="S70:S72" si="14">COUNTIFS(C:C,R70,F:F,"Yellow")</f>
        <v>7</v>
      </c>
      <c r="T70" s="47">
        <f t="shared" ref="T70:T72" si="15">COUNTIFS(C:C,R70,F:F,"Red")</f>
        <v>7</v>
      </c>
      <c r="U70" s="31"/>
      <c r="V70" s="31"/>
      <c r="W70" s="31"/>
      <c r="X70" s="31"/>
      <c r="Y70" s="31"/>
      <c r="Z70" s="31"/>
      <c r="AA70" s="31"/>
      <c r="AB70" s="45" t="s">
        <v>10</v>
      </c>
      <c r="AC70" s="50">
        <f t="shared" ref="AC70:AC72" si="16">COUNTIFS(C:C,AB70,D:D,"Best Regards")</f>
        <v>6</v>
      </c>
      <c r="AD70" s="51">
        <f t="shared" ref="AD70:AD72" si="17">COUNTIFS(C:C,AB70,D:D,"Unhinged肉")</f>
        <v>8</v>
      </c>
    </row>
    <row r="71" spans="1:30" ht="22.5" customHeight="1">
      <c r="A71" s="32">
        <v>78</v>
      </c>
      <c r="B71" s="94" t="str">
        <f>VLOOKUP(C71,Lists!I:J,2,FALSE)</f>
        <v>Tank</v>
      </c>
      <c r="C71" s="95" t="str">
        <f>VLOOKUP(E71&amp;D71,Lists!C:E,3,FALSE)</f>
        <v>SnS/Greatsword</v>
      </c>
      <c r="D71" s="35" t="s">
        <v>34</v>
      </c>
      <c r="E71" s="36" t="s">
        <v>57</v>
      </c>
      <c r="F71" s="35" t="s">
        <v>483</v>
      </c>
      <c r="G71" s="32">
        <v>0</v>
      </c>
      <c r="H71" s="32">
        <v>21</v>
      </c>
      <c r="I71" s="96">
        <f t="shared" si="0"/>
        <v>21</v>
      </c>
      <c r="J71" s="37">
        <v>41530</v>
      </c>
      <c r="K71" s="37">
        <v>229283</v>
      </c>
      <c r="L71" s="37">
        <v>11863</v>
      </c>
      <c r="M71" s="38">
        <f>I71/(HLOOKUP(F71,Team_Composition_23[[#All],[Yellow]:[Red]],10,FALSE)+HLOOKUP(F71,Team_Composition_23[[#All],[Yellow]:[Red]],11,FALSE))</f>
        <v>2.5578562728380026E-2</v>
      </c>
      <c r="N71" s="38">
        <f>J82/HLOOKUP(F82,Team_Composition_23[[#All],[Yellow]:[Red]],6,FALSE)</f>
        <v>3.7297528733401131E-3</v>
      </c>
      <c r="O71" s="38">
        <f>K82/HLOOKUP(F82,Team_Composition_23[[#All],[Yellow]:[Red]],8,FALSE)</f>
        <v>1.4992046744522404E-2</v>
      </c>
      <c r="P71" s="38">
        <f>L82/HLOOKUP(F82,Team_Composition_23[[#All],[Yellow]:[Red]],7,FALSE)</f>
        <v>1.9883462488208435E-3</v>
      </c>
      <c r="Q71" s="31"/>
      <c r="R71" s="45" t="s">
        <v>9</v>
      </c>
      <c r="S71" s="46">
        <f t="shared" si="14"/>
        <v>10</v>
      </c>
      <c r="T71" s="47">
        <f t="shared" si="15"/>
        <v>9</v>
      </c>
      <c r="U71" s="31"/>
      <c r="V71" s="31"/>
      <c r="W71" s="31"/>
      <c r="X71" s="31"/>
      <c r="Y71" s="31"/>
      <c r="Z71" s="31"/>
      <c r="AA71" s="31"/>
      <c r="AB71" s="45" t="s">
        <v>9</v>
      </c>
      <c r="AC71" s="50">
        <f t="shared" si="16"/>
        <v>9</v>
      </c>
      <c r="AD71" s="51">
        <f t="shared" si="17"/>
        <v>10</v>
      </c>
    </row>
    <row r="72" spans="1:30" ht="22.5" customHeight="1">
      <c r="A72" s="32">
        <v>79</v>
      </c>
      <c r="B72" s="94" t="str">
        <f>VLOOKUP(C72,Lists!I:J,2,FALSE)</f>
        <v>Healer</v>
      </c>
      <c r="C72" s="95" t="str">
        <f>VLOOKUP(E72&amp;D72,Lists!C:E,3,FALSE)</f>
        <v>Wand/Longbow</v>
      </c>
      <c r="D72" s="35" t="s">
        <v>36</v>
      </c>
      <c r="E72" s="36" t="s">
        <v>322</v>
      </c>
      <c r="F72" s="35" t="s">
        <v>483</v>
      </c>
      <c r="G72" s="32">
        <v>0</v>
      </c>
      <c r="H72" s="32">
        <v>19</v>
      </c>
      <c r="I72" s="96">
        <f t="shared" si="0"/>
        <v>19</v>
      </c>
      <c r="J72" s="37">
        <v>25635</v>
      </c>
      <c r="K72" s="37">
        <v>527462</v>
      </c>
      <c r="L72" s="37">
        <v>1720038</v>
      </c>
      <c r="M72" s="38">
        <f>I83/(HLOOKUP(F83,Team_Composition_23[[#All],[Yellow]:[Red]],10,FALSE)+HLOOKUP(F83,Team_Composition_23[[#All],[Yellow]:[Red]],11,FALSE))</f>
        <v>1.4616321559074299E-2</v>
      </c>
      <c r="N72" s="38">
        <f>J83/HLOOKUP(F83,Team_Composition_23[[#All],[Yellow]:[Red]],6,FALSE)</f>
        <v>4.2689867418741591E-3</v>
      </c>
      <c r="O72" s="38">
        <f>K83/HLOOKUP(F83,Team_Composition_23[[#All],[Yellow]:[Red]],8,FALSE)</f>
        <v>2.0637206459169402E-2</v>
      </c>
      <c r="P72" s="38">
        <f>L83/HLOOKUP(F83,Team_Composition_23[[#All],[Yellow]:[Red]],7,FALSE)</f>
        <v>1.7034903276930927E-3</v>
      </c>
      <c r="Q72" s="31"/>
      <c r="R72" s="45" t="s">
        <v>18</v>
      </c>
      <c r="S72" s="46">
        <f t="shared" si="14"/>
        <v>0</v>
      </c>
      <c r="T72" s="47">
        <f t="shared" si="15"/>
        <v>0</v>
      </c>
      <c r="U72" s="31"/>
      <c r="V72" s="31"/>
      <c r="W72" s="31"/>
      <c r="X72" s="31"/>
      <c r="Y72" s="31"/>
      <c r="Z72" s="31"/>
      <c r="AA72" s="31"/>
      <c r="AB72" s="45" t="s">
        <v>18</v>
      </c>
      <c r="AC72" s="50">
        <f t="shared" si="16"/>
        <v>0</v>
      </c>
      <c r="AD72" s="51">
        <f t="shared" si="17"/>
        <v>0</v>
      </c>
    </row>
    <row r="73" spans="1:30" ht="22.5" customHeight="1">
      <c r="A73" s="32">
        <v>44</v>
      </c>
      <c r="B73" s="94" t="str">
        <f>VLOOKUP(C73,Lists!I:J,2,FALSE)</f>
        <v>Tank</v>
      </c>
      <c r="C73" s="95" t="str">
        <f>VLOOKUP(E73&amp;D73,Lists!C:E,3,FALSE)</f>
        <v>SnS/Longbow</v>
      </c>
      <c r="D73" s="35" t="s">
        <v>28</v>
      </c>
      <c r="E73" s="36" t="s">
        <v>363</v>
      </c>
      <c r="F73" s="35" t="s">
        <v>476</v>
      </c>
      <c r="G73" s="32">
        <v>1</v>
      </c>
      <c r="H73" s="32">
        <v>18</v>
      </c>
      <c r="I73" s="96">
        <f t="shared" si="0"/>
        <v>19</v>
      </c>
      <c r="J73" s="37">
        <v>56170</v>
      </c>
      <c r="K73" s="37">
        <v>337791</v>
      </c>
      <c r="L73" s="37">
        <v>69607</v>
      </c>
      <c r="M73" s="38">
        <f>I73/(HLOOKUP(F73,Team_Composition_23[[#All],[Yellow]:[Red]],10,FALSE)+HLOOKUP(F73,Team_Composition_23[[#All],[Yellow]:[Red]],11,FALSE))</f>
        <v>4.7488127968007996E-3</v>
      </c>
      <c r="N73" s="38">
        <f>J73/HLOOKUP(F73,Team_Composition_23[[#All],[Yellow]:[Red]],6,FALSE)</f>
        <v>1.26612834384845E-3</v>
      </c>
      <c r="O73" s="38">
        <f>K73/HLOOKUP(F73,Team_Composition_23[[#All],[Yellow]:[Red]],8,FALSE)</f>
        <v>1.9281669601900545E-2</v>
      </c>
      <c r="P73" s="38">
        <f>L73/HLOOKUP(F73,Team_Composition_23[[#All],[Yellow]:[Red]],7,FALSE)</f>
        <v>5.3772279067985269E-3</v>
      </c>
      <c r="Q73" s="31"/>
      <c r="R73" s="31"/>
      <c r="S73" s="31"/>
      <c r="T73" s="31"/>
      <c r="U73" s="31"/>
      <c r="V73" s="31"/>
      <c r="W73" s="31"/>
      <c r="X73" s="31"/>
      <c r="Y73" s="31"/>
      <c r="Z73" s="31"/>
      <c r="AA73" s="31"/>
      <c r="AB73" s="31"/>
      <c r="AC73" s="31"/>
      <c r="AD73" s="31"/>
    </row>
    <row r="74" spans="1:30" ht="22.5" customHeight="1">
      <c r="A74" s="32">
        <v>80</v>
      </c>
      <c r="B74" s="94" t="str">
        <f>VLOOKUP(C74,Lists!I:J,2,FALSE)</f>
        <v>Healer</v>
      </c>
      <c r="C74" s="95" t="str">
        <f>VLOOKUP(E74&amp;D74,Lists!C:E,3,FALSE)</f>
        <v>Wand/Orb</v>
      </c>
      <c r="D74" s="35" t="s">
        <v>36</v>
      </c>
      <c r="E74" s="36" t="s">
        <v>319</v>
      </c>
      <c r="F74" s="35" t="s">
        <v>483</v>
      </c>
      <c r="G74" s="32">
        <v>0</v>
      </c>
      <c r="H74" s="32">
        <v>18</v>
      </c>
      <c r="I74" s="96">
        <f t="shared" si="0"/>
        <v>18</v>
      </c>
      <c r="J74" s="37">
        <v>38814</v>
      </c>
      <c r="K74" s="37">
        <v>371964</v>
      </c>
      <c r="L74" s="37">
        <v>224923</v>
      </c>
      <c r="M74" s="38">
        <f>I85/(HLOOKUP(F85,Team_Composition_23[[#All],[Yellow]:[Red]],10,FALSE)+HLOOKUP(F85,Team_Composition_23[[#All],[Yellow]:[Red]],11,FALSE))</f>
        <v>1.2180267965895249E-2</v>
      </c>
      <c r="N74" s="38">
        <f>J85/HLOOKUP(F85,Team_Composition_23[[#All],[Yellow]:[Red]],6,FALSE)</f>
        <v>5.0118996985334145E-3</v>
      </c>
      <c r="O74" s="38">
        <f>K85/HLOOKUP(F85,Team_Composition_23[[#All],[Yellow]:[Red]],8,FALSE)</f>
        <v>1.5574040475974861E-2</v>
      </c>
      <c r="P74" s="38">
        <f>L85/HLOOKUP(F85,Team_Composition_23[[#All],[Yellow]:[Red]],7,FALSE)</f>
        <v>1.1935269427839296E-3</v>
      </c>
      <c r="Q74" s="31"/>
    </row>
    <row r="75" spans="1:30" ht="22.5" customHeight="1">
      <c r="A75" s="32">
        <v>81</v>
      </c>
      <c r="B75" s="94" t="str">
        <f>VLOOKUP(C75,Lists!I:J,2,FALSE)</f>
        <v>Healer</v>
      </c>
      <c r="C75" s="95" t="str">
        <f>VLOOKUP(E75&amp;D75,Lists!C:E,3,FALSE)</f>
        <v>Wand/Longbow</v>
      </c>
      <c r="D75" s="35" t="s">
        <v>34</v>
      </c>
      <c r="E75" s="36" t="s">
        <v>136</v>
      </c>
      <c r="F75" s="35" t="s">
        <v>476</v>
      </c>
      <c r="G75" s="32">
        <v>0</v>
      </c>
      <c r="H75" s="32">
        <v>18</v>
      </c>
      <c r="I75" s="96">
        <f t="shared" si="0"/>
        <v>18</v>
      </c>
      <c r="J75" s="37">
        <v>19728</v>
      </c>
      <c r="K75" s="37">
        <v>339367</v>
      </c>
      <c r="L75" s="37">
        <v>514703</v>
      </c>
      <c r="M75" s="38">
        <f>I86/(HLOOKUP(F86,Team_Composition_23[[#All],[Yellow]:[Red]],10,FALSE)+HLOOKUP(F86,Team_Composition_23[[#All],[Yellow]:[Red]],11,FALSE))</f>
        <v>1.0962241169305725E-2</v>
      </c>
      <c r="N75" s="38">
        <f>J86/HLOOKUP(F86,Team_Composition_23[[#All],[Yellow]:[Red]],6,FALSE)</f>
        <v>4.3368797712492286E-3</v>
      </c>
      <c r="O75" s="38">
        <f>K86/HLOOKUP(F86,Team_Composition_23[[#All],[Yellow]:[Red]],8,FALSE)</f>
        <v>1.6240367296046263E-2</v>
      </c>
      <c r="P75" s="38">
        <f>L86/HLOOKUP(F86,Team_Composition_23[[#All],[Yellow]:[Red]],7,FALSE)</f>
        <v>6.3973044133218623E-2</v>
      </c>
      <c r="Q75" s="31"/>
      <c r="R75" s="227" t="s">
        <v>78</v>
      </c>
      <c r="S75" s="228"/>
      <c r="T75" s="228"/>
      <c r="U75" s="31"/>
      <c r="V75" s="31"/>
      <c r="W75" s="31"/>
      <c r="X75" s="31"/>
      <c r="Y75" s="31"/>
      <c r="Z75" s="31"/>
      <c r="AA75" s="31"/>
      <c r="AB75" s="227" t="s">
        <v>78</v>
      </c>
      <c r="AC75" s="228"/>
      <c r="AD75" s="228"/>
    </row>
    <row r="76" spans="1:30" ht="22.5" customHeight="1">
      <c r="A76" s="32">
        <v>34</v>
      </c>
      <c r="B76" s="94" t="str">
        <f>VLOOKUP(C76,Lists!I:J,2,FALSE)</f>
        <v>Tank</v>
      </c>
      <c r="C76" s="95" t="str">
        <f>VLOOKUP(E76&amp;D76,Lists!C:E,3,FALSE)</f>
        <v>SnS/Greatsword</v>
      </c>
      <c r="D76" s="35" t="s">
        <v>34</v>
      </c>
      <c r="E76" s="36" t="s">
        <v>123</v>
      </c>
      <c r="F76" s="35" t="s">
        <v>476</v>
      </c>
      <c r="G76" s="32">
        <v>4</v>
      </c>
      <c r="H76" s="32">
        <v>12</v>
      </c>
      <c r="I76" s="96">
        <f t="shared" si="0"/>
        <v>16</v>
      </c>
      <c r="J76" s="37">
        <v>184650</v>
      </c>
      <c r="K76" s="37">
        <v>955934</v>
      </c>
      <c r="L76" s="37">
        <v>47501</v>
      </c>
      <c r="M76" s="38">
        <f>I76/(HLOOKUP(F76,Team_Composition_23[[#All],[Yellow]:[Red]],10,FALSE)+HLOOKUP(F76,Team_Composition_23[[#All],[Yellow]:[Red]],11,FALSE))</f>
        <v>3.9990002499375159E-3</v>
      </c>
      <c r="N76" s="38">
        <f>J87/HLOOKUP(F87,Team_Composition_23[[#All],[Yellow]:[Red]],6,FALSE)</f>
        <v>3.3348625322003095E-3</v>
      </c>
      <c r="O76" s="38">
        <f>K87/HLOOKUP(F87,Team_Composition_23[[#All],[Yellow]:[Red]],8,FALSE)</f>
        <v>1.6550754865203601E-2</v>
      </c>
      <c r="P76" s="38">
        <f>L87/HLOOKUP(F87,Team_Composition_23[[#All],[Yellow]:[Red]],7,FALSE)</f>
        <v>1.082930487944224E-3</v>
      </c>
      <c r="Q76" s="31"/>
      <c r="R76" s="27" t="s">
        <v>482</v>
      </c>
      <c r="S76" s="72" t="s">
        <v>476</v>
      </c>
      <c r="T76" s="72" t="s">
        <v>483</v>
      </c>
      <c r="U76" s="31"/>
      <c r="V76" s="31"/>
      <c r="W76" s="31"/>
      <c r="X76" s="31"/>
      <c r="Y76" s="31"/>
      <c r="Z76" s="31"/>
      <c r="AA76" s="31"/>
      <c r="AB76" s="27" t="s">
        <v>482</v>
      </c>
      <c r="AC76" s="72" t="s">
        <v>485</v>
      </c>
      <c r="AD76" s="72" t="s">
        <v>36</v>
      </c>
    </row>
    <row r="77" spans="1:30" ht="22.5" customHeight="1">
      <c r="A77" s="32">
        <v>45</v>
      </c>
      <c r="B77" s="94" t="str">
        <f>VLOOKUP(C77,Lists!I:J,2,FALSE)</f>
        <v>Healer</v>
      </c>
      <c r="C77" s="95" t="str">
        <f>VLOOKUP(E77&amp;D77,Lists!C:E,3,FALSE)</f>
        <v>Wand/Longbow</v>
      </c>
      <c r="D77" s="35" t="s">
        <v>34</v>
      </c>
      <c r="E77" s="36" t="s">
        <v>135</v>
      </c>
      <c r="F77" s="35" t="s">
        <v>476</v>
      </c>
      <c r="G77" s="32">
        <v>1</v>
      </c>
      <c r="H77" s="32">
        <v>14</v>
      </c>
      <c r="I77" s="96">
        <f t="shared" si="0"/>
        <v>15</v>
      </c>
      <c r="J77" s="37">
        <v>54924</v>
      </c>
      <c r="K77" s="37">
        <v>402008</v>
      </c>
      <c r="L77" s="37">
        <v>896679</v>
      </c>
      <c r="M77" s="38">
        <f>I77/(HLOOKUP(F77,Team_Composition_23[[#All],[Yellow]:[Red]],10,FALSE)+HLOOKUP(F77,Team_Composition_23[[#All],[Yellow]:[Red]],11,FALSE))</f>
        <v>3.7490627343164211E-3</v>
      </c>
      <c r="N77" s="38">
        <f>J77/HLOOKUP(F77,Team_Composition_23[[#All],[Yellow]:[Red]],6,FALSE)</f>
        <v>1.2380422495554969E-3</v>
      </c>
      <c r="O77" s="38">
        <f>K77/HLOOKUP(F77,Team_Composition_23[[#All],[Yellow]:[Red]],8,FALSE)</f>
        <v>2.2947282293846887E-2</v>
      </c>
      <c r="P77" s="38">
        <f>L77/HLOOKUP(F77,Team_Composition_23[[#All],[Yellow]:[Red]],7,FALSE)</f>
        <v>6.9269575505914588E-2</v>
      </c>
      <c r="Q77" s="31"/>
      <c r="R77" s="74" t="s">
        <v>468</v>
      </c>
      <c r="S77" s="75">
        <f>SUMIFS('BR m Unhinged Kowa 1 2172026'!$J$2:$J$163,'BR m Unhinged Kowa 1 2172026'!$B$2:$B$163,"KS",'BR m Unhinged Kowa 1 2172026'!$F$2:$F$163,"Yellow")</f>
        <v>7395115</v>
      </c>
      <c r="T77" s="76">
        <f>SUMIFS('BR m Unhinged Kowa 1 2172026'!$J$2:$J$163,'BR m Unhinged Kowa 1 2172026'!$B$2:$B$163,"KS",'BR m Unhinged Kowa 1 2172026'!$F$2:$F$163,"Red")</f>
        <v>4595726</v>
      </c>
      <c r="U77" s="31"/>
      <c r="V77" s="31"/>
      <c r="W77" s="31"/>
      <c r="X77" s="31"/>
      <c r="Y77" s="31"/>
      <c r="Z77" s="31"/>
      <c r="AA77" s="31"/>
      <c r="AB77" s="74" t="s">
        <v>468</v>
      </c>
      <c r="AC77" s="75">
        <f>SUMIFS('BR m Unhinged Kowa 1 2172026'!$J$2:$J$163,'BR m Unhinged Kowa 1 2172026'!$B$2:$B$163,"KS",'BR m Unhinged Kowa 1 2172026'!$D$2:$D$163,"Best Regards")</f>
        <v>7653004</v>
      </c>
      <c r="AD77" s="76">
        <f>SUMIFS('BR m Unhinged Kowa 1 2172026'!$J$2:$J$163,'BR m Unhinged Kowa 1 2172026'!$B$2:$B$163,"KS",'BR m Unhinged Kowa 1 2172026'!$D$2:$D$163,"Unhinged肉")</f>
        <v>4337837</v>
      </c>
    </row>
    <row r="78" spans="1:30" ht="22.5" customHeight="1">
      <c r="A78" s="32">
        <v>46</v>
      </c>
      <c r="B78" s="94" t="str">
        <f>VLOOKUP(C78,Lists!I:J,2,FALSE)</f>
        <v>Tank</v>
      </c>
      <c r="C78" s="95" t="str">
        <f>VLOOKUP(E78&amp;D78,Lists!C:E,3,FALSE)</f>
        <v>SnS/Greatsword</v>
      </c>
      <c r="D78" s="35" t="s">
        <v>36</v>
      </c>
      <c r="E78" s="36" t="s">
        <v>282</v>
      </c>
      <c r="F78" s="35" t="s">
        <v>483</v>
      </c>
      <c r="G78" s="32">
        <v>1</v>
      </c>
      <c r="H78" s="32">
        <v>13</v>
      </c>
      <c r="I78" s="96">
        <f t="shared" si="0"/>
        <v>14</v>
      </c>
      <c r="J78" s="37">
        <v>83624</v>
      </c>
      <c r="K78" s="37">
        <v>831304</v>
      </c>
      <c r="L78" s="37">
        <v>85247</v>
      </c>
      <c r="M78" s="38">
        <f>I78/(HLOOKUP(F78,Team_Composition_23[[#All],[Yellow]:[Red]],10,FALSE)+HLOOKUP(F78,Team_Composition_23[[#All],[Yellow]:[Red]],11,FALSE))</f>
        <v>1.705237515225335E-2</v>
      </c>
      <c r="N78" s="38">
        <f>J89/HLOOKUP(F89,Team_Composition_23[[#All],[Yellow]:[Red]],6,FALSE)</f>
        <v>5.3627308934481885E-4</v>
      </c>
      <c r="O78" s="38">
        <f>K89/HLOOKUP(F89,Team_Composition_23[[#All],[Yellow]:[Red]],8,FALSE)</f>
        <v>3.0375888982572572E-2</v>
      </c>
      <c r="P78" s="38">
        <f>L89/HLOOKUP(F89,Team_Composition_23[[#All],[Yellow]:[Red]],7,FALSE)</f>
        <v>9.1277761975604981E-3</v>
      </c>
      <c r="Q78" s="31"/>
      <c r="R78" s="78" t="s">
        <v>469</v>
      </c>
      <c r="S78" s="75">
        <f>SUMIFS('BR m Unhinged Kowa 1 2172026'!$K$2:$K$163,'BR m Unhinged Kowa 1 2172026'!$B$2:$B$163,"KS",'BR m Unhinged Kowa 1 2172026'!$F$2:$F$163,"Yellow")</f>
        <v>3126128</v>
      </c>
      <c r="T78" s="76">
        <f>SUMIFS('BR m Unhinged Kowa 1 2172026'!$K$2:$K$163,'BR m Unhinged Kowa 1 2172026'!$B$2:$B$163,"KS",'BR m Unhinged Kowa 1 2172026'!$F$2:$F$163,"Red")</f>
        <v>3925043</v>
      </c>
      <c r="U78" s="31"/>
      <c r="V78" s="31"/>
      <c r="W78" s="31"/>
      <c r="X78" s="31"/>
      <c r="Y78" s="31"/>
      <c r="Z78" s="31"/>
      <c r="AA78" s="31"/>
      <c r="AB78" s="78" t="s">
        <v>469</v>
      </c>
      <c r="AC78" s="75">
        <f>SUMIFS('BR m Unhinged Kowa 1 2172026'!$K$2:$K$163,'BR m Unhinged Kowa 1 2172026'!$B$2:$B$163,"KS",'BR m Unhinged Kowa 1 2172026'!$D$2:$D$163,"Best Regards")</f>
        <v>3685659</v>
      </c>
      <c r="AD78" s="76">
        <f>SUMIFS('BR m Unhinged Kowa 1 2172026'!$K$2:$K$163,'BR m Unhinged Kowa 1 2172026'!$B$2:$B$163,"KS",'BR m Unhinged Kowa 1 2172026'!$D$2:$D$163,"Unhinged肉")</f>
        <v>3365512</v>
      </c>
    </row>
    <row r="79" spans="1:30" ht="22.5" customHeight="1">
      <c r="A79" s="32">
        <v>82</v>
      </c>
      <c r="B79" s="94" t="str">
        <f>VLOOKUP(C79,Lists!I:J,2,FALSE)</f>
        <v>Tank</v>
      </c>
      <c r="C79" s="95" t="str">
        <f>VLOOKUP(E79&amp;D79,Lists!C:E,3,FALSE)</f>
        <v>SnS/Dagger</v>
      </c>
      <c r="D79" s="35" t="s">
        <v>36</v>
      </c>
      <c r="E79" s="36" t="s">
        <v>323</v>
      </c>
      <c r="F79" s="35" t="s">
        <v>483</v>
      </c>
      <c r="G79" s="32">
        <v>0</v>
      </c>
      <c r="H79" s="32">
        <v>14</v>
      </c>
      <c r="I79" s="96">
        <f t="shared" si="0"/>
        <v>14</v>
      </c>
      <c r="J79" s="37">
        <v>129508</v>
      </c>
      <c r="K79" s="37">
        <v>431506</v>
      </c>
      <c r="L79" s="37">
        <v>43282</v>
      </c>
      <c r="M79" s="38">
        <f>I79/(HLOOKUP(F79,Team_Composition_23[[#All],[Yellow]:[Red]],10,FALSE)+HLOOKUP(F79,Team_Composition_23[[#All],[Yellow]:[Red]],11,FALSE))</f>
        <v>1.705237515225335E-2</v>
      </c>
      <c r="N79" s="38">
        <f>J90/HLOOKUP(F90,Team_Composition_23[[#All],[Yellow]:[Red]],6,FALSE)</f>
        <v>1.0690523226580104E-3</v>
      </c>
      <c r="O79" s="38">
        <f>K90/HLOOKUP(F90,Team_Composition_23[[#All],[Yellow]:[Red]],8,FALSE)</f>
        <v>4.719214478784832E-2</v>
      </c>
      <c r="P79" s="38">
        <f>L90/HLOOKUP(F90,Team_Composition_23[[#All],[Yellow]:[Red]],7,FALSE)</f>
        <v>3.641315020254506E-3</v>
      </c>
      <c r="Q79" s="31"/>
      <c r="R79" s="74" t="s">
        <v>470</v>
      </c>
      <c r="S79" s="75">
        <f>SUMIFS('BR m Unhinged Kowa 1 2172026'!$L$2:$L$163,'BR m Unhinged Kowa 1 2172026'!$B$2:$B$163,"KS",'BR m Unhinged Kowa 1 2172026'!$F$2:$F$163,"Yellow")</f>
        <v>53867</v>
      </c>
      <c r="T79" s="76">
        <f>SUMIFS('BR m Unhinged Kowa 1 2172026'!$L$2:$L$163,'BR m Unhinged Kowa 1 2172026'!$B$2:$B$163,"KS",'BR m Unhinged Kowa 1 2172026'!$F$2:$F$163,"Red")</f>
        <v>129605</v>
      </c>
      <c r="U79" s="31"/>
      <c r="V79" s="31"/>
      <c r="W79" s="31"/>
      <c r="X79" s="31"/>
      <c r="Y79" s="31"/>
      <c r="Z79" s="31"/>
      <c r="AA79" s="31"/>
      <c r="AB79" s="74" t="s">
        <v>470</v>
      </c>
      <c r="AC79" s="75">
        <f>SUMIFS('BR m Unhinged Kowa 1 2172026'!$L$2:$L$163,'BR m Unhinged Kowa 1 2172026'!$B$2:$B$163,"KS",'BR m Unhinged Kowa 1 2172026'!$D$2:$D$163,"Best Regards")</f>
        <v>110879</v>
      </c>
      <c r="AD79" s="76">
        <f>SUMIFS('BR m Unhinged Kowa 1 2172026'!$L$2:$L$163,'BR m Unhinged Kowa 1 2172026'!$B$2:$B$163,"KS",'BR m Unhinged Kowa 1 2172026'!$D$2:$D$163,"Unhinged肉")</f>
        <v>72593</v>
      </c>
    </row>
    <row r="80" spans="1:30" ht="22.5" customHeight="1">
      <c r="A80" s="32">
        <v>83</v>
      </c>
      <c r="B80" s="94" t="str">
        <f>VLOOKUP(C80,Lists!I:J,2,FALSE)</f>
        <v>Tank</v>
      </c>
      <c r="C80" s="95" t="str">
        <f>VLOOKUP(E80&amp;D80,Lists!C:E,3,FALSE)</f>
        <v>SnS/Dagger</v>
      </c>
      <c r="D80" s="35" t="s">
        <v>34</v>
      </c>
      <c r="E80" s="36" t="s">
        <v>177</v>
      </c>
      <c r="F80" s="35" t="s">
        <v>483</v>
      </c>
      <c r="G80" s="32">
        <v>0</v>
      </c>
      <c r="H80" s="32">
        <v>14</v>
      </c>
      <c r="I80" s="96">
        <f t="shared" si="0"/>
        <v>14</v>
      </c>
      <c r="J80" s="37">
        <v>41377</v>
      </c>
      <c r="K80" s="37">
        <v>126206</v>
      </c>
      <c r="L80" s="37">
        <v>9150</v>
      </c>
      <c r="M80" s="38">
        <f>I91/(HLOOKUP(F91,Team_Composition_23[[#All],[Yellow]:[Red]],10,FALSE)+HLOOKUP(F91,Team_Composition_23[[#All],[Yellow]:[Red]],11,FALSE))</f>
        <v>7.3081607795371494E-3</v>
      </c>
      <c r="N80" s="38">
        <f>J91/HLOOKUP(F91,Team_Composition_23[[#All],[Yellow]:[Red]],6,FALSE)</f>
        <v>3.102847455187342E-3</v>
      </c>
      <c r="O80" s="38">
        <f>K91/HLOOKUP(F91,Team_Composition_23[[#All],[Yellow]:[Red]],8,FALSE)</f>
        <v>1.3630857986032242E-2</v>
      </c>
      <c r="P80" s="38">
        <f>L91/HLOOKUP(F91,Team_Composition_23[[#All],[Yellow]:[Red]],7,FALSE)</f>
        <v>1.4169037615939307E-3</v>
      </c>
      <c r="Q80" s="31"/>
      <c r="R80" s="78" t="s">
        <v>465</v>
      </c>
      <c r="S80" s="75">
        <f>SUMIFS('BR m Unhinged Kowa 1 2172026'!$G$2:$G$163,'BR m Unhinged Kowa 1 2172026'!$B$2:$B$163,"KS",'BR m Unhinged Kowa 1 2172026'!$F$2:$F$163,"Yellow")</f>
        <v>165</v>
      </c>
      <c r="T80" s="76">
        <f>SUMIFS('BR m Unhinged Kowa 1 2172026'!$G$2:$G$163,'BR m Unhinged Kowa 1 2172026'!$B$2:$B$163,"KS",'BR m Unhinged Kowa 1 2172026'!$F$2:$F$163,"Red")</f>
        <v>103</v>
      </c>
      <c r="U80" s="31"/>
      <c r="V80" s="31"/>
      <c r="W80" s="31"/>
      <c r="X80" s="31"/>
      <c r="Y80" s="31"/>
      <c r="Z80" s="31"/>
      <c r="AA80" s="31"/>
      <c r="AB80" s="78" t="s">
        <v>465</v>
      </c>
      <c r="AC80" s="75">
        <f>SUMIFS('BR m Unhinged Kowa 1 2172026'!$G$2:$G$163,'BR m Unhinged Kowa 1 2172026'!$B$2:$B$163,"KS",'BR m Unhinged Kowa 1 2172026'!$D$2:$D$163,"Best Regards")</f>
        <v>162</v>
      </c>
      <c r="AD80" s="76">
        <f>SUMIFS('BR m Unhinged Kowa 1 2172026'!$G$2:$G$163,'BR m Unhinged Kowa 1 2172026'!$B$2:$B$163,"KS",'BR m Unhinged Kowa 1 2172026'!$D$2:$D$163,"Unhinged肉")</f>
        <v>106</v>
      </c>
    </row>
    <row r="81" spans="1:30" ht="22.5" customHeight="1">
      <c r="A81" s="32">
        <v>84</v>
      </c>
      <c r="B81" s="94" t="str">
        <f>VLOOKUP(C81,Lists!I:J,2,FALSE)</f>
        <v>Tank</v>
      </c>
      <c r="C81" s="95" t="str">
        <f>VLOOKUP(E81&amp;D81,Lists!C:E,3,FALSE)</f>
        <v>SnS/Spear</v>
      </c>
      <c r="D81" s="35" t="s">
        <v>36</v>
      </c>
      <c r="E81" s="36" t="s">
        <v>327</v>
      </c>
      <c r="F81" s="35" t="s">
        <v>483</v>
      </c>
      <c r="G81" s="32">
        <v>0</v>
      </c>
      <c r="H81" s="32">
        <v>13</v>
      </c>
      <c r="I81" s="96">
        <f t="shared" si="0"/>
        <v>13</v>
      </c>
      <c r="J81" s="37">
        <v>131279</v>
      </c>
      <c r="K81" s="37">
        <v>774071</v>
      </c>
      <c r="L81" s="37">
        <v>58508</v>
      </c>
      <c r="M81" s="38">
        <f>I81/(HLOOKUP(F81,Team_Composition_23[[#All],[Yellow]:[Red]],10,FALSE)+HLOOKUP(F81,Team_Composition_23[[#All],[Yellow]:[Red]],11,FALSE))</f>
        <v>1.5834348355663823E-2</v>
      </c>
      <c r="N81" s="38">
        <f>J92/HLOOKUP(F92,Team_Composition_23[[#All],[Yellow]:[Red]],6,FALSE)</f>
        <v>3.3896076627314589E-3</v>
      </c>
      <c r="O81" s="38">
        <f>K92/HLOOKUP(F92,Team_Composition_23[[#All],[Yellow]:[Red]],8,FALSE)</f>
        <v>1.2912163771223052E-2</v>
      </c>
      <c r="P81" s="38">
        <f>L92/HLOOKUP(F92,Team_Composition_23[[#All],[Yellow]:[Red]],7,FALSE)</f>
        <v>1.9126099284052778E-3</v>
      </c>
      <c r="Q81" s="31"/>
      <c r="R81" s="79" t="s">
        <v>466</v>
      </c>
      <c r="S81" s="80">
        <f>SUMIFS('BR m Unhinged Kowa 1 2172026'!$H$2:$H$163,'BR m Unhinged Kowa 1 2172026'!$B$2:$B$163,"KS",'BR m Unhinged Kowa 1 2172026'!$F$2:$F$163,"Yellow")</f>
        <v>224</v>
      </c>
      <c r="T81" s="81">
        <f>SUMIFS('BR m Unhinged Kowa 1 2172026'!$H$2:$H$163,'BR m Unhinged Kowa 1 2172026'!$B$2:$B$163,"KS",'BR m Unhinged Kowa 1 2172026'!$F$2:$F$163,"Red")</f>
        <v>171</v>
      </c>
      <c r="U81" s="31"/>
      <c r="V81" s="31"/>
      <c r="W81" s="31"/>
      <c r="X81" s="31"/>
      <c r="Y81" s="31"/>
      <c r="Z81" s="31"/>
      <c r="AA81" s="31"/>
      <c r="AB81" s="79" t="s">
        <v>466</v>
      </c>
      <c r="AC81" s="80">
        <f>SUMIFS('BR m Unhinged Kowa 1 2172026'!$H$2:$H$163,'BR m Unhinged Kowa 1 2172026'!$B$2:$B$163,"KS",'BR m Unhinged Kowa 1 2172026'!$D$2:$D$163,"Best Regards")</f>
        <v>280</v>
      </c>
      <c r="AD81" s="81">
        <f>SUMIFS('BR m Unhinged Kowa 1 2172026'!$H$2:$H$163,'BR m Unhinged Kowa 1 2172026'!$B$2:$B$163,"KS",'BR m Unhinged Kowa 1 2172026'!$D$2:$D$163,"Unhinged肉")</f>
        <v>115</v>
      </c>
    </row>
    <row r="82" spans="1:30" ht="22.5" customHeight="1">
      <c r="A82" s="32">
        <v>85</v>
      </c>
      <c r="B82" s="94" t="str">
        <f>VLOOKUP(C82,Lists!I:J,2,FALSE)</f>
        <v>Tank</v>
      </c>
      <c r="C82" s="95" t="str">
        <f>VLOOKUP(E82&amp;D82,Lists!C:E,3,FALSE)</f>
        <v>SnS/Greatsword</v>
      </c>
      <c r="D82" s="35" t="s">
        <v>34</v>
      </c>
      <c r="E82" s="36" t="s">
        <v>178</v>
      </c>
      <c r="F82" s="35" t="s">
        <v>483</v>
      </c>
      <c r="G82" s="32">
        <v>0</v>
      </c>
      <c r="H82" s="32">
        <v>12</v>
      </c>
      <c r="I82" s="96">
        <f t="shared" si="0"/>
        <v>12</v>
      </c>
      <c r="J82" s="37">
        <v>65813</v>
      </c>
      <c r="K82" s="37">
        <v>659889</v>
      </c>
      <c r="L82" s="37">
        <v>48254</v>
      </c>
      <c r="M82" s="38">
        <f>I82/(HLOOKUP(F82,Team_Composition_23[[#All],[Yellow]:[Red]],10,FALSE)+HLOOKUP(F82,Team_Composition_23[[#All],[Yellow]:[Red]],11,FALSE))</f>
        <v>1.4616321559074299E-2</v>
      </c>
      <c r="N82" s="38">
        <f>J93/HLOOKUP(F93,Team_Composition_23[[#All],[Yellow]:[Red]],6,FALSE)</f>
        <v>4.0503462516162139E-4</v>
      </c>
      <c r="O82" s="38">
        <f>K93/HLOOKUP(F93,Team_Composition_23[[#All],[Yellow]:[Red]],8,FALSE)</f>
        <v>1.2931724867478685E-2</v>
      </c>
      <c r="P82" s="38">
        <f>L93/HLOOKUP(F93,Team_Composition_23[[#All],[Yellow]:[Red]],7,FALSE)</f>
        <v>4.4413377077994691E-2</v>
      </c>
      <c r="Q82" s="31"/>
      <c r="R82" s="78" t="s">
        <v>54</v>
      </c>
      <c r="S82" s="75">
        <f t="shared" ref="S82:S84" si="18">COUNTIFS(C:C,R82,F:F,"Yellow")</f>
        <v>2</v>
      </c>
      <c r="T82" s="76">
        <f t="shared" ref="T82:T84" si="19">COUNTIFS(C:C,R82,F:F,"Red")</f>
        <v>2</v>
      </c>
      <c r="U82" s="31"/>
      <c r="V82" s="31"/>
      <c r="W82" s="31"/>
      <c r="X82" s="31"/>
      <c r="Y82" s="31"/>
      <c r="Z82" s="31"/>
      <c r="AA82" s="31"/>
      <c r="AB82" s="78" t="s">
        <v>54</v>
      </c>
      <c r="AC82" s="75">
        <f t="shared" ref="AC82:AC84" si="20">COUNTIFS(M:M,AB82,P:P,"Yellow")</f>
        <v>0</v>
      </c>
      <c r="AD82" s="76">
        <f t="shared" ref="AD82:AD84" si="21">COUNTIFS(M:M,AB82,P:P,"Red")</f>
        <v>0</v>
      </c>
    </row>
    <row r="83" spans="1:30" ht="22.5" customHeight="1">
      <c r="A83" s="32">
        <v>47</v>
      </c>
      <c r="B83" s="94" t="str">
        <f>VLOOKUP(C83,Lists!I:J,2,FALSE)</f>
        <v>Tank</v>
      </c>
      <c r="C83" s="95" t="str">
        <f>VLOOKUP(E83&amp;D83,Lists!C:E,3,FALSE)</f>
        <v>SnS/Greatsword</v>
      </c>
      <c r="D83" s="35" t="s">
        <v>34</v>
      </c>
      <c r="E83" s="36" t="s">
        <v>109</v>
      </c>
      <c r="F83" s="35" t="s">
        <v>483</v>
      </c>
      <c r="G83" s="32">
        <v>1</v>
      </c>
      <c r="H83" s="32">
        <v>11</v>
      </c>
      <c r="I83" s="96">
        <f t="shared" si="0"/>
        <v>12</v>
      </c>
      <c r="J83" s="37">
        <v>75328</v>
      </c>
      <c r="K83" s="37">
        <v>908366</v>
      </c>
      <c r="L83" s="37">
        <v>41341</v>
      </c>
      <c r="M83" s="38">
        <f>I83/(HLOOKUP(F83,Team_Composition_23[[#All],[Yellow]:[Red]],10,FALSE)+HLOOKUP(F83,Team_Composition_23[[#All],[Yellow]:[Red]],11,FALSE))</f>
        <v>1.4616321559074299E-2</v>
      </c>
      <c r="N83" s="38">
        <f>J94/HLOOKUP(F94,Team_Composition_23[[#All],[Yellow]:[Red]],6,FALSE)</f>
        <v>3.2690096940251583E-3</v>
      </c>
      <c r="O83" s="38">
        <f>K94/HLOOKUP(F94,Team_Composition_23[[#All],[Yellow]:[Red]],8,FALSE)</f>
        <v>2.388457562803728E-2</v>
      </c>
      <c r="P83" s="38">
        <f>L94/HLOOKUP(F94,Team_Composition_23[[#All],[Yellow]:[Red]],7,FALSE)</f>
        <v>3.4719622534794101E-3</v>
      </c>
      <c r="Q83" s="31"/>
      <c r="R83" s="74" t="s">
        <v>69</v>
      </c>
      <c r="S83" s="75">
        <f t="shared" si="18"/>
        <v>2</v>
      </c>
      <c r="T83" s="76">
        <f t="shared" si="19"/>
        <v>3</v>
      </c>
      <c r="U83" s="31"/>
      <c r="V83" s="31"/>
      <c r="W83" s="31"/>
      <c r="X83" s="31"/>
      <c r="Y83" s="31"/>
      <c r="Z83" s="31"/>
      <c r="AA83" s="31"/>
      <c r="AB83" s="74" t="s">
        <v>69</v>
      </c>
      <c r="AC83" s="75">
        <f t="shared" si="20"/>
        <v>0</v>
      </c>
      <c r="AD83" s="76">
        <f t="shared" si="21"/>
        <v>0</v>
      </c>
    </row>
    <row r="84" spans="1:30" ht="22.5" customHeight="1">
      <c r="A84" s="32">
        <v>86</v>
      </c>
      <c r="B84" s="94" t="str">
        <f>VLOOKUP(C84,Lists!I:J,2,FALSE)</f>
        <v>Tank</v>
      </c>
      <c r="C84" s="95" t="str">
        <f>VLOOKUP(E84&amp;D84,Lists!C:E,3,FALSE)</f>
        <v>SnS/Greatsword</v>
      </c>
      <c r="D84" s="35" t="s">
        <v>36</v>
      </c>
      <c r="E84" s="36" t="s">
        <v>316</v>
      </c>
      <c r="F84" s="35" t="s">
        <v>483</v>
      </c>
      <c r="G84" s="32">
        <v>0</v>
      </c>
      <c r="H84" s="32">
        <v>11</v>
      </c>
      <c r="I84" s="96">
        <f t="shared" si="0"/>
        <v>11</v>
      </c>
      <c r="J84" s="37">
        <v>155008</v>
      </c>
      <c r="K84" s="37">
        <v>522538</v>
      </c>
      <c r="L84" s="37">
        <v>46235</v>
      </c>
      <c r="M84" s="38">
        <f>I84/(HLOOKUP(F84,Team_Composition_23[[#All],[Yellow]:[Red]],10,FALSE)+HLOOKUP(F84,Team_Composition_23[[#All],[Yellow]:[Red]],11,FALSE))</f>
        <v>1.3398294762484775E-2</v>
      </c>
      <c r="N84" s="38" t="e">
        <f>J95/HLOOKUP(F95,Team_Composition_23[[#All],[Yellow]:[Red]],6,FALSE)</f>
        <v>#N/A</v>
      </c>
      <c r="O84" s="38" t="e">
        <f>K95/HLOOKUP(F95,Team_Composition_23[[#All],[Yellow]:[Red]],8,FALSE)</f>
        <v>#N/A</v>
      </c>
      <c r="P84" s="38" t="e">
        <f>L95/HLOOKUP(F95,Team_Composition_23[[#All],[Yellow]:[Red]],7,FALSE)</f>
        <v>#N/A</v>
      </c>
      <c r="Q84" s="31"/>
      <c r="R84" s="78" t="s">
        <v>81</v>
      </c>
      <c r="S84" s="75">
        <f t="shared" si="18"/>
        <v>1</v>
      </c>
      <c r="T84" s="76">
        <f t="shared" si="19"/>
        <v>0</v>
      </c>
      <c r="U84" s="31"/>
      <c r="V84" s="31"/>
      <c r="W84" s="31"/>
      <c r="X84" s="31"/>
      <c r="Y84" s="31"/>
      <c r="Z84" s="31"/>
      <c r="AA84" s="31"/>
      <c r="AB84" s="78" t="s">
        <v>81</v>
      </c>
      <c r="AC84" s="75">
        <f t="shared" si="20"/>
        <v>0</v>
      </c>
      <c r="AD84" s="76">
        <f t="shared" si="21"/>
        <v>0</v>
      </c>
    </row>
    <row r="85" spans="1:30" ht="22.5" customHeight="1">
      <c r="A85" s="32">
        <v>87</v>
      </c>
      <c r="B85" s="94" t="str">
        <f>VLOOKUP(C85,Lists!I:J,2,FALSE)</f>
        <v>Tank</v>
      </c>
      <c r="C85" s="95" t="str">
        <f>VLOOKUP(E85&amp;D85,Lists!C:E,3,FALSE)</f>
        <v>SnS/Greatsword</v>
      </c>
      <c r="D85" s="35" t="s">
        <v>34</v>
      </c>
      <c r="E85" s="36" t="s">
        <v>118</v>
      </c>
      <c r="F85" s="35" t="s">
        <v>483</v>
      </c>
      <c r="G85" s="32">
        <v>0</v>
      </c>
      <c r="H85" s="32">
        <v>10</v>
      </c>
      <c r="I85" s="96">
        <f t="shared" si="0"/>
        <v>10</v>
      </c>
      <c r="J85" s="37">
        <v>88437</v>
      </c>
      <c r="K85" s="37">
        <v>685506</v>
      </c>
      <c r="L85" s="37">
        <v>28965</v>
      </c>
      <c r="M85" s="38">
        <f>I85/(HLOOKUP(F85,Team_Composition_23[[#All],[Yellow]:[Red]],10,FALSE)+HLOOKUP(F85,Team_Composition_23[[#All],[Yellow]:[Red]],11,FALSE))</f>
        <v>1.2180267965895249E-2</v>
      </c>
      <c r="N85" s="38" t="e">
        <f>J96/HLOOKUP(F96,Team_Composition_23[[#All],[Yellow]:[Red]],6,FALSE)</f>
        <v>#N/A</v>
      </c>
      <c r="O85" s="38" t="e">
        <f>K96/HLOOKUP(F96,Team_Composition_23[[#All],[Yellow]:[Red]],8,FALSE)</f>
        <v>#N/A</v>
      </c>
      <c r="P85" s="38" t="e">
        <f>L96/HLOOKUP(F96,Team_Composition_23[[#All],[Yellow]:[Red]],7,FALSE)</f>
        <v>#N/A</v>
      </c>
      <c r="Q85" s="31"/>
      <c r="R85" s="31"/>
      <c r="S85" s="31"/>
      <c r="T85" s="31"/>
      <c r="U85" s="31"/>
      <c r="V85" s="31"/>
      <c r="W85" s="31"/>
      <c r="X85" s="31"/>
      <c r="Y85" s="31"/>
      <c r="Z85" s="31"/>
      <c r="AA85" s="31"/>
      <c r="AB85" s="31"/>
      <c r="AC85" s="31"/>
      <c r="AD85" s="31"/>
    </row>
    <row r="86" spans="1:30" ht="22.5" customHeight="1">
      <c r="A86" s="32">
        <v>88</v>
      </c>
      <c r="B86" s="94" t="str">
        <f>VLOOKUP(C86,Lists!I:J,2,FALSE)</f>
        <v>Healer</v>
      </c>
      <c r="C86" s="95" t="str">
        <f>VLOOKUP(E86&amp;D86,Lists!C:E,3,FALSE)</f>
        <v>Wand/Longbow</v>
      </c>
      <c r="D86" s="35" t="s">
        <v>36</v>
      </c>
      <c r="E86" s="36" t="s">
        <v>324</v>
      </c>
      <c r="F86" s="35" t="s">
        <v>483</v>
      </c>
      <c r="G86" s="32">
        <v>0</v>
      </c>
      <c r="H86" s="32">
        <v>9</v>
      </c>
      <c r="I86" s="96">
        <f t="shared" si="0"/>
        <v>9</v>
      </c>
      <c r="J86" s="37">
        <v>76526</v>
      </c>
      <c r="K86" s="37">
        <v>714835</v>
      </c>
      <c r="L86" s="37">
        <v>1552524</v>
      </c>
      <c r="M86" s="38">
        <f>I86/(HLOOKUP(F86,Team_Composition_23[[#All],[Yellow]:[Red]],10,FALSE)+HLOOKUP(F86,Team_Composition_23[[#All],[Yellow]:[Red]],11,FALSE))</f>
        <v>1.0962241169305725E-2</v>
      </c>
      <c r="N86" s="38">
        <f>J86/HLOOKUP(F86,Team_Composition_23[[#All],[Yellow]:[Red]],6,FALSE)</f>
        <v>4.3368797712492286E-3</v>
      </c>
      <c r="O86" s="38">
        <f>K86/HLOOKUP(F86,Team_Composition_23[[#All],[Yellow]:[Red]],8,FALSE)</f>
        <v>1.6240367296046263E-2</v>
      </c>
      <c r="P86" s="38">
        <f>L86/HLOOKUP(F86,Team_Composition_23[[#All],[Yellow]:[Red]],7,FALSE)</f>
        <v>6.3973044133218623E-2</v>
      </c>
      <c r="Q86" s="31"/>
      <c r="R86" s="31"/>
      <c r="S86" s="31"/>
      <c r="T86" s="31"/>
      <c r="U86" s="31"/>
      <c r="V86" s="31"/>
      <c r="W86" s="31"/>
      <c r="X86" s="31"/>
      <c r="Y86" s="31"/>
      <c r="Z86" s="31"/>
      <c r="AA86" s="31"/>
      <c r="AB86" s="31"/>
      <c r="AC86" s="31"/>
      <c r="AD86" s="31"/>
    </row>
    <row r="87" spans="1:30" ht="22.5" customHeight="1">
      <c r="A87" s="32">
        <v>89</v>
      </c>
      <c r="B87" s="94" t="str">
        <f>VLOOKUP(C87,Lists!I:J,2,FALSE)</f>
        <v>Tank</v>
      </c>
      <c r="C87" s="95" t="str">
        <f>VLOOKUP(E87&amp;D87,Lists!C:E,3,FALSE)</f>
        <v>SnS/Greatsword</v>
      </c>
      <c r="D87" s="35" t="s">
        <v>34</v>
      </c>
      <c r="E87" s="36" t="s">
        <v>148</v>
      </c>
      <c r="F87" s="35" t="s">
        <v>483</v>
      </c>
      <c r="G87" s="32">
        <v>0</v>
      </c>
      <c r="H87" s="32">
        <v>9</v>
      </c>
      <c r="I87" s="96">
        <f t="shared" si="0"/>
        <v>9</v>
      </c>
      <c r="J87" s="37">
        <v>58845</v>
      </c>
      <c r="K87" s="37">
        <v>728497</v>
      </c>
      <c r="L87" s="37">
        <v>26281</v>
      </c>
      <c r="M87" s="38">
        <f>I87/(HLOOKUP(F87,Team_Composition_23[[#All],[Yellow]:[Red]],10,FALSE)+HLOOKUP(F87,Team_Composition_23[[#All],[Yellow]:[Red]],11,FALSE))</f>
        <v>1.0962241169305725E-2</v>
      </c>
      <c r="N87" s="38" t="e">
        <f>J98/HLOOKUP(F98,Team_Composition_23[[#All],[Yellow]:[Red]],6,FALSE)</f>
        <v>#N/A</v>
      </c>
      <c r="O87" s="38" t="e">
        <f>K98/HLOOKUP(F98,Team_Composition_23[[#All],[Yellow]:[Red]],8,FALSE)</f>
        <v>#N/A</v>
      </c>
      <c r="P87" s="38" t="e">
        <f>L98/HLOOKUP(F98,Team_Composition_23[[#All],[Yellow]:[Red]],7,FALSE)</f>
        <v>#N/A</v>
      </c>
      <c r="Q87" s="31"/>
      <c r="R87" s="31"/>
      <c r="S87" s="31"/>
      <c r="T87" s="31"/>
      <c r="U87" s="31"/>
      <c r="V87" s="31"/>
      <c r="W87" s="31"/>
      <c r="X87" s="31"/>
      <c r="Y87" s="31"/>
      <c r="Z87" s="31"/>
      <c r="AA87" s="31"/>
      <c r="AB87" s="31"/>
      <c r="AC87" s="31"/>
      <c r="AD87" s="31"/>
    </row>
    <row r="88" spans="1:30" ht="22.5" customHeight="1">
      <c r="A88" s="32">
        <v>90</v>
      </c>
      <c r="B88" s="94" t="str">
        <f>VLOOKUP(C88,Lists!I:J,2,FALSE)</f>
        <v>Tank</v>
      </c>
      <c r="C88" s="95" t="str">
        <f>VLOOKUP(E88&amp;D88,Lists!C:E,3,FALSE)</f>
        <v>SnS/Greatsword</v>
      </c>
      <c r="D88" s="35" t="s">
        <v>36</v>
      </c>
      <c r="E88" s="36" t="s">
        <v>295</v>
      </c>
      <c r="F88" s="35" t="s">
        <v>476</v>
      </c>
      <c r="G88" s="32">
        <v>0</v>
      </c>
      <c r="H88" s="32">
        <v>8</v>
      </c>
      <c r="I88" s="96">
        <f t="shared" si="0"/>
        <v>8</v>
      </c>
      <c r="J88" s="37">
        <v>37069</v>
      </c>
      <c r="K88" s="37">
        <v>374669</v>
      </c>
      <c r="L88" s="37">
        <v>20705</v>
      </c>
      <c r="M88" s="38">
        <f>I88/(HLOOKUP(F88,Team_Composition_23[[#All],[Yellow]:[Red]],10,FALSE)+HLOOKUP(F88,Team_Composition_23[[#All],[Yellow]:[Red]],11,FALSE))</f>
        <v>1.999500124968758E-3</v>
      </c>
      <c r="N88" s="38" t="e">
        <f>J99/HLOOKUP(F99,Team_Composition_23[[#All],[Yellow]:[Red]],6,FALSE)</f>
        <v>#N/A</v>
      </c>
      <c r="O88" s="38" t="e">
        <f>K99/HLOOKUP(F99,Team_Composition_23[[#All],[Yellow]:[Red]],8,FALSE)</f>
        <v>#N/A</v>
      </c>
      <c r="P88" s="38" t="e">
        <f>L99/HLOOKUP(F99,Team_Composition_23[[#All],[Yellow]:[Red]],7,FALSE)</f>
        <v>#N/A</v>
      </c>
      <c r="Q88" s="31"/>
      <c r="R88" s="31"/>
      <c r="S88" s="31"/>
      <c r="T88" s="31"/>
      <c r="U88" s="31"/>
      <c r="V88" s="31"/>
      <c r="W88" s="31"/>
      <c r="X88" s="31"/>
      <c r="Y88" s="31"/>
      <c r="Z88" s="31"/>
      <c r="AA88" s="31"/>
      <c r="AB88" s="31"/>
      <c r="AC88" s="31"/>
      <c r="AD88" s="31"/>
    </row>
    <row r="89" spans="1:30" ht="22.5" customHeight="1">
      <c r="A89" s="32">
        <v>92</v>
      </c>
      <c r="B89" s="94" t="str">
        <f>VLOOKUP(C89,Lists!I:J,2,FALSE)</f>
        <v>Tank</v>
      </c>
      <c r="C89" s="95" t="str">
        <f>VLOOKUP(E89&amp;D89,Lists!C:E,3,FALSE)</f>
        <v>SnS/Longbow</v>
      </c>
      <c r="D89" s="35" t="s">
        <v>36</v>
      </c>
      <c r="E89" s="36" t="s">
        <v>284</v>
      </c>
      <c r="F89" s="35" t="s">
        <v>476</v>
      </c>
      <c r="G89" s="32">
        <v>0</v>
      </c>
      <c r="H89" s="32">
        <v>7</v>
      </c>
      <c r="I89" s="96">
        <f t="shared" si="0"/>
        <v>7</v>
      </c>
      <c r="J89" s="37">
        <v>23791</v>
      </c>
      <c r="K89" s="37">
        <v>532148</v>
      </c>
      <c r="L89" s="37">
        <v>118157</v>
      </c>
      <c r="M89" s="38">
        <f>I89/(HLOOKUP(F89,Team_Composition_23[[#All],[Yellow]:[Red]],10,FALSE)+HLOOKUP(F89,Team_Composition_23[[#All],[Yellow]:[Red]],11,FALSE))</f>
        <v>1.7495626093476631E-3</v>
      </c>
      <c r="N89" s="38" t="e">
        <f>J100/HLOOKUP(F100,Team_Composition_23[[#All],[Yellow]:[Red]],6,FALSE)</f>
        <v>#N/A</v>
      </c>
      <c r="O89" s="38" t="e">
        <f>K100/HLOOKUP(F100,Team_Composition_23[[#All],[Yellow]:[Red]],8,FALSE)</f>
        <v>#N/A</v>
      </c>
      <c r="P89" s="38" t="e">
        <f>L100/HLOOKUP(F100,Team_Composition_23[[#All],[Yellow]:[Red]],7,FALSE)</f>
        <v>#N/A</v>
      </c>
      <c r="Q89" s="31"/>
      <c r="R89" s="31"/>
      <c r="S89" s="31"/>
      <c r="T89" s="31"/>
      <c r="U89" s="31"/>
      <c r="V89" s="31"/>
      <c r="W89" s="31"/>
      <c r="X89" s="31"/>
      <c r="Y89" s="31"/>
      <c r="Z89" s="31"/>
      <c r="AA89" s="31"/>
      <c r="AB89" s="31"/>
      <c r="AC89" s="31"/>
      <c r="AD89" s="31"/>
    </row>
    <row r="90" spans="1:30" ht="22.5" customHeight="1">
      <c r="A90" s="32">
        <v>91</v>
      </c>
      <c r="B90" s="94" t="str">
        <f>VLOOKUP(C90,Lists!I:J,2,FALSE)</f>
        <v>Tank</v>
      </c>
      <c r="C90" s="95" t="str">
        <f>VLOOKUP(E90&amp;D90,Lists!C:E,3,FALSE)</f>
        <v>SnS/Greatsword</v>
      </c>
      <c r="D90" s="35" t="s">
        <v>34</v>
      </c>
      <c r="E90" s="36" t="s">
        <v>166</v>
      </c>
      <c r="F90" s="35" t="s">
        <v>476</v>
      </c>
      <c r="G90" s="32">
        <v>0</v>
      </c>
      <c r="H90" s="32">
        <v>7</v>
      </c>
      <c r="I90" s="96">
        <f t="shared" si="0"/>
        <v>7</v>
      </c>
      <c r="J90" s="37">
        <v>47427</v>
      </c>
      <c r="K90" s="37">
        <v>826748</v>
      </c>
      <c r="L90" s="37">
        <v>47136</v>
      </c>
      <c r="M90" s="38">
        <f>I90/(HLOOKUP(F90,Team_Composition_23[[#All],[Yellow]:[Red]],10,FALSE)+HLOOKUP(F90,Team_Composition_23[[#All],[Yellow]:[Red]],11,FALSE))</f>
        <v>1.7495626093476631E-3</v>
      </c>
      <c r="N90" s="38" t="e">
        <f>J101/HLOOKUP(F101,Team_Composition_23[[#All],[Yellow]:[Red]],6,FALSE)</f>
        <v>#N/A</v>
      </c>
      <c r="O90" s="38" t="e">
        <f>K101/HLOOKUP(F101,Team_Composition_23[[#All],[Yellow]:[Red]],8,FALSE)</f>
        <v>#N/A</v>
      </c>
      <c r="P90" s="38" t="e">
        <f>L101/HLOOKUP(F101,Team_Composition_23[[#All],[Yellow]:[Red]],7,FALSE)</f>
        <v>#N/A</v>
      </c>
      <c r="Q90" s="31"/>
      <c r="R90" s="31"/>
      <c r="S90" s="31"/>
      <c r="T90" s="31"/>
      <c r="U90" s="31"/>
      <c r="V90" s="31"/>
      <c r="W90" s="31"/>
      <c r="X90" s="31"/>
      <c r="Y90" s="31"/>
      <c r="Z90" s="31"/>
      <c r="AA90" s="31"/>
      <c r="AB90" s="31"/>
      <c r="AC90" s="31"/>
      <c r="AD90" s="31"/>
    </row>
    <row r="91" spans="1:30" ht="22.5" customHeight="1">
      <c r="A91" s="32">
        <v>93</v>
      </c>
      <c r="B91" s="94" t="str">
        <f>VLOOKUP(C91,Lists!I:J,2,FALSE)</f>
        <v>Tank</v>
      </c>
      <c r="C91" s="95" t="str">
        <f>VLOOKUP(E91&amp;D91,Lists!C:E,3,FALSE)</f>
        <v>SnS/Spear</v>
      </c>
      <c r="D91" s="35" t="s">
        <v>34</v>
      </c>
      <c r="E91" s="36" t="s">
        <v>175</v>
      </c>
      <c r="F91" s="35" t="s">
        <v>483</v>
      </c>
      <c r="G91" s="32">
        <v>0</v>
      </c>
      <c r="H91" s="32">
        <v>6</v>
      </c>
      <c r="I91" s="96">
        <f t="shared" si="0"/>
        <v>6</v>
      </c>
      <c r="J91" s="37">
        <v>54751</v>
      </c>
      <c r="K91" s="37">
        <v>599975</v>
      </c>
      <c r="L91" s="37">
        <v>34386</v>
      </c>
      <c r="M91" s="38">
        <f>I91/(HLOOKUP(F91,Team_Composition_23[[#All],[Yellow]:[Red]],10,FALSE)+HLOOKUP(F91,Team_Composition_23[[#All],[Yellow]:[Red]],11,FALSE))</f>
        <v>7.3081607795371494E-3</v>
      </c>
      <c r="N91" s="38" t="e">
        <f>#REF!/HLOOKUP(#REF!,Team_Composition_23[[#All],[Yellow]:[Red]],6,FALSE)</f>
        <v>#REF!</v>
      </c>
      <c r="O91" s="38" t="e">
        <f>#REF!/HLOOKUP(#REF!,Team_Composition_23[[#All],[Yellow]:[Red]],8,FALSE)</f>
        <v>#REF!</v>
      </c>
      <c r="P91" s="38" t="e">
        <f>#REF!/HLOOKUP(#REF!,Team_Composition_23[[#All],[Yellow]:[Red]],7,FALSE)</f>
        <v>#REF!</v>
      </c>
      <c r="Q91" s="31"/>
      <c r="R91" s="31"/>
      <c r="S91" s="31"/>
      <c r="T91" s="31"/>
      <c r="U91" s="31"/>
      <c r="V91" s="31"/>
      <c r="W91" s="31"/>
      <c r="X91" s="31"/>
      <c r="Y91" s="31"/>
      <c r="Z91" s="31"/>
      <c r="AA91" s="31"/>
      <c r="AB91" s="31"/>
      <c r="AC91" s="31"/>
      <c r="AD91" s="31"/>
    </row>
    <row r="92" spans="1:30" ht="22.5" customHeight="1">
      <c r="A92" s="32">
        <v>94</v>
      </c>
      <c r="B92" s="94" t="str">
        <f>VLOOKUP(C92,Lists!I:J,2,FALSE)</f>
        <v>Tank</v>
      </c>
      <c r="C92" s="95" t="str">
        <f>VLOOKUP(E92&amp;D92,Lists!C:E,3,FALSE)</f>
        <v>SnS/Greatsword</v>
      </c>
      <c r="D92" s="35" t="s">
        <v>34</v>
      </c>
      <c r="E92" s="114" t="s">
        <v>176</v>
      </c>
      <c r="F92" s="35" t="s">
        <v>483</v>
      </c>
      <c r="G92" s="32">
        <v>0</v>
      </c>
      <c r="H92" s="32">
        <v>4</v>
      </c>
      <c r="I92" s="96">
        <f t="shared" si="0"/>
        <v>4</v>
      </c>
      <c r="J92" s="37">
        <v>59811</v>
      </c>
      <c r="K92" s="37">
        <v>568341</v>
      </c>
      <c r="L92" s="37">
        <v>46416</v>
      </c>
      <c r="M92" s="38">
        <f>I92/(HLOOKUP(F92,Team_Composition_23[[#All],[Yellow]:[Red]],10,FALSE)+HLOOKUP(F92,Team_Composition_23[[#All],[Yellow]:[Red]],11,FALSE))</f>
        <v>4.8721071863580996E-3</v>
      </c>
      <c r="N92" s="38" t="e">
        <f>J103/HLOOKUP(F103,Team_Composition_23[[#All],[Yellow]:[Red]],6,FALSE)</f>
        <v>#N/A</v>
      </c>
      <c r="O92" s="38" t="e">
        <f>K103/HLOOKUP(F103,Team_Composition_23[[#All],[Yellow]:[Red]],8,FALSE)</f>
        <v>#N/A</v>
      </c>
      <c r="P92" s="38" t="e">
        <f>L103/HLOOKUP(F103,Team_Composition_23[[#All],[Yellow]:[Red]],7,FALSE)</f>
        <v>#N/A</v>
      </c>
      <c r="Q92" s="31"/>
      <c r="R92" s="31"/>
      <c r="S92" s="31"/>
      <c r="T92" s="31"/>
      <c r="U92" s="31"/>
      <c r="V92" s="31"/>
      <c r="W92" s="31"/>
      <c r="X92" s="31"/>
      <c r="Y92" s="31"/>
      <c r="Z92" s="31"/>
      <c r="AA92" s="31"/>
      <c r="AB92" s="31"/>
      <c r="AC92" s="31"/>
      <c r="AD92" s="31"/>
    </row>
    <row r="93" spans="1:30" ht="22.5" customHeight="1">
      <c r="A93" s="32">
        <v>95</v>
      </c>
      <c r="B93" s="94" t="str">
        <f>VLOOKUP(C93,Lists!I:J,2,FALSE)</f>
        <v>Healer</v>
      </c>
      <c r="C93" s="95" t="str">
        <f>VLOOKUP(E93&amp;D93,Lists!C:E,3,FALSE)</f>
        <v>Wand/Orb</v>
      </c>
      <c r="D93" s="35" t="s">
        <v>36</v>
      </c>
      <c r="E93" s="36" t="s">
        <v>308</v>
      </c>
      <c r="F93" s="35" t="s">
        <v>483</v>
      </c>
      <c r="G93" s="32">
        <v>0</v>
      </c>
      <c r="H93" s="32">
        <v>2</v>
      </c>
      <c r="I93" s="96">
        <f t="shared" si="0"/>
        <v>2</v>
      </c>
      <c r="J93" s="37">
        <v>7147</v>
      </c>
      <c r="K93" s="37">
        <v>569202</v>
      </c>
      <c r="L93" s="37">
        <v>1077842</v>
      </c>
      <c r="M93" s="38" t="e">
        <f>I104/(HLOOKUP(F104,Team_Composition_23[[#All],[Yellow]:[Red]],10,FALSE)+HLOOKUP(F104,Team_Composition_23[[#All],[Yellow]:[Red]],11,FALSE))</f>
        <v>#N/A</v>
      </c>
      <c r="N93" s="38" t="e">
        <f>J104/HLOOKUP(F104,Team_Composition_23[[#All],[Yellow]:[Red]],6,FALSE)</f>
        <v>#N/A</v>
      </c>
      <c r="O93" s="38" t="e">
        <f>K104/HLOOKUP(F104,Team_Composition_23[[#All],[Yellow]:[Red]],8,FALSE)</f>
        <v>#N/A</v>
      </c>
      <c r="P93" s="38" t="e">
        <f>L104/HLOOKUP(F104,Team_Composition_23[[#All],[Yellow]:[Red]],7,FALSE)</f>
        <v>#N/A</v>
      </c>
      <c r="Q93" s="31"/>
      <c r="R93" s="31"/>
      <c r="S93" s="31"/>
      <c r="T93" s="31"/>
      <c r="U93" s="31"/>
      <c r="V93" s="31"/>
      <c r="W93" s="31"/>
      <c r="X93" s="31"/>
      <c r="Y93" s="31"/>
      <c r="Z93" s="31"/>
      <c r="AA93" s="31"/>
      <c r="AB93" s="31"/>
      <c r="AC93" s="31"/>
      <c r="AD93" s="31"/>
    </row>
    <row r="94" spans="1:30" ht="22.5" customHeight="1">
      <c r="A94" s="32">
        <v>48</v>
      </c>
      <c r="B94" s="94" t="str">
        <f>VLOOKUP(C94,Lists!I:J,2,FALSE)</f>
        <v>Tank</v>
      </c>
      <c r="C94" s="95" t="str">
        <f>VLOOKUP(E94&amp;D94,Lists!C:E,3,FALSE)</f>
        <v>SnS/Greatsword</v>
      </c>
      <c r="D94" s="35" t="s">
        <v>36</v>
      </c>
      <c r="E94" s="36" t="s">
        <v>328</v>
      </c>
      <c r="F94" s="35" t="s">
        <v>483</v>
      </c>
      <c r="G94" s="32">
        <v>1</v>
      </c>
      <c r="H94" s="32">
        <v>1</v>
      </c>
      <c r="I94" s="96">
        <f t="shared" si="0"/>
        <v>2</v>
      </c>
      <c r="J94" s="37">
        <v>57683</v>
      </c>
      <c r="K94" s="37">
        <v>1051302</v>
      </c>
      <c r="L94" s="37">
        <v>84259</v>
      </c>
      <c r="M94" s="38">
        <f>I94/(HLOOKUP(F94,Team_Composition_23[[#All],[Yellow]:[Red]],10,FALSE)+HLOOKUP(F94,Team_Composition_23[[#All],[Yellow]:[Red]],11,FALSE))</f>
        <v>2.4360535931790498E-3</v>
      </c>
      <c r="N94" s="38" t="e">
        <f>J105/HLOOKUP(F105,Team_Composition_23[[#All],[Yellow]:[Red]],6,FALSE)</f>
        <v>#N/A</v>
      </c>
      <c r="O94" s="38" t="e">
        <f>K105/HLOOKUP(F105,Team_Composition_23[[#All],[Yellow]:[Red]],8,FALSE)</f>
        <v>#N/A</v>
      </c>
      <c r="P94" s="38" t="e">
        <f>L105/HLOOKUP(F105,Team_Composition_23[[#All],[Yellow]:[Red]],7,FALSE)</f>
        <v>#N/A</v>
      </c>
      <c r="Q94" s="31"/>
      <c r="R94" s="31"/>
      <c r="S94" s="31"/>
      <c r="T94" s="31"/>
      <c r="U94" s="31"/>
      <c r="V94" s="31"/>
      <c r="W94" s="31"/>
      <c r="X94" s="31"/>
      <c r="Y94" s="31"/>
      <c r="Z94" s="31"/>
      <c r="AA94" s="31"/>
      <c r="AB94" s="31"/>
      <c r="AC94" s="31"/>
      <c r="AD94" s="31"/>
    </row>
    <row r="95" spans="1:30" ht="22.5" customHeight="1">
      <c r="A95" s="32"/>
      <c r="B95" s="94"/>
      <c r="C95" s="95"/>
      <c r="D95" s="35"/>
      <c r="E95" s="36"/>
      <c r="F95" s="35"/>
      <c r="G95" s="32"/>
      <c r="H95" s="32"/>
      <c r="I95" s="96"/>
      <c r="J95" s="37"/>
      <c r="K95" s="37"/>
      <c r="L95" s="37"/>
      <c r="M95" s="38"/>
      <c r="N95" s="38"/>
      <c r="O95" s="38"/>
      <c r="P95" s="38"/>
      <c r="Q95" s="31"/>
      <c r="R95" s="31"/>
      <c r="S95" s="31"/>
      <c r="T95" s="31"/>
      <c r="U95" s="31"/>
      <c r="V95" s="31"/>
      <c r="W95" s="31"/>
      <c r="X95" s="31"/>
      <c r="Y95" s="31"/>
      <c r="Z95" s="31"/>
      <c r="AA95" s="31"/>
      <c r="AB95" s="31"/>
      <c r="AC95" s="31"/>
      <c r="AD95" s="31"/>
    </row>
    <row r="96" spans="1:30" ht="22.5" customHeight="1">
      <c r="A96" s="32"/>
      <c r="B96" s="94"/>
      <c r="C96" s="95"/>
      <c r="D96" s="35"/>
      <c r="E96" s="36"/>
      <c r="F96" s="35"/>
      <c r="G96" s="32"/>
      <c r="H96" s="32"/>
      <c r="I96" s="96"/>
      <c r="J96" s="37"/>
      <c r="K96" s="37"/>
      <c r="L96" s="37"/>
      <c r="M96" s="38"/>
      <c r="N96" s="38"/>
      <c r="O96" s="38"/>
      <c r="P96" s="38"/>
      <c r="Q96" s="31"/>
      <c r="R96" s="31"/>
      <c r="S96" s="31"/>
      <c r="T96" s="31"/>
      <c r="U96" s="31"/>
      <c r="V96" s="31"/>
      <c r="W96" s="31"/>
      <c r="X96" s="31"/>
      <c r="Y96" s="31"/>
      <c r="Z96" s="31"/>
      <c r="AA96" s="31"/>
      <c r="AB96" s="31"/>
      <c r="AC96" s="31"/>
      <c r="AD96" s="31"/>
    </row>
    <row r="97" spans="1:30" ht="22.5" customHeight="1">
      <c r="A97" s="32"/>
      <c r="B97" s="94"/>
      <c r="C97" s="95"/>
      <c r="D97" s="35"/>
      <c r="E97" s="36"/>
      <c r="F97" s="35"/>
      <c r="G97" s="32"/>
      <c r="H97" s="32"/>
      <c r="I97" s="96"/>
      <c r="J97" s="37"/>
      <c r="K97" s="37"/>
      <c r="L97" s="37"/>
      <c r="M97" s="38"/>
      <c r="N97" s="38"/>
      <c r="O97" s="38"/>
      <c r="P97" s="38"/>
      <c r="Q97" s="31"/>
      <c r="R97" s="31"/>
      <c r="S97" s="31"/>
      <c r="T97" s="31"/>
      <c r="U97" s="31"/>
      <c r="V97" s="31"/>
      <c r="W97" s="31"/>
      <c r="X97" s="31"/>
      <c r="Y97" s="31"/>
      <c r="Z97" s="31"/>
      <c r="AA97" s="31"/>
      <c r="AB97" s="31"/>
      <c r="AC97" s="31"/>
      <c r="AD97" s="31"/>
    </row>
    <row r="98" spans="1:30" ht="22.5" customHeight="1">
      <c r="A98" s="99"/>
      <c r="B98" s="100"/>
      <c r="C98" s="101"/>
      <c r="D98" s="102"/>
      <c r="E98" s="103"/>
      <c r="F98" s="102"/>
      <c r="G98" s="99"/>
      <c r="H98" s="99"/>
      <c r="I98" s="104"/>
      <c r="J98" s="105"/>
      <c r="K98" s="105"/>
      <c r="L98" s="105"/>
      <c r="M98" s="87"/>
      <c r="N98" s="87"/>
      <c r="O98" s="87"/>
      <c r="P98" s="87"/>
      <c r="Q98" s="31"/>
      <c r="R98" s="31"/>
      <c r="S98" s="31"/>
      <c r="T98" s="31"/>
      <c r="U98" s="31"/>
      <c r="V98" s="31"/>
      <c r="W98" s="31"/>
      <c r="X98" s="31"/>
      <c r="Y98" s="31"/>
      <c r="Z98" s="31"/>
      <c r="AA98" s="31"/>
      <c r="AB98" s="31"/>
      <c r="AC98" s="31"/>
      <c r="AD98" s="31"/>
    </row>
    <row r="99" spans="1:30" ht="22.5" customHeight="1">
      <c r="A99" s="99"/>
      <c r="B99" s="106" t="e">
        <f>VLOOKUP(C99,Lists!I:J,2,FALSE)</f>
        <v>#N/A</v>
      </c>
      <c r="C99" s="107"/>
      <c r="D99" s="102"/>
      <c r="E99" s="103"/>
      <c r="F99" s="102"/>
      <c r="G99" s="99"/>
      <c r="H99" s="99"/>
      <c r="I99" s="104"/>
      <c r="J99" s="105"/>
      <c r="K99" s="105"/>
      <c r="L99" s="105"/>
      <c r="M99" s="87"/>
      <c r="N99" s="87"/>
      <c r="O99" s="87"/>
      <c r="P99" s="87"/>
      <c r="Q99" s="31"/>
      <c r="R99" s="31"/>
      <c r="S99" s="31"/>
      <c r="T99" s="31"/>
      <c r="U99" s="31"/>
      <c r="V99" s="31"/>
      <c r="W99" s="31"/>
      <c r="X99" s="31"/>
      <c r="Y99" s="31"/>
      <c r="Z99" s="31"/>
      <c r="AA99" s="31"/>
      <c r="AB99" s="31"/>
      <c r="AC99" s="31"/>
      <c r="AD99" s="31"/>
    </row>
    <row r="100" spans="1:30" ht="22.5" customHeight="1">
      <c r="A100" s="99"/>
      <c r="B100" s="100" t="e">
        <f>VLOOKUP(C100,Lists!I:J,2,FALSE)</f>
        <v>#N/A</v>
      </c>
      <c r="C100" s="101"/>
      <c r="D100" s="102"/>
      <c r="E100" s="103"/>
      <c r="F100" s="102"/>
      <c r="G100" s="99"/>
      <c r="H100" s="99"/>
      <c r="I100" s="104"/>
      <c r="J100" s="105"/>
      <c r="K100" s="105"/>
      <c r="L100" s="105"/>
      <c r="M100" s="87"/>
      <c r="N100" s="87"/>
      <c r="O100" s="87"/>
      <c r="P100" s="87"/>
      <c r="Q100" s="31"/>
      <c r="R100" s="31"/>
      <c r="S100" s="31"/>
      <c r="T100" s="31"/>
      <c r="U100" s="31"/>
      <c r="V100" s="31"/>
      <c r="W100" s="31"/>
      <c r="X100" s="31"/>
      <c r="Y100" s="31"/>
      <c r="Z100" s="31"/>
      <c r="AA100" s="31"/>
      <c r="AB100" s="31"/>
      <c r="AC100" s="31"/>
      <c r="AD100" s="31"/>
    </row>
    <row r="101" spans="1:30" ht="22.5" customHeight="1">
      <c r="A101" s="99"/>
      <c r="B101" s="106" t="e">
        <f>VLOOKUP(C101,Lists!I:J,2,FALSE)</f>
        <v>#N/A</v>
      </c>
      <c r="C101" s="107"/>
      <c r="D101" s="102"/>
      <c r="E101" s="103"/>
      <c r="F101" s="102"/>
      <c r="G101" s="99"/>
      <c r="H101" s="99"/>
      <c r="I101" s="104"/>
      <c r="J101" s="105"/>
      <c r="K101" s="105"/>
      <c r="L101" s="105"/>
      <c r="M101" s="87"/>
      <c r="N101" s="87"/>
      <c r="O101" s="87"/>
      <c r="P101" s="87"/>
      <c r="Q101" s="31"/>
      <c r="R101" s="31"/>
      <c r="S101" s="31"/>
      <c r="T101" s="31"/>
      <c r="U101" s="31"/>
      <c r="V101" s="31"/>
      <c r="W101" s="31"/>
      <c r="X101" s="31"/>
      <c r="Y101" s="31"/>
      <c r="Z101" s="31"/>
      <c r="AA101" s="31"/>
      <c r="AB101" s="31"/>
      <c r="AC101" s="31"/>
      <c r="AD101" s="31"/>
    </row>
    <row r="102" spans="1:30" ht="22.5" customHeight="1">
      <c r="A102" s="99"/>
      <c r="B102" s="100" t="e">
        <f>VLOOKUP(C102,Lists!I:J,2,FALSE)</f>
        <v>#N/A</v>
      </c>
      <c r="C102" s="101"/>
      <c r="D102" s="102"/>
      <c r="E102" s="103"/>
      <c r="F102" s="102"/>
      <c r="G102" s="99"/>
      <c r="H102" s="99"/>
      <c r="I102" s="104"/>
      <c r="J102" s="105"/>
      <c r="K102" s="105"/>
      <c r="L102" s="105"/>
      <c r="M102" s="87"/>
      <c r="N102" s="87"/>
      <c r="O102" s="87"/>
      <c r="P102" s="87"/>
      <c r="Q102" s="31"/>
      <c r="R102" s="31"/>
      <c r="S102" s="31"/>
      <c r="T102" s="31"/>
      <c r="U102" s="31"/>
      <c r="V102" s="31"/>
      <c r="W102" s="31"/>
      <c r="X102" s="31"/>
      <c r="Y102" s="31"/>
      <c r="Z102" s="31"/>
      <c r="AA102" s="31"/>
      <c r="AB102" s="31"/>
      <c r="AC102" s="31"/>
      <c r="AD102" s="31"/>
    </row>
    <row r="103" spans="1:30" ht="22.5" customHeight="1">
      <c r="A103" s="99"/>
      <c r="B103" s="106" t="e">
        <f>VLOOKUP(C103,Lists!I:J,2,FALSE)</f>
        <v>#N/A</v>
      </c>
      <c r="C103" s="107"/>
      <c r="D103" s="102"/>
      <c r="E103" s="103"/>
      <c r="F103" s="102"/>
      <c r="G103" s="99"/>
      <c r="H103" s="99"/>
      <c r="I103" s="104"/>
      <c r="J103" s="105"/>
      <c r="K103" s="105"/>
      <c r="L103" s="105"/>
      <c r="M103" s="87"/>
      <c r="N103" s="87"/>
      <c r="O103" s="87"/>
      <c r="P103" s="87"/>
      <c r="Q103" s="31"/>
      <c r="R103" s="31"/>
      <c r="S103" s="31"/>
      <c r="T103" s="31"/>
      <c r="U103" s="31"/>
      <c r="V103" s="31"/>
      <c r="W103" s="31"/>
      <c r="X103" s="31"/>
      <c r="Y103" s="31"/>
      <c r="Z103" s="31"/>
      <c r="AA103" s="31"/>
      <c r="AB103" s="31"/>
      <c r="AC103" s="31"/>
      <c r="AD103" s="31"/>
    </row>
    <row r="104" spans="1:30" ht="22.5" customHeight="1">
      <c r="A104" s="99"/>
      <c r="B104" s="100" t="e">
        <f>VLOOKUP(C104,Lists!I:J,2,FALSE)</f>
        <v>#N/A</v>
      </c>
      <c r="C104" s="101"/>
      <c r="D104" s="102"/>
      <c r="E104" s="103"/>
      <c r="F104" s="102"/>
      <c r="G104" s="99"/>
      <c r="H104" s="99"/>
      <c r="I104" s="104"/>
      <c r="J104" s="105"/>
      <c r="K104" s="105"/>
      <c r="L104" s="105"/>
      <c r="M104" s="87"/>
      <c r="N104" s="87"/>
      <c r="O104" s="87"/>
      <c r="P104" s="87"/>
      <c r="Q104" s="31"/>
      <c r="R104" s="31"/>
      <c r="S104" s="31"/>
      <c r="T104" s="31"/>
      <c r="U104" s="31"/>
      <c r="V104" s="31"/>
      <c r="W104" s="31"/>
      <c r="X104" s="31"/>
      <c r="Y104" s="31"/>
      <c r="Z104" s="31"/>
      <c r="AA104" s="31"/>
      <c r="AB104" s="31"/>
      <c r="AC104" s="31"/>
      <c r="AD104" s="31"/>
    </row>
    <row r="105" spans="1:30" ht="22.5" customHeight="1">
      <c r="A105" s="99"/>
      <c r="B105" s="106" t="e">
        <f>VLOOKUP(C105,Lists!I:J,2,FALSE)</f>
        <v>#N/A</v>
      </c>
      <c r="C105" s="107"/>
      <c r="D105" s="102"/>
      <c r="E105" s="103"/>
      <c r="F105" s="102"/>
      <c r="G105" s="99"/>
      <c r="H105" s="99"/>
      <c r="I105" s="104"/>
      <c r="J105" s="105"/>
      <c r="K105" s="105"/>
      <c r="L105" s="105"/>
      <c r="M105" s="87"/>
      <c r="N105" s="87"/>
      <c r="O105" s="87"/>
      <c r="P105" s="87"/>
      <c r="Q105" s="31"/>
      <c r="R105" s="31"/>
      <c r="S105" s="31"/>
      <c r="T105" s="31"/>
      <c r="U105" s="31"/>
      <c r="V105" s="31"/>
      <c r="W105" s="31"/>
      <c r="X105" s="31"/>
      <c r="Y105" s="31"/>
      <c r="Z105" s="31"/>
      <c r="AA105" s="31"/>
      <c r="AB105" s="31"/>
      <c r="AC105" s="31"/>
      <c r="AD105" s="31"/>
    </row>
    <row r="106" spans="1:30" ht="22.5" customHeight="1">
      <c r="A106" s="99"/>
      <c r="B106" s="100" t="e">
        <f>VLOOKUP(C106,Lists!I:J,2,FALSE)</f>
        <v>#N/A</v>
      </c>
      <c r="C106" s="101"/>
      <c r="D106" s="102"/>
      <c r="E106" s="103"/>
      <c r="F106" s="102"/>
      <c r="G106" s="99"/>
      <c r="H106" s="99"/>
      <c r="I106" s="104"/>
      <c r="J106" s="105"/>
      <c r="K106" s="105"/>
      <c r="L106" s="105"/>
      <c r="M106" s="87"/>
      <c r="N106" s="87"/>
      <c r="O106" s="87"/>
      <c r="P106" s="87"/>
      <c r="Q106" s="31"/>
      <c r="R106" s="31"/>
      <c r="S106" s="31"/>
      <c r="T106" s="31"/>
      <c r="U106" s="31"/>
      <c r="V106" s="31"/>
      <c r="W106" s="31"/>
      <c r="X106" s="31"/>
      <c r="Y106" s="31"/>
      <c r="Z106" s="31"/>
      <c r="AA106" s="31"/>
      <c r="AB106" s="31"/>
      <c r="AC106" s="31"/>
      <c r="AD106" s="31"/>
    </row>
    <row r="107" spans="1:30" ht="22.5" customHeight="1">
      <c r="A107" s="99"/>
      <c r="B107" s="106" t="e">
        <f>VLOOKUP(C107,Lists!I:J,2,FALSE)</f>
        <v>#N/A</v>
      </c>
      <c r="C107" s="107"/>
      <c r="D107" s="102"/>
      <c r="E107" s="103"/>
      <c r="F107" s="102"/>
      <c r="G107" s="99"/>
      <c r="H107" s="99"/>
      <c r="I107" s="104"/>
      <c r="J107" s="105"/>
      <c r="K107" s="105"/>
      <c r="L107" s="105"/>
      <c r="M107" s="87"/>
      <c r="N107" s="87"/>
      <c r="O107" s="87"/>
      <c r="P107" s="87"/>
      <c r="Q107" s="31"/>
      <c r="R107" s="31"/>
      <c r="S107" s="31"/>
      <c r="T107" s="31"/>
      <c r="U107" s="31"/>
      <c r="V107" s="31"/>
      <c r="W107" s="31"/>
      <c r="X107" s="31"/>
      <c r="Y107" s="31"/>
      <c r="Z107" s="31"/>
      <c r="AA107" s="31"/>
      <c r="AB107" s="31"/>
      <c r="AC107" s="31"/>
      <c r="AD107" s="31"/>
    </row>
    <row r="108" spans="1:30" ht="22.5" customHeight="1">
      <c r="A108" s="99"/>
      <c r="B108" s="100" t="e">
        <f>VLOOKUP(C108,Lists!I:J,2,FALSE)</f>
        <v>#N/A</v>
      </c>
      <c r="C108" s="101"/>
      <c r="D108" s="102"/>
      <c r="E108" s="103"/>
      <c r="F108" s="102"/>
      <c r="G108" s="99"/>
      <c r="H108" s="99"/>
      <c r="I108" s="104"/>
      <c r="J108" s="105"/>
      <c r="K108" s="105"/>
      <c r="L108" s="105"/>
      <c r="M108" s="87"/>
      <c r="N108" s="87"/>
      <c r="O108" s="87"/>
      <c r="P108" s="87"/>
      <c r="Q108" s="31"/>
      <c r="R108" s="31"/>
      <c r="S108" s="31"/>
      <c r="T108" s="31"/>
      <c r="U108" s="31"/>
      <c r="V108" s="31"/>
      <c r="W108" s="31"/>
      <c r="X108" s="31"/>
      <c r="Y108" s="31"/>
      <c r="Z108" s="31"/>
      <c r="AA108" s="31"/>
      <c r="AB108" s="31"/>
      <c r="AC108" s="31"/>
      <c r="AD108" s="31"/>
    </row>
    <row r="109" spans="1:30" ht="22.5" customHeight="1">
      <c r="A109" s="99"/>
      <c r="B109" s="106" t="e">
        <f>VLOOKUP(C109,Lists!I:J,2,FALSE)</f>
        <v>#N/A</v>
      </c>
      <c r="C109" s="108"/>
      <c r="D109" s="102"/>
      <c r="E109" s="103"/>
      <c r="F109" s="102"/>
      <c r="G109" s="99"/>
      <c r="H109" s="99"/>
      <c r="I109" s="104"/>
      <c r="J109" s="105"/>
      <c r="K109" s="105"/>
      <c r="L109" s="105"/>
      <c r="M109" s="87"/>
      <c r="N109" s="87"/>
      <c r="O109" s="87"/>
      <c r="P109" s="87"/>
      <c r="Q109" s="31"/>
      <c r="R109" s="31"/>
      <c r="S109" s="31"/>
      <c r="T109" s="31"/>
      <c r="U109" s="31"/>
      <c r="V109" s="31"/>
      <c r="W109" s="31"/>
      <c r="X109" s="31"/>
      <c r="Y109" s="31"/>
      <c r="Z109" s="31"/>
      <c r="AA109" s="31"/>
      <c r="AB109" s="31"/>
      <c r="AC109" s="31"/>
      <c r="AD109" s="31"/>
    </row>
    <row r="110" spans="1:30" ht="22.5" customHeight="1">
      <c r="A110" s="99"/>
      <c r="B110" s="100" t="e">
        <f>VLOOKUP(C110,Lists!I:J,2,FALSE)</f>
        <v>#N/A</v>
      </c>
      <c r="C110" s="101"/>
      <c r="D110" s="102"/>
      <c r="E110" s="103"/>
      <c r="F110" s="102"/>
      <c r="G110" s="99"/>
      <c r="H110" s="99"/>
      <c r="I110" s="104"/>
      <c r="J110" s="105"/>
      <c r="K110" s="105"/>
      <c r="L110" s="105"/>
      <c r="M110" s="87"/>
      <c r="N110" s="87"/>
      <c r="O110" s="87"/>
      <c r="P110" s="87"/>
      <c r="Q110" s="31"/>
      <c r="R110" s="31"/>
      <c r="S110" s="31"/>
      <c r="T110" s="31"/>
      <c r="U110" s="31"/>
      <c r="V110" s="31"/>
      <c r="W110" s="31"/>
      <c r="X110" s="31"/>
      <c r="Y110" s="31"/>
      <c r="Z110" s="31"/>
      <c r="AA110" s="31"/>
      <c r="AB110" s="31"/>
      <c r="AC110" s="31"/>
      <c r="AD110" s="31"/>
    </row>
    <row r="111" spans="1:30" ht="22.5" customHeight="1">
      <c r="A111" s="99"/>
      <c r="B111" s="106" t="e">
        <f>VLOOKUP(C111,Lists!I:J,2,FALSE)</f>
        <v>#N/A</v>
      </c>
      <c r="C111" s="108"/>
      <c r="D111" s="102"/>
      <c r="E111" s="103"/>
      <c r="F111" s="102"/>
      <c r="G111" s="99"/>
      <c r="H111" s="99"/>
      <c r="I111" s="104"/>
      <c r="J111" s="105"/>
      <c r="K111" s="105"/>
      <c r="L111" s="105"/>
      <c r="M111" s="87"/>
      <c r="N111" s="87"/>
      <c r="O111" s="87"/>
      <c r="P111" s="87"/>
      <c r="Q111" s="31"/>
      <c r="R111" s="31"/>
      <c r="S111" s="31"/>
      <c r="T111" s="31"/>
      <c r="U111" s="31"/>
      <c r="V111" s="31"/>
      <c r="W111" s="31"/>
      <c r="X111" s="31"/>
      <c r="Y111" s="31"/>
      <c r="Z111" s="31"/>
      <c r="AA111" s="31"/>
      <c r="AB111" s="31"/>
      <c r="AC111" s="31"/>
      <c r="AD111" s="31"/>
    </row>
    <row r="112" spans="1:30" ht="22.5" customHeight="1">
      <c r="A112" s="99"/>
      <c r="B112" s="100" t="e">
        <f>VLOOKUP(C112,Lists!I:J,2,FALSE)</f>
        <v>#N/A</v>
      </c>
      <c r="C112" s="101"/>
      <c r="D112" s="102"/>
      <c r="E112" s="103"/>
      <c r="F112" s="102"/>
      <c r="G112" s="99"/>
      <c r="H112" s="99"/>
      <c r="I112" s="104"/>
      <c r="J112" s="105"/>
      <c r="K112" s="105"/>
      <c r="L112" s="105"/>
      <c r="M112" s="87"/>
      <c r="N112" s="87"/>
      <c r="O112" s="87"/>
      <c r="P112" s="87"/>
      <c r="Q112" s="31"/>
      <c r="R112" s="31"/>
      <c r="S112" s="31"/>
      <c r="T112" s="31"/>
      <c r="U112" s="31"/>
      <c r="V112" s="31"/>
      <c r="W112" s="31"/>
      <c r="X112" s="31"/>
      <c r="Y112" s="31"/>
      <c r="Z112" s="31"/>
      <c r="AA112" s="31"/>
      <c r="AB112" s="31"/>
      <c r="AC112" s="31"/>
      <c r="AD112" s="31"/>
    </row>
    <row r="113" spans="1:30" ht="22.5" customHeight="1">
      <c r="A113" s="99"/>
      <c r="B113" s="106" t="e">
        <f>VLOOKUP(C113,Lists!I:J,2,FALSE)</f>
        <v>#N/A</v>
      </c>
      <c r="C113" s="108"/>
      <c r="D113" s="102"/>
      <c r="E113" s="103"/>
      <c r="F113" s="102"/>
      <c r="G113" s="99"/>
      <c r="H113" s="99"/>
      <c r="I113" s="104"/>
      <c r="J113" s="105"/>
      <c r="K113" s="105"/>
      <c r="L113" s="105"/>
      <c r="M113" s="87"/>
      <c r="N113" s="87"/>
      <c r="O113" s="87"/>
      <c r="P113" s="87"/>
      <c r="Q113" s="31"/>
      <c r="R113" s="31"/>
      <c r="S113" s="31"/>
      <c r="T113" s="31"/>
      <c r="U113" s="31"/>
      <c r="V113" s="31"/>
      <c r="W113" s="31"/>
      <c r="X113" s="31"/>
      <c r="Y113" s="31"/>
      <c r="Z113" s="31"/>
      <c r="AA113" s="31"/>
      <c r="AB113" s="31"/>
      <c r="AC113" s="31"/>
      <c r="AD113" s="31"/>
    </row>
    <row r="114" spans="1:30" ht="22.5" customHeight="1">
      <c r="A114" s="99"/>
      <c r="B114" s="100" t="e">
        <f>VLOOKUP(C114,Lists!I:J,2,FALSE)</f>
        <v>#N/A</v>
      </c>
      <c r="C114" s="101"/>
      <c r="D114" s="102"/>
      <c r="E114" s="103"/>
      <c r="F114" s="102"/>
      <c r="G114" s="99"/>
      <c r="H114" s="99"/>
      <c r="I114" s="104"/>
      <c r="J114" s="105"/>
      <c r="K114" s="105"/>
      <c r="L114" s="105"/>
      <c r="M114" s="87"/>
      <c r="N114" s="87"/>
      <c r="O114" s="87"/>
      <c r="P114" s="87"/>
      <c r="Q114" s="31"/>
      <c r="R114" s="31"/>
      <c r="S114" s="31"/>
      <c r="T114" s="31"/>
      <c r="U114" s="31"/>
      <c r="V114" s="31"/>
      <c r="W114" s="31"/>
      <c r="X114" s="31"/>
      <c r="Y114" s="31"/>
      <c r="Z114" s="31"/>
      <c r="AA114" s="31"/>
      <c r="AB114" s="31"/>
      <c r="AC114" s="31"/>
      <c r="AD114" s="31"/>
    </row>
    <row r="115" spans="1:30" ht="22.5" customHeight="1">
      <c r="A115" s="99"/>
      <c r="B115" s="106" t="e">
        <f>VLOOKUP(C115,Lists!I:J,2,FALSE)</f>
        <v>#N/A</v>
      </c>
      <c r="C115" s="108"/>
      <c r="D115" s="102"/>
      <c r="E115" s="103"/>
      <c r="F115" s="102"/>
      <c r="G115" s="99"/>
      <c r="H115" s="99"/>
      <c r="I115" s="104"/>
      <c r="J115" s="105"/>
      <c r="K115" s="105"/>
      <c r="L115" s="105"/>
      <c r="M115" s="87"/>
      <c r="N115" s="87"/>
      <c r="O115" s="87"/>
      <c r="P115" s="87"/>
      <c r="Q115" s="31"/>
      <c r="R115" s="31"/>
      <c r="S115" s="31"/>
      <c r="T115" s="31"/>
      <c r="U115" s="31"/>
      <c r="V115" s="31"/>
      <c r="W115" s="31"/>
      <c r="X115" s="31"/>
      <c r="Y115" s="31"/>
      <c r="Z115" s="31"/>
      <c r="AA115" s="31"/>
      <c r="AB115" s="31"/>
      <c r="AC115" s="31"/>
      <c r="AD115" s="31"/>
    </row>
    <row r="116" spans="1:30" ht="22.5" customHeight="1">
      <c r="A116" s="99"/>
      <c r="B116" s="100" t="e">
        <f>VLOOKUP(C116,Lists!I:J,2,FALSE)</f>
        <v>#N/A</v>
      </c>
      <c r="C116" s="101"/>
      <c r="D116" s="102"/>
      <c r="E116" s="103"/>
      <c r="F116" s="102"/>
      <c r="G116" s="99"/>
      <c r="H116" s="99"/>
      <c r="I116" s="104"/>
      <c r="J116" s="105"/>
      <c r="K116" s="105"/>
      <c r="L116" s="105"/>
      <c r="M116" s="87"/>
      <c r="N116" s="87"/>
      <c r="O116" s="87"/>
      <c r="P116" s="87"/>
      <c r="Q116" s="31"/>
      <c r="R116" s="31"/>
      <c r="S116" s="31"/>
      <c r="T116" s="31"/>
      <c r="U116" s="31"/>
      <c r="V116" s="31"/>
      <c r="W116" s="31"/>
      <c r="X116" s="31"/>
      <c r="Y116" s="31"/>
      <c r="Z116" s="31"/>
      <c r="AA116" s="31"/>
      <c r="AB116" s="31"/>
      <c r="AC116" s="31"/>
      <c r="AD116" s="31"/>
    </row>
    <row r="117" spans="1:30" ht="22.5" customHeight="1">
      <c r="A117" s="99"/>
      <c r="B117" s="106" t="e">
        <f>VLOOKUP(C117,Lists!I:J,2,FALSE)</f>
        <v>#N/A</v>
      </c>
      <c r="C117" s="108"/>
      <c r="D117" s="102"/>
      <c r="E117" s="103"/>
      <c r="F117" s="102"/>
      <c r="G117" s="99"/>
      <c r="H117" s="99"/>
      <c r="I117" s="104"/>
      <c r="J117" s="105"/>
      <c r="K117" s="105"/>
      <c r="L117" s="105"/>
      <c r="M117" s="87"/>
      <c r="N117" s="87"/>
      <c r="O117" s="87"/>
      <c r="P117" s="87"/>
      <c r="Q117" s="31"/>
      <c r="R117" s="31"/>
      <c r="S117" s="31"/>
      <c r="T117" s="31"/>
      <c r="U117" s="31"/>
      <c r="V117" s="31"/>
      <c r="W117" s="31"/>
      <c r="X117" s="31"/>
      <c r="Y117" s="31"/>
      <c r="Z117" s="31"/>
      <c r="AA117" s="31"/>
      <c r="AB117" s="31"/>
      <c r="AC117" s="31"/>
      <c r="AD117" s="31"/>
    </row>
    <row r="118" spans="1:30" ht="22.5" customHeight="1">
      <c r="A118" s="99"/>
      <c r="B118" s="100" t="e">
        <f>VLOOKUP(C118,Lists!I:J,2,FALSE)</f>
        <v>#N/A</v>
      </c>
      <c r="C118" s="101"/>
      <c r="D118" s="102"/>
      <c r="E118" s="103"/>
      <c r="F118" s="102"/>
      <c r="G118" s="99"/>
      <c r="H118" s="99"/>
      <c r="I118" s="104"/>
      <c r="J118" s="105"/>
      <c r="K118" s="105"/>
      <c r="L118" s="105"/>
      <c r="M118" s="87"/>
      <c r="N118" s="87"/>
      <c r="O118" s="87"/>
      <c r="P118" s="87"/>
      <c r="Q118" s="31"/>
      <c r="R118" s="31"/>
      <c r="S118" s="31"/>
      <c r="T118" s="31"/>
      <c r="U118" s="31"/>
      <c r="V118" s="31"/>
      <c r="W118" s="31"/>
      <c r="X118" s="31"/>
      <c r="Y118" s="31"/>
      <c r="Z118" s="31"/>
      <c r="AA118" s="31"/>
      <c r="AB118" s="31"/>
      <c r="AC118" s="31"/>
      <c r="AD118" s="31"/>
    </row>
    <row r="119" spans="1:30" ht="22.5" customHeight="1">
      <c r="A119" s="99"/>
      <c r="B119" s="106" t="e">
        <f>VLOOKUP(C119,Lists!I:J,2,FALSE)</f>
        <v>#N/A</v>
      </c>
      <c r="C119" s="108"/>
      <c r="D119" s="102"/>
      <c r="E119" s="103"/>
      <c r="F119" s="102"/>
      <c r="G119" s="99"/>
      <c r="H119" s="99"/>
      <c r="I119" s="104"/>
      <c r="J119" s="105"/>
      <c r="K119" s="105"/>
      <c r="L119" s="105"/>
      <c r="M119" s="87"/>
      <c r="N119" s="87"/>
      <c r="O119" s="87"/>
      <c r="P119" s="87"/>
      <c r="Q119" s="31"/>
      <c r="R119" s="31"/>
      <c r="S119" s="31"/>
      <c r="T119" s="31"/>
      <c r="U119" s="31"/>
      <c r="V119" s="31"/>
      <c r="W119" s="31"/>
      <c r="X119" s="31"/>
      <c r="Y119" s="31"/>
      <c r="Z119" s="31"/>
      <c r="AA119" s="31"/>
      <c r="AB119" s="31"/>
      <c r="AC119" s="31"/>
      <c r="AD119" s="31"/>
    </row>
    <row r="120" spans="1:30" ht="22.5" customHeight="1">
      <c r="A120" s="99"/>
      <c r="B120" s="100" t="e">
        <f>VLOOKUP(C120,Lists!I:J,2,FALSE)</f>
        <v>#N/A</v>
      </c>
      <c r="C120" s="101"/>
      <c r="D120" s="102"/>
      <c r="E120" s="103"/>
      <c r="F120" s="102"/>
      <c r="G120" s="99"/>
      <c r="H120" s="99"/>
      <c r="I120" s="104"/>
      <c r="J120" s="105"/>
      <c r="K120" s="105"/>
      <c r="L120" s="105"/>
      <c r="M120" s="87"/>
      <c r="N120" s="87"/>
      <c r="O120" s="87"/>
      <c r="P120" s="87"/>
      <c r="Q120" s="31"/>
      <c r="R120" s="31"/>
      <c r="S120" s="31"/>
      <c r="T120" s="31"/>
      <c r="U120" s="31"/>
      <c r="V120" s="31"/>
      <c r="W120" s="31"/>
      <c r="X120" s="31"/>
      <c r="Y120" s="31"/>
      <c r="Z120" s="31"/>
      <c r="AA120" s="31"/>
      <c r="AB120" s="31"/>
      <c r="AC120" s="31"/>
      <c r="AD120" s="31"/>
    </row>
    <row r="121" spans="1:30" ht="22.5" customHeight="1">
      <c r="A121" s="99"/>
      <c r="B121" s="106" t="e">
        <f>VLOOKUP(C121,Lists!I:J,2,FALSE)</f>
        <v>#N/A</v>
      </c>
      <c r="C121" s="108"/>
      <c r="D121" s="102"/>
      <c r="E121" s="103"/>
      <c r="F121" s="102"/>
      <c r="G121" s="99"/>
      <c r="H121" s="99"/>
      <c r="I121" s="104"/>
      <c r="J121" s="105"/>
      <c r="K121" s="105"/>
      <c r="L121" s="105"/>
      <c r="M121" s="87"/>
      <c r="N121" s="87"/>
      <c r="O121" s="87"/>
      <c r="P121" s="87"/>
      <c r="Q121" s="31"/>
      <c r="R121" s="31"/>
      <c r="S121" s="31"/>
      <c r="T121" s="31"/>
      <c r="U121" s="31"/>
      <c r="V121" s="31"/>
      <c r="W121" s="31"/>
      <c r="X121" s="31"/>
      <c r="Y121" s="31"/>
      <c r="Z121" s="31"/>
      <c r="AA121" s="31"/>
      <c r="AB121" s="31"/>
      <c r="AC121" s="31"/>
      <c r="AD121" s="31"/>
    </row>
    <row r="122" spans="1:30" ht="22.5" customHeight="1">
      <c r="A122" s="99"/>
      <c r="B122" s="100" t="e">
        <f>VLOOKUP(C122,Lists!I:J,2,FALSE)</f>
        <v>#N/A</v>
      </c>
      <c r="C122" s="101"/>
      <c r="D122" s="102"/>
      <c r="E122" s="103"/>
      <c r="F122" s="102"/>
      <c r="G122" s="99"/>
      <c r="H122" s="99"/>
      <c r="I122" s="104"/>
      <c r="J122" s="105"/>
      <c r="K122" s="105"/>
      <c r="L122" s="105"/>
      <c r="M122" s="87"/>
      <c r="N122" s="87"/>
      <c r="O122" s="87"/>
      <c r="P122" s="87"/>
      <c r="Q122" s="31"/>
      <c r="R122" s="31"/>
      <c r="S122" s="31"/>
      <c r="T122" s="31"/>
      <c r="U122" s="31"/>
      <c r="V122" s="31"/>
      <c r="W122" s="31"/>
      <c r="X122" s="31"/>
      <c r="Y122" s="31"/>
      <c r="Z122" s="31"/>
      <c r="AA122" s="31"/>
      <c r="AB122" s="31"/>
      <c r="AC122" s="31"/>
      <c r="AD122" s="31"/>
    </row>
    <row r="123" spans="1:30" ht="22.5" customHeight="1">
      <c r="A123" s="99"/>
      <c r="B123" s="106" t="e">
        <f>VLOOKUP(C123,Lists!I:J,2,FALSE)</f>
        <v>#N/A</v>
      </c>
      <c r="C123" s="108"/>
      <c r="D123" s="102"/>
      <c r="E123" s="103"/>
      <c r="F123" s="102"/>
      <c r="G123" s="99"/>
      <c r="H123" s="99"/>
      <c r="I123" s="104"/>
      <c r="J123" s="105"/>
      <c r="K123" s="105"/>
      <c r="L123" s="105"/>
      <c r="M123" s="87"/>
      <c r="N123" s="87"/>
      <c r="O123" s="87"/>
      <c r="P123" s="87"/>
      <c r="Q123" s="31"/>
      <c r="R123" s="31"/>
      <c r="S123" s="31"/>
      <c r="T123" s="31"/>
      <c r="U123" s="31"/>
      <c r="V123" s="31"/>
      <c r="W123" s="31"/>
      <c r="X123" s="31"/>
      <c r="Y123" s="31"/>
      <c r="Z123" s="31"/>
      <c r="AA123" s="31"/>
      <c r="AB123" s="31"/>
      <c r="AC123" s="31"/>
      <c r="AD123" s="31"/>
    </row>
    <row r="124" spans="1:30" ht="22.5" customHeight="1">
      <c r="A124" s="99"/>
      <c r="B124" s="100" t="e">
        <f>VLOOKUP(C124,Lists!I:J,2,FALSE)</f>
        <v>#N/A</v>
      </c>
      <c r="C124" s="101"/>
      <c r="D124" s="102"/>
      <c r="E124" s="103"/>
      <c r="F124" s="102"/>
      <c r="G124" s="99"/>
      <c r="H124" s="99"/>
      <c r="I124" s="104"/>
      <c r="J124" s="105"/>
      <c r="K124" s="105"/>
      <c r="L124" s="105"/>
      <c r="M124" s="87"/>
      <c r="N124" s="87"/>
      <c r="O124" s="87"/>
      <c r="P124" s="87"/>
      <c r="Q124" s="31"/>
      <c r="R124" s="31"/>
      <c r="S124" s="31"/>
      <c r="T124" s="31"/>
      <c r="U124" s="31"/>
      <c r="V124" s="31"/>
      <c r="W124" s="31"/>
      <c r="X124" s="31"/>
      <c r="Y124" s="31"/>
      <c r="Z124" s="31"/>
      <c r="AA124" s="31"/>
      <c r="AB124" s="31"/>
      <c r="AC124" s="31"/>
      <c r="AD124" s="31"/>
    </row>
    <row r="125" spans="1:30" ht="22.5" customHeight="1">
      <c r="A125" s="99"/>
      <c r="B125" s="106" t="e">
        <f>VLOOKUP(C125,Lists!I:J,2,FALSE)</f>
        <v>#N/A</v>
      </c>
      <c r="C125" s="108"/>
      <c r="D125" s="102"/>
      <c r="E125" s="103"/>
      <c r="F125" s="102"/>
      <c r="G125" s="99"/>
      <c r="H125" s="99"/>
      <c r="I125" s="104"/>
      <c r="J125" s="105"/>
      <c r="K125" s="105"/>
      <c r="L125" s="105"/>
      <c r="M125" s="87"/>
      <c r="N125" s="87"/>
      <c r="O125" s="87"/>
      <c r="P125" s="87"/>
      <c r="Q125" s="31"/>
      <c r="R125" s="31"/>
      <c r="S125" s="31"/>
      <c r="T125" s="31"/>
      <c r="U125" s="31"/>
      <c r="V125" s="31"/>
      <c r="W125" s="31"/>
      <c r="X125" s="31"/>
      <c r="Y125" s="31"/>
      <c r="Z125" s="31"/>
      <c r="AA125" s="31"/>
      <c r="AB125" s="31"/>
      <c r="AC125" s="31"/>
      <c r="AD125" s="31"/>
    </row>
    <row r="126" spans="1:30" ht="22.5" customHeight="1">
      <c r="A126" s="99"/>
      <c r="B126" s="100" t="e">
        <f>VLOOKUP(C126,Lists!I:J,2,FALSE)</f>
        <v>#N/A</v>
      </c>
      <c r="C126" s="101"/>
      <c r="D126" s="102"/>
      <c r="E126" s="103"/>
      <c r="F126" s="102"/>
      <c r="G126" s="99"/>
      <c r="H126" s="99"/>
      <c r="I126" s="104"/>
      <c r="J126" s="105"/>
      <c r="K126" s="105"/>
      <c r="L126" s="105"/>
      <c r="M126" s="87"/>
      <c r="N126" s="87"/>
      <c r="O126" s="87"/>
      <c r="P126" s="87"/>
      <c r="Q126" s="31"/>
      <c r="R126" s="31"/>
      <c r="S126" s="31"/>
      <c r="T126" s="31"/>
      <c r="U126" s="31"/>
      <c r="V126" s="31"/>
      <c r="W126" s="31"/>
      <c r="X126" s="31"/>
      <c r="Y126" s="31"/>
      <c r="Z126" s="31"/>
      <c r="AA126" s="31"/>
      <c r="AB126" s="31"/>
      <c r="AC126" s="31"/>
      <c r="AD126" s="31"/>
    </row>
    <row r="127" spans="1:30" ht="22.5" customHeight="1">
      <c r="A127" s="99"/>
      <c r="B127" s="106" t="e">
        <f>VLOOKUP(C127,Lists!I:J,2,FALSE)</f>
        <v>#N/A</v>
      </c>
      <c r="C127" s="108"/>
      <c r="D127" s="102"/>
      <c r="E127" s="103"/>
      <c r="F127" s="102"/>
      <c r="G127" s="99"/>
      <c r="H127" s="99"/>
      <c r="I127" s="104"/>
      <c r="J127" s="105"/>
      <c r="K127" s="105"/>
      <c r="L127" s="105"/>
      <c r="M127" s="87"/>
      <c r="N127" s="87"/>
      <c r="O127" s="87"/>
      <c r="P127" s="87"/>
      <c r="Q127" s="31"/>
      <c r="R127" s="31"/>
      <c r="S127" s="31"/>
      <c r="T127" s="31"/>
      <c r="U127" s="31"/>
      <c r="V127" s="31"/>
      <c r="W127" s="31"/>
      <c r="X127" s="31"/>
      <c r="Y127" s="31"/>
      <c r="Z127" s="31"/>
      <c r="AA127" s="31"/>
      <c r="AB127" s="31"/>
      <c r="AC127" s="31"/>
      <c r="AD127" s="31"/>
    </row>
    <row r="128" spans="1:30" ht="22.5" customHeight="1">
      <c r="A128" s="99"/>
      <c r="B128" s="100" t="e">
        <f>VLOOKUP(C128,Lists!I:J,2,FALSE)</f>
        <v>#N/A</v>
      </c>
      <c r="C128" s="101"/>
      <c r="D128" s="102"/>
      <c r="E128" s="103"/>
      <c r="F128" s="102"/>
      <c r="G128" s="99"/>
      <c r="H128" s="99"/>
      <c r="I128" s="104"/>
      <c r="J128" s="105"/>
      <c r="K128" s="105"/>
      <c r="L128" s="105"/>
      <c r="M128" s="87"/>
      <c r="N128" s="87"/>
      <c r="O128" s="87"/>
      <c r="P128" s="87"/>
      <c r="Q128" s="31"/>
      <c r="R128" s="31"/>
      <c r="S128" s="31"/>
      <c r="T128" s="31"/>
      <c r="U128" s="31"/>
      <c r="V128" s="31"/>
      <c r="W128" s="31"/>
      <c r="X128" s="31"/>
      <c r="Y128" s="31"/>
      <c r="Z128" s="31"/>
      <c r="AA128" s="31"/>
      <c r="AB128" s="31"/>
      <c r="AC128" s="31"/>
      <c r="AD128" s="31"/>
    </row>
    <row r="129" spans="1:30" ht="22.5" customHeight="1">
      <c r="A129" s="99"/>
      <c r="B129" s="106" t="e">
        <f>VLOOKUP(C129,Lists!I:J,2,FALSE)</f>
        <v>#N/A</v>
      </c>
      <c r="C129" s="108"/>
      <c r="D129" s="102"/>
      <c r="E129" s="103"/>
      <c r="F129" s="102"/>
      <c r="G129" s="99"/>
      <c r="H129" s="99"/>
      <c r="I129" s="104"/>
      <c r="J129" s="105"/>
      <c r="K129" s="105"/>
      <c r="L129" s="105"/>
      <c r="M129" s="87"/>
      <c r="N129" s="87"/>
      <c r="O129" s="87"/>
      <c r="P129" s="87"/>
      <c r="Q129" s="31"/>
      <c r="R129" s="31"/>
      <c r="S129" s="31"/>
      <c r="T129" s="31"/>
      <c r="U129" s="31"/>
      <c r="V129" s="31"/>
      <c r="W129" s="31"/>
      <c r="X129" s="31"/>
      <c r="Y129" s="31"/>
      <c r="Z129" s="31"/>
      <c r="AA129" s="31"/>
      <c r="AB129" s="31"/>
      <c r="AC129" s="31"/>
      <c r="AD129" s="31"/>
    </row>
    <row r="130" spans="1:30" ht="22.5" customHeight="1">
      <c r="A130" s="99"/>
      <c r="B130" s="100" t="e">
        <f>VLOOKUP(C130,Lists!I:J,2,FALSE)</f>
        <v>#N/A</v>
      </c>
      <c r="C130" s="101"/>
      <c r="D130" s="102"/>
      <c r="E130" s="103"/>
      <c r="F130" s="102"/>
      <c r="G130" s="99"/>
      <c r="H130" s="99"/>
      <c r="I130" s="104"/>
      <c r="J130" s="105"/>
      <c r="K130" s="105"/>
      <c r="L130" s="105"/>
      <c r="M130" s="87"/>
      <c r="N130" s="87"/>
      <c r="O130" s="87"/>
      <c r="P130" s="87"/>
      <c r="Q130" s="31"/>
      <c r="R130" s="31"/>
      <c r="S130" s="31"/>
      <c r="T130" s="31"/>
      <c r="U130" s="31"/>
      <c r="V130" s="31"/>
      <c r="W130" s="31"/>
      <c r="X130" s="31"/>
      <c r="Y130" s="31"/>
      <c r="Z130" s="31"/>
      <c r="AA130" s="31"/>
      <c r="AB130" s="31"/>
      <c r="AC130" s="31"/>
      <c r="AD130" s="31"/>
    </row>
    <row r="131" spans="1:30" ht="22.5" customHeight="1">
      <c r="A131" s="99"/>
      <c r="B131" s="106" t="e">
        <f>VLOOKUP(C131,Lists!I:J,2,FALSE)</f>
        <v>#N/A</v>
      </c>
      <c r="C131" s="108"/>
      <c r="D131" s="102"/>
      <c r="E131" s="103"/>
      <c r="F131" s="102"/>
      <c r="G131" s="99"/>
      <c r="H131" s="99"/>
      <c r="I131" s="104"/>
      <c r="J131" s="105"/>
      <c r="K131" s="105"/>
      <c r="L131" s="105"/>
      <c r="M131" s="87"/>
      <c r="N131" s="87"/>
      <c r="O131" s="87"/>
      <c r="P131" s="87"/>
      <c r="Q131" s="31"/>
      <c r="R131" s="31"/>
      <c r="S131" s="31"/>
      <c r="T131" s="31"/>
      <c r="U131" s="31"/>
      <c r="V131" s="31"/>
      <c r="W131" s="31"/>
      <c r="X131" s="31"/>
      <c r="Y131" s="31"/>
      <c r="Z131" s="31"/>
      <c r="AA131" s="31"/>
      <c r="AB131" s="31"/>
      <c r="AC131" s="31"/>
      <c r="AD131" s="31"/>
    </row>
    <row r="132" spans="1:30" ht="22.5" customHeight="1">
      <c r="A132" s="99"/>
      <c r="B132" s="100" t="e">
        <f>VLOOKUP(C132,Lists!I:J,2,FALSE)</f>
        <v>#N/A</v>
      </c>
      <c r="C132" s="101"/>
      <c r="D132" s="102"/>
      <c r="E132" s="103"/>
      <c r="F132" s="102"/>
      <c r="G132" s="99"/>
      <c r="H132" s="99"/>
      <c r="I132" s="104"/>
      <c r="J132" s="105"/>
      <c r="K132" s="105"/>
      <c r="L132" s="105"/>
      <c r="M132" s="87"/>
      <c r="N132" s="87"/>
      <c r="O132" s="87"/>
      <c r="P132" s="87"/>
      <c r="Q132" s="31"/>
      <c r="R132" s="31"/>
      <c r="S132" s="31"/>
      <c r="T132" s="31"/>
      <c r="U132" s="31"/>
      <c r="V132" s="31"/>
      <c r="W132" s="31"/>
      <c r="X132" s="31"/>
      <c r="Y132" s="31"/>
      <c r="Z132" s="31"/>
      <c r="AA132" s="31"/>
      <c r="AB132" s="31"/>
      <c r="AC132" s="31"/>
      <c r="AD132" s="31"/>
    </row>
    <row r="133" spans="1:30" ht="22.5" customHeight="1">
      <c r="A133" s="99"/>
      <c r="B133" s="106" t="e">
        <f>VLOOKUP(C133,Lists!I:J,2,FALSE)</f>
        <v>#N/A</v>
      </c>
      <c r="C133" s="108"/>
      <c r="D133" s="102"/>
      <c r="E133" s="103"/>
      <c r="F133" s="102"/>
      <c r="G133" s="99"/>
      <c r="H133" s="99"/>
      <c r="I133" s="104"/>
      <c r="J133" s="105"/>
      <c r="K133" s="105"/>
      <c r="L133" s="105"/>
      <c r="M133" s="87"/>
      <c r="N133" s="87"/>
      <c r="O133" s="87"/>
      <c r="P133" s="87"/>
      <c r="Q133" s="31"/>
      <c r="R133" s="31"/>
      <c r="S133" s="31"/>
      <c r="T133" s="31"/>
      <c r="U133" s="31"/>
      <c r="V133" s="31"/>
      <c r="W133" s="31"/>
      <c r="X133" s="31"/>
      <c r="Y133" s="31"/>
      <c r="Z133" s="31"/>
      <c r="AA133" s="31"/>
      <c r="AB133" s="31"/>
      <c r="AC133" s="31"/>
      <c r="AD133" s="31"/>
    </row>
    <row r="134" spans="1:30" ht="22.5" customHeight="1">
      <c r="A134" s="99"/>
      <c r="B134" s="100" t="e">
        <f>VLOOKUP(C134,Lists!I:J,2,FALSE)</f>
        <v>#N/A</v>
      </c>
      <c r="C134" s="101"/>
      <c r="D134" s="102"/>
      <c r="E134" s="103"/>
      <c r="F134" s="102"/>
      <c r="G134" s="99"/>
      <c r="H134" s="99"/>
      <c r="I134" s="104"/>
      <c r="J134" s="105"/>
      <c r="K134" s="105"/>
      <c r="L134" s="105"/>
      <c r="M134" s="87"/>
      <c r="N134" s="87"/>
      <c r="O134" s="87"/>
      <c r="P134" s="87"/>
      <c r="Q134" s="31"/>
      <c r="R134" s="31"/>
      <c r="S134" s="31"/>
      <c r="T134" s="31"/>
      <c r="U134" s="31"/>
      <c r="V134" s="31"/>
      <c r="W134" s="31"/>
      <c r="X134" s="31"/>
      <c r="Y134" s="31"/>
      <c r="Z134" s="31"/>
      <c r="AA134" s="31"/>
      <c r="AB134" s="31"/>
      <c r="AC134" s="31"/>
      <c r="AD134" s="31"/>
    </row>
    <row r="135" spans="1:30" ht="22.5" customHeight="1">
      <c r="A135" s="99"/>
      <c r="B135" s="106" t="e">
        <f>VLOOKUP(C135,Lists!I:J,2,FALSE)</f>
        <v>#N/A</v>
      </c>
      <c r="C135" s="108"/>
      <c r="D135" s="102"/>
      <c r="E135" s="103"/>
      <c r="F135" s="102"/>
      <c r="G135" s="99"/>
      <c r="H135" s="99"/>
      <c r="I135" s="104"/>
      <c r="J135" s="105"/>
      <c r="K135" s="105"/>
      <c r="L135" s="105"/>
      <c r="M135" s="87"/>
      <c r="N135" s="87"/>
      <c r="O135" s="87"/>
      <c r="P135" s="87"/>
      <c r="Q135" s="31"/>
      <c r="R135" s="31"/>
      <c r="S135" s="31"/>
      <c r="T135" s="31"/>
      <c r="U135" s="31"/>
      <c r="V135" s="31"/>
      <c r="W135" s="31"/>
      <c r="X135" s="31"/>
      <c r="Y135" s="31"/>
      <c r="Z135" s="31"/>
      <c r="AA135" s="31"/>
      <c r="AB135" s="31"/>
      <c r="AC135" s="31"/>
      <c r="AD135" s="31"/>
    </row>
    <row r="136" spans="1:30" ht="22.5" customHeight="1">
      <c r="A136" s="99"/>
      <c r="B136" s="100" t="e">
        <f>VLOOKUP(C136,Lists!I:J,2,FALSE)</f>
        <v>#N/A</v>
      </c>
      <c r="C136" s="101"/>
      <c r="D136" s="102"/>
      <c r="E136" s="103"/>
      <c r="F136" s="102"/>
      <c r="G136" s="99"/>
      <c r="H136" s="99"/>
      <c r="I136" s="104"/>
      <c r="J136" s="105"/>
      <c r="K136" s="105"/>
      <c r="L136" s="105"/>
      <c r="M136" s="87"/>
      <c r="N136" s="87"/>
      <c r="O136" s="87"/>
      <c r="P136" s="87"/>
      <c r="Q136" s="31"/>
      <c r="R136" s="31"/>
      <c r="S136" s="31"/>
      <c r="T136" s="31"/>
      <c r="U136" s="31"/>
      <c r="V136" s="31"/>
      <c r="W136" s="31"/>
      <c r="X136" s="31"/>
      <c r="Y136" s="31"/>
      <c r="Z136" s="31"/>
      <c r="AA136" s="31"/>
      <c r="AB136" s="31"/>
      <c r="AC136" s="31"/>
      <c r="AD136" s="31"/>
    </row>
    <row r="137" spans="1:30" ht="22.5" customHeight="1">
      <c r="A137" s="99"/>
      <c r="B137" s="106" t="e">
        <f>VLOOKUP(C137,Lists!I:J,2,FALSE)</f>
        <v>#N/A</v>
      </c>
      <c r="C137" s="108"/>
      <c r="D137" s="102"/>
      <c r="E137" s="103"/>
      <c r="F137" s="102"/>
      <c r="G137" s="99"/>
      <c r="H137" s="99"/>
      <c r="I137" s="104"/>
      <c r="J137" s="105"/>
      <c r="K137" s="105"/>
      <c r="L137" s="105"/>
      <c r="M137" s="87"/>
      <c r="N137" s="87"/>
      <c r="O137" s="87"/>
      <c r="P137" s="87"/>
      <c r="Q137" s="31"/>
      <c r="R137" s="31"/>
      <c r="S137" s="31"/>
      <c r="T137" s="31"/>
      <c r="U137" s="31"/>
      <c r="V137" s="31"/>
      <c r="W137" s="31"/>
      <c r="X137" s="31"/>
      <c r="Y137" s="31"/>
      <c r="Z137" s="31"/>
      <c r="AA137" s="31"/>
      <c r="AB137" s="31"/>
      <c r="AC137" s="31"/>
      <c r="AD137" s="31"/>
    </row>
    <row r="138" spans="1:30" ht="22.5" customHeight="1">
      <c r="A138" s="99"/>
      <c r="B138" s="100" t="e">
        <f>VLOOKUP(C138,Lists!I:J,2,FALSE)</f>
        <v>#N/A</v>
      </c>
      <c r="C138" s="101"/>
      <c r="D138" s="102"/>
      <c r="E138" s="103"/>
      <c r="F138" s="102"/>
      <c r="G138" s="99"/>
      <c r="H138" s="99"/>
      <c r="I138" s="104"/>
      <c r="J138" s="105"/>
      <c r="K138" s="105"/>
      <c r="L138" s="105"/>
      <c r="M138" s="87"/>
      <c r="N138" s="87"/>
      <c r="O138" s="87"/>
      <c r="P138" s="87"/>
      <c r="Q138" s="31"/>
      <c r="R138" s="31"/>
      <c r="S138" s="31"/>
      <c r="T138" s="31"/>
      <c r="U138" s="31"/>
      <c r="V138" s="31"/>
      <c r="W138" s="31"/>
      <c r="X138" s="31"/>
      <c r="Y138" s="31"/>
      <c r="Z138" s="31"/>
      <c r="AA138" s="31"/>
      <c r="AB138" s="31"/>
      <c r="AC138" s="31"/>
      <c r="AD138" s="31"/>
    </row>
    <row r="139" spans="1:30" ht="22.5" customHeight="1">
      <c r="A139" s="99"/>
      <c r="B139" s="106" t="e">
        <f>VLOOKUP(C139,Lists!I:J,2,FALSE)</f>
        <v>#N/A</v>
      </c>
      <c r="C139" s="108"/>
      <c r="D139" s="102"/>
      <c r="E139" s="103"/>
      <c r="F139" s="102"/>
      <c r="G139" s="99"/>
      <c r="H139" s="99"/>
      <c r="I139" s="104"/>
      <c r="J139" s="105"/>
      <c r="K139" s="105"/>
      <c r="L139" s="105"/>
      <c r="M139" s="87"/>
      <c r="N139" s="87"/>
      <c r="O139" s="87"/>
      <c r="P139" s="87"/>
      <c r="Q139" s="31"/>
      <c r="R139" s="31"/>
      <c r="S139" s="31"/>
      <c r="T139" s="31"/>
      <c r="U139" s="31"/>
      <c r="V139" s="31"/>
      <c r="W139" s="31"/>
      <c r="X139" s="31"/>
      <c r="Y139" s="31"/>
      <c r="Z139" s="31"/>
      <c r="AA139" s="31"/>
      <c r="AB139" s="31"/>
      <c r="AC139" s="31"/>
      <c r="AD139" s="31"/>
    </row>
    <row r="140" spans="1:30" ht="22.5" customHeight="1">
      <c r="A140" s="99"/>
      <c r="B140" s="100" t="e">
        <f>VLOOKUP(C140,Lists!I:J,2,FALSE)</f>
        <v>#N/A</v>
      </c>
      <c r="C140" s="101"/>
      <c r="D140" s="102"/>
      <c r="E140" s="103"/>
      <c r="F140" s="102"/>
      <c r="G140" s="99"/>
      <c r="H140" s="99"/>
      <c r="I140" s="104"/>
      <c r="J140" s="105"/>
      <c r="K140" s="105"/>
      <c r="L140" s="105"/>
      <c r="M140" s="87"/>
      <c r="N140" s="87"/>
      <c r="O140" s="87"/>
      <c r="P140" s="87"/>
      <c r="Q140" s="31"/>
      <c r="R140" s="31"/>
      <c r="S140" s="31"/>
      <c r="T140" s="31"/>
      <c r="U140" s="31"/>
      <c r="V140" s="31"/>
      <c r="W140" s="31"/>
      <c r="X140" s="31"/>
      <c r="Y140" s="31"/>
      <c r="Z140" s="31"/>
      <c r="AA140" s="31"/>
      <c r="AB140" s="31"/>
      <c r="AC140" s="31"/>
      <c r="AD140" s="31"/>
    </row>
    <row r="141" spans="1:30" ht="22.5" customHeight="1">
      <c r="A141" s="99"/>
      <c r="B141" s="106" t="e">
        <f>VLOOKUP(C141,Lists!I:J,2,FALSE)</f>
        <v>#N/A</v>
      </c>
      <c r="C141" s="108"/>
      <c r="D141" s="102"/>
      <c r="E141" s="103"/>
      <c r="F141" s="102"/>
      <c r="G141" s="99"/>
      <c r="H141" s="99"/>
      <c r="I141" s="104"/>
      <c r="J141" s="105"/>
      <c r="K141" s="105"/>
      <c r="L141" s="105"/>
      <c r="M141" s="87"/>
      <c r="N141" s="87"/>
      <c r="O141" s="87"/>
      <c r="P141" s="87"/>
      <c r="Q141" s="31"/>
      <c r="R141" s="31"/>
      <c r="S141" s="31"/>
      <c r="T141" s="31"/>
      <c r="U141" s="31"/>
      <c r="V141" s="31"/>
      <c r="W141" s="31"/>
      <c r="X141" s="31"/>
      <c r="Y141" s="31"/>
      <c r="Z141" s="31"/>
      <c r="AA141" s="31"/>
      <c r="AB141" s="31"/>
      <c r="AC141" s="31"/>
      <c r="AD141" s="31"/>
    </row>
    <row r="142" spans="1:30" ht="22.5" customHeight="1">
      <c r="A142" s="99"/>
      <c r="B142" s="100" t="e">
        <f>VLOOKUP(C142,Lists!I:J,2,FALSE)</f>
        <v>#N/A</v>
      </c>
      <c r="C142" s="101"/>
      <c r="D142" s="102"/>
      <c r="E142" s="103"/>
      <c r="F142" s="102"/>
      <c r="G142" s="99"/>
      <c r="H142" s="99"/>
      <c r="I142" s="104"/>
      <c r="J142" s="105"/>
      <c r="K142" s="105"/>
      <c r="L142" s="105"/>
      <c r="M142" s="87"/>
      <c r="N142" s="87"/>
      <c r="O142" s="87"/>
      <c r="P142" s="87"/>
      <c r="Q142" s="31"/>
      <c r="R142" s="31"/>
      <c r="S142" s="31"/>
      <c r="T142" s="31"/>
      <c r="U142" s="31"/>
      <c r="V142" s="31"/>
      <c r="W142" s="31"/>
      <c r="X142" s="31"/>
      <c r="Y142" s="31"/>
      <c r="Z142" s="31"/>
      <c r="AA142" s="31"/>
      <c r="AB142" s="31"/>
      <c r="AC142" s="31"/>
      <c r="AD142" s="31"/>
    </row>
    <row r="143" spans="1:30" ht="22.5" customHeight="1">
      <c r="A143" s="99"/>
      <c r="B143" s="106" t="e">
        <f>VLOOKUP(C143,Lists!I:J,2,FALSE)</f>
        <v>#N/A</v>
      </c>
      <c r="C143" s="108"/>
      <c r="D143" s="102"/>
      <c r="E143" s="103"/>
      <c r="F143" s="102"/>
      <c r="G143" s="99"/>
      <c r="H143" s="99"/>
      <c r="I143" s="104"/>
      <c r="J143" s="105"/>
      <c r="K143" s="105"/>
      <c r="L143" s="105"/>
      <c r="M143" s="87"/>
      <c r="N143" s="87"/>
      <c r="O143" s="87"/>
      <c r="P143" s="87"/>
      <c r="Q143" s="31"/>
      <c r="R143" s="31"/>
      <c r="S143" s="31"/>
      <c r="T143" s="31"/>
      <c r="U143" s="31"/>
      <c r="V143" s="31"/>
      <c r="W143" s="31"/>
      <c r="X143" s="31"/>
      <c r="Y143" s="31"/>
      <c r="Z143" s="31"/>
      <c r="AA143" s="31"/>
      <c r="AB143" s="31"/>
      <c r="AC143" s="31"/>
      <c r="AD143" s="31"/>
    </row>
    <row r="144" spans="1:30" ht="22.5" customHeight="1">
      <c r="A144" s="99"/>
      <c r="B144" s="100" t="e">
        <f>VLOOKUP(C144,Lists!I:J,2,FALSE)</f>
        <v>#N/A</v>
      </c>
      <c r="C144" s="101"/>
      <c r="D144" s="102"/>
      <c r="E144" s="103"/>
      <c r="F144" s="102"/>
      <c r="G144" s="99"/>
      <c r="H144" s="99"/>
      <c r="I144" s="104"/>
      <c r="J144" s="105"/>
      <c r="K144" s="105"/>
      <c r="L144" s="105"/>
      <c r="M144" s="87"/>
      <c r="N144" s="87"/>
      <c r="O144" s="87"/>
      <c r="P144" s="87"/>
      <c r="Q144" s="31"/>
      <c r="R144" s="31"/>
      <c r="S144" s="31"/>
      <c r="T144" s="31"/>
      <c r="U144" s="31"/>
      <c r="V144" s="31"/>
      <c r="W144" s="31"/>
      <c r="X144" s="31"/>
      <c r="Y144" s="31"/>
      <c r="Z144" s="31"/>
      <c r="AA144" s="31"/>
      <c r="AB144" s="31"/>
      <c r="AC144" s="31"/>
      <c r="AD144" s="31"/>
    </row>
    <row r="145" spans="1:30" ht="22.5" customHeight="1">
      <c r="A145" s="99"/>
      <c r="B145" s="106" t="e">
        <f>VLOOKUP(C145,Lists!I:J,2,FALSE)</f>
        <v>#N/A</v>
      </c>
      <c r="C145" s="108"/>
      <c r="D145" s="102"/>
      <c r="E145" s="103"/>
      <c r="F145" s="102"/>
      <c r="G145" s="99"/>
      <c r="H145" s="99"/>
      <c r="I145" s="104"/>
      <c r="J145" s="105"/>
      <c r="K145" s="105"/>
      <c r="L145" s="105"/>
      <c r="M145" s="87"/>
      <c r="N145" s="87"/>
      <c r="O145" s="87"/>
      <c r="P145" s="87"/>
      <c r="Q145" s="31"/>
      <c r="R145" s="31"/>
      <c r="S145" s="31"/>
      <c r="T145" s="31"/>
      <c r="U145" s="31"/>
      <c r="V145" s="31"/>
      <c r="W145" s="31"/>
      <c r="X145" s="31"/>
      <c r="Y145" s="31"/>
      <c r="Z145" s="31"/>
      <c r="AA145" s="31"/>
      <c r="AB145" s="31"/>
      <c r="AC145" s="31"/>
      <c r="AD145" s="31"/>
    </row>
    <row r="146" spans="1:30" ht="22.5" customHeight="1">
      <c r="A146" s="99"/>
      <c r="B146" s="100" t="e">
        <f>VLOOKUP(C146,Lists!I:J,2,FALSE)</f>
        <v>#N/A</v>
      </c>
      <c r="C146" s="101"/>
      <c r="D146" s="102"/>
      <c r="E146" s="103"/>
      <c r="F146" s="102"/>
      <c r="G146" s="99"/>
      <c r="H146" s="99"/>
      <c r="I146" s="104"/>
      <c r="J146" s="105"/>
      <c r="K146" s="105"/>
      <c r="L146" s="105"/>
      <c r="M146" s="87"/>
      <c r="N146" s="87"/>
      <c r="O146" s="87"/>
      <c r="P146" s="87"/>
      <c r="Q146" s="31"/>
      <c r="R146" s="31"/>
      <c r="S146" s="31"/>
      <c r="T146" s="31"/>
      <c r="U146" s="31"/>
      <c r="V146" s="31"/>
      <c r="W146" s="31"/>
      <c r="X146" s="31"/>
      <c r="Y146" s="31"/>
      <c r="Z146" s="31"/>
      <c r="AA146" s="31"/>
      <c r="AB146" s="31"/>
      <c r="AC146" s="31"/>
      <c r="AD146" s="31"/>
    </row>
    <row r="147" spans="1:30" ht="22.5" customHeight="1">
      <c r="A147" s="99"/>
      <c r="B147" s="106" t="e">
        <f>VLOOKUP(C147,Lists!I:J,2,FALSE)</f>
        <v>#N/A</v>
      </c>
      <c r="C147" s="108"/>
      <c r="D147" s="102"/>
      <c r="E147" s="103"/>
      <c r="F147" s="102"/>
      <c r="G147" s="99"/>
      <c r="H147" s="99"/>
      <c r="I147" s="104"/>
      <c r="J147" s="105"/>
      <c r="K147" s="105"/>
      <c r="L147" s="105"/>
      <c r="M147" s="87"/>
      <c r="N147" s="87"/>
      <c r="O147" s="87"/>
      <c r="P147" s="87"/>
      <c r="Q147" s="31"/>
      <c r="R147" s="31"/>
      <c r="S147" s="31"/>
      <c r="T147" s="31"/>
      <c r="U147" s="31"/>
      <c r="V147" s="31"/>
      <c r="W147" s="31"/>
      <c r="X147" s="31"/>
      <c r="Y147" s="31"/>
      <c r="Z147" s="31"/>
      <c r="AA147" s="31"/>
      <c r="AB147" s="31"/>
      <c r="AC147" s="31"/>
      <c r="AD147" s="31"/>
    </row>
    <row r="148" spans="1:30" ht="22.5" customHeight="1">
      <c r="A148" s="99"/>
      <c r="B148" s="100" t="e">
        <f>VLOOKUP(C148,Lists!I:J,2,FALSE)</f>
        <v>#N/A</v>
      </c>
      <c r="C148" s="101"/>
      <c r="D148" s="102"/>
      <c r="E148" s="103"/>
      <c r="F148" s="102"/>
      <c r="G148" s="99"/>
      <c r="H148" s="99"/>
      <c r="I148" s="104"/>
      <c r="J148" s="105"/>
      <c r="K148" s="105"/>
      <c r="L148" s="105"/>
      <c r="M148" s="87"/>
      <c r="N148" s="87"/>
      <c r="O148" s="87"/>
      <c r="P148" s="87"/>
      <c r="Q148" s="31"/>
      <c r="R148" s="31"/>
      <c r="S148" s="31"/>
      <c r="T148" s="31"/>
      <c r="U148" s="31"/>
      <c r="V148" s="31"/>
      <c r="W148" s="31"/>
      <c r="X148" s="31"/>
      <c r="Y148" s="31"/>
      <c r="Z148" s="31"/>
      <c r="AA148" s="31"/>
      <c r="AB148" s="31"/>
      <c r="AC148" s="31"/>
      <c r="AD148" s="31"/>
    </row>
    <row r="149" spans="1:30" ht="22.5" customHeight="1">
      <c r="A149" s="99"/>
      <c r="B149" s="106" t="e">
        <f>VLOOKUP(C149,Lists!I:J,2,FALSE)</f>
        <v>#N/A</v>
      </c>
      <c r="C149" s="108"/>
      <c r="D149" s="102"/>
      <c r="E149" s="103"/>
      <c r="F149" s="102"/>
      <c r="G149" s="99"/>
      <c r="H149" s="99"/>
      <c r="I149" s="104"/>
      <c r="J149" s="105"/>
      <c r="K149" s="105"/>
      <c r="L149" s="105"/>
      <c r="M149" s="87"/>
      <c r="N149" s="87"/>
      <c r="O149" s="87"/>
      <c r="P149" s="87"/>
      <c r="Q149" s="31"/>
      <c r="R149" s="31"/>
      <c r="S149" s="31"/>
      <c r="T149" s="31"/>
      <c r="U149" s="31"/>
      <c r="V149" s="31"/>
      <c r="W149" s="31"/>
      <c r="X149" s="31"/>
      <c r="Y149" s="31"/>
      <c r="Z149" s="31"/>
      <c r="AA149" s="31"/>
      <c r="AB149" s="31"/>
      <c r="AC149" s="31"/>
      <c r="AD149" s="31"/>
    </row>
    <row r="150" spans="1:30" ht="22.5" customHeight="1">
      <c r="A150" s="99"/>
      <c r="B150" s="100" t="e">
        <f>VLOOKUP(C150,Lists!I:J,2,FALSE)</f>
        <v>#N/A</v>
      </c>
      <c r="C150" s="101"/>
      <c r="D150" s="102"/>
      <c r="E150" s="103"/>
      <c r="F150" s="102"/>
      <c r="G150" s="99"/>
      <c r="H150" s="99"/>
      <c r="I150" s="104"/>
      <c r="J150" s="105"/>
      <c r="K150" s="105"/>
      <c r="L150" s="105"/>
      <c r="M150" s="87"/>
      <c r="N150" s="87"/>
      <c r="O150" s="87"/>
      <c r="P150" s="87"/>
      <c r="Q150" s="31"/>
      <c r="R150" s="31"/>
      <c r="S150" s="31"/>
      <c r="T150" s="31"/>
      <c r="U150" s="31"/>
      <c r="V150" s="31"/>
      <c r="W150" s="31"/>
      <c r="X150" s="31"/>
      <c r="Y150" s="31"/>
      <c r="Z150" s="31"/>
      <c r="AA150" s="31"/>
      <c r="AB150" s="31"/>
      <c r="AC150" s="31"/>
      <c r="AD150" s="31"/>
    </row>
    <row r="151" spans="1:30" ht="22.5" customHeight="1">
      <c r="A151" s="99"/>
      <c r="B151" s="106" t="e">
        <f>VLOOKUP(C151,Lists!I:J,2,FALSE)</f>
        <v>#N/A</v>
      </c>
      <c r="C151" s="108"/>
      <c r="D151" s="102"/>
      <c r="E151" s="103"/>
      <c r="F151" s="102"/>
      <c r="G151" s="99"/>
      <c r="H151" s="99"/>
      <c r="I151" s="104"/>
      <c r="J151" s="105"/>
      <c r="K151" s="105"/>
      <c r="L151" s="105"/>
      <c r="M151" s="87"/>
      <c r="N151" s="87"/>
      <c r="O151" s="87"/>
      <c r="P151" s="87"/>
      <c r="Q151" s="31"/>
      <c r="R151" s="31"/>
      <c r="S151" s="31"/>
      <c r="T151" s="31"/>
      <c r="U151" s="31"/>
      <c r="V151" s="31"/>
      <c r="W151" s="31"/>
      <c r="X151" s="31"/>
      <c r="Y151" s="31"/>
      <c r="Z151" s="31"/>
      <c r="AA151" s="31"/>
      <c r="AB151" s="31"/>
      <c r="AC151" s="31"/>
      <c r="AD151" s="31"/>
    </row>
    <row r="152" spans="1:30" ht="22.5" customHeight="1">
      <c r="A152" s="99"/>
      <c r="B152" s="100" t="e">
        <f>VLOOKUP(C152,Lists!I:J,2,FALSE)</f>
        <v>#N/A</v>
      </c>
      <c r="C152" s="101"/>
      <c r="D152" s="102"/>
      <c r="E152" s="103"/>
      <c r="F152" s="102"/>
      <c r="G152" s="99"/>
      <c r="H152" s="99"/>
      <c r="I152" s="104"/>
      <c r="J152" s="105"/>
      <c r="K152" s="105"/>
      <c r="L152" s="105"/>
      <c r="M152" s="87"/>
      <c r="N152" s="87"/>
      <c r="O152" s="87"/>
      <c r="P152" s="87"/>
      <c r="Q152" s="31"/>
      <c r="R152" s="31"/>
      <c r="S152" s="31"/>
      <c r="T152" s="31"/>
      <c r="U152" s="31"/>
      <c r="V152" s="31"/>
      <c r="W152" s="31"/>
      <c r="X152" s="31"/>
      <c r="Y152" s="31"/>
      <c r="Z152" s="31"/>
      <c r="AA152" s="31"/>
      <c r="AB152" s="31"/>
      <c r="AC152" s="31"/>
      <c r="AD152" s="31"/>
    </row>
    <row r="153" spans="1:30" ht="22.5" customHeight="1">
      <c r="A153" s="99"/>
      <c r="B153" s="109"/>
      <c r="C153" s="106"/>
      <c r="D153" s="102"/>
      <c r="E153" s="103"/>
      <c r="F153" s="102"/>
      <c r="G153" s="99"/>
      <c r="H153" s="99"/>
      <c r="I153" s="110"/>
      <c r="J153" s="105"/>
      <c r="K153" s="105"/>
      <c r="L153" s="105"/>
      <c r="M153" s="87"/>
      <c r="N153" s="87"/>
      <c r="O153" s="87"/>
      <c r="P153" s="87"/>
      <c r="Q153" s="31"/>
      <c r="R153" s="31"/>
      <c r="S153" s="31"/>
      <c r="T153" s="31"/>
      <c r="U153" s="31"/>
      <c r="V153" s="31"/>
      <c r="W153" s="31"/>
      <c r="X153" s="31"/>
      <c r="Y153" s="31"/>
      <c r="Z153" s="31"/>
      <c r="AA153" s="31"/>
      <c r="AB153" s="31"/>
      <c r="AC153" s="31"/>
      <c r="AD153" s="31"/>
    </row>
    <row r="154" spans="1:30" ht="22.5" customHeight="1">
      <c r="A154" s="99"/>
      <c r="B154" s="100"/>
      <c r="C154" s="95"/>
      <c r="D154" s="102"/>
      <c r="E154" s="103"/>
      <c r="F154" s="102"/>
      <c r="G154" s="99"/>
      <c r="H154" s="99"/>
      <c r="I154" s="110"/>
      <c r="J154" s="105"/>
      <c r="K154" s="105"/>
      <c r="L154" s="105"/>
      <c r="M154" s="87"/>
      <c r="N154" s="87"/>
      <c r="O154" s="87"/>
      <c r="P154" s="87"/>
      <c r="Q154" s="31"/>
      <c r="R154" s="31"/>
      <c r="S154" s="31"/>
      <c r="T154" s="31"/>
      <c r="U154" s="31"/>
      <c r="V154" s="31"/>
      <c r="W154" s="31"/>
      <c r="X154" s="31"/>
      <c r="Y154" s="31"/>
      <c r="Z154" s="31"/>
      <c r="AA154" s="31"/>
      <c r="AB154" s="31"/>
      <c r="AC154" s="31"/>
      <c r="AD154" s="31"/>
    </row>
    <row r="155" spans="1:30" ht="22.5" customHeight="1">
      <c r="A155" s="99"/>
      <c r="B155" s="106"/>
      <c r="C155" s="106"/>
      <c r="D155" s="102"/>
      <c r="E155" s="103"/>
      <c r="F155" s="102"/>
      <c r="G155" s="99"/>
      <c r="H155" s="99"/>
      <c r="I155" s="110"/>
      <c r="J155" s="105"/>
      <c r="K155" s="105"/>
      <c r="L155" s="105"/>
      <c r="M155" s="87"/>
      <c r="N155" s="87"/>
      <c r="O155" s="87"/>
      <c r="P155" s="87"/>
      <c r="Q155" s="31"/>
      <c r="R155" s="31"/>
      <c r="S155" s="31"/>
      <c r="T155" s="31"/>
      <c r="U155" s="31"/>
      <c r="V155" s="31"/>
      <c r="W155" s="31"/>
      <c r="X155" s="31"/>
      <c r="Y155" s="31"/>
      <c r="Z155" s="31"/>
      <c r="AA155" s="31"/>
      <c r="AB155" s="31"/>
      <c r="AC155" s="31"/>
      <c r="AD155" s="31"/>
    </row>
    <row r="156" spans="1:30" ht="22.5" customHeight="1">
      <c r="A156" s="99"/>
      <c r="B156" s="95"/>
      <c r="C156" s="95"/>
      <c r="D156" s="102"/>
      <c r="E156" s="103"/>
      <c r="F156" s="102"/>
      <c r="G156" s="99"/>
      <c r="H156" s="99"/>
      <c r="I156" s="110"/>
      <c r="J156" s="105"/>
      <c r="K156" s="105"/>
      <c r="L156" s="105"/>
      <c r="M156" s="87"/>
      <c r="N156" s="87"/>
      <c r="O156" s="87"/>
      <c r="P156" s="87"/>
      <c r="Q156" s="31"/>
      <c r="R156" s="31"/>
      <c r="S156" s="31"/>
      <c r="T156" s="31"/>
      <c r="U156" s="31"/>
      <c r="V156" s="31"/>
      <c r="W156" s="31"/>
      <c r="X156" s="31"/>
      <c r="Y156" s="31"/>
      <c r="Z156" s="31"/>
      <c r="AA156" s="31"/>
      <c r="AB156" s="31"/>
      <c r="AC156" s="31"/>
      <c r="AD156" s="31"/>
    </row>
    <row r="157" spans="1:30" ht="22.5" customHeight="1">
      <c r="A157" s="99"/>
      <c r="B157" s="106"/>
      <c r="C157" s="106"/>
      <c r="D157" s="102"/>
      <c r="E157" s="103"/>
      <c r="F157" s="102"/>
      <c r="G157" s="99"/>
      <c r="H157" s="99"/>
      <c r="I157" s="110"/>
      <c r="J157" s="105"/>
      <c r="K157" s="105"/>
      <c r="L157" s="105"/>
      <c r="M157" s="87"/>
      <c r="N157" s="87"/>
      <c r="O157" s="87"/>
      <c r="P157" s="87"/>
      <c r="Q157" s="31"/>
      <c r="R157" s="31"/>
      <c r="S157" s="31"/>
      <c r="T157" s="31"/>
      <c r="U157" s="31"/>
      <c r="V157" s="31"/>
      <c r="W157" s="31"/>
      <c r="X157" s="31"/>
      <c r="Y157" s="31"/>
      <c r="Z157" s="31"/>
      <c r="AA157" s="31"/>
      <c r="AB157" s="31"/>
      <c r="AC157" s="31"/>
      <c r="AD157" s="31"/>
    </row>
    <row r="158" spans="1:30" ht="22.5" customHeight="1">
      <c r="A158" s="99"/>
      <c r="B158" s="100"/>
      <c r="C158" s="95"/>
      <c r="D158" s="102"/>
      <c r="E158" s="103"/>
      <c r="F158" s="102"/>
      <c r="G158" s="99"/>
      <c r="H158" s="99"/>
      <c r="I158" s="110"/>
      <c r="J158" s="105"/>
      <c r="K158" s="105"/>
      <c r="L158" s="105"/>
      <c r="M158" s="87"/>
      <c r="N158" s="87"/>
      <c r="O158" s="87"/>
      <c r="P158" s="87"/>
      <c r="Q158" s="31"/>
      <c r="R158" s="31"/>
      <c r="S158" s="31"/>
      <c r="T158" s="31"/>
      <c r="U158" s="31"/>
      <c r="V158" s="31"/>
      <c r="W158" s="31"/>
      <c r="X158" s="31"/>
      <c r="Y158" s="31"/>
      <c r="Z158" s="31"/>
      <c r="AA158" s="31"/>
      <c r="AB158" s="31"/>
      <c r="AC158" s="31"/>
      <c r="AD158" s="31"/>
    </row>
    <row r="159" spans="1:30" ht="22.5" customHeight="1">
      <c r="A159" s="99"/>
      <c r="B159" s="111"/>
      <c r="C159" s="106"/>
      <c r="D159" s="102"/>
      <c r="E159" s="103"/>
      <c r="F159" s="102"/>
      <c r="G159" s="99"/>
      <c r="H159" s="99"/>
      <c r="I159" s="110"/>
      <c r="J159" s="105"/>
      <c r="K159" s="105"/>
      <c r="L159" s="105"/>
      <c r="M159" s="87"/>
      <c r="N159" s="87"/>
      <c r="O159" s="87"/>
      <c r="P159" s="87"/>
      <c r="Q159" s="31"/>
      <c r="R159" s="31"/>
      <c r="S159" s="31"/>
      <c r="T159" s="31"/>
      <c r="U159" s="31"/>
      <c r="V159" s="31"/>
      <c r="W159" s="31"/>
      <c r="X159" s="31"/>
      <c r="Y159" s="31"/>
      <c r="Z159" s="31"/>
      <c r="AA159" s="31"/>
      <c r="AB159" s="31"/>
      <c r="AC159" s="31"/>
      <c r="AD159" s="31"/>
    </row>
    <row r="160" spans="1:30" ht="22.5" customHeight="1">
      <c r="A160" s="99"/>
      <c r="B160" s="100"/>
      <c r="C160" s="95"/>
      <c r="D160" s="102"/>
      <c r="E160" s="103"/>
      <c r="F160" s="102"/>
      <c r="G160" s="99"/>
      <c r="H160" s="99"/>
      <c r="I160" s="110"/>
      <c r="J160" s="105"/>
      <c r="K160" s="105"/>
      <c r="L160" s="105"/>
      <c r="M160" s="87"/>
      <c r="N160" s="87"/>
      <c r="O160" s="87"/>
      <c r="P160" s="87"/>
      <c r="Q160" s="31"/>
      <c r="R160" s="31"/>
      <c r="S160" s="31"/>
      <c r="T160" s="31"/>
      <c r="U160" s="31"/>
      <c r="V160" s="31"/>
      <c r="W160" s="31"/>
      <c r="X160" s="31"/>
      <c r="Y160" s="31"/>
      <c r="Z160" s="31"/>
      <c r="AA160" s="31"/>
      <c r="AB160" s="31"/>
      <c r="AC160" s="31"/>
      <c r="AD160" s="31"/>
    </row>
    <row r="161" spans="1:30" ht="22.5" customHeight="1">
      <c r="A161" s="99"/>
      <c r="B161" s="106"/>
      <c r="C161" s="106"/>
      <c r="D161" s="102"/>
      <c r="E161" s="103"/>
      <c r="F161" s="102"/>
      <c r="G161" s="99"/>
      <c r="H161" s="99"/>
      <c r="I161" s="110"/>
      <c r="J161" s="105"/>
      <c r="K161" s="105"/>
      <c r="L161" s="105"/>
      <c r="M161" s="87"/>
      <c r="N161" s="87"/>
      <c r="O161" s="87"/>
      <c r="P161" s="87"/>
      <c r="Q161" s="31"/>
      <c r="R161" s="31"/>
      <c r="S161" s="31"/>
      <c r="T161" s="31"/>
      <c r="U161" s="31"/>
      <c r="V161" s="31"/>
      <c r="W161" s="31"/>
      <c r="X161" s="31"/>
      <c r="Y161" s="31"/>
      <c r="Z161" s="31"/>
      <c r="AA161" s="31"/>
      <c r="AB161" s="31"/>
      <c r="AC161" s="31"/>
      <c r="AD161" s="31"/>
    </row>
    <row r="162" spans="1:30" ht="22.5" customHeight="1">
      <c r="A162" s="99"/>
      <c r="B162" s="100"/>
      <c r="C162" s="95"/>
      <c r="D162" s="102"/>
      <c r="E162" s="103"/>
      <c r="F162" s="102"/>
      <c r="G162" s="99"/>
      <c r="H162" s="99"/>
      <c r="I162" s="110"/>
      <c r="J162" s="105"/>
      <c r="K162" s="105"/>
      <c r="L162" s="105"/>
      <c r="M162" s="87"/>
      <c r="N162" s="87"/>
      <c r="O162" s="87"/>
      <c r="P162" s="87"/>
      <c r="Q162" s="31"/>
      <c r="R162" s="31"/>
      <c r="S162" s="31"/>
      <c r="T162" s="31"/>
      <c r="U162" s="31"/>
      <c r="V162" s="31"/>
      <c r="W162" s="31"/>
      <c r="X162" s="31"/>
      <c r="Y162" s="31"/>
      <c r="Z162" s="31"/>
      <c r="AA162" s="31"/>
      <c r="AB162" s="31"/>
      <c r="AC162" s="31"/>
      <c r="AD162" s="31"/>
    </row>
    <row r="163" spans="1:30" ht="22.5" customHeight="1">
      <c r="A163" s="99"/>
      <c r="B163" s="112"/>
      <c r="C163" s="112"/>
      <c r="D163" s="102"/>
      <c r="E163" s="103"/>
      <c r="F163" s="102"/>
      <c r="G163" s="99"/>
      <c r="H163" s="99"/>
      <c r="I163" s="110"/>
      <c r="J163" s="105"/>
      <c r="K163" s="105"/>
      <c r="L163" s="10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600-000000000000}">
      <formula1>#REF!</formula1>
    </dataValidation>
    <dataValidation type="list" allowBlank="1" sqref="F2:F163" xr:uid="{00000000-0002-0000-0600-000002000000}">
      <formula1>"Yellow,Red"</formula1>
    </dataValidation>
    <dataValidation type="custom" allowBlank="1" showDropDown="1" sqref="AC4:AD14 S4:T14 S17:T25 AC17:AD25 S30:T46 AC30:AD46 S51:T60 AC51:AD60 S65:T72 AC65:AD72 S77:T84 AC77:AD84 A2:A163 G2:L163" xr:uid="{00000000-0002-0000-0600-000003000000}">
      <formula1>AND(ISNUMBER(A2),(NOT(OR(NOT(ISERROR(DATEVALUE(A2))), AND(ISNUMBER(A2), LEFT(CELL("format", A2))="D")))))</formula1>
    </dataValidation>
    <dataValidation allowBlank="1" showDropDown="1" sqref="E2:E163" xr:uid="{00000000-0002-0000-06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9.21875" customWidth="1"/>
    <col min="2" max="2" width="14" customWidth="1"/>
    <col min="3" max="3" width="18.88671875" customWidth="1"/>
    <col min="4" max="4" width="16.6640625" customWidth="1"/>
    <col min="5" max="5" width="17.109375" customWidth="1"/>
    <col min="6" max="6" width="12.44140625" customWidth="1"/>
    <col min="7" max="7" width="11.6640625" customWidth="1"/>
    <col min="8" max="8" width="13.77734375" customWidth="1"/>
    <col min="9" max="9" width="12.21875" customWidth="1"/>
    <col min="10" max="10" width="18.109375" customWidth="1"/>
    <col min="11" max="11" width="18.77734375" customWidth="1"/>
    <col min="12" max="12" width="19.109375" customWidth="1"/>
    <col min="13" max="13" width="10.44140625" customWidth="1"/>
    <col min="14" max="14" width="14.77734375" customWidth="1"/>
    <col min="15" max="15" width="15.33203125" customWidth="1"/>
    <col min="16" max="16" width="15.6640625" customWidth="1"/>
    <col min="17" max="17" width="7" customWidth="1"/>
    <col min="18" max="18" width="15.6640625" customWidth="1"/>
    <col min="19" max="19" width="13.109375" customWidth="1"/>
    <col min="20" max="20" width="11.33203125" customWidth="1"/>
    <col min="21" max="21" width="6.6640625" customWidth="1"/>
    <col min="22" max="22" width="14.21875" customWidth="1"/>
    <col min="23" max="23" width="9" customWidth="1"/>
    <col min="24" max="24" width="6.33203125" customWidth="1"/>
    <col min="25" max="25" width="14.88671875" customWidth="1"/>
    <col min="26" max="26" width="11.109375" customWidth="1"/>
    <col min="28" max="28" width="15.6640625" customWidth="1"/>
    <col min="29" max="29" width="10.6640625" customWidth="1"/>
    <col min="30" max="30" width="17.6640625" customWidth="1"/>
  </cols>
  <sheetData>
    <row r="1" spans="1:30" ht="22.5" customHeight="1">
      <c r="A1" s="91" t="s">
        <v>145</v>
      </c>
      <c r="B1" s="91" t="s">
        <v>5</v>
      </c>
      <c r="C1" s="91" t="s">
        <v>2</v>
      </c>
      <c r="D1" s="91" t="s">
        <v>3</v>
      </c>
      <c r="E1" s="91" t="s">
        <v>1</v>
      </c>
      <c r="F1" s="91" t="s">
        <v>464</v>
      </c>
      <c r="G1" s="91" t="s">
        <v>465</v>
      </c>
      <c r="H1" s="92" t="s">
        <v>466</v>
      </c>
      <c r="I1" s="93" t="s">
        <v>467</v>
      </c>
      <c r="J1" s="92" t="s">
        <v>468</v>
      </c>
      <c r="K1" s="92" t="s">
        <v>469</v>
      </c>
      <c r="L1" s="92" t="s">
        <v>470</v>
      </c>
      <c r="M1" s="117" t="s">
        <v>471</v>
      </c>
      <c r="N1" s="117" t="s">
        <v>472</v>
      </c>
      <c r="O1" s="118" t="s">
        <v>473</v>
      </c>
      <c r="P1" s="118" t="s">
        <v>474</v>
      </c>
      <c r="Q1" s="119"/>
      <c r="R1" s="119"/>
      <c r="S1" s="119"/>
      <c r="T1" s="119"/>
      <c r="U1" s="119"/>
      <c r="V1" s="119"/>
      <c r="W1" s="119"/>
      <c r="X1" s="119"/>
      <c r="Y1" s="119"/>
      <c r="Z1" s="119"/>
      <c r="AA1" s="119"/>
      <c r="AB1" s="119"/>
      <c r="AC1" s="119"/>
      <c r="AD1" s="119"/>
    </row>
    <row r="2" spans="1:30" ht="22.5" customHeight="1">
      <c r="A2" s="120">
        <v>9</v>
      </c>
      <c r="B2" s="121" t="str">
        <f>VLOOKUP(C2,Lists!I:J,2,FALSE)</f>
        <v>Ranged DPS</v>
      </c>
      <c r="C2" s="95" t="str">
        <f>VLOOKUP(E2&amp;D2,Lists!C:E,3,FALSE)</f>
        <v>Staff/Dagger</v>
      </c>
      <c r="D2" s="122" t="s">
        <v>34</v>
      </c>
      <c r="E2" s="123" t="s">
        <v>76</v>
      </c>
      <c r="F2" s="122" t="s">
        <v>476</v>
      </c>
      <c r="G2" s="124">
        <v>26</v>
      </c>
      <c r="H2" s="124">
        <v>85</v>
      </c>
      <c r="I2" s="96">
        <f t="shared" ref="I2:I97" si="0">SUM(G2:H2)</f>
        <v>111</v>
      </c>
      <c r="J2" s="125">
        <v>1432525</v>
      </c>
      <c r="K2" s="125">
        <v>1698861</v>
      </c>
      <c r="L2" s="125">
        <v>16829</v>
      </c>
      <c r="M2" s="126">
        <f>I2/(HLOOKUP(F2,Team_Composition_23[[#All],[Yellow]:[Red]],10,FALSE)+HLOOKUP(F2,Team_Composition_23[[#All],[Yellow]:[Red]],11,FALSE))</f>
        <v>2.7743064233941513E-2</v>
      </c>
      <c r="N2" s="126">
        <f>J2/HLOOKUP(F2,Team_Composition_23[[#All],[Yellow]:[Red]],6,FALSE)</f>
        <v>3.2290555559400053E-2</v>
      </c>
      <c r="O2" s="126">
        <f>K2/HLOOKUP(F2,Team_Composition_23[[#All],[Yellow]:[Red]],8,FALSE)</f>
        <v>9.6973798892079313E-2</v>
      </c>
      <c r="P2" s="126">
        <f>L2/HLOOKUP(F2,Team_Composition_23[[#All],[Yellow]:[Red]],7,FALSE)</f>
        <v>1.3000613220439383E-3</v>
      </c>
      <c r="Q2" s="119"/>
      <c r="R2" s="230" t="s">
        <v>477</v>
      </c>
      <c r="S2" s="228"/>
      <c r="T2" s="228"/>
      <c r="U2" s="119"/>
      <c r="V2" s="231" t="s">
        <v>478</v>
      </c>
      <c r="W2" s="228"/>
      <c r="X2" s="127"/>
      <c r="Y2" s="231" t="s">
        <v>479</v>
      </c>
      <c r="Z2" s="228"/>
      <c r="AA2" s="119"/>
      <c r="AB2" s="230" t="s">
        <v>480</v>
      </c>
      <c r="AC2" s="228"/>
      <c r="AD2" s="228"/>
    </row>
    <row r="3" spans="1:30" ht="22.5" customHeight="1">
      <c r="A3" s="120">
        <v>3</v>
      </c>
      <c r="B3" s="128" t="s">
        <v>25</v>
      </c>
      <c r="C3" s="95" t="str">
        <f>VLOOKUP(E3&amp;D3,Lists!C:E,3,FALSE)</f>
        <v>Crossbow/SnS</v>
      </c>
      <c r="D3" s="122" t="s">
        <v>34</v>
      </c>
      <c r="E3" s="123" t="s">
        <v>141</v>
      </c>
      <c r="F3" s="122" t="s">
        <v>476</v>
      </c>
      <c r="G3" s="124">
        <v>34</v>
      </c>
      <c r="H3" s="124">
        <v>56</v>
      </c>
      <c r="I3" s="96">
        <f t="shared" si="0"/>
        <v>90</v>
      </c>
      <c r="J3" s="125">
        <v>2870240</v>
      </c>
      <c r="K3" s="125">
        <v>372328</v>
      </c>
      <c r="L3" s="125">
        <v>9871</v>
      </c>
      <c r="M3" s="126">
        <f>I3/(HLOOKUP(F3,Team_Composition_23[[#All],[Yellow]:[Red]],10,FALSE)+HLOOKUP(F3,Team_Composition_23[[#All],[Yellow]:[Red]],11,FALSE))</f>
        <v>2.2494376405898527E-2</v>
      </c>
      <c r="N3" s="126">
        <f>J3/HLOOKUP(F3,Team_Composition_23[[#All],[Yellow]:[Red]],6,FALSE)</f>
        <v>6.4698098943342983E-2</v>
      </c>
      <c r="O3" s="126">
        <f>K3/HLOOKUP(F3,Team_Composition_23[[#All],[Yellow]:[Red]],8,FALSE)</f>
        <v>2.1253098749038388E-2</v>
      </c>
      <c r="P3" s="126">
        <f>L3/HLOOKUP(F3,Team_Composition_23[[#All],[Yellow]:[Red]],7,FALSE)</f>
        <v>7.6254710974482827E-4</v>
      </c>
      <c r="Q3" s="119"/>
      <c r="R3" s="129" t="s">
        <v>482</v>
      </c>
      <c r="S3" s="130" t="s">
        <v>476</v>
      </c>
      <c r="T3" s="130" t="s">
        <v>483</v>
      </c>
      <c r="U3" s="119"/>
      <c r="V3" s="131" t="s">
        <v>1</v>
      </c>
      <c r="W3" s="132" t="s">
        <v>467</v>
      </c>
      <c r="X3" s="119"/>
      <c r="Y3" s="131" t="s">
        <v>1</v>
      </c>
      <c r="Z3" s="132" t="s">
        <v>484</v>
      </c>
      <c r="AA3" s="119"/>
      <c r="AB3" s="129" t="s">
        <v>482</v>
      </c>
      <c r="AC3" s="130" t="s">
        <v>485</v>
      </c>
      <c r="AD3" s="130" t="s">
        <v>28</v>
      </c>
    </row>
    <row r="4" spans="1:30" ht="22.5" customHeight="1">
      <c r="A4" s="120">
        <v>10</v>
      </c>
      <c r="B4" s="133" t="str">
        <f>VLOOKUP(C4,Lists!I:J,2,FALSE)</f>
        <v>Melee DPS</v>
      </c>
      <c r="C4" s="95" t="str">
        <f>VLOOKUP(E4&amp;D4,Lists!C:E,3,FALSE)</f>
        <v>Spear/Dagger</v>
      </c>
      <c r="D4" s="122" t="s">
        <v>34</v>
      </c>
      <c r="E4" s="123" t="s">
        <v>104</v>
      </c>
      <c r="F4" s="122" t="s">
        <v>476</v>
      </c>
      <c r="G4" s="124">
        <v>26</v>
      </c>
      <c r="H4" s="124">
        <v>63</v>
      </c>
      <c r="I4" s="96">
        <f t="shared" si="0"/>
        <v>89</v>
      </c>
      <c r="J4" s="125">
        <v>2928783</v>
      </c>
      <c r="K4" s="125">
        <v>1282434</v>
      </c>
      <c r="L4" s="125">
        <v>15616</v>
      </c>
      <c r="M4" s="126">
        <f>I4/(HLOOKUP(F4,Team_Composition_23[[#All],[Yellow]:[Red]],10,FALSE)+HLOOKUP(F4,Team_Composition_23[[#All],[Yellow]:[Red]],11,FALSE))</f>
        <v>2.224443889027743E-2</v>
      </c>
      <c r="N4" s="126">
        <f>J4/HLOOKUP(F4,Team_Composition_23[[#All],[Yellow]:[Red]],6,FALSE)</f>
        <v>6.6017717095985307E-2</v>
      </c>
      <c r="O4" s="126">
        <f>K4/HLOOKUP(F4,Team_Composition_23[[#All],[Yellow]:[Red]],8,FALSE)</f>
        <v>7.3203456202929396E-2</v>
      </c>
      <c r="P4" s="126">
        <f>L4/HLOOKUP(F4,Team_Composition_23[[#All],[Yellow]:[Red]],7,FALSE)</f>
        <v>1.2063555532139843E-3</v>
      </c>
      <c r="Q4" s="119"/>
      <c r="R4" s="134" t="s">
        <v>25</v>
      </c>
      <c r="S4" s="135">
        <f>COUNTIFS(Scoreboard_37[Role],R4,Scoreboard_37[Team],"Yellow")</f>
        <v>6</v>
      </c>
      <c r="T4" s="136">
        <f>COUNTIFS(Scoreboard_37[Role],R4,Scoreboard_37[Team],"Red")</f>
        <v>5</v>
      </c>
      <c r="U4" s="119"/>
      <c r="V4" s="137" t="str">
        <f ca="1">IFERROR(__xludf.DUMMYFUNCTION("query(A1:P238, ""Select E,I where B!='Healer' Order by I Desc Limit 10"", 0)"),"Kiefblunt")</f>
        <v>Kiefblunt</v>
      </c>
      <c r="W4" s="104">
        <f ca="1">IFERROR(__xludf.DUMMYFUNCTION("""COMPUTED_VALUE"""),111)</f>
        <v>111</v>
      </c>
      <c r="X4" s="119"/>
      <c r="Y4" s="137" t="str">
        <f ca="1">IFERROR(__xludf.DUMMYFUNCTION("query(A1:P238, ""Select E,J Order by J Desc Limit 10"", 0)"),"Ryujin")</f>
        <v>Ryujin</v>
      </c>
      <c r="Z4" s="104">
        <f ca="1">IFERROR(__xludf.DUMMYFUNCTION("""COMPUTED_VALUE"""),4860443)</f>
        <v>4860443</v>
      </c>
      <c r="AA4" s="119"/>
      <c r="AB4" s="134" t="s">
        <v>25</v>
      </c>
      <c r="AC4" s="138">
        <f>COUNTIFS(Scoreboard_37[Role],AB4,Scoreboard_37[Guild],"Best Regards")</f>
        <v>6</v>
      </c>
      <c r="AD4" s="139">
        <f>COUNTIFS(Scoreboard_37[Role],AB4,Scoreboard_37[Guild],"Undercooked")</f>
        <v>0</v>
      </c>
    </row>
    <row r="5" spans="1:30" ht="22.5" customHeight="1">
      <c r="A5" s="120">
        <v>1</v>
      </c>
      <c r="B5" s="140" t="str">
        <f>VLOOKUP(C5,Lists!I:J,2,FALSE)</f>
        <v>Ranged DPS</v>
      </c>
      <c r="C5" s="95" t="str">
        <f>VLOOKUP(E5&amp;D5,Lists!C:E,3,FALSE)</f>
        <v>Staff/Orb</v>
      </c>
      <c r="D5" s="122" t="s">
        <v>34</v>
      </c>
      <c r="E5" s="123" t="s">
        <v>156</v>
      </c>
      <c r="F5" s="122" t="s">
        <v>476</v>
      </c>
      <c r="G5" s="124">
        <v>36</v>
      </c>
      <c r="H5" s="124">
        <v>52</v>
      </c>
      <c r="I5" s="96">
        <f t="shared" si="0"/>
        <v>88</v>
      </c>
      <c r="J5" s="125">
        <v>4860443</v>
      </c>
      <c r="K5" s="125">
        <v>659610</v>
      </c>
      <c r="L5" s="125">
        <v>0</v>
      </c>
      <c r="M5" s="126">
        <f>I5/(HLOOKUP(F5,Team_Composition_23[[#All],[Yellow]:[Red]],10,FALSE)+HLOOKUP(F5,Team_Composition_23[[#All],[Yellow]:[Red]],11,FALSE))</f>
        <v>2.1994501374656337E-2</v>
      </c>
      <c r="N5" s="126">
        <f>J5/HLOOKUP(F5,Team_Composition_23[[#All],[Yellow]:[Red]],6,FALSE)</f>
        <v>0.10955927801245846</v>
      </c>
      <c r="O5" s="126">
        <f>K5/HLOOKUP(F5,Team_Composition_23[[#All],[Yellow]:[Red]],8,FALSE)</f>
        <v>3.7651630997005893E-2</v>
      </c>
      <c r="P5" s="126">
        <f>L5/HLOOKUP(F5,Team_Composition_23[[#All],[Yellow]:[Red]],7,FALSE)</f>
        <v>0</v>
      </c>
      <c r="Q5" s="119"/>
      <c r="R5" s="134" t="s">
        <v>39</v>
      </c>
      <c r="S5" s="135">
        <f>COUNTIFS(Scoreboard_37[Role],R5,Scoreboard_37[Team],"Yellow")</f>
        <v>6</v>
      </c>
      <c r="T5" s="136">
        <f>COUNTIFS(Scoreboard_37[Role],R5,Scoreboard_37[Team],"Red")</f>
        <v>8</v>
      </c>
      <c r="U5" s="119"/>
      <c r="V5" s="137" t="str">
        <f ca="1">IFERROR(__xludf.DUMMYFUNCTION("""COMPUTED_VALUE"""),"Thundercats")</f>
        <v>Thundercats</v>
      </c>
      <c r="W5" s="104">
        <f ca="1">IFERROR(__xludf.DUMMYFUNCTION("""COMPUTED_VALUE"""),90)</f>
        <v>90</v>
      </c>
      <c r="X5" s="119"/>
      <c r="Y5" s="137" t="str">
        <f ca="1">IFERROR(__xludf.DUMMYFUNCTION("""COMPUTED_VALUE"""),"hzrd")</f>
        <v>hzrd</v>
      </c>
      <c r="Z5" s="104">
        <f ca="1">IFERROR(__xludf.DUMMYFUNCTION("""COMPUTED_VALUE"""),3640659)</f>
        <v>3640659</v>
      </c>
      <c r="AA5" s="119"/>
      <c r="AB5" s="134" t="s">
        <v>39</v>
      </c>
      <c r="AC5" s="138">
        <f>COUNTIFS(Scoreboard_37[Role],AB5,Scoreboard_37[Guild],"Best Regards")</f>
        <v>6</v>
      </c>
      <c r="AD5" s="139">
        <f>COUNTIFS(Scoreboard_37[Role],AB5,Scoreboard_37[Guild],"Undercooked")</f>
        <v>0</v>
      </c>
    </row>
    <row r="6" spans="1:30" ht="22.5" customHeight="1">
      <c r="A6" s="120">
        <v>6</v>
      </c>
      <c r="B6" s="133" t="str">
        <f>VLOOKUP(C6,Lists!I:J,2,FALSE)</f>
        <v>Ranged DPS</v>
      </c>
      <c r="C6" s="95" t="str">
        <f>VLOOKUP(E6&amp;D6,Lists!C:E,3,FALSE)</f>
        <v>Crossbow/SnS</v>
      </c>
      <c r="D6" s="122" t="s">
        <v>34</v>
      </c>
      <c r="E6" s="123" t="s">
        <v>167</v>
      </c>
      <c r="F6" s="122" t="s">
        <v>476</v>
      </c>
      <c r="G6" s="124">
        <v>29</v>
      </c>
      <c r="H6" s="124">
        <v>59</v>
      </c>
      <c r="I6" s="96">
        <f t="shared" si="0"/>
        <v>88</v>
      </c>
      <c r="J6" s="125">
        <v>1889288</v>
      </c>
      <c r="K6" s="125">
        <v>1820244</v>
      </c>
      <c r="L6" s="125">
        <v>1717</v>
      </c>
      <c r="M6" s="126">
        <f>I6/(HLOOKUP(F6,Team_Composition_23[[#All],[Yellow]:[Red]],10,FALSE)+HLOOKUP(F6,Team_Composition_23[[#All],[Yellow]:[Red]],11,FALSE))</f>
        <v>2.1994501374656337E-2</v>
      </c>
      <c r="N6" s="126">
        <f>J6/HLOOKUP(F6,Team_Composition_23[[#All],[Yellow]:[Red]],6,FALSE)</f>
        <v>4.2586453382459505E-2</v>
      </c>
      <c r="O6" s="126">
        <f>K6/HLOOKUP(F6,Team_Composition_23[[#All],[Yellow]:[Red]],8,FALSE)</f>
        <v>0.10390254152076833</v>
      </c>
      <c r="P6" s="126">
        <f>L6/HLOOKUP(F6,Team_Composition_23[[#All],[Yellow]:[Red]],7,FALSE)</f>
        <v>1.326403999019218E-4</v>
      </c>
      <c r="Q6" s="119"/>
      <c r="R6" s="134" t="s">
        <v>67</v>
      </c>
      <c r="S6" s="135">
        <f>COUNTIFS(Scoreboard_37[Role],R6,Scoreboard_37[Team],"Yellow")</f>
        <v>15</v>
      </c>
      <c r="T6" s="136">
        <f>COUNTIFS(Scoreboard_37[Role],R6,Scoreboard_37[Team],"Red")</f>
        <v>14</v>
      </c>
      <c r="U6" s="119"/>
      <c r="V6" s="137" t="str">
        <f ca="1">IFERROR(__xludf.DUMMYFUNCTION("""COMPUTED_VALUE"""),"Superluigi")</f>
        <v>Superluigi</v>
      </c>
      <c r="W6" s="104">
        <f ca="1">IFERROR(__xludf.DUMMYFUNCTION("""COMPUTED_VALUE"""),89)</f>
        <v>89</v>
      </c>
      <c r="X6" s="119"/>
      <c r="Y6" s="137" t="str">
        <f ca="1">IFERROR(__xludf.DUMMYFUNCTION("""COMPUTED_VALUE"""),"Artayy")</f>
        <v>Artayy</v>
      </c>
      <c r="Z6" s="104">
        <f ca="1">IFERROR(__xludf.DUMMYFUNCTION("""COMPUTED_VALUE"""),3214362)</f>
        <v>3214362</v>
      </c>
      <c r="AA6" s="119"/>
      <c r="AB6" s="134" t="s">
        <v>67</v>
      </c>
      <c r="AC6" s="138">
        <f>COUNTIFS(Scoreboard_37[Role],AB6,Scoreboard_37[Guild],"Best Regards")</f>
        <v>15</v>
      </c>
      <c r="AD6" s="139">
        <f>COUNTIFS(Scoreboard_37[Role],AB6,Scoreboard_37[Guild],"Undercooked")</f>
        <v>0</v>
      </c>
    </row>
    <row r="7" spans="1:30" ht="22.5" customHeight="1">
      <c r="A7" s="120">
        <v>30</v>
      </c>
      <c r="B7" s="141" t="str">
        <f>VLOOKUP(C7,Lists!I:J,2,FALSE)</f>
        <v>Ranged DPS</v>
      </c>
      <c r="C7" s="95" t="str">
        <f>VLOOKUP(E7&amp;D7,Lists!C:E,3,FALSE)</f>
        <v>SnS/Wand</v>
      </c>
      <c r="D7" s="122" t="s">
        <v>34</v>
      </c>
      <c r="E7" s="123" t="s">
        <v>162</v>
      </c>
      <c r="F7" s="122" t="s">
        <v>476</v>
      </c>
      <c r="G7" s="124">
        <v>9</v>
      </c>
      <c r="H7" s="124">
        <v>79</v>
      </c>
      <c r="I7" s="96">
        <f t="shared" si="0"/>
        <v>88</v>
      </c>
      <c r="J7" s="125">
        <v>1441732</v>
      </c>
      <c r="K7" s="125">
        <v>1281411</v>
      </c>
      <c r="L7" s="125">
        <v>249459</v>
      </c>
      <c r="M7" s="126">
        <f>I7/(HLOOKUP(F7,Team_Composition_23[[#All],[Yellow]:[Red]],10,FALSE)+HLOOKUP(F7,Team_Composition_23[[#All],[Yellow]:[Red]],11,FALSE))</f>
        <v>2.1994501374656337E-2</v>
      </c>
      <c r="N7" s="126">
        <f>J7/HLOOKUP(F7,Team_Composition_23[[#All],[Yellow]:[Red]],6,FALSE)</f>
        <v>3.2498090607678713E-2</v>
      </c>
      <c r="O7" s="126">
        <f>K7/HLOOKUP(F7,Team_Composition_23[[#All],[Yellow]:[Red]],8,FALSE)</f>
        <v>7.3145061669023098E-2</v>
      </c>
      <c r="P7" s="126">
        <f>L7/HLOOKUP(F7,Team_Composition_23[[#All],[Yellow]:[Red]],7,FALSE)</f>
        <v>1.9271020104329361E-2</v>
      </c>
      <c r="Q7" s="119"/>
      <c r="R7" s="134" t="s">
        <v>11</v>
      </c>
      <c r="S7" s="135">
        <f>COUNTIFS(Scoreboard_37[Role],R7,Scoreboard_37[Team],"Yellow")</f>
        <v>16</v>
      </c>
      <c r="T7" s="136">
        <f>COUNTIFS(Scoreboard_37[Role],R7,Scoreboard_37[Team],"Red")</f>
        <v>16</v>
      </c>
      <c r="U7" s="119"/>
      <c r="V7" s="137" t="str">
        <f ca="1">IFERROR(__xludf.DUMMYFUNCTION("""COMPUTED_VALUE"""),"Ryujin")</f>
        <v>Ryujin</v>
      </c>
      <c r="W7" s="104">
        <f ca="1">IFERROR(__xludf.DUMMYFUNCTION("""COMPUTED_VALUE"""),88)</f>
        <v>88</v>
      </c>
      <c r="X7" s="119"/>
      <c r="Y7" s="137" t="str">
        <f ca="1">IFERROR(__xludf.DUMMYFUNCTION("""COMPUTED_VALUE"""),"Superluigi")</f>
        <v>Superluigi</v>
      </c>
      <c r="Z7" s="104">
        <f ca="1">IFERROR(__xludf.DUMMYFUNCTION("""COMPUTED_VALUE"""),2928783)</f>
        <v>2928783</v>
      </c>
      <c r="AA7" s="119"/>
      <c r="AB7" s="134" t="s">
        <v>11</v>
      </c>
      <c r="AC7" s="138">
        <f>COUNTIFS(Scoreboard_37[Role],AB7,Scoreboard_37[Guild],"Best Regards")</f>
        <v>16</v>
      </c>
      <c r="AD7" s="139">
        <f>COUNTIFS(Scoreboard_37[Role],AB7,Scoreboard_37[Guild],"Undercooked")</f>
        <v>0</v>
      </c>
    </row>
    <row r="8" spans="1:30" ht="22.5" customHeight="1">
      <c r="A8" s="120">
        <v>2</v>
      </c>
      <c r="B8" s="133" t="str">
        <f>VLOOKUP(C8,Lists!I:J,2,FALSE)</f>
        <v>KS</v>
      </c>
      <c r="C8" s="95" t="str">
        <f>VLOOKUP(E8&amp;D8,Lists!C:E,3,FALSE)</f>
        <v>Greatsword/Dagger</v>
      </c>
      <c r="D8" s="122" t="s">
        <v>34</v>
      </c>
      <c r="E8" s="122" t="s">
        <v>98</v>
      </c>
      <c r="F8" s="122" t="s">
        <v>476</v>
      </c>
      <c r="G8" s="124">
        <v>36</v>
      </c>
      <c r="H8" s="124">
        <v>51</v>
      </c>
      <c r="I8" s="96">
        <f t="shared" si="0"/>
        <v>87</v>
      </c>
      <c r="J8" s="125">
        <v>2455933</v>
      </c>
      <c r="K8" s="125">
        <v>1199173</v>
      </c>
      <c r="L8" s="125">
        <v>11035</v>
      </c>
      <c r="M8" s="126">
        <f>I8/(HLOOKUP(F8,Team_Composition_23[[#All],[Yellow]:[Red]],10,FALSE)+HLOOKUP(F8,Team_Composition_23[[#All],[Yellow]:[Red]],11,FALSE))</f>
        <v>2.174456385903524E-2</v>
      </c>
      <c r="N8" s="126">
        <f>J8/HLOOKUP(F8,Team_Composition_23[[#All],[Yellow]:[Red]],6,FALSE)</f>
        <v>5.5359202098856246E-2</v>
      </c>
      <c r="O8" s="126">
        <f>K8/HLOOKUP(F8,Team_Composition_23[[#All],[Yellow]:[Red]],8,FALSE)</f>
        <v>6.8450780457501484E-2</v>
      </c>
      <c r="P8" s="126">
        <f>L8/HLOOKUP(F8,Team_Composition_23[[#All],[Yellow]:[Red]],7,FALSE)</f>
        <v>8.5246756722056325E-4</v>
      </c>
      <c r="Q8" s="119"/>
      <c r="R8" s="134" t="s">
        <v>468</v>
      </c>
      <c r="S8" s="135">
        <f>SUMIFS(Scoreboard_37[Damage Dealt],Scoreboard_37[Team],"Yellow")</f>
        <v>38442297</v>
      </c>
      <c r="T8" s="136">
        <f>SUMIFS(Scoreboard_37[Damage Dealt],Scoreboard_37[Team],"Red")</f>
        <v>28265452</v>
      </c>
      <c r="U8" s="119"/>
      <c r="V8" s="137" t="str">
        <f ca="1">IFERROR(__xludf.DUMMYFUNCTION("""COMPUTED_VALUE"""),"charigueya")</f>
        <v>charigueya</v>
      </c>
      <c r="W8" s="104">
        <f ca="1">IFERROR(__xludf.DUMMYFUNCTION("""COMPUTED_VALUE"""),88)</f>
        <v>88</v>
      </c>
      <c r="X8" s="119"/>
      <c r="Y8" s="137" t="str">
        <f ca="1">IFERROR(__xludf.DUMMYFUNCTION("""COMPUTED_VALUE"""),"Nyvri")</f>
        <v>Nyvri</v>
      </c>
      <c r="Z8" s="104">
        <f ca="1">IFERROR(__xludf.DUMMYFUNCTION("""COMPUTED_VALUE"""),2896225)</f>
        <v>2896225</v>
      </c>
      <c r="AA8" s="119"/>
      <c r="AB8" s="134" t="s">
        <v>468</v>
      </c>
      <c r="AC8" s="138">
        <f>SUMIFS(Scoreboard_37[Damage Dealt],Scoreboard_37[Guild],"Best Regards")</f>
        <v>38442297</v>
      </c>
      <c r="AD8" s="139">
        <f>SUMIFS(Scoreboard_37[Damage Dealt],Scoreboard_37[Guild],"Undercooked")</f>
        <v>0</v>
      </c>
    </row>
    <row r="9" spans="1:30" ht="22.5" customHeight="1">
      <c r="A9" s="120">
        <v>4</v>
      </c>
      <c r="B9" s="142" t="str">
        <f>VLOOKUP(C9,Lists!I:J,2,FALSE)</f>
        <v>Ranged DPS</v>
      </c>
      <c r="C9" s="95" t="str">
        <f>VLOOKUP(E9&amp;D9,Lists!C:E,3,FALSE)</f>
        <v>Orb/Wand</v>
      </c>
      <c r="D9" s="122" t="s">
        <v>30</v>
      </c>
      <c r="E9" s="123" t="s">
        <v>412</v>
      </c>
      <c r="F9" s="122" t="s">
        <v>483</v>
      </c>
      <c r="G9" s="124">
        <v>33</v>
      </c>
      <c r="H9" s="124">
        <v>52</v>
      </c>
      <c r="I9" s="96">
        <f t="shared" si="0"/>
        <v>85</v>
      </c>
      <c r="J9" s="125">
        <v>3214362</v>
      </c>
      <c r="K9" s="125">
        <v>1204147</v>
      </c>
      <c r="L9" s="125">
        <v>0</v>
      </c>
      <c r="M9" s="126">
        <f>I9/(HLOOKUP(F9,Team_Composition_23[[#All],[Yellow]:[Red]],10,FALSE)+HLOOKUP(F9,Team_Composition_23[[#All],[Yellow]:[Red]],11,FALSE))</f>
        <v>0.10353227771010962</v>
      </c>
      <c r="N9" s="126">
        <f>J9/HLOOKUP(F9,Team_Composition_23[[#All],[Yellow]:[Red]],6,FALSE)</f>
        <v>0.18216425182646701</v>
      </c>
      <c r="O9" s="126">
        <f>K9/HLOOKUP(F9,Team_Composition_23[[#All],[Yellow]:[Red]],8,FALSE)</f>
        <v>2.7357067796669469E-2</v>
      </c>
      <c r="P9" s="126">
        <f>L9/HLOOKUP(F9,Team_Composition_23[[#All],[Yellow]:[Red]],7,FALSE)</f>
        <v>0</v>
      </c>
      <c r="Q9" s="119"/>
      <c r="R9" s="134" t="s">
        <v>470</v>
      </c>
      <c r="S9" s="135">
        <f>SUMIFS(Scoreboard_37[Amount Healed],Scoreboard_37[Team],"Yellow")</f>
        <v>17814589</v>
      </c>
      <c r="T9" s="136">
        <f>SUMIFS(Scoreboard_37[Amount Healed],Scoreboard_37[Team],"Red")</f>
        <v>14559770</v>
      </c>
      <c r="U9" s="119"/>
      <c r="V9" s="137" t="str">
        <f ca="1">IFERROR(__xludf.DUMMYFUNCTION("""COMPUTED_VALUE"""),"SwayzexExpress")</f>
        <v>SwayzexExpress</v>
      </c>
      <c r="W9" s="104">
        <f ca="1">IFERROR(__xludf.DUMMYFUNCTION("""COMPUTED_VALUE"""),88)</f>
        <v>88</v>
      </c>
      <c r="X9" s="119"/>
      <c r="Y9" s="137" t="str">
        <f ca="1">IFERROR(__xludf.DUMMYFUNCTION("""COMPUTED_VALUE"""),"Thundercats")</f>
        <v>Thundercats</v>
      </c>
      <c r="Z9" s="104">
        <f ca="1">IFERROR(__xludf.DUMMYFUNCTION("""COMPUTED_VALUE"""),2870240)</f>
        <v>2870240</v>
      </c>
      <c r="AA9" s="119"/>
      <c r="AB9" s="134" t="s">
        <v>470</v>
      </c>
      <c r="AC9" s="138">
        <f>SUMIFS(Scoreboard_37[Amount Healed],Scoreboard_37[Guild],"Best Regards")</f>
        <v>17814589</v>
      </c>
      <c r="AD9" s="139">
        <f>SUMIFS(Scoreboard_37[Amount Healed],Scoreboard_37[Guild],"Undercooked")</f>
        <v>0</v>
      </c>
    </row>
    <row r="10" spans="1:30" ht="22.5" customHeight="1">
      <c r="A10" s="120">
        <v>15</v>
      </c>
      <c r="B10" s="121" t="str">
        <f>VLOOKUP(C10,Lists!I:J,2,FALSE)</f>
        <v>Ranged DPS</v>
      </c>
      <c r="C10" s="95" t="str">
        <f>VLOOKUP(E10&amp;D10,Lists!C:E,3,FALSE)</f>
        <v>Staff/Orb</v>
      </c>
      <c r="D10" s="122" t="s">
        <v>34</v>
      </c>
      <c r="E10" s="123" t="s">
        <v>160</v>
      </c>
      <c r="F10" s="122" t="s">
        <v>476</v>
      </c>
      <c r="G10" s="124">
        <v>20</v>
      </c>
      <c r="H10" s="124">
        <v>65</v>
      </c>
      <c r="I10" s="96">
        <f t="shared" si="0"/>
        <v>85</v>
      </c>
      <c r="J10" s="125">
        <v>2238413</v>
      </c>
      <c r="K10" s="125">
        <v>1600932</v>
      </c>
      <c r="L10" s="125">
        <v>2172</v>
      </c>
      <c r="M10" s="126">
        <f>I10/(HLOOKUP(F10,Team_Composition_23[[#All],[Yellow]:[Red]],10,FALSE)+HLOOKUP(F10,Team_Composition_23[[#All],[Yellow]:[Red]],11,FALSE))</f>
        <v>2.1244688827793051E-2</v>
      </c>
      <c r="N10" s="126">
        <f>J10/HLOOKUP(F10,Team_Composition_23[[#All],[Yellow]:[Red]],6,FALSE)</f>
        <v>5.0456082331116973E-2</v>
      </c>
      <c r="O10" s="126">
        <f>K10/HLOOKUP(F10,Team_Composition_23[[#All],[Yellow]:[Red]],8,FALSE)</f>
        <v>9.1383849419048591E-2</v>
      </c>
      <c r="P10" s="126">
        <f>L10/HLOOKUP(F10,Team_Composition_23[[#All],[Yellow]:[Red]],7,FALSE)</f>
        <v>1.6778971961967047E-4</v>
      </c>
      <c r="Q10" s="119"/>
      <c r="R10" s="134" t="s">
        <v>469</v>
      </c>
      <c r="S10" s="135">
        <f>SUMIFS(Scoreboard_37[Damage Taken],Scoreboard_37[Team],"Yellow")</f>
        <v>36191940</v>
      </c>
      <c r="T10" s="136">
        <f>SUMIFS(Scoreboard_37[Damage Taken],Scoreboard_37[Team],"Red")</f>
        <v>30515809</v>
      </c>
      <c r="U10" s="119"/>
      <c r="V10" s="137" t="str">
        <f ca="1">IFERROR(__xludf.DUMMYFUNCTION("""COMPUTED_VALUE"""),"ShawarmaShuffle")</f>
        <v>ShawarmaShuffle</v>
      </c>
      <c r="W10" s="104">
        <f ca="1">IFERROR(__xludf.DUMMYFUNCTION("""COMPUTED_VALUE"""),87)</f>
        <v>87</v>
      </c>
      <c r="X10" s="119"/>
      <c r="Y10" s="137" t="str">
        <f ca="1">IFERROR(__xludf.DUMMYFUNCTION("""COMPUTED_VALUE"""),"SmallButWhole")</f>
        <v>SmallButWhole</v>
      </c>
      <c r="Z10" s="104">
        <f ca="1">IFERROR(__xludf.DUMMYFUNCTION("""COMPUTED_VALUE"""),2811255)</f>
        <v>2811255</v>
      </c>
      <c r="AA10" s="119"/>
      <c r="AB10" s="134" t="s">
        <v>469</v>
      </c>
      <c r="AC10" s="138">
        <f>SUMIFS(Scoreboard_37[Damage Taken],Scoreboard_37[Guild],"Best Regards")</f>
        <v>36191940</v>
      </c>
      <c r="AD10" s="139">
        <f>SUMIFS(Scoreboard_37[Damage Taken],Scoreboard_37[Guild],"Undercooked")</f>
        <v>0</v>
      </c>
    </row>
    <row r="11" spans="1:30" ht="22.5" customHeight="1">
      <c r="A11" s="120">
        <v>53</v>
      </c>
      <c r="B11" s="106" t="str">
        <f>VLOOKUP(C11,Lists!I:J,2,FALSE)</f>
        <v>Healer</v>
      </c>
      <c r="C11" s="95" t="str">
        <f>VLOOKUP(E11&amp;D11,Lists!C:E,3,FALSE)</f>
        <v>Wand/Orb</v>
      </c>
      <c r="D11" s="122" t="s">
        <v>34</v>
      </c>
      <c r="E11" s="123" t="s">
        <v>139</v>
      </c>
      <c r="F11" s="122" t="s">
        <v>476</v>
      </c>
      <c r="G11" s="124">
        <v>0</v>
      </c>
      <c r="H11" s="124">
        <v>84</v>
      </c>
      <c r="I11" s="96">
        <f t="shared" si="0"/>
        <v>84</v>
      </c>
      <c r="J11" s="125">
        <v>62391</v>
      </c>
      <c r="K11" s="125">
        <v>650329</v>
      </c>
      <c r="L11" s="125">
        <v>916679</v>
      </c>
      <c r="M11" s="126">
        <f>I11/(HLOOKUP(F11,Team_Composition_23[[#All],[Yellow]:[Red]],10,FALSE)+HLOOKUP(F11,Team_Composition_23[[#All],[Yellow]:[Red]],11,FALSE))</f>
        <v>2.0994751312171957E-2</v>
      </c>
      <c r="N11" s="126">
        <f>J11/HLOOKUP(F11,Team_Composition_23[[#All],[Yellow]:[Red]],6,FALSE)</f>
        <v>1.406355946253314E-3</v>
      </c>
      <c r="O11" s="126">
        <f>K11/HLOOKUP(F11,Team_Composition_23[[#All],[Yellow]:[Red]],8,FALSE)</f>
        <v>3.7121856149318302E-2</v>
      </c>
      <c r="P11" s="126">
        <f>L11/HLOOKUP(F11,Team_Composition_23[[#All],[Yellow]:[Red]],7,FALSE)</f>
        <v>7.0814600548452983E-2</v>
      </c>
      <c r="Q11" s="119"/>
      <c r="R11" s="134" t="s">
        <v>495</v>
      </c>
      <c r="S11" s="135">
        <f ca="1">IFERROR(DIVIDE(SUMIFS(Scoreboard_37[Amount Healed],Scoreboard_37[Team],"Yellow"), SUMIFS(Scoreboard_37[Damage Taken],Scoreboard_37[Team],"Yellow"))*(100),0)</f>
        <v>0</v>
      </c>
      <c r="T11" s="136">
        <f ca="1">IFERROR(DIVIDE(SUMIFS(Scoreboard_37[Amount Healed],Scoreboard_37[Team],"Red"), SUMIFS(Scoreboard_37[Damage Taken],Scoreboard_37[Team],"Red"))*(100),0)</f>
        <v>0</v>
      </c>
      <c r="U11" s="119"/>
      <c r="V11" s="137" t="str">
        <f ca="1">IFERROR(__xludf.DUMMYFUNCTION("""COMPUTED_VALUE"""),"Artayy")</f>
        <v>Artayy</v>
      </c>
      <c r="W11" s="104">
        <f ca="1">IFERROR(__xludf.DUMMYFUNCTION("""COMPUTED_VALUE"""),85)</f>
        <v>85</v>
      </c>
      <c r="X11" s="119"/>
      <c r="Y11" s="137" t="str">
        <f ca="1">IFERROR(__xludf.DUMMYFUNCTION("""COMPUTED_VALUE"""),"皮姆利")</f>
        <v>皮姆利</v>
      </c>
      <c r="Z11" s="104">
        <f ca="1">IFERROR(__xludf.DUMMYFUNCTION("""COMPUTED_VALUE"""),2658241)</f>
        <v>2658241</v>
      </c>
      <c r="AA11" s="119"/>
      <c r="AB11" s="134" t="s">
        <v>495</v>
      </c>
      <c r="AC11" s="138">
        <f ca="1">IFERROR(DIVIDE(SUMIFS(Scoreboard_37[Amount Healed],Scoreboard_37[Guild],"Best Regards"), SUMIFS(Scoreboard_37[Damage Taken],Scoreboard_37[Guild],"Best Regards"))*(100),0)</f>
        <v>0</v>
      </c>
      <c r="AD11" s="139">
        <f ca="1">IFERROR(DIVIDE(SUMIFS(Scoreboard_37[Amount Healed],Scoreboard_37[Guild],"Undercooked"), SUMIFS(Scoreboard_37[Damage Taken],Scoreboard_37[Guild],"Undercooked"))*(100),0)</f>
        <v>0</v>
      </c>
    </row>
    <row r="12" spans="1:30" ht="22.5" customHeight="1">
      <c r="A12" s="120">
        <v>7</v>
      </c>
      <c r="B12" s="95" t="str">
        <f>VLOOKUP(C12,Lists!I:J,2,FALSE)</f>
        <v>Melee DPS</v>
      </c>
      <c r="C12" s="95" t="str">
        <f>VLOOKUP(E12&amp;D12,Lists!C:E,3,FALSE)</f>
        <v>Greatsword/Spear</v>
      </c>
      <c r="D12" s="122" t="s">
        <v>34</v>
      </c>
      <c r="E12" s="123" t="s">
        <v>147</v>
      </c>
      <c r="F12" s="122" t="s">
        <v>476</v>
      </c>
      <c r="G12" s="124">
        <v>29</v>
      </c>
      <c r="H12" s="124">
        <v>54</v>
      </c>
      <c r="I12" s="96">
        <f t="shared" si="0"/>
        <v>83</v>
      </c>
      <c r="J12" s="125">
        <v>2264579</v>
      </c>
      <c r="K12" s="125">
        <v>2039487</v>
      </c>
      <c r="L12" s="125">
        <v>16385</v>
      </c>
      <c r="M12" s="126">
        <f>I12/(HLOOKUP(F12,Team_Composition_23[[#All],[Yellow]:[Red]],10,FALSE)+HLOOKUP(F12,Team_Composition_23[[#All],[Yellow]:[Red]],11,FALSE))</f>
        <v>2.0744813796550861E-2</v>
      </c>
      <c r="N12" s="126">
        <f>J12/HLOOKUP(F12,Team_Composition_23[[#All],[Yellow]:[Red]],6,FALSE)</f>
        <v>5.1045890311268986E-2</v>
      </c>
      <c r="O12" s="126">
        <f>K12/HLOOKUP(F12,Team_Composition_23[[#All],[Yellow]:[Red]],8,FALSE)</f>
        <v>0.11641729498823633</v>
      </c>
      <c r="P12" s="126">
        <f>L12/HLOOKUP(F12,Team_Composition_23[[#All],[Yellow]:[Red]],7,FALSE)</f>
        <v>1.2657617660995859E-3</v>
      </c>
      <c r="Q12" s="119"/>
      <c r="R12" s="134" t="s">
        <v>465</v>
      </c>
      <c r="S12" s="135">
        <f>SUMIFS(Scoreboard_37[Kills],Scoreboard_37[Team],"Yellow")</f>
        <v>422</v>
      </c>
      <c r="T12" s="136">
        <f>SUMIFS(Scoreboard_37[Kills],Scoreboard_37[Team],"Red")</f>
        <v>288</v>
      </c>
      <c r="U12" s="119"/>
      <c r="V12" s="137" t="str">
        <f ca="1">IFERROR(__xludf.DUMMYFUNCTION("""COMPUTED_VALUE"""),"EnoughCrazy")</f>
        <v>EnoughCrazy</v>
      </c>
      <c r="W12" s="104">
        <f ca="1">IFERROR(__xludf.DUMMYFUNCTION("""COMPUTED_VALUE"""),85)</f>
        <v>85</v>
      </c>
      <c r="X12" s="119"/>
      <c r="Y12" s="137" t="str">
        <f ca="1">IFERROR(__xludf.DUMMYFUNCTION("""COMPUTED_VALUE"""),"ShawarmaShuffle")</f>
        <v>ShawarmaShuffle</v>
      </c>
      <c r="Z12" s="104">
        <f ca="1">IFERROR(__xludf.DUMMYFUNCTION("""COMPUTED_VALUE"""),2455933)</f>
        <v>2455933</v>
      </c>
      <c r="AA12" s="119"/>
      <c r="AB12" s="134" t="s">
        <v>465</v>
      </c>
      <c r="AC12" s="138">
        <f>SUMIFS(Scoreboard_37[Kills],Scoreboard_37[Guild],"Best Regards")</f>
        <v>422</v>
      </c>
      <c r="AD12" s="139">
        <f>SUMIFS(Scoreboard_37[Kills],Scoreboard_37[Guild],"Undercooked")</f>
        <v>0</v>
      </c>
    </row>
    <row r="13" spans="1:30" ht="22.5" customHeight="1">
      <c r="A13" s="120">
        <v>18</v>
      </c>
      <c r="B13" s="142" t="str">
        <f>VLOOKUP(C13,Lists!I:J,2,FALSE)</f>
        <v>Melee DPS</v>
      </c>
      <c r="C13" s="95" t="str">
        <f>VLOOKUP(E13&amp;D13,Lists!C:E,3,FALSE)</f>
        <v>Spear/Dagger</v>
      </c>
      <c r="D13" s="122" t="s">
        <v>34</v>
      </c>
      <c r="E13" s="123" t="s">
        <v>169</v>
      </c>
      <c r="F13" s="122" t="s">
        <v>476</v>
      </c>
      <c r="G13" s="124">
        <v>18</v>
      </c>
      <c r="H13" s="124">
        <v>57</v>
      </c>
      <c r="I13" s="96">
        <f t="shared" si="0"/>
        <v>75</v>
      </c>
      <c r="J13" s="125">
        <v>15525</v>
      </c>
      <c r="K13" s="125">
        <v>633879</v>
      </c>
      <c r="L13" s="125">
        <v>18054</v>
      </c>
      <c r="M13" s="126">
        <f>I13/(HLOOKUP(F13,Team_Composition_23[[#All],[Yellow]:[Red]],10,FALSE)+HLOOKUP(F13,Team_Composition_23[[#All],[Yellow]:[Red]],11,FALSE))</f>
        <v>1.8745313671582105E-2</v>
      </c>
      <c r="N13" s="126">
        <f>J13/HLOOKUP(F13,Team_Composition_23[[#All],[Yellow]:[Red]],6,FALSE)</f>
        <v>3.4994912832912918E-4</v>
      </c>
      <c r="O13" s="126">
        <f>K13/HLOOKUP(F13,Team_Composition_23[[#All],[Yellow]:[Red]],8,FALSE)</f>
        <v>3.618286291104001E-2</v>
      </c>
      <c r="P13" s="126">
        <f>L13/HLOOKUP(F13,Team_Composition_23[[#All],[Yellow]:[Red]],7,FALSE)</f>
        <v>1.3946941058994155E-3</v>
      </c>
      <c r="Q13" s="119"/>
      <c r="R13" s="134" t="s">
        <v>466</v>
      </c>
      <c r="S13" s="135">
        <f>SUMIFS(Scoreboard_37[Assists],Scoreboard_37[Team],"Yellow")</f>
        <v>1809</v>
      </c>
      <c r="T13" s="136">
        <f>SUMIFS(Scoreboard_37[Assists],Scoreboard_37[Team],"Red")</f>
        <v>1226</v>
      </c>
      <c r="U13" s="119"/>
      <c r="V13" s="137" t="str">
        <f ca="1">IFERROR(__xludf.DUMMYFUNCTION("""COMPUTED_VALUE"""),"K")</f>
        <v>K</v>
      </c>
      <c r="W13" s="104">
        <f ca="1">IFERROR(__xludf.DUMMYFUNCTION("""COMPUTED_VALUE"""),83)</f>
        <v>83</v>
      </c>
      <c r="X13" s="119"/>
      <c r="Y13" s="137" t="str">
        <f ca="1">IFERROR(__xludf.DUMMYFUNCTION("""COMPUTED_VALUE"""),"K")</f>
        <v>K</v>
      </c>
      <c r="Z13" s="104">
        <f ca="1">IFERROR(__xludf.DUMMYFUNCTION("""COMPUTED_VALUE"""),2264579)</f>
        <v>2264579</v>
      </c>
      <c r="AA13" s="119"/>
      <c r="AB13" s="134" t="s">
        <v>466</v>
      </c>
      <c r="AC13" s="138">
        <f>SUMIFS(Scoreboard_37[Assists],Scoreboard_37[Guild],"Best Regards")</f>
        <v>1809</v>
      </c>
      <c r="AD13" s="139">
        <f>SUMIFS(Scoreboard_37[Assists],Scoreboard_37[Guild],"Undercooked")</f>
        <v>0</v>
      </c>
    </row>
    <row r="14" spans="1:30" ht="22.5" customHeight="1">
      <c r="A14" s="120">
        <v>13</v>
      </c>
      <c r="B14" s="143" t="str">
        <f>VLOOKUP(C14,Lists!I:J,2,FALSE)</f>
        <v>Ranged DPS</v>
      </c>
      <c r="C14" s="95" t="str">
        <f>VLOOKUP(E14&amp;D14,Lists!C:E,3,FALSE)</f>
        <v>Crossbow/SnS</v>
      </c>
      <c r="D14" s="122" t="s">
        <v>30</v>
      </c>
      <c r="E14" s="123" t="s">
        <v>405</v>
      </c>
      <c r="F14" s="122" t="s">
        <v>483</v>
      </c>
      <c r="G14" s="124">
        <v>22</v>
      </c>
      <c r="H14" s="124">
        <v>51</v>
      </c>
      <c r="I14" s="96">
        <f t="shared" si="0"/>
        <v>73</v>
      </c>
      <c r="J14" s="125">
        <v>2896225</v>
      </c>
      <c r="K14" s="125">
        <v>814156</v>
      </c>
      <c r="L14" s="125">
        <v>35908</v>
      </c>
      <c r="M14" s="126">
        <f>I14/(HLOOKUP(F14,Team_Composition_23[[#All],[Yellow]:[Red]],10,FALSE)+HLOOKUP(F14,Team_Composition_23[[#All],[Yellow]:[Red]],11,FALSE))</f>
        <v>8.8915956151035327E-2</v>
      </c>
      <c r="N14" s="126">
        <f>J14/HLOOKUP(F14,Team_Composition_23[[#All],[Yellow]:[Red]],6,FALSE)</f>
        <v>0.16413479883289728</v>
      </c>
      <c r="O14" s="126">
        <f>K14/HLOOKUP(F14,Team_Composition_23[[#All],[Yellow]:[Red]],8,FALSE)</f>
        <v>1.8496845392684803E-2</v>
      </c>
      <c r="P14" s="126">
        <f>L14/HLOOKUP(F14,Team_Composition_23[[#All],[Yellow]:[Red]],7,FALSE)</f>
        <v>1.4796190388912597E-3</v>
      </c>
      <c r="Q14" s="119"/>
      <c r="R14" s="137"/>
      <c r="S14" s="144">
        <f t="shared" ref="S14:T14" si="1">SUM(S4:S7)</f>
        <v>43</v>
      </c>
      <c r="T14" s="144">
        <f t="shared" si="1"/>
        <v>43</v>
      </c>
      <c r="U14" s="119"/>
      <c r="V14" s="119"/>
      <c r="W14" s="119"/>
      <c r="X14" s="119"/>
      <c r="Y14" s="119"/>
      <c r="Z14" s="119"/>
      <c r="AA14" s="119"/>
      <c r="AB14" s="137"/>
      <c r="AC14" s="144"/>
      <c r="AD14" s="144"/>
    </row>
    <row r="15" spans="1:30" ht="22.5" customHeight="1">
      <c r="A15" s="120">
        <v>5</v>
      </c>
      <c r="B15" s="106" t="str">
        <f>VLOOKUP(C15,Lists!I:J,2,FALSE)</f>
        <v>Ranged DPS</v>
      </c>
      <c r="C15" s="95" t="str">
        <f>VLOOKUP(E15&amp;D15,Lists!C:E,3,FALSE)</f>
        <v>Staff/Orb</v>
      </c>
      <c r="D15" s="122" t="s">
        <v>30</v>
      </c>
      <c r="E15" s="123" t="s">
        <v>397</v>
      </c>
      <c r="F15" s="122" t="s">
        <v>483</v>
      </c>
      <c r="G15" s="124">
        <v>30</v>
      </c>
      <c r="H15" s="124">
        <v>39</v>
      </c>
      <c r="I15" s="96">
        <f t="shared" si="0"/>
        <v>69</v>
      </c>
      <c r="J15" s="125">
        <v>45971</v>
      </c>
      <c r="K15" s="125">
        <v>465708</v>
      </c>
      <c r="L15" s="125">
        <v>0</v>
      </c>
      <c r="M15" s="126">
        <f>I15/(HLOOKUP(F15,Team_Composition_23[[#All],[Yellow]:[Red]],10,FALSE)+HLOOKUP(F15,Team_Composition_23[[#All],[Yellow]:[Red]],11,FALSE))</f>
        <v>8.4043848964677217E-2</v>
      </c>
      <c r="N15" s="126">
        <f>J15/HLOOKUP(F15,Team_Composition_23[[#All],[Yellow]:[Red]],6,FALSE)</f>
        <v>2.6052674903183008E-3</v>
      </c>
      <c r="O15" s="126">
        <f>K15/HLOOKUP(F15,Team_Composition_23[[#All],[Yellow]:[Red]],8,FALSE)</f>
        <v>1.0580440203273641E-2</v>
      </c>
      <c r="P15" s="126">
        <f>L15/HLOOKUP(F15,Team_Composition_23[[#All],[Yellow]:[Red]],7,FALSE)</f>
        <v>0</v>
      </c>
      <c r="Q15" s="119"/>
      <c r="R15" s="230" t="s">
        <v>25</v>
      </c>
      <c r="S15" s="228"/>
      <c r="T15" s="228"/>
      <c r="U15" s="119"/>
      <c r="V15" s="231" t="s">
        <v>496</v>
      </c>
      <c r="W15" s="228"/>
      <c r="X15" s="119"/>
      <c r="Y15" s="231" t="s">
        <v>497</v>
      </c>
      <c r="Z15" s="228"/>
      <c r="AA15" s="119"/>
      <c r="AB15" s="230" t="s">
        <v>25</v>
      </c>
      <c r="AC15" s="228"/>
      <c r="AD15" s="228"/>
    </row>
    <row r="16" spans="1:30" ht="22.5" customHeight="1">
      <c r="A16" s="120">
        <v>19</v>
      </c>
      <c r="B16" s="145" t="str">
        <f>VLOOKUP(C16,Lists!I:J,2,FALSE)</f>
        <v>Ranged DPS</v>
      </c>
      <c r="C16" s="95" t="str">
        <f>VLOOKUP(E16&amp;D16,Lists!C:E,3,FALSE)</f>
        <v>Staff/Dagger</v>
      </c>
      <c r="D16" s="122" t="s">
        <v>30</v>
      </c>
      <c r="E16" s="123" t="s">
        <v>224</v>
      </c>
      <c r="F16" s="122" t="s">
        <v>483</v>
      </c>
      <c r="G16" s="124">
        <v>17</v>
      </c>
      <c r="H16" s="124">
        <v>52</v>
      </c>
      <c r="I16" s="96">
        <f t="shared" si="0"/>
        <v>69</v>
      </c>
      <c r="J16" s="125">
        <v>10246</v>
      </c>
      <c r="K16" s="125">
        <v>259120</v>
      </c>
      <c r="L16" s="125">
        <v>0</v>
      </c>
      <c r="M16" s="126">
        <f>I16/(HLOOKUP(F16,Team_Composition_23[[#All],[Yellow]:[Red]],10,FALSE)+HLOOKUP(F16,Team_Composition_23[[#All],[Yellow]:[Red]],11,FALSE))</f>
        <v>8.4043848964677217E-2</v>
      </c>
      <c r="N16" s="126">
        <f>J16/HLOOKUP(F16,Team_Composition_23[[#All],[Yellow]:[Red]],6,FALSE)</f>
        <v>5.8066108428794924E-4</v>
      </c>
      <c r="O16" s="126">
        <f>K16/HLOOKUP(F16,Team_Composition_23[[#All],[Yellow]:[Red]],8,FALSE)</f>
        <v>5.886958492171631E-3</v>
      </c>
      <c r="P16" s="126">
        <f>L16/HLOOKUP(F16,Team_Composition_23[[#All],[Yellow]:[Red]],7,FALSE)</f>
        <v>0</v>
      </c>
      <c r="Q16" s="119"/>
      <c r="R16" s="129" t="s">
        <v>482</v>
      </c>
      <c r="S16" s="130" t="s">
        <v>476</v>
      </c>
      <c r="T16" s="130" t="s">
        <v>483</v>
      </c>
      <c r="U16" s="119"/>
      <c r="V16" s="131" t="s">
        <v>1</v>
      </c>
      <c r="W16" s="132" t="s">
        <v>498</v>
      </c>
      <c r="X16" s="119"/>
      <c r="Y16" s="131" t="s">
        <v>1</v>
      </c>
      <c r="Z16" s="132" t="s">
        <v>499</v>
      </c>
      <c r="AA16" s="119"/>
      <c r="AB16" s="129" t="s">
        <v>482</v>
      </c>
      <c r="AC16" s="130" t="s">
        <v>485</v>
      </c>
      <c r="AD16" s="130" t="s">
        <v>28</v>
      </c>
    </row>
    <row r="17" spans="1:30" ht="22.5" customHeight="1">
      <c r="A17" s="120">
        <v>54</v>
      </c>
      <c r="B17" s="146" t="str">
        <f>VLOOKUP(C17,Lists!I:J,2,FALSE)</f>
        <v>Healer</v>
      </c>
      <c r="C17" s="95" t="str">
        <f>VLOOKUP(E17&amp;D17,Lists!C:E,3,FALSE)</f>
        <v>Wand/Orb</v>
      </c>
      <c r="D17" s="122" t="s">
        <v>34</v>
      </c>
      <c r="E17" s="123" t="s">
        <v>151</v>
      </c>
      <c r="F17" s="122" t="s">
        <v>476</v>
      </c>
      <c r="G17" s="124">
        <v>0</v>
      </c>
      <c r="H17" s="124">
        <v>68</v>
      </c>
      <c r="I17" s="96">
        <f t="shared" si="0"/>
        <v>68</v>
      </c>
      <c r="J17" s="125">
        <v>15046</v>
      </c>
      <c r="K17" s="125">
        <v>129301</v>
      </c>
      <c r="L17" s="125">
        <v>668910</v>
      </c>
      <c r="M17" s="126">
        <f>I17/(HLOOKUP(F17,Team_Composition_23[[#All],[Yellow]:[Red]],10,FALSE)+HLOOKUP(F17,Team_Composition_23[[#All],[Yellow]:[Red]],11,FALSE))</f>
        <v>1.699575106223444E-2</v>
      </c>
      <c r="N17" s="126">
        <f>J17/HLOOKUP(F17,Team_Composition_23[[#All],[Yellow]:[Red]],6,FALSE)</f>
        <v>3.3915198614106778E-4</v>
      </c>
      <c r="O17" s="126">
        <f>K17/HLOOKUP(F17,Team_Composition_23[[#All],[Yellow]:[Red]],8,FALSE)</f>
        <v>7.3807151794906978E-3</v>
      </c>
      <c r="P17" s="126">
        <f>L17/HLOOKUP(F17,Team_Composition_23[[#All],[Yellow]:[Red]],7,FALSE)</f>
        <v>5.1674135060218125E-2</v>
      </c>
      <c r="Q17" s="119"/>
      <c r="R17" s="134" t="s">
        <v>468</v>
      </c>
      <c r="S17" s="135">
        <f>SUMIFS(Scoreboard_37[Damage Dealt],Scoreboard_37[Role],"Melee DPS",Scoreboard_37[Team],"Yellow")</f>
        <v>10731133</v>
      </c>
      <c r="T17" s="136">
        <f>SUMIFS(Scoreboard_37[Damage Dealt],Scoreboard_37[Role],"Melee DPS",Scoreboard_37[Team],"Red")</f>
        <v>8066018</v>
      </c>
      <c r="U17" s="119"/>
      <c r="V17" s="137" t="str">
        <f ca="1">IFERROR(__xludf.DUMMYFUNCTION("query(A1:P238, ""Select E,K Order by K Desc Limit 10"", 0)"),"K")</f>
        <v>K</v>
      </c>
      <c r="W17" s="104">
        <f ca="1">IFERROR(__xludf.DUMMYFUNCTION("""COMPUTED_VALUE"""),2039487)</f>
        <v>2039487</v>
      </c>
      <c r="X17" s="119"/>
      <c r="Y17" s="137" t="str">
        <f ca="1">IFERROR(__xludf.DUMMYFUNCTION("query(A1:P238, ""Select E,L Order by L Desc Limit 10"", 0)"),"EgirlWaifu")</f>
        <v>EgirlWaifu</v>
      </c>
      <c r="Z17" s="104">
        <f ca="1">IFERROR(__xludf.DUMMYFUNCTION("""COMPUTED_VALUE"""),2464286)</f>
        <v>2464286</v>
      </c>
      <c r="AA17" s="119"/>
      <c r="AB17" s="134" t="s">
        <v>468</v>
      </c>
      <c r="AC17" s="138">
        <f>SUMIFS(Scoreboard_37[Damage Dealt],Scoreboard_37[Role],"Melee DPS",Scoreboard_37[Guild],"Best Regards")</f>
        <v>10731133</v>
      </c>
      <c r="AD17" s="139">
        <f>SUMIFS(Scoreboard_37[Damage Dealt],Scoreboard_37[Role],"Melee DPS",Scoreboard_37[Guild],"Undercooked")</f>
        <v>0</v>
      </c>
    </row>
    <row r="18" spans="1:30" ht="22.5" customHeight="1">
      <c r="A18" s="120">
        <v>11</v>
      </c>
      <c r="B18" s="133" t="str">
        <f>VLOOKUP(C18,Lists!I:J,2,FALSE)</f>
        <v>KS</v>
      </c>
      <c r="C18" s="95" t="str">
        <f>VLOOKUP(E18&amp;D18,Lists!C:E,3,FALSE)</f>
        <v>Longbow/Dagger</v>
      </c>
      <c r="D18" s="122" t="s">
        <v>34</v>
      </c>
      <c r="E18" s="123" t="s">
        <v>51</v>
      </c>
      <c r="F18" s="122" t="s">
        <v>476</v>
      </c>
      <c r="G18" s="124">
        <v>25</v>
      </c>
      <c r="H18" s="124">
        <v>38</v>
      </c>
      <c r="I18" s="96">
        <f t="shared" si="0"/>
        <v>63</v>
      </c>
      <c r="J18" s="125">
        <v>1833581</v>
      </c>
      <c r="K18" s="125">
        <v>933323</v>
      </c>
      <c r="L18" s="125">
        <v>0</v>
      </c>
      <c r="M18" s="126">
        <f>I18/(HLOOKUP(F18,Team_Composition_23[[#All],[Yellow]:[Red]],10,FALSE)+HLOOKUP(F18,Team_Composition_23[[#All],[Yellow]:[Red]],11,FALSE))</f>
        <v>1.5746063484128967E-2</v>
      </c>
      <c r="N18" s="126">
        <f>J18/HLOOKUP(F18,Team_Composition_23[[#All],[Yellow]:[Red]],6,FALSE)</f>
        <v>4.1330761524692623E-2</v>
      </c>
      <c r="O18" s="126">
        <f>K18/HLOOKUP(F18,Team_Composition_23[[#All],[Yellow]:[Red]],8,FALSE)</f>
        <v>5.3275622257119411E-2</v>
      </c>
      <c r="P18" s="126">
        <f>L18/HLOOKUP(F18,Team_Composition_23[[#All],[Yellow]:[Red]],7,FALSE)</f>
        <v>0</v>
      </c>
      <c r="Q18" s="119"/>
      <c r="R18" s="134" t="s">
        <v>469</v>
      </c>
      <c r="S18" s="135">
        <f>SUMIFS(Scoreboard_37[Damage Taken],Scoreboard_37[Role],"Melee DPS",Scoreboard_37[Team],"Yellow")</f>
        <v>5209876</v>
      </c>
      <c r="T18" s="136">
        <f>SUMIFS(Scoreboard_37[Damage Taken],Scoreboard_37[Role],"Melee DPS",Scoreboard_37[Team],"Red")</f>
        <v>4456334</v>
      </c>
      <c r="U18" s="119"/>
      <c r="V18" s="137" t="str">
        <f ca="1">IFERROR(__xludf.DUMMYFUNCTION("""COMPUTED_VALUE"""),"charigueya")</f>
        <v>charigueya</v>
      </c>
      <c r="W18" s="104">
        <f ca="1">IFERROR(__xludf.DUMMYFUNCTION("""COMPUTED_VALUE"""),1820244)</f>
        <v>1820244</v>
      </c>
      <c r="X18" s="119"/>
      <c r="Y18" s="137" t="str">
        <f ca="1">IFERROR(__xludf.DUMMYFUNCTION("""COMPUTED_VALUE"""),"Z")</f>
        <v>Z</v>
      </c>
      <c r="Z18" s="104">
        <f ca="1">IFERROR(__xludf.DUMMYFUNCTION("""COMPUTED_VALUE"""),2388855)</f>
        <v>2388855</v>
      </c>
      <c r="AA18" s="119"/>
      <c r="AB18" s="134" t="s">
        <v>469</v>
      </c>
      <c r="AC18" s="138">
        <f>SUMIFS(Scoreboard_37[Damage Taken],Scoreboard_37[Role],"Melee DPS",Scoreboard_37[Guild],"Best Regards")</f>
        <v>5209876</v>
      </c>
      <c r="AD18" s="139">
        <f>SUMIFS(Scoreboard_37[Damage Taken],Scoreboard_37[Role],"Melee DPS",Scoreboard_37[Guild],"Undercooked")</f>
        <v>0</v>
      </c>
    </row>
    <row r="19" spans="1:30" ht="22.5" customHeight="1">
      <c r="A19" s="120">
        <v>12</v>
      </c>
      <c r="B19" s="128" t="str">
        <f>VLOOKUP(C19,Lists!I:J,2,FALSE)</f>
        <v>KS</v>
      </c>
      <c r="C19" s="95" t="str">
        <f>VLOOKUP(E19&amp;D19,Lists!C:E,3,FALSE)</f>
        <v>Greatsword/Dagger</v>
      </c>
      <c r="D19" s="122" t="s">
        <v>30</v>
      </c>
      <c r="E19" s="123" t="s">
        <v>394</v>
      </c>
      <c r="F19" s="122" t="s">
        <v>483</v>
      </c>
      <c r="G19" s="124">
        <v>23</v>
      </c>
      <c r="H19" s="124">
        <v>38</v>
      </c>
      <c r="I19" s="96">
        <f t="shared" si="0"/>
        <v>61</v>
      </c>
      <c r="J19" s="125">
        <v>1227199</v>
      </c>
      <c r="K19" s="125">
        <v>379579</v>
      </c>
      <c r="L19" s="125">
        <v>153702</v>
      </c>
      <c r="M19" s="126">
        <f>I19/(HLOOKUP(F19,Team_Composition_23[[#All],[Yellow]:[Red]],10,FALSE)+HLOOKUP(F19,Team_Composition_23[[#All],[Yellow]:[Red]],11,FALSE))</f>
        <v>7.4299634591961025E-2</v>
      </c>
      <c r="N19" s="126">
        <f>J19/HLOOKUP(F19,Team_Composition_23[[#All],[Yellow]:[Red]],6,FALSE)</f>
        <v>6.9547794454136933E-2</v>
      </c>
      <c r="O19" s="126">
        <f>K19/HLOOKUP(F19,Team_Composition_23[[#All],[Yellow]:[Red]],8,FALSE)</f>
        <v>8.6236717254554469E-3</v>
      </c>
      <c r="P19" s="126">
        <f>L19/HLOOKUP(F19,Team_Composition_23[[#All],[Yellow]:[Red]],7,FALSE)</f>
        <v>6.3334188903771977E-3</v>
      </c>
      <c r="Q19" s="119"/>
      <c r="R19" s="134" t="s">
        <v>470</v>
      </c>
      <c r="S19" s="135">
        <f>SUMIFS(Scoreboard_37[Amount Healed],Scoreboard_37[Role],"Melee DPS",Scoreboard_37[Team],"Yellow")</f>
        <v>95372</v>
      </c>
      <c r="T19" s="136">
        <f>SUMIFS(Scoreboard_37[Amount Healed],Scoreboard_37[Role],"Melee DPS",Scoreboard_37[Team],"Red")</f>
        <v>96858</v>
      </c>
      <c r="U19" s="119"/>
      <c r="V19" s="137" t="str">
        <f ca="1">IFERROR(__xludf.DUMMYFUNCTION("""COMPUTED_VALUE"""),"Kiefblunt")</f>
        <v>Kiefblunt</v>
      </c>
      <c r="W19" s="104">
        <f ca="1">IFERROR(__xludf.DUMMYFUNCTION("""COMPUTED_VALUE"""),1698861)</f>
        <v>1698861</v>
      </c>
      <c r="X19" s="119"/>
      <c r="Y19" s="137" t="str">
        <f ca="1">IFERROR(__xludf.DUMMYFUNCTION("""COMPUTED_VALUE"""),"apgonzo")</f>
        <v>apgonzo</v>
      </c>
      <c r="Z19" s="104">
        <f ca="1">IFERROR(__xludf.DUMMYFUNCTION("""COMPUTED_VALUE"""),1953599)</f>
        <v>1953599</v>
      </c>
      <c r="AA19" s="119"/>
      <c r="AB19" s="134" t="s">
        <v>470</v>
      </c>
      <c r="AC19" s="138">
        <f>SUMIFS(Scoreboard_37[Amount Healed],Scoreboard_37[Role],"Melee DPS",Scoreboard_37[Guild],"Best Regards")</f>
        <v>95372</v>
      </c>
      <c r="AD19" s="139">
        <f>SUMIFS(Scoreboard_37[Amount Healed],Scoreboard_37[Role],"Melee DPS",Scoreboard_37[Guild],"Undercooked")</f>
        <v>0</v>
      </c>
    </row>
    <row r="20" spans="1:30" ht="22.5" customHeight="1">
      <c r="A20" s="120">
        <v>8</v>
      </c>
      <c r="B20" s="121" t="str">
        <f>VLOOKUP(C20,Lists!I:J,2,FALSE)</f>
        <v>KS</v>
      </c>
      <c r="C20" s="95" t="str">
        <f>VLOOKUP(E20&amp;D20,Lists!C:E,3,FALSE)</f>
        <v>Crossbow/Dagger</v>
      </c>
      <c r="D20" s="122" t="s">
        <v>34</v>
      </c>
      <c r="E20" s="123" t="s">
        <v>504</v>
      </c>
      <c r="F20" s="122" t="s">
        <v>476</v>
      </c>
      <c r="G20" s="124">
        <v>27</v>
      </c>
      <c r="H20" s="124">
        <v>32</v>
      </c>
      <c r="I20" s="96">
        <f t="shared" si="0"/>
        <v>59</v>
      </c>
      <c r="J20" s="125">
        <v>2231060</v>
      </c>
      <c r="K20" s="125">
        <v>625829</v>
      </c>
      <c r="L20" s="125">
        <v>0</v>
      </c>
      <c r="M20" s="126">
        <f>I20/(HLOOKUP(F20,Team_Composition_23[[#All],[Yellow]:[Red]],10,FALSE)+HLOOKUP(F20,Team_Composition_23[[#All],[Yellow]:[Red]],11,FALSE))</f>
        <v>1.474631342164459E-2</v>
      </c>
      <c r="N20" s="126">
        <f>J20/HLOOKUP(F20,Team_Composition_23[[#All],[Yellow]:[Red]],6,FALSE)</f>
        <v>5.0290338309177902E-2</v>
      </c>
      <c r="O20" s="126">
        <f>K20/HLOOKUP(F20,Team_Composition_23[[#All],[Yellow]:[Red]],8,FALSE)</f>
        <v>3.572335558166978E-2</v>
      </c>
      <c r="P20" s="126">
        <f>L20/HLOOKUP(F20,Team_Composition_23[[#All],[Yellow]:[Red]],7,FALSE)</f>
        <v>0</v>
      </c>
      <c r="Q20" s="119"/>
      <c r="R20" s="134" t="s">
        <v>465</v>
      </c>
      <c r="S20" s="135">
        <f>SUMIFS(Scoreboard_37[Kills],Scoreboard_37[Role],"Melee DPS",Scoreboard_37[Team],"Yellow")</f>
        <v>137</v>
      </c>
      <c r="T20" s="136">
        <f>SUMIFS(Scoreboard_37[Kills],Scoreboard_37[Role],"Melee DPS",Scoreboard_37[Team],"Red")</f>
        <v>57</v>
      </c>
      <c r="U20" s="119"/>
      <c r="V20" s="137" t="str">
        <f ca="1">IFERROR(__xludf.DUMMYFUNCTION("""COMPUTED_VALUE"""),"EnoughCrazy")</f>
        <v>EnoughCrazy</v>
      </c>
      <c r="W20" s="104">
        <f ca="1">IFERROR(__xludf.DUMMYFUNCTION("""COMPUTED_VALUE"""),1600932)</f>
        <v>1600932</v>
      </c>
      <c r="X20" s="119"/>
      <c r="Y20" s="137" t="str">
        <f ca="1">IFERROR(__xludf.DUMMYFUNCTION("""COMPUTED_VALUE"""),"Reinnier")</f>
        <v>Reinnier</v>
      </c>
      <c r="Z20" s="104">
        <f ca="1">IFERROR(__xludf.DUMMYFUNCTION("""COMPUTED_VALUE"""),1635393)</f>
        <v>1635393</v>
      </c>
      <c r="AA20" s="119"/>
      <c r="AB20" s="134" t="s">
        <v>465</v>
      </c>
      <c r="AC20" s="138">
        <f>SUMIFS(Scoreboard_37[Kills],Scoreboard_37[Role],"Melee DPS",Scoreboard_37[Guild],"Best Regards")</f>
        <v>137</v>
      </c>
      <c r="AD20" s="139">
        <f>SUMIFS(Scoreboard_37[Kills],Scoreboard_37[Role],"Melee DPS",Scoreboard_37[Guild],"Undercooked")</f>
        <v>0</v>
      </c>
    </row>
    <row r="21" spans="1:30" ht="22.5" customHeight="1">
      <c r="A21" s="120">
        <v>17</v>
      </c>
      <c r="B21" s="146" t="str">
        <f>VLOOKUP(C21,Lists!I:J,2,FALSE)</f>
        <v>Ranged DPS</v>
      </c>
      <c r="C21" s="95" t="s">
        <v>45</v>
      </c>
      <c r="D21" s="122" t="s">
        <v>30</v>
      </c>
      <c r="E21" s="123" t="s">
        <v>455</v>
      </c>
      <c r="F21" s="122" t="s">
        <v>483</v>
      </c>
      <c r="G21" s="124">
        <v>19</v>
      </c>
      <c r="H21" s="124">
        <v>40</v>
      </c>
      <c r="I21" s="96">
        <f t="shared" si="0"/>
        <v>59</v>
      </c>
      <c r="J21" s="125">
        <v>3640659</v>
      </c>
      <c r="K21" s="125">
        <v>1264684</v>
      </c>
      <c r="L21" s="125">
        <v>29522</v>
      </c>
      <c r="M21" s="126">
        <f>I21/(HLOOKUP(F21,Team_Composition_23[[#All],[Yellow]:[Red]],10,FALSE)+HLOOKUP(F21,Team_Composition_23[[#All],[Yellow]:[Red]],11,FALSE))</f>
        <v>7.186358099878197E-2</v>
      </c>
      <c r="N21" s="126">
        <f>J21/HLOOKUP(F21,Team_Composition_23[[#All],[Yellow]:[Red]],6,FALSE)</f>
        <v>0.20632334593623666</v>
      </c>
      <c r="O21" s="126">
        <f>K21/HLOOKUP(F21,Team_Composition_23[[#All],[Yellow]:[Red]],8,FALSE)</f>
        <v>2.8732410519116961E-2</v>
      </c>
      <c r="P21" s="126">
        <f>L21/HLOOKUP(F21,Team_Composition_23[[#All],[Yellow]:[Red]],7,FALSE)</f>
        <v>1.2164785915714542E-3</v>
      </c>
      <c r="Q21" s="119"/>
      <c r="R21" s="134" t="s">
        <v>466</v>
      </c>
      <c r="S21" s="135">
        <f>SUMIFS(Scoreboard_37[Assists],Scoreboard_37[Role],"Melee DPS",Scoreboard_37[Team],"Yellow")</f>
        <v>304</v>
      </c>
      <c r="T21" s="136">
        <f>SUMIFS(Scoreboard_37[Assists],Scoreboard_37[Role],"Melee DPS",Scoreboard_37[Team],"Red")</f>
        <v>141</v>
      </c>
      <c r="U21" s="119"/>
      <c r="V21" s="137" t="str">
        <f ca="1">IFERROR(__xludf.DUMMYFUNCTION("""COMPUTED_VALUE"""),"皮姆利")</f>
        <v>皮姆利</v>
      </c>
      <c r="W21" s="104">
        <f ca="1">IFERROR(__xludf.DUMMYFUNCTION("""COMPUTED_VALUE"""),1566395)</f>
        <v>1566395</v>
      </c>
      <c r="X21" s="119"/>
      <c r="Y21" s="137" t="str">
        <f ca="1">IFERROR(__xludf.DUMMYFUNCTION("""COMPUTED_VALUE"""),"ToxicFell")</f>
        <v>ToxicFell</v>
      </c>
      <c r="Z21" s="104">
        <f ca="1">IFERROR(__xludf.DUMMYFUNCTION("""COMPUTED_VALUE"""),1545089)</f>
        <v>1545089</v>
      </c>
      <c r="AA21" s="119"/>
      <c r="AB21" s="134" t="s">
        <v>466</v>
      </c>
      <c r="AC21" s="138">
        <f>SUMIFS(Scoreboard_37[Assists],Scoreboard_37[Role],"Melee DPS",Scoreboard_37[Guild],"Best Regards")</f>
        <v>304</v>
      </c>
      <c r="AD21" s="139">
        <f>SUMIFS(Scoreboard_37[Assists],Scoreboard_37[Role],"Melee DPS",Scoreboard_37[Guild],"Undercooked")</f>
        <v>0</v>
      </c>
    </row>
    <row r="22" spans="1:30" ht="22.5" customHeight="1">
      <c r="A22" s="120">
        <v>20</v>
      </c>
      <c r="B22" s="143" t="str">
        <f>VLOOKUP(C22,Lists!I:J,2,FALSE)</f>
        <v>Melee DPS</v>
      </c>
      <c r="C22" s="95" t="str">
        <f>VLOOKUP(E22&amp;D22,Lists!C:E,3,FALSE)</f>
        <v>Spear/Dagger</v>
      </c>
      <c r="D22" s="122" t="s">
        <v>30</v>
      </c>
      <c r="E22" s="123" t="s">
        <v>217</v>
      </c>
      <c r="F22" s="122" t="s">
        <v>483</v>
      </c>
      <c r="G22" s="124">
        <v>17</v>
      </c>
      <c r="H22" s="124">
        <v>41</v>
      </c>
      <c r="I22" s="96">
        <f t="shared" si="0"/>
        <v>58</v>
      </c>
      <c r="J22" s="125">
        <v>1220933</v>
      </c>
      <c r="K22" s="125">
        <v>620774</v>
      </c>
      <c r="L22" s="125">
        <v>0</v>
      </c>
      <c r="M22" s="126">
        <f>I22/(HLOOKUP(F22,Team_Composition_23[[#All],[Yellow]:[Red]],10,FALSE)+HLOOKUP(F22,Team_Composition_23[[#All],[Yellow]:[Red]],11,FALSE))</f>
        <v>7.0645554202192443E-2</v>
      </c>
      <c r="N22" s="126">
        <f>J22/HLOOKUP(F22,Team_Composition_23[[#All],[Yellow]:[Red]],6,FALSE)</f>
        <v>6.9192687841395539E-2</v>
      </c>
      <c r="O22" s="126">
        <f>K22/HLOOKUP(F22,Team_Composition_23[[#All],[Yellow]:[Red]],8,FALSE)</f>
        <v>1.4103391367008923E-2</v>
      </c>
      <c r="P22" s="126">
        <f>L22/HLOOKUP(F22,Team_Composition_23[[#All],[Yellow]:[Red]],7,FALSE)</f>
        <v>0</v>
      </c>
      <c r="Q22" s="119"/>
      <c r="R22" s="134" t="s">
        <v>24</v>
      </c>
      <c r="S22" s="135">
        <f t="shared" ref="S22:S25" si="2">COUNTIFS(C:C,R22,F:F,"Yellow")</f>
        <v>2</v>
      </c>
      <c r="T22" s="136">
        <f t="shared" ref="T22:T25" si="3">COUNTIFS(C:C,R22,F:F,"Red")</f>
        <v>3</v>
      </c>
      <c r="U22" s="119"/>
      <c r="V22" s="137" t="str">
        <f ca="1">IFERROR(__xludf.DUMMYFUNCTION("""COMPUTED_VALUE"""),"HoodRobin")</f>
        <v>HoodRobin</v>
      </c>
      <c r="W22" s="104">
        <f ca="1">IFERROR(__xludf.DUMMYFUNCTION("""COMPUTED_VALUE"""),1536207)</f>
        <v>1536207</v>
      </c>
      <c r="X22" s="119"/>
      <c r="Y22" s="137" t="str">
        <f ca="1">IFERROR(__xludf.DUMMYFUNCTION("""COMPUTED_VALUE"""),"Raye")</f>
        <v>Raye</v>
      </c>
      <c r="Z22" s="104">
        <f ca="1">IFERROR(__xludf.DUMMYFUNCTION("""COMPUTED_VALUE"""),1407183)</f>
        <v>1407183</v>
      </c>
      <c r="AA22" s="119"/>
      <c r="AB22" s="134" t="s">
        <v>24</v>
      </c>
      <c r="AC22" s="138">
        <f t="shared" ref="AC22:AC25" si="4">COUNTIFS(C:C,AB22,D:D,"Best Regards")</f>
        <v>2</v>
      </c>
      <c r="AD22" s="139">
        <f t="shared" ref="AD22:AD25" si="5">COUNTIFS(C:C,AB22,D:D,"Undercooked")</f>
        <v>0</v>
      </c>
    </row>
    <row r="23" spans="1:30" ht="22.5" customHeight="1">
      <c r="A23" s="120">
        <v>21</v>
      </c>
      <c r="B23" s="141" t="str">
        <f>VLOOKUP(C23,Lists!I:J,2,FALSE)</f>
        <v>Ranged DPS</v>
      </c>
      <c r="C23" s="95" t="str">
        <f>VLOOKUP(E23&amp;D23,Lists!C:E,3,FALSE)</f>
        <v>Staff/Dagger</v>
      </c>
      <c r="D23" s="122" t="s">
        <v>34</v>
      </c>
      <c r="E23" s="123" t="s">
        <v>172</v>
      </c>
      <c r="F23" s="122" t="s">
        <v>476</v>
      </c>
      <c r="G23" s="124">
        <v>17</v>
      </c>
      <c r="H23" s="124">
        <v>40</v>
      </c>
      <c r="I23" s="96">
        <f t="shared" si="0"/>
        <v>57</v>
      </c>
      <c r="J23" s="125">
        <v>6778</v>
      </c>
      <c r="K23" s="125">
        <v>339564</v>
      </c>
      <c r="L23" s="125">
        <v>0</v>
      </c>
      <c r="M23" s="126">
        <f>I23/(HLOOKUP(F23,Team_Composition_23[[#All],[Yellow]:[Red]],10,FALSE)+HLOOKUP(F23,Team_Composition_23[[#All],[Yellow]:[Red]],11,FALSE))</f>
        <v>1.42464383904024E-2</v>
      </c>
      <c r="N23" s="126">
        <f>J23/HLOOKUP(F23,Team_Composition_23[[#All],[Yellow]:[Red]],6,FALSE)</f>
        <v>1.5278294311206684E-4</v>
      </c>
      <c r="O23" s="126">
        <f>K23/HLOOKUP(F23,Team_Composition_23[[#All],[Yellow]:[Red]],8,FALSE)</f>
        <v>1.938287537767364E-2</v>
      </c>
      <c r="P23" s="126">
        <f>L23/HLOOKUP(F23,Team_Composition_23[[#All],[Yellow]:[Red]],7,FALSE)</f>
        <v>0</v>
      </c>
      <c r="Q23" s="119"/>
      <c r="R23" s="134" t="s">
        <v>69</v>
      </c>
      <c r="S23" s="135">
        <f t="shared" si="2"/>
        <v>3</v>
      </c>
      <c r="T23" s="136">
        <f t="shared" si="3"/>
        <v>3</v>
      </c>
      <c r="U23" s="119"/>
      <c r="V23" s="137" t="str">
        <f ca="1">IFERROR(__xludf.DUMMYFUNCTION("""COMPUTED_VALUE"""),"Wink28")</f>
        <v>Wink28</v>
      </c>
      <c r="W23" s="104">
        <f ca="1">IFERROR(__xludf.DUMMYFUNCTION("""COMPUTED_VALUE"""),1410256)</f>
        <v>1410256</v>
      </c>
      <c r="X23" s="119"/>
      <c r="Y23" s="137" t="str">
        <f ca="1">IFERROR(__xludf.DUMMYFUNCTION("""COMPUTED_VALUE"""),"Pikupstyks")</f>
        <v>Pikupstyks</v>
      </c>
      <c r="Z23" s="104">
        <f ca="1">IFERROR(__xludf.DUMMYFUNCTION("""COMPUTED_VALUE"""),1394072)</f>
        <v>1394072</v>
      </c>
      <c r="AA23" s="119"/>
      <c r="AB23" s="134" t="s">
        <v>69</v>
      </c>
      <c r="AC23" s="138">
        <f t="shared" si="4"/>
        <v>3</v>
      </c>
      <c r="AD23" s="139">
        <f t="shared" si="5"/>
        <v>0</v>
      </c>
    </row>
    <row r="24" spans="1:30" ht="22.5" customHeight="1">
      <c r="A24" s="120">
        <v>26</v>
      </c>
      <c r="B24" s="143" t="str">
        <f>VLOOKUP(C24,Lists!I:J,2,FALSE)</f>
        <v>Melee DPS</v>
      </c>
      <c r="C24" s="95" t="str">
        <f>VLOOKUP(E24&amp;D24,Lists!C:E,3,FALSE)</f>
        <v>Greatsword/Spear</v>
      </c>
      <c r="D24" s="122" t="s">
        <v>34</v>
      </c>
      <c r="E24" s="123" t="s">
        <v>179</v>
      </c>
      <c r="F24" s="122" t="s">
        <v>476</v>
      </c>
      <c r="G24" s="124">
        <v>13</v>
      </c>
      <c r="H24" s="124">
        <v>42</v>
      </c>
      <c r="I24" s="96">
        <f t="shared" si="0"/>
        <v>55</v>
      </c>
      <c r="J24" s="125">
        <v>1505832</v>
      </c>
      <c r="K24" s="125">
        <v>479950</v>
      </c>
      <c r="L24" s="125">
        <v>35446</v>
      </c>
      <c r="M24" s="126">
        <f>I24/(HLOOKUP(F24,Team_Composition_23[[#All],[Yellow]:[Red]],10,FALSE)+HLOOKUP(F24,Team_Composition_23[[#All],[Yellow]:[Red]],11,FALSE))</f>
        <v>1.374656335916021E-2</v>
      </c>
      <c r="N24" s="126">
        <f>J24/HLOOKUP(F24,Team_Composition_23[[#All],[Yellow]:[Red]],6,FALSE)</f>
        <v>3.3942969134306555E-2</v>
      </c>
      <c r="O24" s="126">
        <f>K24/HLOOKUP(F24,Team_Composition_23[[#All],[Yellow]:[Red]],8,FALSE)</f>
        <v>2.7396340711955521E-2</v>
      </c>
      <c r="P24" s="126">
        <f>L24/HLOOKUP(F24,Team_Composition_23[[#All],[Yellow]:[Red]],7,FALSE)</f>
        <v>2.73824788289081E-3</v>
      </c>
      <c r="Q24" s="119"/>
      <c r="R24" s="134" t="s">
        <v>23</v>
      </c>
      <c r="S24" s="135">
        <f t="shared" si="2"/>
        <v>2</v>
      </c>
      <c r="T24" s="136">
        <f t="shared" si="3"/>
        <v>1</v>
      </c>
      <c r="U24" s="119"/>
      <c r="V24" s="137" t="str">
        <f ca="1">IFERROR(__xludf.DUMMYFUNCTION("""COMPUTED_VALUE"""),"RayPeat")</f>
        <v>RayPeat</v>
      </c>
      <c r="W24" s="104">
        <f ca="1">IFERROR(__xludf.DUMMYFUNCTION("""COMPUTED_VALUE"""),1334622)</f>
        <v>1334622</v>
      </c>
      <c r="X24" s="119"/>
      <c r="Y24" s="137" t="str">
        <f ca="1">IFERROR(__xludf.DUMMYFUNCTION("""COMPUTED_VALUE"""),"10000101")</f>
        <v>10000101</v>
      </c>
      <c r="Z24" s="104">
        <f ca="1">IFERROR(__xludf.DUMMYFUNCTION("""COMPUTED_VALUE"""),1335602)</f>
        <v>1335602</v>
      </c>
      <c r="AA24" s="119"/>
      <c r="AB24" s="134" t="s">
        <v>23</v>
      </c>
      <c r="AC24" s="138">
        <f t="shared" si="4"/>
        <v>2</v>
      </c>
      <c r="AD24" s="139">
        <f t="shared" si="5"/>
        <v>0</v>
      </c>
    </row>
    <row r="25" spans="1:30" ht="22.5" customHeight="1">
      <c r="A25" s="120">
        <v>55</v>
      </c>
      <c r="B25" s="146" t="str">
        <f>VLOOKUP(C25,Lists!I:J,2,FALSE)</f>
        <v>Healer</v>
      </c>
      <c r="C25" s="95" t="str">
        <f>VLOOKUP(E25&amp;D25,Lists!C:E,3,FALSE)</f>
        <v>Wand/Longbow</v>
      </c>
      <c r="D25" s="122" t="s">
        <v>34</v>
      </c>
      <c r="E25" s="103" t="s">
        <v>165</v>
      </c>
      <c r="F25" s="122" t="s">
        <v>476</v>
      </c>
      <c r="G25" s="124">
        <v>0</v>
      </c>
      <c r="H25" s="124">
        <v>55</v>
      </c>
      <c r="I25" s="96">
        <f t="shared" si="0"/>
        <v>55</v>
      </c>
      <c r="J25" s="125">
        <v>25524</v>
      </c>
      <c r="K25" s="125">
        <v>445949</v>
      </c>
      <c r="L25" s="125">
        <v>1635393</v>
      </c>
      <c r="M25" s="126">
        <f>I25/(HLOOKUP(F25,Team_Composition_23[[#All],[Yellow]:[Red]],10,FALSE)+HLOOKUP(F25,Team_Composition_23[[#All],[Yellow]:[Red]],11,FALSE))</f>
        <v>1.374656335916021E-2</v>
      </c>
      <c r="N25" s="126">
        <f>J25/HLOOKUP(F25,Team_Composition_23[[#All],[Yellow]:[Red]],6,FALSE)</f>
        <v>5.7533665387907845E-4</v>
      </c>
      <c r="O25" s="126">
        <f>K25/HLOOKUP(F25,Team_Composition_23[[#All],[Yellow]:[Red]],8,FALSE)</f>
        <v>2.5455507332338475E-2</v>
      </c>
      <c r="P25" s="126">
        <f>L25/HLOOKUP(F25,Team_Composition_23[[#All],[Yellow]:[Red]],7,FALSE)</f>
        <v>0.12633615696960024</v>
      </c>
      <c r="Q25" s="119"/>
      <c r="R25" s="134" t="s">
        <v>33</v>
      </c>
      <c r="S25" s="135">
        <f t="shared" si="2"/>
        <v>0</v>
      </c>
      <c r="T25" s="136">
        <f t="shared" si="3"/>
        <v>0</v>
      </c>
      <c r="U25" s="119"/>
      <c r="V25" s="137" t="str">
        <f ca="1">IFERROR(__xludf.DUMMYFUNCTION("""COMPUTED_VALUE"""),"Superluigi")</f>
        <v>Superluigi</v>
      </c>
      <c r="W25" s="104">
        <f ca="1">IFERROR(__xludf.DUMMYFUNCTION("""COMPUTED_VALUE"""),1282434)</f>
        <v>1282434</v>
      </c>
      <c r="X25" s="119"/>
      <c r="Y25" s="137" t="str">
        <f ca="1">IFERROR(__xludf.DUMMYFUNCTION("""COMPUTED_VALUE"""),"MICTECACIHUATL")</f>
        <v>MICTECACIHUATL</v>
      </c>
      <c r="Z25" s="104">
        <f ca="1">IFERROR(__xludf.DUMMYFUNCTION("""COMPUTED_VALUE"""),1245961)</f>
        <v>1245961</v>
      </c>
      <c r="AA25" s="119"/>
      <c r="AB25" s="134" t="s">
        <v>33</v>
      </c>
      <c r="AC25" s="138">
        <f t="shared" si="4"/>
        <v>0</v>
      </c>
      <c r="AD25" s="139">
        <f t="shared" si="5"/>
        <v>0</v>
      </c>
    </row>
    <row r="26" spans="1:30" ht="22.5" customHeight="1">
      <c r="A26" s="120">
        <v>56</v>
      </c>
      <c r="B26" s="147" t="s">
        <v>11</v>
      </c>
      <c r="C26" s="95" t="str">
        <f>VLOOKUP(E26&amp;D26,Lists!C:E,3,FALSE)</f>
        <v>Wand/Orb</v>
      </c>
      <c r="D26" s="122" t="s">
        <v>34</v>
      </c>
      <c r="E26" s="123" t="s">
        <v>181</v>
      </c>
      <c r="F26" s="122" t="s">
        <v>476</v>
      </c>
      <c r="G26" s="124">
        <v>0</v>
      </c>
      <c r="H26" s="124">
        <v>55</v>
      </c>
      <c r="I26" s="96">
        <f t="shared" si="0"/>
        <v>55</v>
      </c>
      <c r="J26" s="125">
        <v>93729</v>
      </c>
      <c r="K26" s="125">
        <v>412645</v>
      </c>
      <c r="L26" s="125">
        <v>572614</v>
      </c>
      <c r="M26" s="126">
        <f>I26/(HLOOKUP(F26,Team_Composition_23[[#All],[Yellow]:[Red]],10,FALSE)+HLOOKUP(F26,Team_Composition_23[[#All],[Yellow]:[Red]],11,FALSE))</f>
        <v>1.374656335916021E-2</v>
      </c>
      <c r="N26" s="126">
        <f>J26/HLOOKUP(F26,Team_Composition_23[[#All],[Yellow]:[Red]],6,FALSE)</f>
        <v>2.1127460128284024E-3</v>
      </c>
      <c r="O26" s="126">
        <f>K26/HLOOKUP(F26,Team_Composition_23[[#All],[Yellow]:[Red]],8,FALSE)</f>
        <v>2.3554459866829639E-2</v>
      </c>
      <c r="P26" s="126">
        <f>L26/HLOOKUP(F26,Team_Composition_23[[#All],[Yellow]:[Red]],7,FALSE)</f>
        <v>4.4235148485404226E-2</v>
      </c>
      <c r="Q26" s="119"/>
      <c r="R26" s="137"/>
      <c r="S26" s="148"/>
      <c r="T26" s="148"/>
      <c r="U26" s="119"/>
      <c r="V26" s="137" t="str">
        <f ca="1">IFERROR(__xludf.DUMMYFUNCTION("""COMPUTED_VALUE"""),"SwayzexExpress")</f>
        <v>SwayzexExpress</v>
      </c>
      <c r="W26" s="104">
        <f ca="1">IFERROR(__xludf.DUMMYFUNCTION("""COMPUTED_VALUE"""),1281411)</f>
        <v>1281411</v>
      </c>
      <c r="X26" s="119"/>
      <c r="Y26" s="137" t="str">
        <f ca="1">IFERROR(__xludf.DUMMYFUNCTION("""COMPUTED_VALUE"""),"Dusk")</f>
        <v>Dusk</v>
      </c>
      <c r="Z26" s="104">
        <f ca="1">IFERROR(__xludf.DUMMYFUNCTION("""COMPUTED_VALUE"""),1238255)</f>
        <v>1238255</v>
      </c>
      <c r="AA26" s="119"/>
      <c r="AB26" s="137"/>
      <c r="AC26" s="148"/>
      <c r="AD26" s="148"/>
    </row>
    <row r="27" spans="1:30" ht="22.5" customHeight="1">
      <c r="A27" s="120">
        <v>14</v>
      </c>
      <c r="B27" s="141" t="str">
        <f>VLOOKUP(C27,Lists!I:J,2,FALSE)</f>
        <v>KS</v>
      </c>
      <c r="C27" s="95" t="str">
        <f>VLOOKUP(E27&amp;D27,Lists!C:E,3,FALSE)</f>
        <v>Greatsword/Dagger</v>
      </c>
      <c r="D27" s="122" t="s">
        <v>34</v>
      </c>
      <c r="E27" s="123" t="s">
        <v>502</v>
      </c>
      <c r="F27" s="122" t="s">
        <v>476</v>
      </c>
      <c r="G27" s="124">
        <v>22</v>
      </c>
      <c r="H27" s="124">
        <v>32</v>
      </c>
      <c r="I27" s="96">
        <f t="shared" si="0"/>
        <v>54</v>
      </c>
      <c r="J27" s="125">
        <v>2072457</v>
      </c>
      <c r="K27" s="125">
        <v>1334622</v>
      </c>
      <c r="L27" s="125">
        <v>31775</v>
      </c>
      <c r="M27" s="126">
        <f>I27/(HLOOKUP(F27,Team_Composition_23[[#All],[Yellow]:[Red]],10,FALSE)+HLOOKUP(F27,Team_Composition_23[[#All],[Yellow]:[Red]],11,FALSE))</f>
        <v>1.3496625843539115E-2</v>
      </c>
      <c r="N27" s="126">
        <f>J27/HLOOKUP(F27,Team_Composition_23[[#All],[Yellow]:[Red]],6,FALSE)</f>
        <v>4.6715267030570183E-2</v>
      </c>
      <c r="O27" s="126">
        <f>K27/HLOOKUP(F27,Team_Composition_23[[#All],[Yellow]:[Red]],8,FALSE)</f>
        <v>7.6182433656988222E-2</v>
      </c>
      <c r="P27" s="126">
        <f>L27/HLOOKUP(F27,Team_Composition_23[[#All],[Yellow]:[Red]],7,FALSE)</f>
        <v>2.4546585363328863E-3</v>
      </c>
      <c r="Q27" s="119"/>
      <c r="R27" s="119"/>
      <c r="S27" s="148"/>
      <c r="T27" s="148"/>
      <c r="U27" s="119"/>
      <c r="V27" s="119"/>
      <c r="W27" s="119"/>
      <c r="X27" s="119"/>
      <c r="Y27" s="119"/>
      <c r="Z27" s="119"/>
      <c r="AA27" s="119"/>
      <c r="AB27" s="119"/>
      <c r="AC27" s="148"/>
      <c r="AD27" s="148"/>
    </row>
    <row r="28" spans="1:30" ht="22.5" customHeight="1">
      <c r="A28" s="120">
        <v>42</v>
      </c>
      <c r="B28" s="94" t="str">
        <f>VLOOKUP(C28,Lists!I:J,2,FALSE)</f>
        <v>Healer</v>
      </c>
      <c r="C28" s="95" t="str">
        <f>VLOOKUP(E28&amp;D28,Lists!C:E,3,FALSE)</f>
        <v>Wand/Orb</v>
      </c>
      <c r="D28" s="122" t="s">
        <v>34</v>
      </c>
      <c r="E28" s="123" t="s">
        <v>171</v>
      </c>
      <c r="F28" s="122" t="s">
        <v>476</v>
      </c>
      <c r="G28" s="124">
        <v>1</v>
      </c>
      <c r="H28" s="124">
        <v>53</v>
      </c>
      <c r="I28" s="96">
        <f t="shared" si="0"/>
        <v>54</v>
      </c>
      <c r="J28" s="125">
        <v>62727</v>
      </c>
      <c r="K28" s="125">
        <v>576198</v>
      </c>
      <c r="L28" s="125">
        <v>489979</v>
      </c>
      <c r="M28" s="126">
        <f>I28/(HLOOKUP(F28,Team_Composition_23[[#All],[Yellow]:[Red]],10,FALSE)+HLOOKUP(F28,Team_Composition_23[[#All],[Yellow]:[Red]],11,FALSE))</f>
        <v>1.3496625843539115E-2</v>
      </c>
      <c r="N28" s="126">
        <f>J28/HLOOKUP(F28,Team_Composition_23[[#All],[Yellow]:[Red]],6,FALSE)</f>
        <v>1.4139297244896158E-3</v>
      </c>
      <c r="O28" s="126">
        <f>K28/HLOOKUP(F28,Team_Composition_23[[#All],[Yellow]:[Red]],8,FALSE)</f>
        <v>3.2890335921548802E-2</v>
      </c>
      <c r="P28" s="126">
        <f>L28/HLOOKUP(F28,Team_Composition_23[[#All],[Yellow]:[Red]],7,FALSE)</f>
        <v>3.7851491265896181E-2</v>
      </c>
      <c r="Q28" s="119"/>
      <c r="R28" s="230" t="s">
        <v>39</v>
      </c>
      <c r="S28" s="228"/>
      <c r="T28" s="228"/>
      <c r="U28" s="119"/>
      <c r="V28" s="119"/>
      <c r="W28" s="119"/>
      <c r="X28" s="119"/>
      <c r="Y28" s="119"/>
      <c r="Z28" s="119"/>
      <c r="AA28" s="119"/>
      <c r="AB28" s="230" t="s">
        <v>39</v>
      </c>
      <c r="AC28" s="228"/>
      <c r="AD28" s="228"/>
    </row>
    <row r="29" spans="1:30" ht="22.5" customHeight="1">
      <c r="A29" s="120">
        <v>57</v>
      </c>
      <c r="B29" s="142" t="str">
        <f>VLOOKUP(C29,Lists!I:J,2,FALSE)</f>
        <v>Healer</v>
      </c>
      <c r="C29" s="95" t="str">
        <f>VLOOKUP(E29&amp;D29,Lists!C:E,3,FALSE)</f>
        <v>Wand/Longbow</v>
      </c>
      <c r="D29" s="122" t="s">
        <v>34</v>
      </c>
      <c r="E29" s="123" t="s">
        <v>17</v>
      </c>
      <c r="F29" s="122" t="s">
        <v>476</v>
      </c>
      <c r="G29" s="124">
        <v>0</v>
      </c>
      <c r="H29" s="124">
        <v>53</v>
      </c>
      <c r="I29" s="96">
        <f t="shared" si="0"/>
        <v>53</v>
      </c>
      <c r="J29" s="125">
        <v>46007</v>
      </c>
      <c r="K29" s="125">
        <v>591852</v>
      </c>
      <c r="L29" s="125">
        <v>1953599</v>
      </c>
      <c r="M29" s="126">
        <f>I29/(HLOOKUP(F29,Team_Composition_23[[#All],[Yellow]:[Red]],10,FALSE)+HLOOKUP(F29,Team_Composition_23[[#All],[Yellow]:[Red]],11,FALSE))</f>
        <v>1.324668832791802E-2</v>
      </c>
      <c r="N29" s="126">
        <f>J29/HLOOKUP(F29,Team_Composition_23[[#All],[Yellow]:[Red]],6,FALSE)</f>
        <v>1.0370440932069723E-3</v>
      </c>
      <c r="O29" s="126">
        <f>K29/HLOOKUP(F29,Team_Composition_23[[#All],[Yellow]:[Red]],8,FALSE)</f>
        <v>3.3783892161792471E-2</v>
      </c>
      <c r="P29" s="126">
        <f>L29/HLOOKUP(F29,Team_Composition_23[[#All],[Yellow]:[Red]],7,FALSE)</f>
        <v>0.15091796890389897</v>
      </c>
      <c r="Q29" s="119"/>
      <c r="R29" s="129" t="s">
        <v>482</v>
      </c>
      <c r="S29" s="130" t="s">
        <v>476</v>
      </c>
      <c r="T29" s="130" t="s">
        <v>483</v>
      </c>
      <c r="U29" s="119"/>
      <c r="V29" s="119"/>
      <c r="W29" s="119"/>
      <c r="X29" s="119"/>
      <c r="Y29" s="119"/>
      <c r="Z29" s="119"/>
      <c r="AA29" s="119"/>
      <c r="AB29" s="129" t="s">
        <v>482</v>
      </c>
      <c r="AC29" s="130" t="s">
        <v>485</v>
      </c>
      <c r="AD29" s="130" t="s">
        <v>28</v>
      </c>
    </row>
    <row r="30" spans="1:30" ht="22.5" customHeight="1">
      <c r="A30" s="120">
        <v>37</v>
      </c>
      <c r="B30" s="133" t="str">
        <f>VLOOKUP(C30,Lists!I:J,2,FALSE)</f>
        <v>Tank</v>
      </c>
      <c r="C30" s="95" t="str">
        <f>VLOOKUP(E30&amp;D30,Lists!C:E,3,FALSE)</f>
        <v>SnS/Greatsword</v>
      </c>
      <c r="D30" s="122" t="s">
        <v>30</v>
      </c>
      <c r="E30" s="123" t="s">
        <v>215</v>
      </c>
      <c r="F30" s="122" t="s">
        <v>483</v>
      </c>
      <c r="G30" s="124">
        <v>2</v>
      </c>
      <c r="H30" s="124">
        <v>50</v>
      </c>
      <c r="I30" s="96">
        <f t="shared" si="0"/>
        <v>52</v>
      </c>
      <c r="J30" s="125">
        <v>1461429</v>
      </c>
      <c r="K30" s="125">
        <v>410007</v>
      </c>
      <c r="L30" s="125">
        <v>119448</v>
      </c>
      <c r="M30" s="126">
        <f>I30/(HLOOKUP(F30,Team_Composition_23[[#All],[Yellow]:[Red]],10,FALSE)+HLOOKUP(F30,Team_Composition_23[[#All],[Yellow]:[Red]],11,FALSE))</f>
        <v>6.3337393422655291E-2</v>
      </c>
      <c r="N30" s="126">
        <f>J30/HLOOKUP(F30,Team_Composition_23[[#All],[Yellow]:[Red]],6,FALSE)</f>
        <v>8.2822071808496323E-2</v>
      </c>
      <c r="O30" s="126">
        <f>K30/HLOOKUP(F30,Team_Composition_23[[#All],[Yellow]:[Red]],8,FALSE)</f>
        <v>9.3149667740807882E-3</v>
      </c>
      <c r="P30" s="126">
        <f>L30/HLOOKUP(F30,Team_Composition_23[[#All],[Yellow]:[Red]],7,FALSE)</f>
        <v>4.9219542986934164E-3</v>
      </c>
      <c r="Q30" s="119"/>
      <c r="R30" s="134" t="s">
        <v>468</v>
      </c>
      <c r="S30" s="135">
        <f>SUMIFS(Scoreboard_37[Damage Dealt],Scoreboard_37[Role],"Ranged DPS",Scoreboard_37[Team],"Yellow")</f>
        <v>11869179</v>
      </c>
      <c r="T30" s="136">
        <f>SUMIFS(Scoreboard_37[Damage Dealt],Scoreboard_37[Role],"Ranged DPS",Scoreboard_37[Team],"Red")</f>
        <v>12169833</v>
      </c>
      <c r="U30" s="119"/>
      <c r="V30" s="119"/>
      <c r="W30" s="119"/>
      <c r="X30" s="119"/>
      <c r="Y30" s="119"/>
      <c r="Z30" s="119"/>
      <c r="AA30" s="119"/>
      <c r="AB30" s="134" t="s">
        <v>468</v>
      </c>
      <c r="AC30" s="138">
        <f>SUMIFS(Scoreboard_37[Damage Dealt],Scoreboard_37[Role],"Ranged DPS",Scoreboard_37[Guild],"Best Regards")</f>
        <v>11869179</v>
      </c>
      <c r="AD30" s="139">
        <f>SUMIFS(Scoreboard_37[Damage Dealt],Scoreboard_37[Role],"Ranged DPS",Scoreboard_37[Guild],"Undercooked")</f>
        <v>0</v>
      </c>
    </row>
    <row r="31" spans="1:30" ht="22.5" customHeight="1">
      <c r="A31" s="120">
        <v>58</v>
      </c>
      <c r="B31" s="109" t="str">
        <f>VLOOKUP(C31,Lists!I:J,2,FALSE)</f>
        <v>Healer</v>
      </c>
      <c r="C31" s="95" t="str">
        <f>VLOOKUP(E31&amp;D31,Lists!C:E,3,FALSE)</f>
        <v>Wand/Orb</v>
      </c>
      <c r="D31" s="122" t="s">
        <v>34</v>
      </c>
      <c r="E31" s="123" t="s">
        <v>121</v>
      </c>
      <c r="F31" s="122" t="s">
        <v>476</v>
      </c>
      <c r="G31" s="124">
        <v>0</v>
      </c>
      <c r="H31" s="124">
        <v>50</v>
      </c>
      <c r="I31" s="96">
        <f t="shared" si="0"/>
        <v>50</v>
      </c>
      <c r="J31" s="125">
        <v>29880</v>
      </c>
      <c r="K31" s="125">
        <v>590575</v>
      </c>
      <c r="L31" s="125">
        <v>609704</v>
      </c>
      <c r="M31" s="126">
        <f>I31/(HLOOKUP(F31,Team_Composition_23[[#All],[Yellow]:[Red]],10,FALSE)+HLOOKUP(F31,Team_Composition_23[[#All],[Yellow]:[Red]],11,FALSE))</f>
        <v>1.2496875781054736E-2</v>
      </c>
      <c r="N31" s="126">
        <f>J31/HLOOKUP(F31,Team_Composition_23[[#All],[Yellow]:[Red]],6,FALSE)</f>
        <v>6.7352527887113562E-4</v>
      </c>
      <c r="O31" s="126">
        <f>K31/HLOOKUP(F31,Team_Composition_23[[#All],[Yellow]:[Red]],8,FALSE)</f>
        <v>3.3710998887307282E-2</v>
      </c>
      <c r="P31" s="126">
        <f>L31/HLOOKUP(F31,Team_Composition_23[[#All],[Yellow]:[Red]],7,FALSE)</f>
        <v>4.7100397426791694E-2</v>
      </c>
      <c r="Q31" s="119"/>
      <c r="R31" s="134" t="s">
        <v>469</v>
      </c>
      <c r="S31" s="135">
        <f>SUMIFS(Scoreboard_37[Damage Taken],Scoreboard_37[Role],"Ranged DPS",Scoreboard_37[Team],"Yellow")</f>
        <v>7400622</v>
      </c>
      <c r="T31" s="136">
        <f>SUMIFS(Scoreboard_37[Damage Taken],Scoreboard_37[Role],"Ranged DPS",Scoreboard_37[Team],"Red")</f>
        <v>6697997</v>
      </c>
      <c r="U31" s="119"/>
      <c r="V31" s="119"/>
      <c r="W31" s="119"/>
      <c r="X31" s="119"/>
      <c r="Y31" s="119"/>
      <c r="Z31" s="119"/>
      <c r="AA31" s="119"/>
      <c r="AB31" s="134" t="s">
        <v>469</v>
      </c>
      <c r="AC31" s="138">
        <f>SUMIFS(Scoreboard_37[Damage Taken],Scoreboard_37[Role],"Ranged DPS",Scoreboard_37[Guild],"Best Regards")</f>
        <v>7400622</v>
      </c>
      <c r="AD31" s="139">
        <f>SUMIFS(Scoreboard_37[Damage Taken],Scoreboard_37[Role],"Ranged DPS",Scoreboard_37[Guild],"Undercooked")</f>
        <v>0</v>
      </c>
    </row>
    <row r="32" spans="1:30" ht="22.5" customHeight="1">
      <c r="A32" s="120">
        <v>22</v>
      </c>
      <c r="B32" s="145" t="s">
        <v>25</v>
      </c>
      <c r="C32" s="95" t="str">
        <f>VLOOKUP(E32&amp;D32,Lists!C:E,3,FALSE)</f>
        <v>Crossbow/Dagger</v>
      </c>
      <c r="D32" s="122" t="s">
        <v>34</v>
      </c>
      <c r="E32" s="123" t="s">
        <v>152</v>
      </c>
      <c r="F32" s="122" t="s">
        <v>476</v>
      </c>
      <c r="G32" s="124">
        <v>17</v>
      </c>
      <c r="H32" s="124">
        <v>32</v>
      </c>
      <c r="I32" s="96">
        <f t="shared" si="0"/>
        <v>49</v>
      </c>
      <c r="J32" s="125">
        <v>1146174</v>
      </c>
      <c r="K32" s="125">
        <v>401798</v>
      </c>
      <c r="L32" s="125">
        <v>0</v>
      </c>
      <c r="M32" s="126">
        <f>I32/(HLOOKUP(F32,Team_Composition_23[[#All],[Yellow]:[Red]],10,FALSE)+HLOOKUP(F32,Team_Composition_23[[#All],[Yellow]:[Red]],11,FALSE))</f>
        <v>1.2246938265433641E-2</v>
      </c>
      <c r="N32" s="126">
        <f>J32/HLOOKUP(F32,Team_Composition_23[[#All],[Yellow]:[Red]],6,FALSE)</f>
        <v>2.5835915762545011E-2</v>
      </c>
      <c r="O32" s="126">
        <f>K32/HLOOKUP(F32,Team_Composition_23[[#All],[Yellow]:[Red]],8,FALSE)</f>
        <v>2.2935295146124187E-2</v>
      </c>
      <c r="P32" s="126">
        <f>L32/HLOOKUP(F32,Team_Composition_23[[#All],[Yellow]:[Red]],7,FALSE)</f>
        <v>0</v>
      </c>
      <c r="Q32" s="119"/>
      <c r="R32" s="134" t="s">
        <v>470</v>
      </c>
      <c r="S32" s="135">
        <f>SUMIFS(Scoreboard_37[Amount Healed],Scoreboard_37[Role],"Ranged DPS",Scoreboard_37[Team],"Yellow")</f>
        <v>270177</v>
      </c>
      <c r="T32" s="136">
        <f>SUMIFS(Scoreboard_37[Amount Healed],Scoreboard_37[Role],"Ranged DPS",Scoreboard_37[Team],"Red")</f>
        <v>259724</v>
      </c>
      <c r="U32" s="119"/>
      <c r="V32" s="119"/>
      <c r="W32" s="119"/>
      <c r="X32" s="119"/>
      <c r="Y32" s="119"/>
      <c r="Z32" s="119"/>
      <c r="AA32" s="119"/>
      <c r="AB32" s="134" t="s">
        <v>470</v>
      </c>
      <c r="AC32" s="138">
        <f>SUMIFS(Scoreboard_37[Amount Healed],Scoreboard_37[Role],"Ranged DPS",Scoreboard_37[Guild],"Best Regards")</f>
        <v>270177</v>
      </c>
      <c r="AD32" s="139">
        <f>SUMIFS(Scoreboard_37[Amount Healed],Scoreboard_37[Role],"Ranged DPS",Scoreboard_37[Guild],"Undercooked")</f>
        <v>0</v>
      </c>
    </row>
    <row r="33" spans="1:30" ht="22.5" customHeight="1">
      <c r="A33" s="120">
        <v>59</v>
      </c>
      <c r="B33" s="149" t="str">
        <f>VLOOKUP(C33,Lists!I:J,2,FALSE)</f>
        <v>Healer</v>
      </c>
      <c r="C33" s="95" t="str">
        <f>VLOOKUP(E33&amp;D33,Lists!C:E,3,FALSE)</f>
        <v>Wand/Longbow</v>
      </c>
      <c r="D33" s="122" t="s">
        <v>34</v>
      </c>
      <c r="E33" s="123" t="s">
        <v>180</v>
      </c>
      <c r="F33" s="122" t="s">
        <v>476</v>
      </c>
      <c r="G33" s="124">
        <v>0</v>
      </c>
      <c r="H33" s="124">
        <v>48</v>
      </c>
      <c r="I33" s="96">
        <f t="shared" si="0"/>
        <v>48</v>
      </c>
      <c r="J33" s="125">
        <v>442545</v>
      </c>
      <c r="K33" s="125">
        <v>1031994</v>
      </c>
      <c r="L33" s="125">
        <v>996290</v>
      </c>
      <c r="M33" s="126">
        <f>I33/(HLOOKUP(F33,Team_Composition_23[[#All],[Yellow]:[Red]],10,FALSE)+HLOOKUP(F33,Team_Composition_23[[#All],[Yellow]:[Red]],11,FALSE))</f>
        <v>1.1997000749812546E-2</v>
      </c>
      <c r="N33" s="126">
        <f>J33/HLOOKUP(F33,Team_Composition_23[[#All],[Yellow]:[Red]],6,FALSE)</f>
        <v>9.9754097904292734E-3</v>
      </c>
      <c r="O33" s="126">
        <f>K33/HLOOKUP(F33,Team_Composition_23[[#All],[Yellow]:[Red]],8,FALSE)</f>
        <v>5.8907926318770336E-2</v>
      </c>
      <c r="P33" s="126">
        <f>L33/HLOOKUP(F33,Team_Composition_23[[#All],[Yellow]:[Red]],7,FALSE)</f>
        <v>7.6964649981529229E-2</v>
      </c>
      <c r="Q33" s="119"/>
      <c r="R33" s="134" t="s">
        <v>465</v>
      </c>
      <c r="S33" s="135">
        <f>SUMIFS(Scoreboard_37[Kills],Scoreboard_37[Role],"Ranged DPS",Scoreboard_37[Team],"Yellow")</f>
        <v>137</v>
      </c>
      <c r="T33" s="136">
        <f>SUMIFS(Scoreboard_37[Kills],Scoreboard_37[Role],"Ranged DPS",Scoreboard_37[Team],"Red")</f>
        <v>146</v>
      </c>
      <c r="U33" s="119"/>
      <c r="V33" s="119"/>
      <c r="W33" s="119"/>
      <c r="X33" s="119"/>
      <c r="Y33" s="119"/>
      <c r="Z33" s="119"/>
      <c r="AA33" s="119"/>
      <c r="AB33" s="134" t="s">
        <v>465</v>
      </c>
      <c r="AC33" s="138">
        <f>SUMIFS(Scoreboard_37[Kills],Scoreboard_37[Role],"Ranged DPS",Scoreboard_37[Guild],"Best Regards")</f>
        <v>137</v>
      </c>
      <c r="AD33" s="139">
        <f>SUMIFS(Scoreboard_37[Kills],Scoreboard_37[Role],"Ranged DPS",Scoreboard_37[Guild],"Undercooked")</f>
        <v>0</v>
      </c>
    </row>
    <row r="34" spans="1:30" ht="22.5" customHeight="1">
      <c r="A34" s="120">
        <v>60</v>
      </c>
      <c r="B34" s="133" t="str">
        <f>VLOOKUP(C34,Lists!I:J,2,FALSE)</f>
        <v>Healer</v>
      </c>
      <c r="C34" s="95" t="str">
        <f>VLOOKUP(E34&amp;D34,Lists!C:E,3,FALSE)</f>
        <v>Wand/Longbow</v>
      </c>
      <c r="D34" s="122" t="s">
        <v>34</v>
      </c>
      <c r="E34" s="123" t="s">
        <v>149</v>
      </c>
      <c r="F34" s="122" t="s">
        <v>476</v>
      </c>
      <c r="G34" s="124">
        <v>0</v>
      </c>
      <c r="H34" s="124">
        <v>46</v>
      </c>
      <c r="I34" s="96">
        <f t="shared" si="0"/>
        <v>46</v>
      </c>
      <c r="J34" s="125">
        <v>91191</v>
      </c>
      <c r="K34" s="125">
        <v>647267</v>
      </c>
      <c r="L34" s="125">
        <v>2388855</v>
      </c>
      <c r="M34" s="126">
        <f>I34/(HLOOKUP(F34,Team_Composition_23[[#All],[Yellow]:[Red]],10,FALSE)+HLOOKUP(F34,Team_Composition_23[[#All],[Yellow]:[Red]],11,FALSE))</f>
        <v>1.1497125718570358E-2</v>
      </c>
      <c r="N34" s="126">
        <f>J34/HLOOKUP(F34,Team_Composition_23[[#All],[Yellow]:[Red]],6,FALSE)</f>
        <v>2.055536937936336E-3</v>
      </c>
      <c r="O34" s="126">
        <f>K34/HLOOKUP(F34,Team_Composition_23[[#All],[Yellow]:[Red]],8,FALSE)</f>
        <v>3.6947072119190148E-2</v>
      </c>
      <c r="P34" s="126">
        <f>L34/HLOOKUP(F34,Team_Composition_23[[#All],[Yellow]:[Red]],7,FALSE)</f>
        <v>0.1845420398996537</v>
      </c>
      <c r="Q34" s="119"/>
      <c r="R34" s="134" t="s">
        <v>466</v>
      </c>
      <c r="S34" s="135">
        <f>SUMIFS(Scoreboard_37[Assists],Scoreboard_37[Role],"Ranged DPS",Scoreboard_37[Team],"Yellow")</f>
        <v>380</v>
      </c>
      <c r="T34" s="136">
        <f>SUMIFS(Scoreboard_37[Assists],Scoreboard_37[Role],"Ranged DPS",Scoreboard_37[Team],"Red")</f>
        <v>303</v>
      </c>
      <c r="U34" s="119"/>
      <c r="V34" s="119"/>
      <c r="W34" s="119"/>
      <c r="X34" s="119"/>
      <c r="Y34" s="119"/>
      <c r="Z34" s="119"/>
      <c r="AA34" s="119"/>
      <c r="AB34" s="134" t="s">
        <v>466</v>
      </c>
      <c r="AC34" s="138">
        <f>SUMIFS(Scoreboard_37[Assists],Scoreboard_37[Role],"Ranged DPS",Scoreboard_37[Guild],"Best Regards")</f>
        <v>380</v>
      </c>
      <c r="AD34" s="139">
        <f>SUMIFS(Scoreboard_37[Assists],Scoreboard_37[Role],"Ranged DPS",Scoreboard_37[Guild],"Undercooked")</f>
        <v>0</v>
      </c>
    </row>
    <row r="35" spans="1:30" ht="22.5" customHeight="1">
      <c r="A35" s="120">
        <v>16</v>
      </c>
      <c r="B35" s="128" t="str">
        <f>VLOOKUP(C35,Lists!I:J,2,FALSE)</f>
        <v>KS</v>
      </c>
      <c r="C35" s="95" t="str">
        <f>VLOOKUP(E35&amp;D35,Lists!C:E,3,FALSE)</f>
        <v>Greatsword/Dagger</v>
      </c>
      <c r="D35" s="122" t="s">
        <v>34</v>
      </c>
      <c r="E35" s="123" t="s">
        <v>182</v>
      </c>
      <c r="F35" s="122" t="s">
        <v>476</v>
      </c>
      <c r="G35" s="124">
        <v>20</v>
      </c>
      <c r="H35" s="124">
        <v>24</v>
      </c>
      <c r="I35" s="96">
        <f t="shared" si="0"/>
        <v>44</v>
      </c>
      <c r="J35" s="125">
        <v>2658241</v>
      </c>
      <c r="K35" s="125">
        <v>1566395</v>
      </c>
      <c r="L35" s="125">
        <v>6964</v>
      </c>
      <c r="M35" s="126">
        <f>I35/(HLOOKUP(F35,Team_Composition_23[[#All],[Yellow]:[Red]],10,FALSE)+HLOOKUP(F35,Team_Composition_23[[#All],[Yellow]:[Red]],11,FALSE))</f>
        <v>1.0997250687328168E-2</v>
      </c>
      <c r="N35" s="126">
        <f>J35/HLOOKUP(F35,Team_Composition_23[[#All],[Yellow]:[Red]],6,FALSE)</f>
        <v>5.9919428073349608E-2</v>
      </c>
      <c r="O35" s="126">
        <f>K35/HLOOKUP(F35,Team_Composition_23[[#All],[Yellow]:[Red]],8,FALSE)</f>
        <v>8.941242027191075E-2</v>
      </c>
      <c r="P35" s="126">
        <f>L35/HLOOKUP(F35,Team_Composition_23[[#All],[Yellow]:[Red]],7,FALSE)</f>
        <v>5.379777198118716E-4</v>
      </c>
      <c r="Q35" s="119"/>
      <c r="R35" s="134" t="s">
        <v>54</v>
      </c>
      <c r="S35" s="135">
        <f t="shared" ref="S35:S46" si="6">COUNTIFS(C:C,R35,F:F,"Yellow")</f>
        <v>2</v>
      </c>
      <c r="T35" s="136">
        <f t="shared" ref="T35:T46" si="7">COUNTIFS(C:C,R35,F:F,"Red")</f>
        <v>3</v>
      </c>
      <c r="U35" s="119"/>
      <c r="V35" s="119"/>
      <c r="W35" s="119"/>
      <c r="X35" s="119"/>
      <c r="Y35" s="119"/>
      <c r="Z35" s="119"/>
      <c r="AA35" s="119"/>
      <c r="AB35" s="134" t="s">
        <v>54</v>
      </c>
      <c r="AC35" s="138">
        <f t="shared" ref="AC35:AC46" si="8">COUNTIFS(C:C,AB35,D:D,"Best Regards")</f>
        <v>2</v>
      </c>
      <c r="AD35" s="139">
        <f t="shared" ref="AD35:AD46" si="9">COUNTIFS(C:C,AB35,D:D,"Undercooked")</f>
        <v>0</v>
      </c>
    </row>
    <row r="36" spans="1:30" ht="22.5" customHeight="1">
      <c r="A36" s="120">
        <v>23</v>
      </c>
      <c r="B36" s="147" t="str">
        <f>VLOOKUP(C36,Lists!I:J,2,FALSE)</f>
        <v>Ranged DPS</v>
      </c>
      <c r="C36" s="95" t="str">
        <f>VLOOKUP(E36&amp;D36,Lists!C:E,3,FALSE)</f>
        <v>Crossbow/SnS</v>
      </c>
      <c r="D36" s="122" t="s">
        <v>30</v>
      </c>
      <c r="E36" s="123" t="s">
        <v>403</v>
      </c>
      <c r="F36" s="122" t="s">
        <v>483</v>
      </c>
      <c r="G36" s="124">
        <v>15</v>
      </c>
      <c r="H36" s="124">
        <v>28</v>
      </c>
      <c r="I36" s="96">
        <f t="shared" si="0"/>
        <v>43</v>
      </c>
      <c r="J36" s="125">
        <v>14820</v>
      </c>
      <c r="K36" s="125">
        <v>406228</v>
      </c>
      <c r="L36" s="125">
        <v>23152</v>
      </c>
      <c r="M36" s="126">
        <f>I36/(HLOOKUP(F36,Team_Composition_23[[#All],[Yellow]:[Red]],10,FALSE)+HLOOKUP(F36,Team_Composition_23[[#All],[Yellow]:[Red]],11,FALSE))</f>
        <v>5.2375152253349572E-2</v>
      </c>
      <c r="N36" s="126">
        <f>J36/HLOOKUP(F36,Team_Composition_23[[#All],[Yellow]:[Red]],6,FALSE)</f>
        <v>8.3987871063316479E-4</v>
      </c>
      <c r="O36" s="126">
        <f>K36/HLOOKUP(F36,Team_Composition_23[[#All],[Yellow]:[Red]],8,FALSE)</f>
        <v>9.2291115095627409E-3</v>
      </c>
      <c r="P36" s="126">
        <f>L36/HLOOKUP(F36,Team_Composition_23[[#All],[Yellow]:[Red]],7,FALSE)</f>
        <v>9.5399743757409062E-4</v>
      </c>
      <c r="Q36" s="119"/>
      <c r="R36" s="134" t="s">
        <v>43</v>
      </c>
      <c r="S36" s="135">
        <f t="shared" si="6"/>
        <v>0</v>
      </c>
      <c r="T36" s="136">
        <f t="shared" si="7"/>
        <v>0</v>
      </c>
      <c r="U36" s="119"/>
      <c r="V36" s="119"/>
      <c r="W36" s="119"/>
      <c r="X36" s="119"/>
      <c r="Y36" s="119"/>
      <c r="Z36" s="119"/>
      <c r="AA36" s="119"/>
      <c r="AB36" s="134" t="s">
        <v>43</v>
      </c>
      <c r="AC36" s="138">
        <f t="shared" si="8"/>
        <v>0</v>
      </c>
      <c r="AD36" s="139">
        <f t="shared" si="9"/>
        <v>0</v>
      </c>
    </row>
    <row r="37" spans="1:30" ht="22.5" customHeight="1">
      <c r="A37" s="120">
        <v>43</v>
      </c>
      <c r="B37" s="142" t="str">
        <f>VLOOKUP(C37,Lists!I:J,2,FALSE)</f>
        <v>Healer</v>
      </c>
      <c r="C37" s="95" t="str">
        <f>VLOOKUP(E37&amp;D37,Lists!C:E,3,FALSE)</f>
        <v>Wand/Longbow</v>
      </c>
      <c r="D37" s="122" t="s">
        <v>30</v>
      </c>
      <c r="E37" s="123" t="s">
        <v>416</v>
      </c>
      <c r="F37" s="122" t="s">
        <v>483</v>
      </c>
      <c r="G37" s="124">
        <v>1</v>
      </c>
      <c r="H37" s="124">
        <v>40</v>
      </c>
      <c r="I37" s="96">
        <f t="shared" si="0"/>
        <v>41</v>
      </c>
      <c r="J37" s="125">
        <v>20721</v>
      </c>
      <c r="K37" s="125">
        <v>377717</v>
      </c>
      <c r="L37" s="125">
        <v>1394072</v>
      </c>
      <c r="M37" s="126">
        <f>I37/(HLOOKUP(F37,Team_Composition_23[[#All],[Yellow]:[Red]],10,FALSE)+HLOOKUP(F37,Team_Composition_23[[#All],[Yellow]:[Red]],11,FALSE))</f>
        <v>4.9939098660170524E-2</v>
      </c>
      <c r="N37" s="126">
        <f>J37/HLOOKUP(F37,Team_Composition_23[[#All],[Yellow]:[Red]],6,FALSE)</f>
        <v>1.1743000514864918E-3</v>
      </c>
      <c r="O37" s="126">
        <f>K37/HLOOKUP(F37,Team_Composition_23[[#All],[Yellow]:[Red]],8,FALSE)</f>
        <v>8.5813688668863533E-3</v>
      </c>
      <c r="P37" s="126">
        <f>L37/HLOOKUP(F37,Team_Composition_23[[#All],[Yellow]:[Red]],7,FALSE)</f>
        <v>5.7443897537741352E-2</v>
      </c>
      <c r="Q37" s="119"/>
      <c r="R37" s="134" t="s">
        <v>45</v>
      </c>
      <c r="S37" s="135">
        <f t="shared" si="6"/>
        <v>2</v>
      </c>
      <c r="T37" s="136">
        <f t="shared" si="7"/>
        <v>3</v>
      </c>
      <c r="U37" s="119"/>
      <c r="V37" s="119"/>
      <c r="W37" s="119"/>
      <c r="X37" s="119"/>
      <c r="Y37" s="119"/>
      <c r="Z37" s="119"/>
      <c r="AA37" s="119"/>
      <c r="AB37" s="134" t="s">
        <v>45</v>
      </c>
      <c r="AC37" s="138">
        <f t="shared" si="8"/>
        <v>2</v>
      </c>
      <c r="AD37" s="139">
        <f t="shared" si="9"/>
        <v>0</v>
      </c>
    </row>
    <row r="38" spans="1:30" ht="22.5" customHeight="1">
      <c r="A38" s="120">
        <v>61</v>
      </c>
      <c r="B38" s="147" t="str">
        <f>VLOOKUP(C38,Lists!I:J,2,FALSE)</f>
        <v>Healer</v>
      </c>
      <c r="C38" s="95" t="str">
        <f>VLOOKUP(E38&amp;D38,Lists!C:E,3,FALSE)</f>
        <v>Wand/Orb</v>
      </c>
      <c r="D38" s="122" t="s">
        <v>34</v>
      </c>
      <c r="E38" s="123" t="s">
        <v>146</v>
      </c>
      <c r="F38" s="122" t="s">
        <v>476</v>
      </c>
      <c r="G38" s="124">
        <v>0</v>
      </c>
      <c r="H38" s="124">
        <v>41</v>
      </c>
      <c r="I38" s="96">
        <f t="shared" si="0"/>
        <v>41</v>
      </c>
      <c r="J38" s="125">
        <v>357046</v>
      </c>
      <c r="K38" s="125">
        <v>740348</v>
      </c>
      <c r="L38" s="125">
        <v>1238255</v>
      </c>
      <c r="M38" s="126">
        <f>I38/(HLOOKUP(F38,Team_Composition_23[[#All],[Yellow]:[Red]],10,FALSE)+HLOOKUP(F38,Team_Composition_23[[#All],[Yellow]:[Red]],11,FALSE))</f>
        <v>1.0247438140464884E-2</v>
      </c>
      <c r="N38" s="126">
        <f>J38/HLOOKUP(F38,Team_Composition_23[[#All],[Yellow]:[Red]],6,FALSE)</f>
        <v>8.0481762623769576E-3</v>
      </c>
      <c r="O38" s="126">
        <f>K38/HLOOKUP(F38,Team_Composition_23[[#All],[Yellow]:[Red]],8,FALSE)</f>
        <v>4.2260289724793926E-2</v>
      </c>
      <c r="P38" s="126">
        <f>L38/HLOOKUP(F38,Team_Composition_23[[#All],[Yellow]:[Red]],7,FALSE)</f>
        <v>9.5656749202419442E-2</v>
      </c>
      <c r="Q38" s="119"/>
      <c r="R38" s="134" t="s">
        <v>81</v>
      </c>
      <c r="S38" s="135">
        <f t="shared" si="6"/>
        <v>1</v>
      </c>
      <c r="T38" s="136">
        <f t="shared" si="7"/>
        <v>0</v>
      </c>
      <c r="U38" s="119"/>
      <c r="V38" s="119"/>
      <c r="W38" s="119"/>
      <c r="X38" s="119"/>
      <c r="Y38" s="119"/>
      <c r="Z38" s="119"/>
      <c r="AA38" s="119"/>
      <c r="AB38" s="134" t="s">
        <v>81</v>
      </c>
      <c r="AC38" s="138">
        <f t="shared" si="8"/>
        <v>1</v>
      </c>
      <c r="AD38" s="139">
        <f t="shared" si="9"/>
        <v>0</v>
      </c>
    </row>
    <row r="39" spans="1:30" ht="22.5" customHeight="1">
      <c r="A39" s="120">
        <v>62</v>
      </c>
      <c r="B39" s="150" t="str">
        <f>VLOOKUP(C39,Lists!I:J,2,FALSE)</f>
        <v>Healer</v>
      </c>
      <c r="C39" s="95" t="s">
        <v>9</v>
      </c>
      <c r="D39" s="122" t="s">
        <v>30</v>
      </c>
      <c r="E39" s="123" t="s">
        <v>451</v>
      </c>
      <c r="F39" s="122" t="s">
        <v>483</v>
      </c>
      <c r="G39" s="124">
        <v>0</v>
      </c>
      <c r="H39" s="124">
        <v>41</v>
      </c>
      <c r="I39" s="96">
        <f t="shared" si="0"/>
        <v>41</v>
      </c>
      <c r="J39" s="125">
        <v>47117</v>
      </c>
      <c r="K39" s="125">
        <v>101834</v>
      </c>
      <c r="L39" s="125">
        <v>629650</v>
      </c>
      <c r="M39" s="126">
        <f>I39/(HLOOKUP(F39,Team_Composition_23[[#All],[Yellow]:[Red]],10,FALSE)+HLOOKUP(F39,Team_Composition_23[[#All],[Yellow]:[Red]],11,FALSE))</f>
        <v>4.9939098660170524E-2</v>
      </c>
      <c r="N39" s="126">
        <f>J39/HLOOKUP(F39,Team_Composition_23[[#All],[Yellow]:[Red]],6,FALSE)</f>
        <v>2.6702135768490436E-3</v>
      </c>
      <c r="O39" s="126">
        <f>K39/HLOOKUP(F39,Team_Composition_23[[#All],[Yellow]:[Red]],8,FALSE)</f>
        <v>2.313571052376528E-3</v>
      </c>
      <c r="P39" s="126">
        <f>L39/HLOOKUP(F39,Team_Composition_23[[#All],[Yellow]:[Red]],7,FALSE)</f>
        <v>2.5945252529739383E-2</v>
      </c>
      <c r="Q39" s="119"/>
      <c r="R39" s="134" t="s">
        <v>48</v>
      </c>
      <c r="S39" s="135">
        <f t="shared" si="6"/>
        <v>0</v>
      </c>
      <c r="T39" s="136">
        <f t="shared" si="7"/>
        <v>1</v>
      </c>
      <c r="U39" s="119"/>
      <c r="V39" s="119"/>
      <c r="W39" s="119"/>
      <c r="X39" s="119"/>
      <c r="Y39" s="119"/>
      <c r="Z39" s="119"/>
      <c r="AA39" s="119"/>
      <c r="AB39" s="134" t="s">
        <v>48</v>
      </c>
      <c r="AC39" s="138">
        <f t="shared" si="8"/>
        <v>0</v>
      </c>
      <c r="AD39" s="139">
        <f t="shared" si="9"/>
        <v>0</v>
      </c>
    </row>
    <row r="40" spans="1:30" ht="22.5" customHeight="1">
      <c r="A40" s="120">
        <v>63</v>
      </c>
      <c r="B40" s="94" t="str">
        <f>VLOOKUP(C40,Lists!I:J,2,FALSE)</f>
        <v>Healer</v>
      </c>
      <c r="C40" s="95" t="str">
        <f>VLOOKUP(E40&amp;D40,Lists!C:E,3,FALSE)</f>
        <v>Wand/Longbow</v>
      </c>
      <c r="D40" s="122" t="s">
        <v>34</v>
      </c>
      <c r="E40" s="123" t="s">
        <v>44</v>
      </c>
      <c r="F40" s="122" t="s">
        <v>476</v>
      </c>
      <c r="G40" s="124">
        <v>0</v>
      </c>
      <c r="H40" s="124">
        <v>40</v>
      </c>
      <c r="I40" s="96">
        <f t="shared" si="0"/>
        <v>40</v>
      </c>
      <c r="J40" s="125">
        <v>112608</v>
      </c>
      <c r="K40" s="125">
        <v>1074530</v>
      </c>
      <c r="L40" s="125">
        <v>2464286</v>
      </c>
      <c r="M40" s="126">
        <f>I40/(HLOOKUP(F40,Team_Composition_23[[#All],[Yellow]:[Red]],10,FALSE)+HLOOKUP(F40,Team_Composition_23[[#All],[Yellow]:[Red]],11,FALSE))</f>
        <v>9.997500624843789E-3</v>
      </c>
      <c r="N40" s="126">
        <f>J40/HLOOKUP(F40,Team_Composition_23[[#All],[Yellow]:[Red]],6,FALSE)</f>
        <v>2.5382976774806169E-3</v>
      </c>
      <c r="O40" s="126">
        <f>K40/HLOOKUP(F40,Team_Composition_23[[#All],[Yellow]:[Red]],8,FALSE)</f>
        <v>6.133595163083147E-2</v>
      </c>
      <c r="P40" s="126">
        <f>L40/HLOOKUP(F40,Team_Composition_23[[#All],[Yellow]:[Red]],7,FALSE)</f>
        <v>0.19036917909883944</v>
      </c>
      <c r="Q40" s="119"/>
      <c r="R40" s="134" t="s">
        <v>50</v>
      </c>
      <c r="S40" s="135">
        <f t="shared" si="6"/>
        <v>0</v>
      </c>
      <c r="T40" s="136">
        <f t="shared" si="7"/>
        <v>1</v>
      </c>
      <c r="U40" s="119"/>
      <c r="V40" s="119"/>
      <c r="W40" s="119"/>
      <c r="X40" s="119"/>
      <c r="Y40" s="119"/>
      <c r="Z40" s="119"/>
      <c r="AA40" s="119"/>
      <c r="AB40" s="134" t="s">
        <v>50</v>
      </c>
      <c r="AC40" s="138">
        <f t="shared" si="8"/>
        <v>0</v>
      </c>
      <c r="AD40" s="139">
        <f t="shared" si="9"/>
        <v>0</v>
      </c>
    </row>
    <row r="41" spans="1:30" ht="22.5" customHeight="1">
      <c r="A41" s="120">
        <v>64</v>
      </c>
      <c r="B41" s="109" t="str">
        <f>VLOOKUP(C41,Lists!I:J,2,FALSE)</f>
        <v>Healer</v>
      </c>
      <c r="C41" s="95" t="str">
        <f>VLOOKUP(E41&amp;D41,Lists!C:E,3,FALSE)</f>
        <v>Wand/Orb</v>
      </c>
      <c r="D41" s="122" t="s">
        <v>30</v>
      </c>
      <c r="E41" s="123" t="s">
        <v>440</v>
      </c>
      <c r="F41" s="122" t="s">
        <v>483</v>
      </c>
      <c r="G41" s="124">
        <v>0</v>
      </c>
      <c r="H41" s="124">
        <v>40</v>
      </c>
      <c r="I41" s="96">
        <f t="shared" si="0"/>
        <v>40</v>
      </c>
      <c r="J41" s="125">
        <v>81464</v>
      </c>
      <c r="K41" s="125">
        <v>739470</v>
      </c>
      <c r="L41" s="125">
        <v>695697</v>
      </c>
      <c r="M41" s="126">
        <f>I41/(HLOOKUP(F41,Team_Composition_23[[#All],[Yellow]:[Red]],10,FALSE)+HLOOKUP(F41,Team_Composition_23[[#All],[Yellow]:[Red]],11,FALSE))</f>
        <v>4.8721071863580996E-2</v>
      </c>
      <c r="N41" s="126">
        <f>J41/HLOOKUP(F41,Team_Composition_23[[#All],[Yellow]:[Red]],6,FALSE)</f>
        <v>4.6167259975047328E-3</v>
      </c>
      <c r="O41" s="126">
        <f>K41/HLOOKUP(F41,Team_Composition_23[[#All],[Yellow]:[Red]],8,FALSE)</f>
        <v>1.6800050927007395E-2</v>
      </c>
      <c r="P41" s="126">
        <f>L41/HLOOKUP(F41,Team_Composition_23[[#All],[Yellow]:[Red]],7,FALSE)</f>
        <v>2.866677415894878E-2</v>
      </c>
      <c r="Q41" s="119"/>
      <c r="R41" s="134" t="s">
        <v>52</v>
      </c>
      <c r="S41" s="135">
        <f t="shared" si="6"/>
        <v>1</v>
      </c>
      <c r="T41" s="136">
        <f t="shared" si="7"/>
        <v>1</v>
      </c>
      <c r="U41" s="119"/>
      <c r="V41" s="119"/>
      <c r="W41" s="119"/>
      <c r="X41" s="119"/>
      <c r="Y41" s="119"/>
      <c r="Z41" s="119"/>
      <c r="AA41" s="119"/>
      <c r="AB41" s="134" t="s">
        <v>52</v>
      </c>
      <c r="AC41" s="138">
        <f t="shared" si="8"/>
        <v>1</v>
      </c>
      <c r="AD41" s="139">
        <f t="shared" si="9"/>
        <v>0</v>
      </c>
    </row>
    <row r="42" spans="1:30" ht="22.5" customHeight="1">
      <c r="A42" s="120">
        <v>27</v>
      </c>
      <c r="B42" s="145" t="s">
        <v>25</v>
      </c>
      <c r="C42" s="95" t="str">
        <f>VLOOKUP(E42&amp;D42,Lists!C:E,3,FALSE)</f>
        <v>Greatsword/Dagger</v>
      </c>
      <c r="D42" s="122" t="s">
        <v>30</v>
      </c>
      <c r="E42" s="123" t="s">
        <v>395</v>
      </c>
      <c r="F42" s="122" t="s">
        <v>483</v>
      </c>
      <c r="G42" s="124">
        <v>12</v>
      </c>
      <c r="H42" s="124">
        <v>27</v>
      </c>
      <c r="I42" s="96">
        <f t="shared" si="0"/>
        <v>39</v>
      </c>
      <c r="J42" s="125">
        <v>2811255</v>
      </c>
      <c r="K42" s="125">
        <v>1002820</v>
      </c>
      <c r="L42" s="125">
        <v>1587</v>
      </c>
      <c r="M42" s="126">
        <f>I42/(HLOOKUP(F42,Team_Composition_23[[#All],[Yellow]:[Red]],10,FALSE)+HLOOKUP(F42,Team_Composition_23[[#All],[Yellow]:[Red]],11,FALSE))</f>
        <v>4.7503045066991476E-2</v>
      </c>
      <c r="N42" s="126">
        <f>J42/HLOOKUP(F42,Team_Composition_23[[#All],[Yellow]:[Red]],6,FALSE)</f>
        <v>0.15931938088131159</v>
      </c>
      <c r="O42" s="126">
        <f>K42/HLOOKUP(F42,Team_Composition_23[[#All],[Yellow]:[Red]],8,FALSE)</f>
        <v>2.2783110972211928E-2</v>
      </c>
      <c r="P42" s="126">
        <f>L42/HLOOKUP(F42,Team_Composition_23[[#All],[Yellow]:[Red]],7,FALSE)</f>
        <v>6.5393656419751294E-5</v>
      </c>
      <c r="Q42" s="119"/>
      <c r="R42" s="134" t="s">
        <v>32</v>
      </c>
      <c r="S42" s="135">
        <f t="shared" si="6"/>
        <v>2</v>
      </c>
      <c r="T42" s="136">
        <f t="shared" si="7"/>
        <v>1</v>
      </c>
      <c r="U42" s="119"/>
      <c r="V42" s="119"/>
      <c r="W42" s="119"/>
      <c r="X42" s="119"/>
      <c r="Y42" s="119"/>
      <c r="Z42" s="119"/>
      <c r="AA42" s="119"/>
      <c r="AB42" s="134" t="s">
        <v>32</v>
      </c>
      <c r="AC42" s="138">
        <f t="shared" si="8"/>
        <v>2</v>
      </c>
      <c r="AD42" s="139">
        <f t="shared" si="9"/>
        <v>0</v>
      </c>
    </row>
    <row r="43" spans="1:30" ht="22.5" customHeight="1">
      <c r="A43" s="120">
        <v>28</v>
      </c>
      <c r="B43" s="146" t="str">
        <f>VLOOKUP(C43,Lists!I:J,2,FALSE)</f>
        <v>Melee DPS</v>
      </c>
      <c r="C43" s="95" t="str">
        <f>VLOOKUP(E43&amp;D43,Lists!C:E,3,FALSE)</f>
        <v>Spear/Dagger</v>
      </c>
      <c r="D43" s="122" t="s">
        <v>30</v>
      </c>
      <c r="E43" s="123" t="s">
        <v>228</v>
      </c>
      <c r="F43" s="122" t="s">
        <v>483</v>
      </c>
      <c r="G43" s="124">
        <v>12</v>
      </c>
      <c r="H43" s="124">
        <v>26</v>
      </c>
      <c r="I43" s="96">
        <f t="shared" si="0"/>
        <v>38</v>
      </c>
      <c r="J43" s="125">
        <v>967655</v>
      </c>
      <c r="K43" s="125">
        <v>1056264</v>
      </c>
      <c r="L43" s="125">
        <v>18193</v>
      </c>
      <c r="M43" s="126">
        <f>I43/(HLOOKUP(F43,Team_Composition_23[[#All],[Yellow]:[Red]],10,FALSE)+HLOOKUP(F43,Team_Composition_23[[#All],[Yellow]:[Red]],11,FALSE))</f>
        <v>4.6285018270401948E-2</v>
      </c>
      <c r="N43" s="126">
        <f>J43/HLOOKUP(F43,Team_Composition_23[[#All],[Yellow]:[Red]],6,FALSE)</f>
        <v>5.4838922654368093E-2</v>
      </c>
      <c r="O43" s="126">
        <f>K43/HLOOKUP(F43,Team_Composition_23[[#All],[Yellow]:[Red]],8,FALSE)</f>
        <v>2.3997307520743964E-2</v>
      </c>
      <c r="P43" s="126">
        <f>L43/HLOOKUP(F43,Team_Composition_23[[#All],[Yellow]:[Red]],7,FALSE)</f>
        <v>7.4965771344961258E-4</v>
      </c>
      <c r="Q43" s="119"/>
      <c r="R43" s="134" t="s">
        <v>56</v>
      </c>
      <c r="S43" s="135">
        <f t="shared" si="6"/>
        <v>0</v>
      </c>
      <c r="T43" s="136">
        <f t="shared" si="7"/>
        <v>0</v>
      </c>
      <c r="U43" s="119"/>
      <c r="V43" s="119"/>
      <c r="W43" s="119"/>
      <c r="X43" s="119"/>
      <c r="Y43" s="119"/>
      <c r="Z43" s="119"/>
      <c r="AA43" s="119"/>
      <c r="AB43" s="134" t="s">
        <v>56</v>
      </c>
      <c r="AC43" s="138">
        <f t="shared" si="8"/>
        <v>0</v>
      </c>
      <c r="AD43" s="139">
        <f t="shared" si="9"/>
        <v>0</v>
      </c>
    </row>
    <row r="44" spans="1:30" ht="22.5" customHeight="1">
      <c r="A44" s="120">
        <v>24</v>
      </c>
      <c r="B44" s="121" t="str">
        <f>VLOOKUP(C44,Lists!I:J,2,FALSE)</f>
        <v>KS</v>
      </c>
      <c r="C44" s="95" t="str">
        <f>VLOOKUP(E44&amp;D44,Lists!C:E,3,FALSE)</f>
        <v>Greatsword/Dagger</v>
      </c>
      <c r="D44" s="122" t="s">
        <v>30</v>
      </c>
      <c r="E44" s="123" t="s">
        <v>396</v>
      </c>
      <c r="F44" s="122" t="s">
        <v>483</v>
      </c>
      <c r="G44" s="124">
        <v>15</v>
      </c>
      <c r="H44" s="124">
        <v>22</v>
      </c>
      <c r="I44" s="96">
        <f t="shared" si="0"/>
        <v>37</v>
      </c>
      <c r="J44" s="125">
        <v>7942</v>
      </c>
      <c r="K44" s="125">
        <v>201184</v>
      </c>
      <c r="L44" s="125">
        <v>7516</v>
      </c>
      <c r="M44" s="126">
        <f>I44/(HLOOKUP(F44,Team_Composition_23[[#All],[Yellow]:[Red]],10,FALSE)+HLOOKUP(F44,Team_Composition_23[[#All],[Yellow]:[Red]],11,FALSE))</f>
        <v>4.5066991473812421E-2</v>
      </c>
      <c r="N44" s="126">
        <f>J44/HLOOKUP(F44,Team_Composition_23[[#All],[Yellow]:[Red]],6,FALSE)</f>
        <v>4.5008884749315759E-4</v>
      </c>
      <c r="O44" s="126">
        <f>K44/HLOOKUP(F44,Team_Composition_23[[#All],[Yellow]:[Red]],8,FALSE)</f>
        <v>4.570708001269904E-3</v>
      </c>
      <c r="P44" s="126">
        <f>L44/HLOOKUP(F44,Team_Composition_23[[#All],[Yellow]:[Red]],7,FALSE)</f>
        <v>3.0970303821729721E-4</v>
      </c>
      <c r="Q44" s="119"/>
      <c r="R44" s="134" t="s">
        <v>58</v>
      </c>
      <c r="S44" s="135">
        <f t="shared" si="6"/>
        <v>2</v>
      </c>
      <c r="T44" s="136">
        <f t="shared" si="7"/>
        <v>1</v>
      </c>
      <c r="U44" s="119"/>
      <c r="V44" s="119"/>
      <c r="W44" s="119"/>
      <c r="X44" s="119"/>
      <c r="Y44" s="119"/>
      <c r="Z44" s="119"/>
      <c r="AA44" s="119"/>
      <c r="AB44" s="134" t="s">
        <v>58</v>
      </c>
      <c r="AC44" s="138">
        <f t="shared" si="8"/>
        <v>2</v>
      </c>
      <c r="AD44" s="139">
        <f t="shared" si="9"/>
        <v>0</v>
      </c>
    </row>
    <row r="45" spans="1:30" ht="22.5" customHeight="1">
      <c r="A45" s="120">
        <v>29</v>
      </c>
      <c r="B45" s="106" t="str">
        <f>VLOOKUP(C45,Lists!I:J,2,FALSE)</f>
        <v>KS</v>
      </c>
      <c r="C45" s="95" t="str">
        <f>VLOOKUP(E45&amp;D45,Lists!C:E,3,FALSE)</f>
        <v>Crossbow/Dagger</v>
      </c>
      <c r="D45" s="122" t="s">
        <v>30</v>
      </c>
      <c r="E45" s="123" t="s">
        <v>229</v>
      </c>
      <c r="F45" s="122" t="s">
        <v>483</v>
      </c>
      <c r="G45" s="124">
        <v>12</v>
      </c>
      <c r="H45" s="124">
        <v>25</v>
      </c>
      <c r="I45" s="96">
        <f t="shared" si="0"/>
        <v>37</v>
      </c>
      <c r="J45" s="125">
        <v>1520526</v>
      </c>
      <c r="K45" s="125">
        <v>1536207</v>
      </c>
      <c r="L45" s="125">
        <v>10534</v>
      </c>
      <c r="M45" s="126">
        <f>I45/(HLOOKUP(F45,Team_Composition_23[[#All],[Yellow]:[Red]],10,FALSE)+HLOOKUP(F45,Team_Composition_23[[#All],[Yellow]:[Red]],11,FALSE))</f>
        <v>4.5066991473812421E-2</v>
      </c>
      <c r="N45" s="126">
        <f>J45/HLOOKUP(F45,Team_Composition_23[[#All],[Yellow]:[Red]],6,FALSE)</f>
        <v>8.6171215679096053E-2</v>
      </c>
      <c r="O45" s="126">
        <f>K45/HLOOKUP(F45,Team_Composition_23[[#All],[Yellow]:[Red]],8,FALSE)</f>
        <v>3.4901153304968756E-2</v>
      </c>
      <c r="P45" s="126">
        <f>L45/HLOOKUP(F45,Team_Composition_23[[#All],[Yellow]:[Red]],7,FALSE)</f>
        <v>4.340622411629868E-4</v>
      </c>
      <c r="Q45" s="119"/>
      <c r="R45" s="134" t="s">
        <v>60</v>
      </c>
      <c r="S45" s="135">
        <f t="shared" si="6"/>
        <v>0</v>
      </c>
      <c r="T45" s="136">
        <f t="shared" si="7"/>
        <v>0</v>
      </c>
      <c r="U45" s="119"/>
      <c r="V45" s="119"/>
      <c r="W45" s="119"/>
      <c r="X45" s="119"/>
      <c r="Y45" s="119"/>
      <c r="Z45" s="119"/>
      <c r="AA45" s="119"/>
      <c r="AB45" s="134" t="s">
        <v>60</v>
      </c>
      <c r="AC45" s="138">
        <f t="shared" si="8"/>
        <v>0</v>
      </c>
      <c r="AD45" s="139">
        <f t="shared" si="9"/>
        <v>0</v>
      </c>
    </row>
    <row r="46" spans="1:30" ht="22.5" customHeight="1">
      <c r="A46" s="120">
        <v>34</v>
      </c>
      <c r="B46" s="133" t="str">
        <f>VLOOKUP(C46,Lists!I:J,2,FALSE)</f>
        <v>Melee DPS</v>
      </c>
      <c r="C46" s="95" t="str">
        <f>VLOOKUP(E46&amp;D46,Lists!C:E,3,FALSE)</f>
        <v>Greatsword/Spear</v>
      </c>
      <c r="D46" s="122" t="s">
        <v>30</v>
      </c>
      <c r="E46" s="123" t="s">
        <v>398</v>
      </c>
      <c r="F46" s="122" t="s">
        <v>483</v>
      </c>
      <c r="G46" s="124">
        <v>7</v>
      </c>
      <c r="H46" s="124">
        <v>30</v>
      </c>
      <c r="I46" s="96">
        <f t="shared" si="0"/>
        <v>37</v>
      </c>
      <c r="J46" s="125">
        <v>1787300</v>
      </c>
      <c r="K46" s="125">
        <v>918475</v>
      </c>
      <c r="L46" s="125">
        <v>66459</v>
      </c>
      <c r="M46" s="126">
        <f>I46/(HLOOKUP(F46,Team_Composition_23[[#All],[Yellow]:[Red]],10,FALSE)+HLOOKUP(F46,Team_Composition_23[[#All],[Yellow]:[Red]],11,FALSE))</f>
        <v>4.5066991473812421E-2</v>
      </c>
      <c r="N46" s="126">
        <f>J46/HLOOKUP(F46,Team_Composition_23[[#All],[Yellow]:[Red]],6,FALSE)</f>
        <v>0.10128982587818189</v>
      </c>
      <c r="O46" s="126">
        <f>K46/HLOOKUP(F46,Team_Composition_23[[#All],[Yellow]:[Red]],8,FALSE)</f>
        <v>2.0866873267587755E-2</v>
      </c>
      <c r="P46" s="126">
        <f>L46/HLOOKUP(F46,Team_Composition_23[[#All],[Yellow]:[Red]],7,FALSE)</f>
        <v>2.7384984322622878E-3</v>
      </c>
      <c r="Q46" s="119"/>
      <c r="R46" s="134" t="s">
        <v>63</v>
      </c>
      <c r="S46" s="135">
        <f t="shared" si="6"/>
        <v>0</v>
      </c>
      <c r="T46" s="136">
        <f t="shared" si="7"/>
        <v>0</v>
      </c>
      <c r="U46" s="119"/>
      <c r="V46" s="119"/>
      <c r="W46" s="119"/>
      <c r="X46" s="119"/>
      <c r="Y46" s="119"/>
      <c r="Z46" s="119"/>
      <c r="AA46" s="119"/>
      <c r="AB46" s="134" t="s">
        <v>63</v>
      </c>
      <c r="AC46" s="138">
        <f t="shared" si="8"/>
        <v>0</v>
      </c>
      <c r="AD46" s="139">
        <f t="shared" si="9"/>
        <v>0</v>
      </c>
    </row>
    <row r="47" spans="1:30" ht="22.5" customHeight="1">
      <c r="A47" s="120">
        <v>65</v>
      </c>
      <c r="B47" s="150" t="str">
        <f>VLOOKUP(C47,Lists!I:J,2,FALSE)</f>
        <v>Healer</v>
      </c>
      <c r="C47" s="95" t="str">
        <f>VLOOKUP(E47&amp;D47,Lists!C:E,3,FALSE)</f>
        <v>Wand/Longbow</v>
      </c>
      <c r="D47" s="122" t="s">
        <v>34</v>
      </c>
      <c r="E47" s="123" t="s">
        <v>157</v>
      </c>
      <c r="F47" s="122" t="s">
        <v>476</v>
      </c>
      <c r="G47" s="124">
        <v>0</v>
      </c>
      <c r="H47" s="124">
        <v>33</v>
      </c>
      <c r="I47" s="96">
        <f t="shared" si="0"/>
        <v>33</v>
      </c>
      <c r="J47" s="125">
        <v>7925</v>
      </c>
      <c r="K47" s="125">
        <v>341823</v>
      </c>
      <c r="L47" s="125">
        <v>1245961</v>
      </c>
      <c r="M47" s="126">
        <f>I47/(HLOOKUP(F47,Team_Composition_23[[#All],[Yellow]:[Red]],10,FALSE)+HLOOKUP(F47,Team_Composition_23[[#All],[Yellow]:[Red]],11,FALSE))</f>
        <v>8.2479380154961267E-3</v>
      </c>
      <c r="N47" s="126">
        <f>J47/HLOOKUP(F47,Team_Composition_23[[#All],[Yellow]:[Red]],6,FALSE)</f>
        <v>1.7863747774610943E-4</v>
      </c>
      <c r="O47" s="126">
        <f>K47/HLOOKUP(F47,Team_Composition_23[[#All],[Yellow]:[Red]],8,FALSE)</f>
        <v>1.9511822838176415E-2</v>
      </c>
      <c r="P47" s="126">
        <f>L47/HLOOKUP(F47,Team_Composition_23[[#All],[Yellow]:[Red]],7,FALSE)</f>
        <v>9.6252047351309489E-2</v>
      </c>
      <c r="Q47" s="119"/>
      <c r="R47" s="137"/>
      <c r="S47" s="148"/>
      <c r="T47" s="148"/>
      <c r="U47" s="119"/>
      <c r="V47" s="119"/>
      <c r="W47" s="119"/>
      <c r="X47" s="119"/>
      <c r="Y47" s="119"/>
      <c r="Z47" s="119"/>
      <c r="AA47" s="119"/>
      <c r="AB47" s="137"/>
      <c r="AC47" s="148"/>
      <c r="AD47" s="148"/>
    </row>
    <row r="48" spans="1:30" ht="22.5" customHeight="1">
      <c r="A48" s="120">
        <v>66</v>
      </c>
      <c r="B48" s="151" t="str">
        <f>VLOOKUP(C48,Lists!I:J,2,FALSE)</f>
        <v>Healer</v>
      </c>
      <c r="C48" s="95" t="str">
        <f>VLOOKUP(E48&amp;D48,Lists!C:E,3,FALSE)</f>
        <v>Wand/Longbow</v>
      </c>
      <c r="D48" s="122" t="s">
        <v>30</v>
      </c>
      <c r="E48" s="123" t="s">
        <v>191</v>
      </c>
      <c r="F48" s="122" t="s">
        <v>483</v>
      </c>
      <c r="G48" s="124">
        <v>0</v>
      </c>
      <c r="H48" s="124">
        <v>33</v>
      </c>
      <c r="I48" s="96">
        <f t="shared" si="0"/>
        <v>33</v>
      </c>
      <c r="J48" s="125">
        <v>462422</v>
      </c>
      <c r="K48" s="125">
        <v>613731</v>
      </c>
      <c r="L48" s="125">
        <v>555219</v>
      </c>
      <c r="M48" s="126">
        <f>I48/(HLOOKUP(F48,Team_Composition_23[[#All],[Yellow]:[Red]],10,FALSE)+HLOOKUP(F48,Team_Composition_23[[#All],[Yellow]:[Red]],11,FALSE))</f>
        <v>4.0194884287454324E-2</v>
      </c>
      <c r="N48" s="126">
        <f>J48/HLOOKUP(F48,Team_Composition_23[[#All],[Yellow]:[Red]],6,FALSE)</f>
        <v>2.6206369306910213E-2</v>
      </c>
      <c r="O48" s="126">
        <f>K48/HLOOKUP(F48,Team_Composition_23[[#All],[Yellow]:[Red]],8,FALSE)</f>
        <v>1.3943381145256974E-2</v>
      </c>
      <c r="P48" s="126">
        <f>L48/HLOOKUP(F48,Team_Composition_23[[#All],[Yellow]:[Red]],7,FALSE)</f>
        <v>2.2878261199570191E-2</v>
      </c>
      <c r="Q48" s="119"/>
      <c r="R48" s="119"/>
      <c r="S48" s="148"/>
      <c r="T48" s="148"/>
      <c r="U48" s="119"/>
      <c r="V48" s="119"/>
      <c r="W48" s="119"/>
      <c r="X48" s="119"/>
      <c r="Y48" s="119"/>
      <c r="Z48" s="119"/>
      <c r="AA48" s="119"/>
      <c r="AB48" s="119"/>
      <c r="AC48" s="148"/>
      <c r="AD48" s="148"/>
    </row>
    <row r="49" spans="1:30" ht="22.5" customHeight="1">
      <c r="A49" s="120">
        <v>67</v>
      </c>
      <c r="B49" s="149" t="str">
        <f>VLOOKUP(C49,Lists!I:J,2,FALSE)</f>
        <v>Healer</v>
      </c>
      <c r="C49" s="95" t="str">
        <f>VLOOKUP(E49&amp;D49,Lists!C:E,3,FALSE)</f>
        <v>Wand/Orb</v>
      </c>
      <c r="D49" s="122" t="s">
        <v>30</v>
      </c>
      <c r="E49" s="123" t="s">
        <v>419</v>
      </c>
      <c r="F49" s="122" t="s">
        <v>483</v>
      </c>
      <c r="G49" s="124">
        <v>0</v>
      </c>
      <c r="H49" s="124">
        <v>33</v>
      </c>
      <c r="I49" s="96">
        <f t="shared" si="0"/>
        <v>33</v>
      </c>
      <c r="J49" s="125">
        <v>40124</v>
      </c>
      <c r="K49" s="125">
        <v>335372</v>
      </c>
      <c r="L49" s="125">
        <v>612729</v>
      </c>
      <c r="M49" s="126">
        <f>I49/(HLOOKUP(F49,Team_Composition_23[[#All],[Yellow]:[Red]],10,FALSE)+HLOOKUP(F49,Team_Composition_23[[#All],[Yellow]:[Red]],11,FALSE))</f>
        <v>4.0194884287454324E-2</v>
      </c>
      <c r="N49" s="126">
        <f>J49/HLOOKUP(F49,Team_Composition_23[[#All],[Yellow]:[Red]],6,FALSE)</f>
        <v>2.273906436264852E-3</v>
      </c>
      <c r="O49" s="126">
        <f>K49/HLOOKUP(F49,Team_Composition_23[[#All],[Yellow]:[Red]],8,FALSE)</f>
        <v>7.6193309796101583E-3</v>
      </c>
      <c r="P49" s="126">
        <f>L49/HLOOKUP(F49,Team_Composition_23[[#All],[Yellow]:[Red]],7,FALSE)</f>
        <v>2.5248008635423938E-2</v>
      </c>
      <c r="Q49" s="119"/>
      <c r="R49" s="230" t="s">
        <v>67</v>
      </c>
      <c r="S49" s="228"/>
      <c r="T49" s="228"/>
      <c r="U49" s="119"/>
      <c r="V49" s="119"/>
      <c r="W49" s="119"/>
      <c r="X49" s="119"/>
      <c r="Y49" s="119"/>
      <c r="Z49" s="119"/>
      <c r="AA49" s="119"/>
      <c r="AB49" s="230" t="s">
        <v>67</v>
      </c>
      <c r="AC49" s="228"/>
      <c r="AD49" s="228"/>
    </row>
    <row r="50" spans="1:30" ht="22.5" customHeight="1">
      <c r="A50" s="120">
        <v>68</v>
      </c>
      <c r="B50" s="147" t="str">
        <f>VLOOKUP(C50,Lists!I:J,2,FALSE)</f>
        <v>Healer</v>
      </c>
      <c r="C50" s="95" t="str">
        <f>VLOOKUP(E50&amp;D50,Lists!C:E,3,FALSE)</f>
        <v>Wand/Orb</v>
      </c>
      <c r="D50" s="122" t="s">
        <v>34</v>
      </c>
      <c r="E50" s="123" t="s">
        <v>144</v>
      </c>
      <c r="F50" s="122" t="s">
        <v>476</v>
      </c>
      <c r="G50" s="124">
        <v>0</v>
      </c>
      <c r="H50" s="124">
        <v>33</v>
      </c>
      <c r="I50" s="96">
        <f t="shared" si="0"/>
        <v>33</v>
      </c>
      <c r="J50" s="125">
        <v>8155</v>
      </c>
      <c r="K50" s="125">
        <v>503223</v>
      </c>
      <c r="L50" s="125">
        <v>696082</v>
      </c>
      <c r="M50" s="126">
        <f>I50/(HLOOKUP(F50,Team_Composition_23[[#All],[Yellow]:[Red]],10,FALSE)+HLOOKUP(F50,Team_Composition_23[[#All],[Yellow]:[Red]],11,FALSE))</f>
        <v>8.2479380154961267E-3</v>
      </c>
      <c r="N50" s="126">
        <f>J50/HLOOKUP(F50,Team_Composition_23[[#All],[Yellow]:[Red]],6,FALSE)</f>
        <v>1.8382190927691133E-4</v>
      </c>
      <c r="O50" s="126">
        <f>K50/HLOOKUP(F50,Team_Composition_23[[#All],[Yellow]:[Red]],8,FALSE)</f>
        <v>2.8724802087909975E-2</v>
      </c>
      <c r="P50" s="126">
        <f>L50/HLOOKUP(F50,Team_Composition_23[[#All],[Yellow]:[Red]],7,FALSE)</f>
        <v>5.3773206083010797E-2</v>
      </c>
      <c r="Q50" s="119"/>
      <c r="R50" s="129" t="s">
        <v>482</v>
      </c>
      <c r="S50" s="130" t="s">
        <v>476</v>
      </c>
      <c r="T50" s="130" t="s">
        <v>483</v>
      </c>
      <c r="U50" s="119"/>
      <c r="V50" s="119"/>
      <c r="W50" s="119"/>
      <c r="X50" s="119"/>
      <c r="Y50" s="119"/>
      <c r="Z50" s="119"/>
      <c r="AA50" s="119"/>
      <c r="AB50" s="129" t="s">
        <v>482</v>
      </c>
      <c r="AC50" s="130" t="s">
        <v>485</v>
      </c>
      <c r="AD50" s="130" t="s">
        <v>28</v>
      </c>
    </row>
    <row r="51" spans="1:30" ht="22.5" customHeight="1">
      <c r="A51" s="120">
        <v>38</v>
      </c>
      <c r="B51" s="146" t="str">
        <f>VLOOKUP(C51,Lists!I:J,2,FALSE)</f>
        <v>Tank</v>
      </c>
      <c r="C51" s="95" t="str">
        <f>VLOOKUP(E51&amp;D51,Lists!C:E,3,FALSE)</f>
        <v>SnS/Greatsword</v>
      </c>
      <c r="D51" s="122" t="s">
        <v>30</v>
      </c>
      <c r="E51" s="123" t="s">
        <v>507</v>
      </c>
      <c r="F51" s="122" t="s">
        <v>483</v>
      </c>
      <c r="G51" s="124">
        <v>2</v>
      </c>
      <c r="H51" s="124">
        <v>30</v>
      </c>
      <c r="I51" s="96">
        <f t="shared" si="0"/>
        <v>32</v>
      </c>
      <c r="J51" s="125">
        <v>857801</v>
      </c>
      <c r="K51" s="125">
        <v>634917</v>
      </c>
      <c r="L51" s="125">
        <v>15499</v>
      </c>
      <c r="M51" s="126">
        <f>I51/(HLOOKUP(F51,Team_Composition_23[[#All],[Yellow]:[Red]],10,FALSE)+HLOOKUP(F51,Team_Composition_23[[#All],[Yellow]:[Red]],11,FALSE))</f>
        <v>3.8976857490864797E-2</v>
      </c>
      <c r="N51" s="126">
        <f>J51/HLOOKUP(F51,Team_Composition_23[[#All],[Yellow]:[Red]],6,FALSE)</f>
        <v>4.8613279207816426E-2</v>
      </c>
      <c r="O51" s="126">
        <f>K51/HLOOKUP(F51,Team_Composition_23[[#All],[Yellow]:[Red]],8,FALSE)</f>
        <v>1.4424706795979221E-2</v>
      </c>
      <c r="P51" s="126">
        <f>L51/HLOOKUP(F51,Team_Composition_23[[#All],[Yellow]:[Red]],7,FALSE)</f>
        <v>6.3864920028338073E-4</v>
      </c>
      <c r="Q51" s="119"/>
      <c r="R51" s="134" t="s">
        <v>468</v>
      </c>
      <c r="S51" s="135">
        <f>SUMIFS(Scoreboard_37[Damage Dealt],Scoreboard_37[Role],"Tank",Scoreboard_37[Team],"Yellow")</f>
        <v>3105032</v>
      </c>
      <c r="T51" s="136">
        <f>SUMIFS(Scoreboard_37[Damage Dealt],Scoreboard_37[Role],"Tank",Scoreboard_37[Team],"Red")</f>
        <v>4028706</v>
      </c>
      <c r="U51" s="119"/>
      <c r="V51" s="119"/>
      <c r="W51" s="119"/>
      <c r="X51" s="119"/>
      <c r="Y51" s="119"/>
      <c r="Z51" s="119"/>
      <c r="AA51" s="119"/>
      <c r="AB51" s="134" t="s">
        <v>468</v>
      </c>
      <c r="AC51" s="138">
        <f>SUMIFS(Scoreboard_37[Damage Dealt],Scoreboard_37[Role],"Tank",Scoreboard_37[Guild],"Best Regards")</f>
        <v>3105032</v>
      </c>
      <c r="AD51" s="139">
        <f>SUMIFS(Scoreboard_37[Damage Dealt],Scoreboard_37[Role],"Tank",Scoreboard_37[Guild],"Undercooked")</f>
        <v>0</v>
      </c>
    </row>
    <row r="52" spans="1:30" ht="22.5" customHeight="1">
      <c r="A52" s="120">
        <v>31</v>
      </c>
      <c r="B52" s="133" t="str">
        <f>VLOOKUP(C52,Lists!I:J,2,FALSE)</f>
        <v>Ranged DPS</v>
      </c>
      <c r="C52" s="95" t="s">
        <v>48</v>
      </c>
      <c r="D52" s="122" t="s">
        <v>30</v>
      </c>
      <c r="E52" s="123" t="s">
        <v>456</v>
      </c>
      <c r="F52" s="122" t="s">
        <v>483</v>
      </c>
      <c r="G52" s="124">
        <v>9</v>
      </c>
      <c r="H52" s="124">
        <v>22</v>
      </c>
      <c r="I52" s="96">
        <f t="shared" si="0"/>
        <v>31</v>
      </c>
      <c r="J52" s="125">
        <v>1448013</v>
      </c>
      <c r="K52" s="125">
        <v>873698</v>
      </c>
      <c r="L52" s="125">
        <v>0</v>
      </c>
      <c r="M52" s="126">
        <f>I52/(HLOOKUP(F52,Team_Composition_23[[#All],[Yellow]:[Red]],10,FALSE)+HLOOKUP(F52,Team_Composition_23[[#All],[Yellow]:[Red]],11,FALSE))</f>
        <v>3.7758830694275276E-2</v>
      </c>
      <c r="N52" s="126">
        <f>J52/HLOOKUP(F52,Team_Composition_23[[#All],[Yellow]:[Red]],6,FALSE)</f>
        <v>8.2061760554659982E-2</v>
      </c>
      <c r="O52" s="126">
        <f>K52/HLOOKUP(F52,Team_Composition_23[[#All],[Yellow]:[Red]],8,FALSE)</f>
        <v>1.9849582667078456E-2</v>
      </c>
      <c r="P52" s="126">
        <f>L52/HLOOKUP(F52,Team_Composition_23[[#All],[Yellow]:[Red]],7,FALSE)</f>
        <v>0</v>
      </c>
      <c r="Q52" s="119"/>
      <c r="R52" s="134" t="s">
        <v>469</v>
      </c>
      <c r="S52" s="135">
        <f>SUMIFS(Scoreboard_37[Damage Taken],Scoreboard_37[Role],"Tank",Scoreboard_37[Team],"Yellow")</f>
        <v>8644597</v>
      </c>
      <c r="T52" s="136">
        <f>SUMIFS(Scoreboard_37[Damage Taken],Scoreboard_37[Role],"Tank",Scoreboard_37[Team],"Red")</f>
        <v>8272242</v>
      </c>
      <c r="U52" s="119"/>
      <c r="V52" s="119"/>
      <c r="W52" s="119"/>
      <c r="X52" s="119"/>
      <c r="Y52" s="119"/>
      <c r="Z52" s="119"/>
      <c r="AA52" s="119"/>
      <c r="AB52" s="134" t="s">
        <v>469</v>
      </c>
      <c r="AC52" s="138">
        <f>SUMIFS(Scoreboard_37[Damage Taken],Scoreboard_37[Role],"Tank",Scoreboard_37[Guild],"Best Regards")</f>
        <v>8644597</v>
      </c>
      <c r="AD52" s="139">
        <f>SUMIFS(Scoreboard_37[Damage Taken],Scoreboard_37[Role],"Tank",Scoreboard_37[Guild],"Undercooked")</f>
        <v>0</v>
      </c>
    </row>
    <row r="53" spans="1:30" ht="22.5" customHeight="1">
      <c r="A53" s="120">
        <v>44</v>
      </c>
      <c r="B53" s="150" t="str">
        <f>VLOOKUP(C53,Lists!I:J,2,FALSE)</f>
        <v>Healer</v>
      </c>
      <c r="C53" s="95" t="str">
        <f>VLOOKUP(E53&amp;D53,Lists!C:E,3,FALSE)</f>
        <v>Wand/Longbow</v>
      </c>
      <c r="D53" s="122" t="s">
        <v>30</v>
      </c>
      <c r="E53" s="152" t="s">
        <v>444</v>
      </c>
      <c r="F53" s="122" t="s">
        <v>483</v>
      </c>
      <c r="G53" s="124">
        <v>1</v>
      </c>
      <c r="H53" s="124">
        <v>28</v>
      </c>
      <c r="I53" s="96">
        <f t="shared" si="0"/>
        <v>29</v>
      </c>
      <c r="J53" s="125">
        <v>55161</v>
      </c>
      <c r="K53" s="125">
        <v>521717</v>
      </c>
      <c r="L53" s="125">
        <v>1335602</v>
      </c>
      <c r="M53" s="126">
        <f>I53/(HLOOKUP(F53,Team_Composition_23[[#All],[Yellow]:[Red]],10,FALSE)+HLOOKUP(F53,Team_Composition_23[[#All],[Yellow]:[Red]],11,FALSE))</f>
        <v>3.5322777101096221E-2</v>
      </c>
      <c r="N53" s="126">
        <f>J53/HLOOKUP(F53,Team_Composition_23[[#All],[Yellow]:[Red]],6,FALSE)</f>
        <v>3.126082966075304E-3</v>
      </c>
      <c r="O53" s="126">
        <f>K53/HLOOKUP(F53,Team_Composition_23[[#All],[Yellow]:[Red]],8,FALSE)</f>
        <v>1.1852911097793713E-2</v>
      </c>
      <c r="P53" s="126">
        <f>L53/HLOOKUP(F53,Team_Composition_23[[#All],[Yellow]:[Red]],7,FALSE)</f>
        <v>5.5034592502541058E-2</v>
      </c>
      <c r="Q53" s="119"/>
      <c r="R53" s="134" t="s">
        <v>470</v>
      </c>
      <c r="S53" s="135">
        <f>SUMIFS(Scoreboard_37[Amount Healed],Scoreboard_37[Role],"Tank",Scoreboard_37[Team],"Yellow")</f>
        <v>611758</v>
      </c>
      <c r="T53" s="136">
        <f>SUMIFS(Scoreboard_37[Amount Healed],Scoreboard_37[Role],"Tank",Scoreboard_37[Team],"Red")</f>
        <v>1540608</v>
      </c>
      <c r="U53" s="119"/>
      <c r="V53" s="119"/>
      <c r="W53" s="119"/>
      <c r="X53" s="119"/>
      <c r="Y53" s="119"/>
      <c r="Z53" s="119"/>
      <c r="AA53" s="119"/>
      <c r="AB53" s="134" t="s">
        <v>470</v>
      </c>
      <c r="AC53" s="138">
        <f>SUMIFS(Scoreboard_37[Amount Healed],Scoreboard_37[Role],"Tank",Scoreboard_37[Guild],"Best Regards")</f>
        <v>611758</v>
      </c>
      <c r="AD53" s="139">
        <f>SUMIFS(Scoreboard_37[Amount Healed],Scoreboard_37[Role],"Tank",Scoreboard_37[Guild],"Undercooked")</f>
        <v>0</v>
      </c>
    </row>
    <row r="54" spans="1:30" ht="22.5" customHeight="1">
      <c r="A54" s="120">
        <v>69</v>
      </c>
      <c r="B54" s="143" t="str">
        <f>VLOOKUP(C54,Lists!I:J,2,FALSE)</f>
        <v>Healer</v>
      </c>
      <c r="C54" s="95" t="str">
        <f>VLOOKUP(E54&amp;D54,Lists!C:E,3,FALSE)</f>
        <v>Wand/Longbow</v>
      </c>
      <c r="D54" s="122" t="s">
        <v>30</v>
      </c>
      <c r="E54" s="123" t="s">
        <v>414</v>
      </c>
      <c r="F54" s="122" t="s">
        <v>483</v>
      </c>
      <c r="G54" s="124">
        <v>0</v>
      </c>
      <c r="H54" s="124">
        <v>29</v>
      </c>
      <c r="I54" s="96">
        <f t="shared" si="0"/>
        <v>29</v>
      </c>
      <c r="J54" s="125">
        <v>49784</v>
      </c>
      <c r="K54" s="125">
        <v>398855</v>
      </c>
      <c r="L54" s="125">
        <v>1407183</v>
      </c>
      <c r="M54" s="126">
        <f>I54/(HLOOKUP(F54,Team_Composition_23[[#All],[Yellow]:[Red]],10,FALSE)+HLOOKUP(F54,Team_Composition_23[[#All],[Yellow]:[Red]],11,FALSE))</f>
        <v>3.5322777101096221E-2</v>
      </c>
      <c r="N54" s="126">
        <f>J54/HLOOKUP(F54,Team_Composition_23[[#All],[Yellow]:[Red]],6,FALSE)</f>
        <v>2.8213577415763481E-3</v>
      </c>
      <c r="O54" s="126">
        <f>K54/HLOOKUP(F54,Team_Composition_23[[#All],[Yellow]:[Red]],8,FALSE)</f>
        <v>9.061604003531629E-3</v>
      </c>
      <c r="P54" s="126">
        <f>L54/HLOOKUP(F54,Team_Composition_23[[#All],[Yellow]:[Red]],7,FALSE)</f>
        <v>5.7984147209650207E-2</v>
      </c>
      <c r="Q54" s="119"/>
      <c r="R54" s="134" t="s">
        <v>465</v>
      </c>
      <c r="S54" s="135">
        <f>SUMIFS(Scoreboard_37[Kills],Scoreboard_37[Role],"Tank",Scoreboard_37[Team],"Yellow")</f>
        <v>17</v>
      </c>
      <c r="T54" s="136">
        <f>SUMIFS(Scoreboard_37[Kills],Scoreboard_37[Role],"Tank",Scoreboard_37[Team],"Red")</f>
        <v>11</v>
      </c>
      <c r="U54" s="119"/>
      <c r="V54" s="119"/>
      <c r="W54" s="119"/>
      <c r="X54" s="119"/>
      <c r="Y54" s="119"/>
      <c r="Z54" s="119"/>
      <c r="AA54" s="119"/>
      <c r="AB54" s="134" t="s">
        <v>465</v>
      </c>
      <c r="AC54" s="138">
        <f>SUMIFS(Scoreboard_37[Kills],Scoreboard_37[Role],"Tank",Scoreboard_37[Guild],"Best Regards")</f>
        <v>17</v>
      </c>
      <c r="AD54" s="139">
        <f>SUMIFS(Scoreboard_37[Kills],Scoreboard_37[Role],"Tank",Scoreboard_37[Guild],"Undercooked")</f>
        <v>0</v>
      </c>
    </row>
    <row r="55" spans="1:30" ht="22.5" customHeight="1">
      <c r="A55" s="120">
        <v>70</v>
      </c>
      <c r="B55" s="146" t="str">
        <f>VLOOKUP(C55,Lists!I:J,2,FALSE)</f>
        <v>Healer</v>
      </c>
      <c r="C55" s="95" t="s">
        <v>9</v>
      </c>
      <c r="D55" s="122" t="s">
        <v>30</v>
      </c>
      <c r="E55" s="123" t="s">
        <v>453</v>
      </c>
      <c r="F55" s="122" t="s">
        <v>483</v>
      </c>
      <c r="G55" s="124">
        <v>0</v>
      </c>
      <c r="H55" s="124">
        <v>29</v>
      </c>
      <c r="I55" s="96">
        <f t="shared" si="0"/>
        <v>29</v>
      </c>
      <c r="J55" s="125">
        <v>76928</v>
      </c>
      <c r="K55" s="125">
        <v>478082</v>
      </c>
      <c r="L55" s="125">
        <v>1150621</v>
      </c>
      <c r="M55" s="126">
        <f>I55/(HLOOKUP(F55,Team_Composition_23[[#All],[Yellow]:[Red]],10,FALSE)+HLOOKUP(F55,Team_Composition_23[[#All],[Yellow]:[Red]],11,FALSE))</f>
        <v>3.5322777101096221E-2</v>
      </c>
      <c r="N55" s="126">
        <f>J55/HLOOKUP(F55,Team_Composition_23[[#All],[Yellow]:[Red]],6,FALSE)</f>
        <v>4.3596619063149865E-3</v>
      </c>
      <c r="O55" s="126">
        <f>K55/HLOOKUP(F55,Team_Composition_23[[#All],[Yellow]:[Red]],8,FALSE)</f>
        <v>1.0861565644698973E-2</v>
      </c>
      <c r="P55" s="126">
        <f>L55/HLOOKUP(F55,Team_Composition_23[[#All],[Yellow]:[Red]],7,FALSE)</f>
        <v>4.7412296372621711E-2</v>
      </c>
      <c r="Q55" s="119"/>
      <c r="R55" s="134" t="s">
        <v>466</v>
      </c>
      <c r="S55" s="135">
        <f>SUMIFS(Scoreboard_37[Assists],Scoreboard_37[Role],"Tank",Scoreboard_37[Team],"Yellow")</f>
        <v>252</v>
      </c>
      <c r="T55" s="136">
        <f>SUMIFS(Scoreboard_37[Assists],Scoreboard_37[Role],"Tank",Scoreboard_37[Team],"Red")</f>
        <v>234</v>
      </c>
      <c r="U55" s="119"/>
      <c r="V55" s="119"/>
      <c r="W55" s="119"/>
      <c r="X55" s="119"/>
      <c r="Y55" s="119"/>
      <c r="Z55" s="119"/>
      <c r="AA55" s="119"/>
      <c r="AB55" s="134" t="s">
        <v>466</v>
      </c>
      <c r="AC55" s="138">
        <f>SUMIFS(Scoreboard_37[Assists],Scoreboard_37[Role],"Tank",Scoreboard_37[Guild],"Best Regards")</f>
        <v>252</v>
      </c>
      <c r="AD55" s="139">
        <f>SUMIFS(Scoreboard_37[Assists],Scoreboard_37[Role],"Tank",Scoreboard_37[Guild],"Undercooked")</f>
        <v>0</v>
      </c>
    </row>
    <row r="56" spans="1:30" ht="22.5" customHeight="1">
      <c r="A56" s="120">
        <v>71</v>
      </c>
      <c r="B56" s="100" t="str">
        <f>VLOOKUP(C56,Lists!I:J,2,FALSE)</f>
        <v>Healer</v>
      </c>
      <c r="C56" s="95" t="str">
        <f>VLOOKUP(E56&amp;D56,Lists!C:E,3,FALSE)</f>
        <v>Wand/Orb</v>
      </c>
      <c r="D56" s="122" t="s">
        <v>30</v>
      </c>
      <c r="E56" s="123" t="s">
        <v>200</v>
      </c>
      <c r="F56" s="122" t="s">
        <v>483</v>
      </c>
      <c r="G56" s="124">
        <v>0</v>
      </c>
      <c r="H56" s="124">
        <v>29</v>
      </c>
      <c r="I56" s="96">
        <f t="shared" si="0"/>
        <v>29</v>
      </c>
      <c r="J56" s="125">
        <v>14762</v>
      </c>
      <c r="K56" s="125">
        <v>306810</v>
      </c>
      <c r="L56" s="125">
        <v>303961</v>
      </c>
      <c r="M56" s="126">
        <f>I56/(HLOOKUP(F56,Team_Composition_23[[#All],[Yellow]:[Red]],10,FALSE)+HLOOKUP(F56,Team_Composition_23[[#All],[Yellow]:[Red]],11,FALSE))</f>
        <v>3.5322777101096221E-2</v>
      </c>
      <c r="N56" s="126">
        <f>J56/HLOOKUP(F56,Team_Composition_23[[#All],[Yellow]:[Red]],6,FALSE)</f>
        <v>8.3659173592218487E-4</v>
      </c>
      <c r="O56" s="126">
        <f>K56/HLOOKUP(F56,Team_Composition_23[[#All],[Yellow]:[Red]],8,FALSE)</f>
        <v>6.970429665726992E-3</v>
      </c>
      <c r="P56" s="126">
        <f>L56/HLOOKUP(F56,Team_Composition_23[[#All],[Yellow]:[Red]],7,FALSE)</f>
        <v>1.252496609893133E-2</v>
      </c>
      <c r="Q56" s="119"/>
      <c r="R56" s="134" t="s">
        <v>62</v>
      </c>
      <c r="S56" s="135">
        <f t="shared" ref="S56:S60" si="10">COUNTIFS(C:C,R56,F:F,"Yellow")</f>
        <v>3</v>
      </c>
      <c r="T56" s="136">
        <f t="shared" ref="T56:T60" si="11">COUNTIFS(C:C,R56,F:F,"Red")</f>
        <v>4</v>
      </c>
      <c r="U56" s="119"/>
      <c r="V56" s="119"/>
      <c r="W56" s="119"/>
      <c r="X56" s="119"/>
      <c r="Y56" s="119"/>
      <c r="Z56" s="119"/>
      <c r="AA56" s="119"/>
      <c r="AB56" s="134" t="s">
        <v>62</v>
      </c>
      <c r="AC56" s="138">
        <f t="shared" ref="AC56:AC60" si="12">COUNTIFS(C:C,AB56,D:D,"Best Regards")</f>
        <v>3</v>
      </c>
      <c r="AD56" s="139">
        <f t="shared" ref="AD56:AD60" si="13">COUNTIFS(C:C,AB56,D:D,"Undercooked")</f>
        <v>0</v>
      </c>
    </row>
    <row r="57" spans="1:30" ht="22.5" customHeight="1">
      <c r="A57" s="120">
        <v>32</v>
      </c>
      <c r="B57" s="149" t="str">
        <f>VLOOKUP(C57,Lists!I:J,2,FALSE)</f>
        <v>Tank</v>
      </c>
      <c r="C57" s="95" t="str">
        <f>VLOOKUP(E57&amp;D57,Lists!C:E,3,FALSE)</f>
        <v>SnS/Greatsword</v>
      </c>
      <c r="D57" s="122" t="s">
        <v>34</v>
      </c>
      <c r="E57" s="123" t="s">
        <v>173</v>
      </c>
      <c r="F57" s="122" t="s">
        <v>476</v>
      </c>
      <c r="G57" s="124">
        <v>9</v>
      </c>
      <c r="H57" s="124">
        <v>19</v>
      </c>
      <c r="I57" s="96">
        <f t="shared" si="0"/>
        <v>28</v>
      </c>
      <c r="J57" s="125">
        <v>17657</v>
      </c>
      <c r="K57" s="125">
        <v>376125</v>
      </c>
      <c r="L57" s="125">
        <v>24159</v>
      </c>
      <c r="M57" s="126">
        <f>I57/(HLOOKUP(F57,Team_Composition_23[[#All],[Yellow]:[Red]],10,FALSE)+HLOOKUP(F57,Team_Composition_23[[#All],[Yellow]:[Red]],11,FALSE))</f>
        <v>6.9982504373906525E-3</v>
      </c>
      <c r="N57" s="126">
        <f>J57/HLOOKUP(F57,Team_Composition_23[[#All],[Yellow]:[Red]],6,FALSE)</f>
        <v>3.9800655451899735E-4</v>
      </c>
      <c r="O57" s="126">
        <f>K57/HLOOKUP(F57,Team_Composition_23[[#All],[Yellow]:[Red]],8,FALSE)</f>
        <v>2.1469837796196E-2</v>
      </c>
      <c r="P57" s="126">
        <f>L57/HLOOKUP(F57,Team_Composition_23[[#All],[Yellow]:[Red]],7,FALSE)</f>
        <v>1.8663130001342627E-3</v>
      </c>
      <c r="Q57" s="119"/>
      <c r="R57" s="134" t="s">
        <v>70</v>
      </c>
      <c r="S57" s="135">
        <f t="shared" si="10"/>
        <v>1</v>
      </c>
      <c r="T57" s="136">
        <f t="shared" si="11"/>
        <v>0</v>
      </c>
      <c r="U57" s="119"/>
      <c r="V57" s="119"/>
      <c r="W57" s="119"/>
      <c r="X57" s="119"/>
      <c r="Y57" s="119"/>
      <c r="Z57" s="119"/>
      <c r="AA57" s="119"/>
      <c r="AB57" s="134" t="s">
        <v>70</v>
      </c>
      <c r="AC57" s="138">
        <f t="shared" si="12"/>
        <v>1</v>
      </c>
      <c r="AD57" s="139">
        <f t="shared" si="13"/>
        <v>0</v>
      </c>
    </row>
    <row r="58" spans="1:30" ht="22.5" customHeight="1">
      <c r="A58" s="120">
        <v>45</v>
      </c>
      <c r="B58" s="143" t="str">
        <f>VLOOKUP(C58,Lists!I:J,2,FALSE)</f>
        <v>Tank</v>
      </c>
      <c r="C58" s="95" t="str">
        <f>VLOOKUP(E58&amp;D58,Lists!C:E,3,FALSE)</f>
        <v>SnS/Greatsword</v>
      </c>
      <c r="D58" s="122" t="s">
        <v>34</v>
      </c>
      <c r="E58" s="123" t="s">
        <v>174</v>
      </c>
      <c r="F58" s="122" t="s">
        <v>476</v>
      </c>
      <c r="G58" s="124">
        <v>1</v>
      </c>
      <c r="H58" s="124">
        <v>27</v>
      </c>
      <c r="I58" s="96">
        <f t="shared" si="0"/>
        <v>28</v>
      </c>
      <c r="J58" s="125">
        <v>26116</v>
      </c>
      <c r="K58" s="125">
        <v>329313</v>
      </c>
      <c r="L58" s="125">
        <v>71869</v>
      </c>
      <c r="M58" s="126">
        <f>I58/(HLOOKUP(F58,Team_Composition_23[[#All],[Yellow]:[Red]],10,FALSE)+HLOOKUP(F58,Team_Composition_23[[#All],[Yellow]:[Red]],11,FALSE))</f>
        <v>6.9982504373906525E-3</v>
      </c>
      <c r="N58" s="126">
        <f>J58/HLOOKUP(F58,Team_Composition_23[[#All],[Yellow]:[Red]],6,FALSE)</f>
        <v>5.8868092981922949E-4</v>
      </c>
      <c r="O58" s="126">
        <f>K58/HLOOKUP(F58,Team_Composition_23[[#All],[Yellow]:[Red]],8,FALSE)</f>
        <v>1.8797731323838333E-2</v>
      </c>
      <c r="P58" s="126">
        <f>L58/HLOOKUP(F58,Team_Composition_23[[#All],[Yellow]:[Red]],7,FALSE)</f>
        <v>5.5519702391096208E-3</v>
      </c>
      <c r="Q58" s="119"/>
      <c r="R58" s="134" t="s">
        <v>14</v>
      </c>
      <c r="S58" s="135">
        <f t="shared" si="10"/>
        <v>9</v>
      </c>
      <c r="T58" s="136">
        <f t="shared" si="11"/>
        <v>9</v>
      </c>
      <c r="U58" s="119"/>
      <c r="V58" s="119"/>
      <c r="W58" s="119"/>
      <c r="X58" s="119"/>
      <c r="Y58" s="119"/>
      <c r="Z58" s="119"/>
      <c r="AA58" s="119"/>
      <c r="AB58" s="134" t="s">
        <v>14</v>
      </c>
      <c r="AC58" s="138">
        <f t="shared" si="12"/>
        <v>9</v>
      </c>
      <c r="AD58" s="139">
        <f t="shared" si="13"/>
        <v>0</v>
      </c>
    </row>
    <row r="59" spans="1:30" ht="22.5" customHeight="1">
      <c r="A59" s="120">
        <v>72</v>
      </c>
      <c r="B59" s="150" t="str">
        <f>VLOOKUP(C59,Lists!I:J,2,FALSE)</f>
        <v>Healer</v>
      </c>
      <c r="C59" s="95" t="str">
        <f>VLOOKUP(E59&amp;D59,Lists!C:E,3,FALSE)</f>
        <v>Wand/Orb</v>
      </c>
      <c r="D59" s="122" t="s">
        <v>34</v>
      </c>
      <c r="E59" s="123" t="s">
        <v>74</v>
      </c>
      <c r="F59" s="122" t="s">
        <v>476</v>
      </c>
      <c r="G59" s="124">
        <v>0</v>
      </c>
      <c r="H59" s="124">
        <v>28</v>
      </c>
      <c r="I59" s="96">
        <f t="shared" si="0"/>
        <v>28</v>
      </c>
      <c r="J59" s="125">
        <v>67172</v>
      </c>
      <c r="K59" s="125">
        <v>370096</v>
      </c>
      <c r="L59" s="125">
        <v>272519</v>
      </c>
      <c r="M59" s="126">
        <f>I59/(HLOOKUP(F59,Team_Composition_23[[#All],[Yellow]:[Red]],10,FALSE)+HLOOKUP(F59,Team_Composition_23[[#All],[Yellow]:[Red]],11,FALSE))</f>
        <v>6.9982504373906525E-3</v>
      </c>
      <c r="N59" s="126">
        <f>J59/HLOOKUP(F59,Team_Composition_23[[#All],[Yellow]:[Red]],6,FALSE)</f>
        <v>1.5141244990740266E-3</v>
      </c>
      <c r="O59" s="126">
        <f>K59/HLOOKUP(F59,Team_Composition_23[[#All],[Yellow]:[Red]],8,FALSE)</f>
        <v>2.1125692493242816E-2</v>
      </c>
      <c r="P59" s="126">
        <f>L59/HLOOKUP(F59,Team_Composition_23[[#All],[Yellow]:[Red]],7,FALSE)</f>
        <v>2.1052433978376139E-2</v>
      </c>
      <c r="Q59" s="119"/>
      <c r="R59" s="134" t="s">
        <v>73</v>
      </c>
      <c r="S59" s="135">
        <f t="shared" si="10"/>
        <v>2</v>
      </c>
      <c r="T59" s="136">
        <f t="shared" si="11"/>
        <v>1</v>
      </c>
      <c r="U59" s="119"/>
      <c r="V59" s="119"/>
      <c r="W59" s="119"/>
      <c r="X59" s="119"/>
      <c r="Y59" s="119"/>
      <c r="Z59" s="119"/>
      <c r="AA59" s="119"/>
      <c r="AB59" s="134" t="s">
        <v>73</v>
      </c>
      <c r="AC59" s="138">
        <f t="shared" si="12"/>
        <v>2</v>
      </c>
      <c r="AD59" s="139">
        <f t="shared" si="13"/>
        <v>0</v>
      </c>
    </row>
    <row r="60" spans="1:30" ht="22.5" customHeight="1">
      <c r="A60" s="120">
        <v>73</v>
      </c>
      <c r="B60" s="151" t="str">
        <f>VLOOKUP(C60,Lists!I:J,2,FALSE)</f>
        <v>Healer</v>
      </c>
      <c r="C60" s="95" t="str">
        <f>VLOOKUP(E60&amp;D60,Lists!C:E,3,FALSE)</f>
        <v>Wand/Orb</v>
      </c>
      <c r="D60" s="122" t="s">
        <v>30</v>
      </c>
      <c r="E60" s="123" t="s">
        <v>199</v>
      </c>
      <c r="F60" s="122" t="s">
        <v>483</v>
      </c>
      <c r="G60" s="124">
        <v>0</v>
      </c>
      <c r="H60" s="124">
        <v>28</v>
      </c>
      <c r="I60" s="96">
        <f t="shared" si="0"/>
        <v>28</v>
      </c>
      <c r="J60" s="125">
        <v>2807</v>
      </c>
      <c r="K60" s="125">
        <v>409866</v>
      </c>
      <c r="L60" s="125">
        <v>524293</v>
      </c>
      <c r="M60" s="126">
        <f>I60/(HLOOKUP(F60,Team_Composition_23[[#All],[Yellow]:[Red]],10,FALSE)+HLOOKUP(F60,Team_Composition_23[[#All],[Yellow]:[Red]],11,FALSE))</f>
        <v>3.4104750304506701E-2</v>
      </c>
      <c r="N60" s="126">
        <f>J60/HLOOKUP(F60,Team_Composition_23[[#All],[Yellow]:[Red]],6,FALSE)</f>
        <v>1.5907824161587677E-4</v>
      </c>
      <c r="O60" s="126">
        <f>K60/HLOOKUP(F60,Team_Composition_23[[#All],[Yellow]:[Red]],8,FALSE)</f>
        <v>9.3117633889796912E-3</v>
      </c>
      <c r="P60" s="126">
        <f>L60/HLOOKUP(F60,Team_Composition_23[[#All],[Yellow]:[Red]],7,FALSE)</f>
        <v>2.160392961895442E-2</v>
      </c>
      <c r="Q60" s="119"/>
      <c r="R60" s="134" t="s">
        <v>75</v>
      </c>
      <c r="S60" s="135">
        <f t="shared" si="10"/>
        <v>0</v>
      </c>
      <c r="T60" s="136">
        <f t="shared" si="11"/>
        <v>0</v>
      </c>
      <c r="U60" s="119"/>
      <c r="V60" s="119"/>
      <c r="W60" s="119"/>
      <c r="X60" s="119"/>
      <c r="Y60" s="119"/>
      <c r="Z60" s="119"/>
      <c r="AA60" s="119"/>
      <c r="AB60" s="134" t="s">
        <v>75</v>
      </c>
      <c r="AC60" s="138">
        <f t="shared" si="12"/>
        <v>0</v>
      </c>
      <c r="AD60" s="139">
        <f t="shared" si="13"/>
        <v>0</v>
      </c>
    </row>
    <row r="61" spans="1:30" ht="22.5" customHeight="1">
      <c r="A61" s="120">
        <v>25</v>
      </c>
      <c r="B61" s="111" t="str">
        <f>VLOOKUP(C61,Lists!I:J,2,FALSE)</f>
        <v>KS</v>
      </c>
      <c r="C61" s="95" t="s">
        <v>54</v>
      </c>
      <c r="D61" s="122" t="s">
        <v>30</v>
      </c>
      <c r="E61" s="123" t="s">
        <v>452</v>
      </c>
      <c r="F61" s="122" t="s">
        <v>483</v>
      </c>
      <c r="G61" s="124">
        <v>15</v>
      </c>
      <c r="H61" s="124">
        <v>12</v>
      </c>
      <c r="I61" s="96">
        <f t="shared" si="0"/>
        <v>27</v>
      </c>
      <c r="J61" s="125">
        <v>70616</v>
      </c>
      <c r="K61" s="125">
        <v>359610</v>
      </c>
      <c r="L61" s="125">
        <v>0</v>
      </c>
      <c r="M61" s="126">
        <f>I61/(HLOOKUP(F61,Team_Composition_23[[#All],[Yellow]:[Red]],10,FALSE)+HLOOKUP(F61,Team_Composition_23[[#All],[Yellow]:[Red]],11,FALSE))</f>
        <v>3.2886723507917173E-2</v>
      </c>
      <c r="N61" s="126">
        <f>J61/HLOOKUP(F61,Team_Composition_23[[#All],[Yellow]:[Red]],6,FALSE)</f>
        <v>4.0019483825959219E-3</v>
      </c>
      <c r="O61" s="126">
        <f>K61/HLOOKUP(F61,Team_Composition_23[[#All],[Yellow]:[Red]],8,FALSE)</f>
        <v>8.1699951503930238E-3</v>
      </c>
      <c r="P61" s="126">
        <f>L61/HLOOKUP(F61,Team_Composition_23[[#All],[Yellow]:[Red]],7,FALSE)</f>
        <v>0</v>
      </c>
      <c r="Q61" s="119"/>
      <c r="R61" s="137"/>
      <c r="S61" s="148"/>
      <c r="T61" s="148"/>
      <c r="U61" s="119"/>
      <c r="V61" s="119"/>
      <c r="W61" s="119"/>
      <c r="X61" s="119"/>
      <c r="Y61" s="119"/>
      <c r="Z61" s="119"/>
      <c r="AA61" s="119"/>
      <c r="AB61" s="137"/>
      <c r="AC61" s="148"/>
      <c r="AD61" s="148"/>
    </row>
    <row r="62" spans="1:30" ht="22.5" customHeight="1">
      <c r="A62" s="120">
        <v>74</v>
      </c>
      <c r="B62" s="94" t="str">
        <f>VLOOKUP(C62,Lists!I:J,2,FALSE)</f>
        <v>Healer</v>
      </c>
      <c r="C62" s="95" t="str">
        <f>VLOOKUP(E62&amp;D62,Lists!C:E,3,FALSE)</f>
        <v>Wand/Orb</v>
      </c>
      <c r="D62" s="122" t="s">
        <v>30</v>
      </c>
      <c r="E62" s="123" t="s">
        <v>442</v>
      </c>
      <c r="F62" s="122" t="s">
        <v>483</v>
      </c>
      <c r="G62" s="124">
        <v>0</v>
      </c>
      <c r="H62" s="124">
        <v>27</v>
      </c>
      <c r="I62" s="96">
        <f t="shared" si="0"/>
        <v>27</v>
      </c>
      <c r="J62" s="125">
        <v>98516</v>
      </c>
      <c r="K62" s="125">
        <v>835124</v>
      </c>
      <c r="L62" s="125">
        <v>650904</v>
      </c>
      <c r="M62" s="126">
        <f>I62/(HLOOKUP(F62,Team_Composition_23[[#All],[Yellow]:[Red]],10,FALSE)+HLOOKUP(F62,Team_Composition_23[[#All],[Yellow]:[Red]],11,FALSE))</f>
        <v>3.2886723507917173E-2</v>
      </c>
      <c r="N62" s="126">
        <f>J62/HLOOKUP(F62,Team_Composition_23[[#All],[Yellow]:[Red]],6,FALSE)</f>
        <v>5.583096562532852E-3</v>
      </c>
      <c r="O62" s="126">
        <f>K62/HLOOKUP(F62,Team_Composition_23[[#All],[Yellow]:[Red]],8,FALSE)</f>
        <v>1.897321829197415E-2</v>
      </c>
      <c r="P62" s="126">
        <f>L62/HLOOKUP(F62,Team_Composition_23[[#All],[Yellow]:[Red]],7,FALSE)</f>
        <v>2.6821041296938748E-2</v>
      </c>
      <c r="Q62" s="119"/>
      <c r="R62" s="119"/>
      <c r="S62" s="148"/>
      <c r="T62" s="148"/>
      <c r="U62" s="119"/>
      <c r="V62" s="119"/>
      <c r="W62" s="119"/>
      <c r="X62" s="119"/>
      <c r="Y62" s="119"/>
      <c r="Z62" s="119"/>
      <c r="AA62" s="119"/>
      <c r="AB62" s="119"/>
      <c r="AC62" s="148"/>
      <c r="AD62" s="148"/>
    </row>
    <row r="63" spans="1:30" ht="22.5" customHeight="1">
      <c r="A63" s="120">
        <v>33</v>
      </c>
      <c r="B63" s="109" t="str">
        <f>VLOOKUP(C63,Lists!I:J,2,FALSE)</f>
        <v>Melee DPS</v>
      </c>
      <c r="C63" s="95" t="s">
        <v>24</v>
      </c>
      <c r="D63" s="122" t="s">
        <v>30</v>
      </c>
      <c r="E63" s="123" t="s">
        <v>457</v>
      </c>
      <c r="F63" s="122" t="s">
        <v>483</v>
      </c>
      <c r="G63" s="124">
        <v>9</v>
      </c>
      <c r="H63" s="124">
        <v>17</v>
      </c>
      <c r="I63" s="96">
        <f t="shared" si="0"/>
        <v>26</v>
      </c>
      <c r="J63" s="125">
        <v>1278875</v>
      </c>
      <c r="K63" s="125">
        <v>858001</v>
      </c>
      <c r="L63" s="125">
        <v>10619</v>
      </c>
      <c r="M63" s="126">
        <f>I63/(HLOOKUP(F63,Team_Composition_23[[#All],[Yellow]:[Red]],10,FALSE)+HLOOKUP(F63,Team_Composition_23[[#All],[Yellow]:[Red]],11,FALSE))</f>
        <v>3.1668696711327646E-2</v>
      </c>
      <c r="N63" s="126">
        <f>J63/HLOOKUP(F63,Team_Composition_23[[#All],[Yellow]:[Red]],6,FALSE)</f>
        <v>7.2476375577664551E-2</v>
      </c>
      <c r="O63" s="126">
        <f>K63/HLOOKUP(F63,Team_Composition_23[[#All],[Yellow]:[Red]],8,FALSE)</f>
        <v>1.9492961844866284E-2</v>
      </c>
      <c r="P63" s="126">
        <f>L63/HLOOKUP(F63,Team_Composition_23[[#All],[Yellow]:[Red]],7,FALSE)</f>
        <v>4.3756473693846185E-4</v>
      </c>
      <c r="Q63" s="119"/>
      <c r="R63" s="230" t="s">
        <v>11</v>
      </c>
      <c r="S63" s="228"/>
      <c r="T63" s="228"/>
      <c r="U63" s="119"/>
      <c r="V63" s="119"/>
      <c r="W63" s="119"/>
      <c r="X63" s="119"/>
      <c r="Y63" s="119"/>
      <c r="Z63" s="119"/>
      <c r="AA63" s="119"/>
      <c r="AB63" s="230" t="s">
        <v>11</v>
      </c>
      <c r="AC63" s="228"/>
      <c r="AD63" s="228"/>
    </row>
    <row r="64" spans="1:30" ht="22.5" customHeight="1">
      <c r="A64" s="120">
        <v>75</v>
      </c>
      <c r="B64" s="94" t="str">
        <f>VLOOKUP(C64,Lists!I:J,2,FALSE)</f>
        <v>Tank</v>
      </c>
      <c r="C64" s="95" t="str">
        <f>VLOOKUP(E64&amp;D64,Lists!C:E,3,FALSE)</f>
        <v>SnS/Greatsword</v>
      </c>
      <c r="D64" s="122" t="s">
        <v>30</v>
      </c>
      <c r="E64" s="123" t="s">
        <v>408</v>
      </c>
      <c r="F64" s="122" t="s">
        <v>483</v>
      </c>
      <c r="G64" s="124">
        <v>0</v>
      </c>
      <c r="H64" s="124">
        <v>26</v>
      </c>
      <c r="I64" s="96">
        <f t="shared" si="0"/>
        <v>26</v>
      </c>
      <c r="J64" s="125">
        <v>78399</v>
      </c>
      <c r="K64" s="125">
        <v>996378</v>
      </c>
      <c r="L64" s="125">
        <v>41326</v>
      </c>
      <c r="M64" s="126">
        <f>I64/(HLOOKUP(F64,Team_Composition_23[[#All],[Yellow]:[Red]],10,FALSE)+HLOOKUP(F64,Team_Composition_23[[#All],[Yellow]:[Red]],11,FALSE))</f>
        <v>3.1668696711327646E-2</v>
      </c>
      <c r="N64" s="126">
        <f>J64/HLOOKUP(F64,Team_Composition_23[[#All],[Yellow]:[Red]],6,FALSE)</f>
        <v>4.4430263856227725E-3</v>
      </c>
      <c r="O64" s="126">
        <f>K64/HLOOKUP(F64,Team_Composition_23[[#All],[Yellow]:[Red]],8,FALSE)</f>
        <v>2.2636754895465364E-2</v>
      </c>
      <c r="P64" s="126">
        <f>L64/HLOOKUP(F64,Team_Composition_23[[#All],[Yellow]:[Red]],7,FALSE)</f>
        <v>1.702872240203303E-3</v>
      </c>
      <c r="Q64" s="119"/>
      <c r="R64" s="129" t="s">
        <v>482</v>
      </c>
      <c r="S64" s="130" t="s">
        <v>476</v>
      </c>
      <c r="T64" s="130" t="s">
        <v>483</v>
      </c>
      <c r="U64" s="119"/>
      <c r="V64" s="119"/>
      <c r="W64" s="119"/>
      <c r="X64" s="119"/>
      <c r="Y64" s="119"/>
      <c r="Z64" s="119"/>
      <c r="AA64" s="119"/>
      <c r="AB64" s="129" t="s">
        <v>482</v>
      </c>
      <c r="AC64" s="130" t="s">
        <v>485</v>
      </c>
      <c r="AD64" s="130" t="s">
        <v>28</v>
      </c>
    </row>
    <row r="65" spans="1:30" ht="22.5" customHeight="1">
      <c r="A65" s="120">
        <v>35</v>
      </c>
      <c r="B65" s="109" t="str">
        <f>VLOOKUP(C65,Lists!I:J,2,FALSE)</f>
        <v>KS</v>
      </c>
      <c r="C65" s="95" t="str">
        <f>VLOOKUP(E65&amp;D65,Lists!C:E,3,FALSE)</f>
        <v>Crossbow/Dagger</v>
      </c>
      <c r="D65" s="122" t="s">
        <v>30</v>
      </c>
      <c r="E65" s="123" t="s">
        <v>404</v>
      </c>
      <c r="F65" s="122" t="s">
        <v>483</v>
      </c>
      <c r="G65" s="124">
        <v>6</v>
      </c>
      <c r="H65" s="124">
        <v>19</v>
      </c>
      <c r="I65" s="96">
        <f t="shared" si="0"/>
        <v>25</v>
      </c>
      <c r="J65" s="125">
        <v>8752</v>
      </c>
      <c r="K65" s="125">
        <v>460455</v>
      </c>
      <c r="L65" s="125">
        <v>28727</v>
      </c>
      <c r="M65" s="126">
        <f>I65/(HLOOKUP(F65,Team_Composition_23[[#All],[Yellow]:[Red]],10,FALSE)+HLOOKUP(F65,Team_Composition_23[[#All],[Yellow]:[Red]],11,FALSE))</f>
        <v>3.0450669914738125E-2</v>
      </c>
      <c r="N65" s="126">
        <f>J65/HLOOKUP(F65,Team_Composition_23[[#All],[Yellow]:[Red]],6,FALSE)</f>
        <v>4.9599314949132646E-4</v>
      </c>
      <c r="O65" s="126">
        <f>K65/HLOOKUP(F65,Team_Composition_23[[#All],[Yellow]:[Red]],8,FALSE)</f>
        <v>1.0461097068975333E-2</v>
      </c>
      <c r="P65" s="126">
        <f>L65/HLOOKUP(F65,Team_Composition_23[[#All],[Yellow]:[Red]],7,FALSE)</f>
        <v>1.1837199546125994E-3</v>
      </c>
      <c r="Q65" s="119"/>
      <c r="R65" s="134" t="s">
        <v>468</v>
      </c>
      <c r="S65" s="135">
        <f>SUMIFS(Scoreboard_37[Damage Dealt],Scoreboard_37[Role],"Healer",Scoreboard_37[Team],"Yellow")</f>
        <v>1485681</v>
      </c>
      <c r="T65" s="136">
        <f>SUMIFS(Scoreboard_37[Damage Dealt],Scoreboard_37[Role],"Healer",Scoreboard_37[Team],"Red")</f>
        <v>1165860</v>
      </c>
      <c r="U65" s="119"/>
      <c r="V65" s="119"/>
      <c r="W65" s="119"/>
      <c r="X65" s="119"/>
      <c r="Y65" s="119"/>
      <c r="Z65" s="119"/>
      <c r="AA65" s="119"/>
      <c r="AB65" s="134" t="s">
        <v>468</v>
      </c>
      <c r="AC65" s="138">
        <f>SUMIFS(Scoreboard_37[Damage Dealt],Scoreboard_37[Role],"Healer",Scoreboard_37[Guild],"Best Regards")</f>
        <v>1485681</v>
      </c>
      <c r="AD65" s="139">
        <f>SUMIFS(Scoreboard_37[Damage Dealt],Scoreboard_37[Role],"Healer",Scoreboard_37[Guild],"Undercooked")</f>
        <v>0</v>
      </c>
    </row>
    <row r="66" spans="1:30" ht="22.5" customHeight="1">
      <c r="A66" s="120">
        <v>36</v>
      </c>
      <c r="B66" s="100" t="str">
        <f>VLOOKUP(C66,Lists!I:J,2,FALSE)</f>
        <v>Tank</v>
      </c>
      <c r="C66" s="95" t="str">
        <f>VLOOKUP(E66&amp;D66,Lists!C:E,3,FALSE)</f>
        <v>SnS/Greatsword</v>
      </c>
      <c r="D66" s="122" t="s">
        <v>30</v>
      </c>
      <c r="E66" s="123" t="s">
        <v>214</v>
      </c>
      <c r="F66" s="122" t="s">
        <v>483</v>
      </c>
      <c r="G66" s="124">
        <v>3</v>
      </c>
      <c r="H66" s="124">
        <v>22</v>
      </c>
      <c r="I66" s="96">
        <f t="shared" si="0"/>
        <v>25</v>
      </c>
      <c r="J66" s="125">
        <v>1182274</v>
      </c>
      <c r="K66" s="125">
        <v>833925</v>
      </c>
      <c r="L66" s="125">
        <v>38985</v>
      </c>
      <c r="M66" s="126">
        <f>I66/(HLOOKUP(F66,Team_Composition_23[[#All],[Yellow]:[Red]],10,FALSE)+HLOOKUP(F66,Team_Composition_23[[#All],[Yellow]:[Red]],11,FALSE))</f>
        <v>3.0450669914738125E-2</v>
      </c>
      <c r="N66" s="126">
        <f>J66/HLOOKUP(F66,Team_Composition_23[[#All],[Yellow]:[Red]],6,FALSE)</f>
        <v>6.7001805852571816E-2</v>
      </c>
      <c r="O66" s="126">
        <f>K66/HLOOKUP(F66,Team_Composition_23[[#All],[Yellow]:[Red]],8,FALSE)</f>
        <v>1.8945978159093189E-2</v>
      </c>
      <c r="P66" s="126">
        <f>L66/HLOOKUP(F66,Team_Composition_23[[#All],[Yellow]:[Red]],7,FALSE)</f>
        <v>1.6064093859634557E-3</v>
      </c>
      <c r="Q66" s="119"/>
      <c r="R66" s="134" t="s">
        <v>469</v>
      </c>
      <c r="S66" s="135">
        <f>SUMIFS(Scoreboard_37[Damage Taken],Scoreboard_37[Role],"Healer",Scoreboard_37[Team],"Yellow")</f>
        <v>9277503</v>
      </c>
      <c r="T66" s="136">
        <f>SUMIFS(Scoreboard_37[Damage Taken],Scoreboard_37[Role],"Healer",Scoreboard_37[Team],"Red")</f>
        <v>8152201</v>
      </c>
      <c r="U66" s="119"/>
      <c r="V66" s="119"/>
      <c r="W66" s="119"/>
      <c r="X66" s="119"/>
      <c r="Y66" s="119"/>
      <c r="Z66" s="119"/>
      <c r="AA66" s="119"/>
      <c r="AB66" s="134" t="s">
        <v>469</v>
      </c>
      <c r="AC66" s="138">
        <f>SUMIFS(Scoreboard_37[Damage Taken],Scoreboard_37[Role],"Healer",Scoreboard_37[Guild],"Best Regards")</f>
        <v>9277503</v>
      </c>
      <c r="AD66" s="139">
        <f>SUMIFS(Scoreboard_37[Damage Taken],Scoreboard_37[Role],"Healer",Scoreboard_37[Guild],"Undercooked")</f>
        <v>0</v>
      </c>
    </row>
    <row r="67" spans="1:30" ht="22.5" customHeight="1">
      <c r="A67" s="120">
        <v>76</v>
      </c>
      <c r="B67" s="141" t="str">
        <f>VLOOKUP(C67,Lists!I:J,2,FALSE)</f>
        <v>Tank</v>
      </c>
      <c r="C67" s="95" t="str">
        <f>VLOOKUP(E67&amp;D67,Lists!C:E,3,FALSE)</f>
        <v>SnS/Greatsword</v>
      </c>
      <c r="D67" s="122" t="s">
        <v>34</v>
      </c>
      <c r="E67" s="153" t="s">
        <v>176</v>
      </c>
      <c r="F67" s="122" t="s">
        <v>476</v>
      </c>
      <c r="G67" s="124">
        <v>0</v>
      </c>
      <c r="H67" s="124">
        <v>23</v>
      </c>
      <c r="I67" s="96">
        <f t="shared" si="0"/>
        <v>23</v>
      </c>
      <c r="J67" s="125">
        <v>58638</v>
      </c>
      <c r="K67" s="125">
        <v>312992</v>
      </c>
      <c r="L67" s="125">
        <v>54534</v>
      </c>
      <c r="M67" s="126">
        <f>I67/(HLOOKUP(F67,Team_Composition_23[[#All],[Yellow]:[Red]],10,FALSE)+HLOOKUP(F67,Team_Composition_23[[#All],[Yellow]:[Red]],11,FALSE))</f>
        <v>5.7485628592851791E-3</v>
      </c>
      <c r="N67" s="126">
        <f>J67/HLOOKUP(F67,Team_Composition_23[[#All],[Yellow]:[Red]],6,FALSE)</f>
        <v>1.32175954827462E-3</v>
      </c>
      <c r="O67" s="126">
        <f>K67/HLOOKUP(F67,Team_Composition_23[[#All],[Yellow]:[Red]],8,FALSE)</f>
        <v>1.7866101619161124E-2</v>
      </c>
      <c r="P67" s="126">
        <f>L67/HLOOKUP(F67,Team_Composition_23[[#All],[Yellow]:[Red]],7,FALSE)</f>
        <v>4.2128197834894604E-3</v>
      </c>
      <c r="Q67" s="119"/>
      <c r="R67" s="134" t="s">
        <v>470</v>
      </c>
      <c r="S67" s="135">
        <f>SUMIFS(Scoreboard_37[Amount Healed],Scoreboard_37[Role],"Healer",Scoreboard_37[Team],"Yellow")</f>
        <v>16787508</v>
      </c>
      <c r="T67" s="136">
        <f>SUMIFS(Scoreboard_37[Amount Healed],Scoreboard_37[Role],"Healer",Scoreboard_37[Team],"Red")</f>
        <v>12462101</v>
      </c>
      <c r="U67" s="119"/>
      <c r="V67" s="119"/>
      <c r="W67" s="119"/>
      <c r="X67" s="119"/>
      <c r="Y67" s="119"/>
      <c r="Z67" s="119"/>
      <c r="AA67" s="119"/>
      <c r="AB67" s="134" t="s">
        <v>470</v>
      </c>
      <c r="AC67" s="138">
        <f>SUMIFS(Scoreboard_37[Amount Healed],Scoreboard_37[Role],"Healer",Scoreboard_37[Guild],"Best Regards")</f>
        <v>16787508</v>
      </c>
      <c r="AD67" s="139">
        <f>SUMIFS(Scoreboard_37[Amount Healed],Scoreboard_37[Role],"Healer",Scoreboard_37[Guild],"Undercooked")</f>
        <v>0</v>
      </c>
    </row>
    <row r="68" spans="1:30" ht="22.5" customHeight="1">
      <c r="A68" s="120">
        <v>77</v>
      </c>
      <c r="B68" s="143" t="str">
        <f>VLOOKUP(C68,Lists!I:J,2,FALSE)</f>
        <v>Tank</v>
      </c>
      <c r="C68" s="95" t="str">
        <f>VLOOKUP(E68&amp;D68,Lists!C:E,3,FALSE)</f>
        <v>SnS/Spear</v>
      </c>
      <c r="D68" s="122" t="s">
        <v>34</v>
      </c>
      <c r="E68" s="123" t="s">
        <v>61</v>
      </c>
      <c r="F68" s="122" t="s">
        <v>476</v>
      </c>
      <c r="G68" s="124">
        <v>0</v>
      </c>
      <c r="H68" s="124">
        <v>22</v>
      </c>
      <c r="I68" s="96">
        <f t="shared" si="0"/>
        <v>22</v>
      </c>
      <c r="J68" s="125">
        <v>59969</v>
      </c>
      <c r="K68" s="125">
        <v>365206</v>
      </c>
      <c r="L68" s="125">
        <v>16306</v>
      </c>
      <c r="M68" s="126">
        <f>I68/(HLOOKUP(F68,Team_Composition_23[[#All],[Yellow]:[Red]],10,FALSE)+HLOOKUP(F68,Team_Composition_23[[#All],[Yellow]:[Red]],11,FALSE))</f>
        <v>5.4986253436640842E-3</v>
      </c>
      <c r="N68" s="126">
        <f>J68/HLOOKUP(F68,Team_Composition_23[[#All],[Yellow]:[Red]],6,FALSE)</f>
        <v>1.3517616281333042E-3</v>
      </c>
      <c r="O68" s="126">
        <f>K68/HLOOKUP(F68,Team_Composition_23[[#All],[Yellow]:[Red]],8,FALSE)</f>
        <v>2.0846563196271335E-2</v>
      </c>
      <c r="P68" s="126">
        <f>L68/HLOOKUP(F68,Team_Composition_23[[#All],[Yellow]:[Red]],7,FALSE)</f>
        <v>1.2596589171815591E-3</v>
      </c>
      <c r="Q68" s="119"/>
      <c r="R68" s="134" t="s">
        <v>465</v>
      </c>
      <c r="S68" s="135">
        <f>SUMIFS(Scoreboard_37[Kills],Scoreboard_37[Role],"Healer",Scoreboard_37[Team],"Yellow")</f>
        <v>1</v>
      </c>
      <c r="T68" s="136">
        <f>SUMIFS(Scoreboard_37[Kills],Scoreboard_37[Role],"Healer",Scoreboard_37[Team],"Red")</f>
        <v>3</v>
      </c>
      <c r="U68" s="119"/>
      <c r="V68" s="119"/>
      <c r="W68" s="119"/>
      <c r="X68" s="119"/>
      <c r="Y68" s="119"/>
      <c r="Z68" s="119"/>
      <c r="AA68" s="119"/>
      <c r="AB68" s="134" t="s">
        <v>465</v>
      </c>
      <c r="AC68" s="138">
        <f>SUMIFS(Scoreboard_37[Kills],Scoreboard_37[Role],"Healer",Scoreboard_37[Guild],"Best Regards")</f>
        <v>1</v>
      </c>
      <c r="AD68" s="139">
        <f>SUMIFS(Scoreboard_37[Kills],Scoreboard_37[Role],"Healer",Scoreboard_37[Guild],"Undercooked")</f>
        <v>0</v>
      </c>
    </row>
    <row r="69" spans="1:30" ht="22.5" customHeight="1">
      <c r="A69" s="120">
        <v>46</v>
      </c>
      <c r="B69" s="142" t="str">
        <f>VLOOKUP(C69,Lists!I:J,2,FALSE)</f>
        <v>Healer</v>
      </c>
      <c r="C69" s="95" t="str">
        <f>VLOOKUP(E69&amp;D69,Lists!C:E,3,FALSE)</f>
        <v>Wand/Greatsword</v>
      </c>
      <c r="D69" s="122" t="s">
        <v>30</v>
      </c>
      <c r="E69" s="123" t="s">
        <v>415</v>
      </c>
      <c r="F69" s="122" t="s">
        <v>483</v>
      </c>
      <c r="G69" s="124">
        <v>1</v>
      </c>
      <c r="H69" s="124">
        <v>21</v>
      </c>
      <c r="I69" s="96">
        <f t="shared" si="0"/>
        <v>22</v>
      </c>
      <c r="J69" s="125">
        <v>64730</v>
      </c>
      <c r="K69" s="125">
        <v>736071</v>
      </c>
      <c r="L69" s="125">
        <v>103035</v>
      </c>
      <c r="M69" s="126">
        <f>I69/(HLOOKUP(F69,Team_Composition_23[[#All],[Yellow]:[Red]],10,FALSE)+HLOOKUP(F69,Team_Composition_23[[#All],[Yellow]:[Red]],11,FALSE))</f>
        <v>2.679658952496955E-2</v>
      </c>
      <c r="N69" s="126">
        <f>J69/HLOOKUP(F69,Team_Composition_23[[#All],[Yellow]:[Red]],6,FALSE)</f>
        <v>3.6683771214092282E-3</v>
      </c>
      <c r="O69" s="126">
        <f>K69/HLOOKUP(F69,Team_Composition_23[[#All],[Yellow]:[Red]],8,FALSE)</f>
        <v>1.6722828898932018E-2</v>
      </c>
      <c r="P69" s="126">
        <f>L69/HLOOKUP(F69,Team_Composition_23[[#All],[Yellow]:[Red]],7,FALSE)</f>
        <v>4.2456429673655158E-3</v>
      </c>
      <c r="Q69" s="119"/>
      <c r="R69" s="134" t="s">
        <v>466</v>
      </c>
      <c r="S69" s="135">
        <f>SUMIFS(Scoreboard_37[Assists],Scoreboard_37[Role],"Healer",Scoreboard_37[Team],"Yellow")</f>
        <v>696</v>
      </c>
      <c r="T69" s="136">
        <f>SUMIFS(Scoreboard_37[Assists],Scoreboard_37[Role],"Healer",Scoreboard_37[Team],"Red")</f>
        <v>432</v>
      </c>
      <c r="U69" s="119"/>
      <c r="V69" s="119"/>
      <c r="W69" s="119"/>
      <c r="X69" s="119"/>
      <c r="Y69" s="119"/>
      <c r="Z69" s="119"/>
      <c r="AA69" s="119"/>
      <c r="AB69" s="134" t="s">
        <v>466</v>
      </c>
      <c r="AC69" s="138">
        <f>SUMIFS(Scoreboard_37[Assists],Scoreboard_37[Role],"Healer",Scoreboard_37[Guild],"Best Regards")</f>
        <v>696</v>
      </c>
      <c r="AD69" s="139">
        <f>SUMIFS(Scoreboard_37[Kills],Scoreboard_37[Role],"Healer",Scoreboard_37[Guild],"Undercooked")</f>
        <v>0</v>
      </c>
    </row>
    <row r="70" spans="1:30" ht="22.5" customHeight="1">
      <c r="A70" s="120">
        <v>47</v>
      </c>
      <c r="B70" s="147" t="str">
        <f>VLOOKUP(C70,Lists!I:J,2,FALSE)</f>
        <v>Tank</v>
      </c>
      <c r="C70" s="95" t="str">
        <f>VLOOKUP(E70&amp;D70,Lists!C:E,3,FALSE)</f>
        <v>SnS/Spear</v>
      </c>
      <c r="D70" s="122" t="s">
        <v>34</v>
      </c>
      <c r="E70" s="123" t="s">
        <v>79</v>
      </c>
      <c r="F70" s="122" t="s">
        <v>476</v>
      </c>
      <c r="G70" s="124">
        <v>1</v>
      </c>
      <c r="H70" s="124">
        <v>21</v>
      </c>
      <c r="I70" s="96">
        <f t="shared" si="0"/>
        <v>22</v>
      </c>
      <c r="J70" s="125">
        <v>38731</v>
      </c>
      <c r="K70" s="125">
        <v>559550</v>
      </c>
      <c r="L70" s="125">
        <v>14107</v>
      </c>
      <c r="M70" s="126">
        <f>I70/(HLOOKUP(F70,Team_Composition_23[[#All],[Yellow]:[Red]],10,FALSE)+HLOOKUP(F70,Team_Composition_23[[#All],[Yellow]:[Red]],11,FALSE))</f>
        <v>5.4986253436640842E-3</v>
      </c>
      <c r="N70" s="126">
        <f>J70/HLOOKUP(F70,Team_Composition_23[[#All],[Yellow]:[Red]],6,FALSE)</f>
        <v>8.730357287803866E-4</v>
      </c>
      <c r="O70" s="126">
        <f>K70/HLOOKUP(F70,Team_Composition_23[[#All],[Yellow]:[Red]],8,FALSE)</f>
        <v>3.194004051541767E-2</v>
      </c>
      <c r="P70" s="126">
        <f>L70/HLOOKUP(F70,Team_Composition_23[[#All],[Yellow]:[Red]],7,FALSE)</f>
        <v>1.0897834137544619E-3</v>
      </c>
      <c r="Q70" s="119"/>
      <c r="R70" s="134" t="s">
        <v>10</v>
      </c>
      <c r="S70" s="135">
        <f t="shared" ref="S70:S72" si="14">COUNTIFS(C:C,R70,F:F,"Yellow")</f>
        <v>8</v>
      </c>
      <c r="T70" s="136">
        <f t="shared" ref="T70:T72" si="15">COUNTIFS(C:C,R70,F:F,"Red")</f>
        <v>7</v>
      </c>
      <c r="U70" s="119"/>
      <c r="V70" s="119"/>
      <c r="W70" s="119"/>
      <c r="X70" s="119"/>
      <c r="Y70" s="119"/>
      <c r="Z70" s="119"/>
      <c r="AA70" s="119"/>
      <c r="AB70" s="134" t="s">
        <v>10</v>
      </c>
      <c r="AC70" s="138">
        <f t="shared" ref="AC70:AC72" si="16">COUNTIFS(C:C,AB70,D:D,"Best Regards")</f>
        <v>8</v>
      </c>
      <c r="AD70" s="154">
        <f t="shared" ref="AD70:AD72" si="17">COUNTIFS(D:D,AC70,D:D,"Undercooked")</f>
        <v>0</v>
      </c>
    </row>
    <row r="71" spans="1:30" ht="22.5" customHeight="1">
      <c r="A71" s="120">
        <v>78</v>
      </c>
      <c r="B71" s="142" t="str">
        <f>VLOOKUP(C71,Lists!I:J,2,FALSE)</f>
        <v>Tank</v>
      </c>
      <c r="C71" s="95" t="str">
        <f>VLOOKUP(E71&amp;D71,Lists!C:E,3,FALSE)</f>
        <v>SnS/Greatsword</v>
      </c>
      <c r="D71" s="122" t="s">
        <v>34</v>
      </c>
      <c r="E71" s="123" t="s">
        <v>148</v>
      </c>
      <c r="F71" s="122" t="s">
        <v>476</v>
      </c>
      <c r="G71" s="124">
        <v>0</v>
      </c>
      <c r="H71" s="124">
        <v>22</v>
      </c>
      <c r="I71" s="96">
        <f t="shared" si="0"/>
        <v>22</v>
      </c>
      <c r="J71" s="125">
        <v>239598</v>
      </c>
      <c r="K71" s="125">
        <v>752763</v>
      </c>
      <c r="L71" s="125">
        <v>16996</v>
      </c>
      <c r="M71" s="126">
        <f>I71/(HLOOKUP(F71,Team_Composition_23[[#All],[Yellow]:[Red]],10,FALSE)+HLOOKUP(F71,Team_Composition_23[[#All],[Yellow]:[Red]],11,FALSE))</f>
        <v>5.4986253436640842E-3</v>
      </c>
      <c r="N71" s="126">
        <f>J71/HLOOKUP(F71,Team_Composition_23[[#All],[Yellow]:[Red]],6,FALSE)</f>
        <v>5.4007801126829428E-3</v>
      </c>
      <c r="O71" s="126">
        <f>K71/HLOOKUP(F71,Team_Composition_23[[#All],[Yellow]:[Red]],8,FALSE)</f>
        <v>4.2968958481828884E-2</v>
      </c>
      <c r="P71" s="126">
        <f>L71/HLOOKUP(F71,Team_Composition_23[[#All],[Yellow]:[Red]],7,FALSE)</f>
        <v>1.3129622811491339E-3</v>
      </c>
      <c r="Q71" s="119"/>
      <c r="R71" s="134" t="s">
        <v>9</v>
      </c>
      <c r="S71" s="135">
        <f t="shared" si="14"/>
        <v>8</v>
      </c>
      <c r="T71" s="136">
        <f t="shared" si="15"/>
        <v>8</v>
      </c>
      <c r="U71" s="119"/>
      <c r="V71" s="119"/>
      <c r="W71" s="119"/>
      <c r="X71" s="119"/>
      <c r="Y71" s="119"/>
      <c r="Z71" s="119"/>
      <c r="AA71" s="119"/>
      <c r="AB71" s="134" t="s">
        <v>9</v>
      </c>
      <c r="AC71" s="138">
        <f t="shared" si="16"/>
        <v>8</v>
      </c>
      <c r="AD71" s="154">
        <f t="shared" si="17"/>
        <v>0</v>
      </c>
    </row>
    <row r="72" spans="1:30" ht="22.5" customHeight="1">
      <c r="A72" s="120">
        <v>79</v>
      </c>
      <c r="B72" s="95" t="str">
        <f>VLOOKUP(C72,Lists!I:J,2,FALSE)</f>
        <v>Tank</v>
      </c>
      <c r="C72" s="95" t="s">
        <v>14</v>
      </c>
      <c r="D72" s="122" t="s">
        <v>30</v>
      </c>
      <c r="E72" s="123" t="s">
        <v>505</v>
      </c>
      <c r="F72" s="122" t="s">
        <v>483</v>
      </c>
      <c r="G72" s="124">
        <v>0</v>
      </c>
      <c r="H72" s="124">
        <v>22</v>
      </c>
      <c r="I72" s="96">
        <f t="shared" si="0"/>
        <v>22</v>
      </c>
      <c r="J72" s="125">
        <v>50444</v>
      </c>
      <c r="K72" s="125">
        <v>348558</v>
      </c>
      <c r="L72" s="125">
        <v>465081</v>
      </c>
      <c r="M72" s="126">
        <f>I72/(HLOOKUP(F72,Team_Composition_23[[#All],[Yellow]:[Red]],10,FALSE)+HLOOKUP(F72,Team_Composition_23[[#All],[Yellow]:[Red]],11,FALSE))</f>
        <v>2.679658952496955E-2</v>
      </c>
      <c r="N72" s="126">
        <f>J72/HLOOKUP(F72,Team_Composition_23[[#All],[Yellow]:[Red]],6,FALSE)</f>
        <v>2.8587612469081892E-3</v>
      </c>
      <c r="O72" s="126">
        <f>K72/HLOOKUP(F72,Team_Composition_23[[#All],[Yellow]:[Red]],8,FALSE)</f>
        <v>7.9189042841708839E-3</v>
      </c>
      <c r="P72" s="126">
        <f>L72/HLOOKUP(F72,Team_Composition_23[[#All],[Yellow]:[Red]],7,FALSE)</f>
        <v>1.9164049855925867E-2</v>
      </c>
      <c r="Q72" s="119"/>
      <c r="R72" s="134" t="s">
        <v>18</v>
      </c>
      <c r="S72" s="135">
        <f t="shared" si="14"/>
        <v>0</v>
      </c>
      <c r="T72" s="136">
        <f t="shared" si="15"/>
        <v>1</v>
      </c>
      <c r="U72" s="119"/>
      <c r="V72" s="119"/>
      <c r="W72" s="119"/>
      <c r="X72" s="119"/>
      <c r="Y72" s="119"/>
      <c r="Z72" s="119"/>
      <c r="AA72" s="119"/>
      <c r="AB72" s="134" t="s">
        <v>18</v>
      </c>
      <c r="AC72" s="138">
        <f t="shared" si="16"/>
        <v>0</v>
      </c>
      <c r="AD72" s="154">
        <f t="shared" si="17"/>
        <v>0</v>
      </c>
    </row>
    <row r="73" spans="1:30" ht="22.5" customHeight="1">
      <c r="A73" s="120">
        <v>48</v>
      </c>
      <c r="B73" s="142" t="str">
        <f>VLOOKUP(C73,Lists!I:J,2,FALSE)</f>
        <v>Ranged DPS</v>
      </c>
      <c r="C73" s="95" t="str">
        <f>VLOOKUP(E73&amp;D73,Lists!C:E,3,FALSE)</f>
        <v>SnS/Wand</v>
      </c>
      <c r="D73" s="122" t="s">
        <v>30</v>
      </c>
      <c r="E73" s="123" t="s">
        <v>424</v>
      </c>
      <c r="F73" s="122" t="s">
        <v>483</v>
      </c>
      <c r="G73" s="124">
        <v>1</v>
      </c>
      <c r="H73" s="124">
        <v>19</v>
      </c>
      <c r="I73" s="96">
        <f t="shared" si="0"/>
        <v>20</v>
      </c>
      <c r="J73" s="125">
        <v>899537</v>
      </c>
      <c r="K73" s="125">
        <v>1410256</v>
      </c>
      <c r="L73" s="125">
        <v>171142</v>
      </c>
      <c r="M73" s="126">
        <f>I73/(HLOOKUP(F73,Team_Composition_23[[#All],[Yellow]:[Red]],10,FALSE)+HLOOKUP(F73,Team_Composition_23[[#All],[Yellow]:[Red]],11,FALSE))</f>
        <v>2.4360535931790498E-2</v>
      </c>
      <c r="N73" s="126">
        <f>J73/HLOOKUP(F73,Team_Composition_23[[#All],[Yellow]:[Red]],6,FALSE)</f>
        <v>5.097854087225541E-2</v>
      </c>
      <c r="O73" s="126">
        <f>K73/HLOOKUP(F73,Team_Composition_23[[#All],[Yellow]:[Red]],8,FALSE)</f>
        <v>3.2039667086045061E-2</v>
      </c>
      <c r="P73" s="126">
        <f>L73/HLOOKUP(F73,Team_Composition_23[[#All],[Yellow]:[Red]],7,FALSE)</f>
        <v>7.0520486118393674E-3</v>
      </c>
      <c r="Q73" s="119"/>
      <c r="R73" s="119"/>
      <c r="S73" s="119"/>
      <c r="T73" s="119"/>
      <c r="U73" s="119"/>
      <c r="V73" s="119"/>
      <c r="W73" s="119"/>
      <c r="X73" s="119"/>
      <c r="Y73" s="119"/>
      <c r="Z73" s="119"/>
      <c r="AA73" s="119"/>
      <c r="AB73" s="119"/>
      <c r="AC73" s="119"/>
      <c r="AD73" s="119"/>
    </row>
    <row r="74" spans="1:30" ht="22.5" customHeight="1">
      <c r="A74" s="120">
        <v>39</v>
      </c>
      <c r="B74" s="145" t="str">
        <f>VLOOKUP(C74,Lists!I:J,2,FALSE)</f>
        <v>Tank</v>
      </c>
      <c r="C74" s="95" t="str">
        <f>VLOOKUP(E74&amp;D74,Lists!C:E,3,FALSE)</f>
        <v>SnS/Greatsword</v>
      </c>
      <c r="D74" s="122" t="s">
        <v>34</v>
      </c>
      <c r="E74" s="123" t="s">
        <v>178</v>
      </c>
      <c r="F74" s="122" t="s">
        <v>476</v>
      </c>
      <c r="G74" s="124">
        <v>2</v>
      </c>
      <c r="H74" s="124">
        <v>17</v>
      </c>
      <c r="I74" s="96">
        <f t="shared" si="0"/>
        <v>19</v>
      </c>
      <c r="J74" s="125">
        <v>1134811</v>
      </c>
      <c r="K74" s="125">
        <v>1009140</v>
      </c>
      <c r="L74" s="125">
        <v>76478</v>
      </c>
      <c r="M74" s="126">
        <f>I74/(HLOOKUP(F74,Team_Composition_23[[#All],[Yellow]:[Red]],10,FALSE)+HLOOKUP(F74,Team_Composition_23[[#All],[Yellow]:[Red]],11,FALSE))</f>
        <v>4.7488127968007996E-3</v>
      </c>
      <c r="N74" s="126">
        <f>J74/HLOOKUP(F74,Team_Composition_23[[#All],[Yellow]:[Red]],6,FALSE)</f>
        <v>2.5579782303916741E-2</v>
      </c>
      <c r="O74" s="126">
        <f>K74/HLOOKUP(F74,Team_Composition_23[[#All],[Yellow]:[Red]],8,FALSE)</f>
        <v>5.7603382156605466E-2</v>
      </c>
      <c r="P74" s="126">
        <f>L74/HLOOKUP(F74,Team_Composition_23[[#All],[Yellow]:[Red]],7,FALSE)</f>
        <v>5.9080212601625957E-3</v>
      </c>
      <c r="Q74" s="119"/>
      <c r="R74" s="119"/>
      <c r="S74" s="119"/>
      <c r="T74" s="119"/>
      <c r="U74" s="119"/>
      <c r="V74" s="119"/>
      <c r="W74" s="119"/>
      <c r="X74" s="119"/>
      <c r="Y74" s="119"/>
      <c r="Z74" s="119"/>
      <c r="AA74" s="119"/>
      <c r="AB74" s="119"/>
      <c r="AC74" s="119"/>
      <c r="AD74" s="119"/>
    </row>
    <row r="75" spans="1:30" ht="22.5" customHeight="1">
      <c r="A75" s="120">
        <v>49</v>
      </c>
      <c r="B75" s="150" t="str">
        <f>VLOOKUP(C75,Lists!I:J,2,FALSE)</f>
        <v>Tank</v>
      </c>
      <c r="C75" s="95" t="str">
        <f>VLOOKUP(E75&amp;D75,Lists!C:E,3,FALSE)</f>
        <v>SnS/Longbow</v>
      </c>
      <c r="D75" s="122" t="s">
        <v>30</v>
      </c>
      <c r="E75" s="123" t="s">
        <v>409</v>
      </c>
      <c r="F75" s="122" t="s">
        <v>483</v>
      </c>
      <c r="G75" s="124">
        <v>1</v>
      </c>
      <c r="H75" s="124">
        <v>18</v>
      </c>
      <c r="I75" s="96">
        <f t="shared" si="0"/>
        <v>19</v>
      </c>
      <c r="J75" s="125">
        <v>26509</v>
      </c>
      <c r="K75" s="125">
        <v>314943</v>
      </c>
      <c r="L75" s="125">
        <v>576982</v>
      </c>
      <c r="M75" s="126">
        <f>I75/(HLOOKUP(F75,Team_Composition_23[[#All],[Yellow]:[Red]],10,FALSE)+HLOOKUP(F75,Team_Composition_23[[#All],[Yellow]:[Red]],11,FALSE))</f>
        <v>2.3142509135200974E-2</v>
      </c>
      <c r="N75" s="126">
        <f>J75/HLOOKUP(F75,Team_Composition_23[[#All],[Yellow]:[Red]],6,FALSE)</f>
        <v>1.5023174588511853E-3</v>
      </c>
      <c r="O75" s="126">
        <f>K75/HLOOKUP(F75,Team_Composition_23[[#All],[Yellow]:[Red]],8,FALSE)</f>
        <v>7.1552036446434469E-3</v>
      </c>
      <c r="P75" s="126">
        <f>L75/HLOOKUP(F75,Team_Composition_23[[#All],[Yellow]:[Red]],7,FALSE)</f>
        <v>2.3775023735589755E-2</v>
      </c>
      <c r="Q75" s="119"/>
      <c r="R75" s="230" t="s">
        <v>78</v>
      </c>
      <c r="S75" s="228"/>
      <c r="T75" s="228"/>
      <c r="U75" s="119"/>
      <c r="V75" s="119"/>
      <c r="W75" s="119"/>
      <c r="X75" s="119"/>
      <c r="Y75" s="119"/>
      <c r="Z75" s="119"/>
      <c r="AA75" s="119"/>
      <c r="AB75" s="230" t="s">
        <v>78</v>
      </c>
      <c r="AC75" s="228"/>
      <c r="AD75" s="228"/>
    </row>
    <row r="76" spans="1:30" ht="22.5" customHeight="1">
      <c r="A76" s="120">
        <v>80</v>
      </c>
      <c r="B76" s="94" t="str">
        <f>VLOOKUP(C76,Lists!I:J,2,FALSE)</f>
        <v>Healer</v>
      </c>
      <c r="C76" s="95" t="str">
        <f>VLOOKUP(E76&amp;D76,Lists!C:E,3,FALSE)</f>
        <v>Wand/Longbow</v>
      </c>
      <c r="D76" s="122" t="s">
        <v>30</v>
      </c>
      <c r="E76" s="123" t="s">
        <v>426</v>
      </c>
      <c r="F76" s="122" t="s">
        <v>483</v>
      </c>
      <c r="G76" s="124">
        <v>0</v>
      </c>
      <c r="H76" s="124">
        <v>19</v>
      </c>
      <c r="I76" s="96">
        <f t="shared" si="0"/>
        <v>19</v>
      </c>
      <c r="J76" s="125">
        <v>19445</v>
      </c>
      <c r="K76" s="125">
        <v>995446</v>
      </c>
      <c r="L76" s="125">
        <v>605526</v>
      </c>
      <c r="M76" s="126">
        <f>I76/(HLOOKUP(F76,Team_Composition_23[[#All],[Yellow]:[Red]],10,FALSE)+HLOOKUP(F76,Team_Composition_23[[#All],[Yellow]:[Red]],11,FALSE))</f>
        <v>2.3142509135200974E-2</v>
      </c>
      <c r="N76" s="126">
        <f>J76/HLOOKUP(F76,Team_Composition_23[[#All],[Yellow]:[Red]],6,FALSE)</f>
        <v>1.1019866078449318E-3</v>
      </c>
      <c r="O76" s="126">
        <f>K76/HLOOKUP(F76,Team_Composition_23[[#All],[Yellow]:[Red]],8,FALSE)</f>
        <v>2.2615580747137549E-2</v>
      </c>
      <c r="P76" s="126">
        <f>L76/HLOOKUP(F76,Team_Composition_23[[#All],[Yellow]:[Red]],7,FALSE)</f>
        <v>2.4951203022826919E-2</v>
      </c>
      <c r="Q76" s="119"/>
      <c r="R76" s="155" t="s">
        <v>482</v>
      </c>
      <c r="S76" s="156" t="s">
        <v>476</v>
      </c>
      <c r="T76" s="156" t="s">
        <v>483</v>
      </c>
      <c r="U76" s="119"/>
      <c r="V76" s="119"/>
      <c r="W76" s="119"/>
      <c r="X76" s="119"/>
      <c r="Y76" s="119"/>
      <c r="Z76" s="119"/>
      <c r="AA76" s="119"/>
      <c r="AB76" s="155" t="s">
        <v>482</v>
      </c>
      <c r="AC76" s="156" t="s">
        <v>485</v>
      </c>
      <c r="AD76" s="156" t="s">
        <v>28</v>
      </c>
    </row>
    <row r="77" spans="1:30" ht="22.5" customHeight="1">
      <c r="A77" s="120">
        <v>81</v>
      </c>
      <c r="B77" s="150" t="str">
        <f>VLOOKUP(C77,Lists!I:J,2,FALSE)</f>
        <v>Tank</v>
      </c>
      <c r="C77" s="95" t="str">
        <f>VLOOKUP(E77&amp;D77,Lists!C:E,3,FALSE)</f>
        <v>SnS/Greatsword</v>
      </c>
      <c r="D77" s="122" t="s">
        <v>34</v>
      </c>
      <c r="E77" s="123" t="s">
        <v>55</v>
      </c>
      <c r="F77" s="122" t="s">
        <v>476</v>
      </c>
      <c r="G77" s="124">
        <v>0</v>
      </c>
      <c r="H77" s="124">
        <v>16</v>
      </c>
      <c r="I77" s="96">
        <f t="shared" si="0"/>
        <v>16</v>
      </c>
      <c r="J77" s="125">
        <v>6804</v>
      </c>
      <c r="K77" s="125">
        <v>442738</v>
      </c>
      <c r="L77" s="125">
        <v>41506</v>
      </c>
      <c r="M77" s="126">
        <f>I77/(HLOOKUP(F77,Team_Composition_23[[#All],[Yellow]:[Red]],10,FALSE)+HLOOKUP(F77,Team_Composition_23[[#All],[Yellow]:[Red]],11,FALSE))</f>
        <v>3.9990002499375159E-3</v>
      </c>
      <c r="N77" s="126">
        <f>J77/HLOOKUP(F77,Team_Composition_23[[#All],[Yellow]:[Red]],6,FALSE)</f>
        <v>1.5336900928511401E-4</v>
      </c>
      <c r="O77" s="126">
        <f>K77/HLOOKUP(F77,Team_Composition_23[[#All],[Yellow]:[Red]],8,FALSE)</f>
        <v>2.5272218135492786E-2</v>
      </c>
      <c r="P77" s="126">
        <f>L77/HLOOKUP(F77,Team_Composition_23[[#All],[Yellow]:[Red]],7,FALSE)</f>
        <v>3.2063904707799458E-3</v>
      </c>
      <c r="Q77" s="119"/>
      <c r="R77" s="157" t="s">
        <v>468</v>
      </c>
      <c r="S77" s="158">
        <f>SUMIFS('BR v Highly Regarded 2 Cherno 2'!$J$2:$J$163,'BR v Highly Regarded 2 Cherno 2'!$B$2:$B$163,"KS",'BR v Highly Regarded 2 Cherno 2'!$F$2:$F$163,"Yellow")</f>
        <v>11251272</v>
      </c>
      <c r="T77" s="159">
        <f>SUMIFS('BR v Highly Regarded 2 Cherno 2'!$J$2:$J$163,'BR v Highly Regarded 2 Cherno 2'!$B$2:$B$163,"KS",'BR v Highly Regarded 2 Cherno 2'!$F$2:$F$163,"Red")</f>
        <v>2835035</v>
      </c>
      <c r="U77" s="119"/>
      <c r="V77" s="119"/>
      <c r="W77" s="119"/>
      <c r="X77" s="119"/>
      <c r="Y77" s="119"/>
      <c r="Z77" s="119"/>
      <c r="AA77" s="119"/>
      <c r="AB77" s="157" t="s">
        <v>468</v>
      </c>
      <c r="AC77" s="158">
        <f>SUMIFS('BR v Highly Regarded 2 Cherno 2'!$J$2:$J$163,'BR v Highly Regarded 2 Cherno 2'!$B$2:$B$163,"KS",'BR v Highly Regarded 2 Cherno 2'!$D$2:$D$163,"Best Regards")</f>
        <v>11251272</v>
      </c>
      <c r="AD77" s="159">
        <f>SUMIFS('BR v Highly Regarded 2 Cherno 2'!$J$2:$J$163,'BR v Highly Regarded 2 Cherno 2'!$B$2:$B$163,"KS",'BR v Highly Regarded 2 Cherno 2'!$D$2:$D$163,"Undercooked")</f>
        <v>0</v>
      </c>
    </row>
    <row r="78" spans="1:30" ht="22.5" customHeight="1">
      <c r="A78" s="120">
        <v>82</v>
      </c>
      <c r="B78" s="151" t="str">
        <f>VLOOKUP(C78,Lists!I:J,2,FALSE)</f>
        <v>Tank</v>
      </c>
      <c r="C78" s="95" t="str">
        <f>VLOOKUP(E78&amp;D78,Lists!C:E,3,FALSE)</f>
        <v>SnS/Dagger</v>
      </c>
      <c r="D78" s="122" t="s">
        <v>34</v>
      </c>
      <c r="E78" s="123" t="s">
        <v>177</v>
      </c>
      <c r="F78" s="122" t="s">
        <v>476</v>
      </c>
      <c r="G78" s="124">
        <v>0</v>
      </c>
      <c r="H78" s="124">
        <v>16</v>
      </c>
      <c r="I78" s="96">
        <f t="shared" si="0"/>
        <v>16</v>
      </c>
      <c r="J78" s="125">
        <v>90266</v>
      </c>
      <c r="K78" s="125">
        <v>488986</v>
      </c>
      <c r="L78" s="125">
        <v>7268</v>
      </c>
      <c r="M78" s="126">
        <f>I78/(HLOOKUP(F78,Team_Composition_23[[#All],[Yellow]:[Red]],10,FALSE)+HLOOKUP(F78,Team_Composition_23[[#All],[Yellow]:[Red]],11,FALSE))</f>
        <v>3.9990002499375159E-3</v>
      </c>
      <c r="N78" s="126">
        <f>J78/HLOOKUP(F78,Team_Composition_23[[#All],[Yellow]:[Red]],6,FALSE)</f>
        <v>2.0346865067798502E-3</v>
      </c>
      <c r="O78" s="126">
        <f>K78/HLOOKUP(F78,Team_Composition_23[[#All],[Yellow]:[Red]],8,FALSE)</f>
        <v>2.7912130553966623E-2</v>
      </c>
      <c r="P78" s="126">
        <f>L78/HLOOKUP(F78,Team_Composition_23[[#All],[Yellow]:[Red]],7,FALSE)</f>
        <v>5.6146210045845523E-4</v>
      </c>
      <c r="Q78" s="119"/>
      <c r="R78" s="160" t="s">
        <v>469</v>
      </c>
      <c r="S78" s="158">
        <f>SUMIFS('BR v Highly Regarded 2 Cherno 2'!$K$2:$K$163,'BR v Highly Regarded 2 Cherno 2'!$B$2:$B$163,"KS",'BR v Highly Regarded 2 Cherno 2'!$F$2:$F$163,"Yellow")</f>
        <v>5659342</v>
      </c>
      <c r="T78" s="159">
        <f>SUMIFS('BR v Highly Regarded 2 Cherno 2'!$K$2:$K$163,'BR v Highly Regarded 2 Cherno 2'!$B$2:$B$163,"KS",'BR v Highly Regarded 2 Cherno 2'!$F$2:$F$163,"Red")</f>
        <v>2937035</v>
      </c>
      <c r="U78" s="119"/>
      <c r="V78" s="119"/>
      <c r="W78" s="119"/>
      <c r="X78" s="119"/>
      <c r="Y78" s="119"/>
      <c r="Z78" s="119"/>
      <c r="AA78" s="119"/>
      <c r="AB78" s="160" t="s">
        <v>469</v>
      </c>
      <c r="AC78" s="158">
        <f>SUMIFS('BR v Highly Regarded 2 Cherno 2'!$K$2:$K$163,'BR v Highly Regarded 2 Cherno 2'!$B$2:$B$163,"KS",'BR v Highly Regarded 2 Cherno 2'!$D$2:$D$163,"Best Regards")</f>
        <v>5659342</v>
      </c>
      <c r="AD78" s="159">
        <f>SUMIFS('BR v Highly Regarded 2 Cherno 2'!$K$2:$K$163,'BR v Highly Regarded 2 Cherno 2'!$B$2:$B$163,"KS",'BR v Highly Regarded 2 Cherno 2'!$D$2:$D$163,"Undercooked")</f>
        <v>0</v>
      </c>
    </row>
    <row r="79" spans="1:30" ht="22.5" customHeight="1">
      <c r="A79" s="120">
        <v>50</v>
      </c>
      <c r="B79" s="146" t="str">
        <f>VLOOKUP(C79,Lists!I:J,2,FALSE)</f>
        <v>Tank</v>
      </c>
      <c r="C79" s="95" t="str">
        <f>VLOOKUP(E79&amp;D79,Lists!C:E,3,FALSE)</f>
        <v>SnS/Greatsword</v>
      </c>
      <c r="D79" s="122" t="s">
        <v>34</v>
      </c>
      <c r="E79" s="123" t="s">
        <v>57</v>
      </c>
      <c r="F79" s="122" t="s">
        <v>476</v>
      </c>
      <c r="G79" s="124">
        <v>1</v>
      </c>
      <c r="H79" s="124">
        <v>14</v>
      </c>
      <c r="I79" s="96">
        <f t="shared" si="0"/>
        <v>15</v>
      </c>
      <c r="J79" s="125">
        <v>15123</v>
      </c>
      <c r="K79" s="125">
        <v>445856</v>
      </c>
      <c r="L79" s="125">
        <v>23020</v>
      </c>
      <c r="M79" s="126">
        <f>I79/(HLOOKUP(F79,Team_Composition_23[[#All],[Yellow]:[Red]],10,FALSE)+HLOOKUP(F79,Team_Composition_23[[#All],[Yellow]:[Red]],11,FALSE))</f>
        <v>3.7490627343164211E-3</v>
      </c>
      <c r="N79" s="126">
        <f>J79/HLOOKUP(F79,Team_Composition_23[[#All],[Yellow]:[Red]],6,FALSE)</f>
        <v>3.4088764365355364E-4</v>
      </c>
      <c r="O79" s="126">
        <f>K79/HLOOKUP(F79,Team_Composition_23[[#All],[Yellow]:[Red]],8,FALSE)</f>
        <v>2.5450198738346995E-2</v>
      </c>
      <c r="P79" s="126">
        <f>L79/HLOOKUP(F79,Team_Composition_23[[#All],[Yellow]:[Red]],7,FALSE)</f>
        <v>1.7783238239617006E-3</v>
      </c>
      <c r="Q79" s="119"/>
      <c r="R79" s="157" t="s">
        <v>470</v>
      </c>
      <c r="S79" s="158">
        <f>SUMIFS('BR v Highly Regarded 2 Cherno 2'!$L$2:$L$163,'BR v Highly Regarded 2 Cherno 2'!$B$2:$B$163,"KS",'BR v Highly Regarded 2 Cherno 2'!$F$2:$F$163,"Yellow")</f>
        <v>49774</v>
      </c>
      <c r="T79" s="159">
        <f>SUMIFS('BR v Highly Regarded 2 Cherno 2'!$L$2:$L$163,'BR v Highly Regarded 2 Cherno 2'!$B$2:$B$163,"KS",'BR v Highly Regarded 2 Cherno 2'!$F$2:$F$163,"Red")</f>
        <v>200479</v>
      </c>
      <c r="U79" s="119"/>
      <c r="V79" s="119"/>
      <c r="W79" s="119"/>
      <c r="X79" s="119"/>
      <c r="Y79" s="119"/>
      <c r="Z79" s="119"/>
      <c r="AA79" s="119"/>
      <c r="AB79" s="157" t="s">
        <v>470</v>
      </c>
      <c r="AC79" s="158">
        <f>SUMIFS('BR v Highly Regarded 2 Cherno 2'!$L$2:$L$163,'BR v Highly Regarded 2 Cherno 2'!$B$2:$B$163,"KS",'BR v Highly Regarded 2 Cherno 2'!$D$2:$D$163,"Best Regards")</f>
        <v>49774</v>
      </c>
      <c r="AD79" s="159">
        <f>SUMIFS('BR v Highly Regarded 2 Cherno 2'!$L$2:$L$163,'BR v Highly Regarded 2 Cherno 2'!$B$2:$B$163,"KS",'BR v Highly Regarded 2 Cherno 2'!$D$2:$D$163,"Undercooked")</f>
        <v>0</v>
      </c>
    </row>
    <row r="80" spans="1:30" ht="22.5" customHeight="1">
      <c r="A80" s="120">
        <v>51</v>
      </c>
      <c r="B80" s="133" t="str">
        <f>VLOOKUP(C80,Lists!I:J,2,FALSE)</f>
        <v>Tank</v>
      </c>
      <c r="C80" s="95" t="str">
        <f>VLOOKUP(E80&amp;D80,Lists!C:E,3,FALSE)</f>
        <v>SnS/Spear</v>
      </c>
      <c r="D80" s="122" t="s">
        <v>34</v>
      </c>
      <c r="E80" s="123" t="s">
        <v>175</v>
      </c>
      <c r="F80" s="122" t="s">
        <v>476</v>
      </c>
      <c r="G80" s="124">
        <v>1</v>
      </c>
      <c r="H80" s="124">
        <v>13</v>
      </c>
      <c r="I80" s="96">
        <f t="shared" si="0"/>
        <v>14</v>
      </c>
      <c r="J80" s="125">
        <v>294044</v>
      </c>
      <c r="K80" s="125">
        <v>1125287</v>
      </c>
      <c r="L80" s="125">
        <v>12237</v>
      </c>
      <c r="M80" s="126">
        <f>I80/(HLOOKUP(F80,Team_Composition_23[[#All],[Yellow]:[Red]],10,FALSE)+HLOOKUP(F80,Team_Composition_23[[#All],[Yellow]:[Red]],11,FALSE))</f>
        <v>3.4991252186953262E-3</v>
      </c>
      <c r="N80" s="126">
        <f>J80/HLOOKUP(F80,Team_Composition_23[[#All],[Yellow]:[Red]],6,FALSE)</f>
        <v>6.628047761057034E-3</v>
      </c>
      <c r="O80" s="126">
        <f>K80/HLOOKUP(F80,Team_Composition_23[[#All],[Yellow]:[Red]],8,FALSE)</f>
        <v>6.4233245235408465E-2</v>
      </c>
      <c r="P80" s="126">
        <f>L80/HLOOKUP(F80,Team_Composition_23[[#All],[Yellow]:[Red]],7,FALSE)</f>
        <v>9.4532357227712128E-4</v>
      </c>
      <c r="Q80" s="119"/>
      <c r="R80" s="160" t="s">
        <v>465</v>
      </c>
      <c r="S80" s="158">
        <f>SUMIFS('BR v Highly Regarded 2 Cherno 2'!$G$2:$G$163,'BR v Highly Regarded 2 Cherno 2'!$B$2:$B$163,"KS",'BR v Highly Regarded 2 Cherno 2'!$F$2:$F$163,"Yellow")</f>
        <v>130</v>
      </c>
      <c r="T80" s="159">
        <f>SUMIFS('BR v Highly Regarded 2 Cherno 2'!$G$2:$G$163,'BR v Highly Regarded 2 Cherno 2'!$B$2:$B$163,"KS",'BR v Highly Regarded 2 Cherno 2'!$F$2:$F$163,"Red")</f>
        <v>71</v>
      </c>
      <c r="U80" s="119"/>
      <c r="V80" s="119"/>
      <c r="W80" s="119"/>
      <c r="X80" s="119"/>
      <c r="Y80" s="119"/>
      <c r="Z80" s="119"/>
      <c r="AA80" s="119"/>
      <c r="AB80" s="160" t="s">
        <v>465</v>
      </c>
      <c r="AC80" s="158">
        <f>SUMIFS('BR v Highly Regarded 2 Cherno 2'!$G$2:$G$163,'BR v Highly Regarded 2 Cherno 2'!$B$2:$B$163,"KS",'BR v Highly Regarded 2 Cherno 2'!$D$2:$D$163,"Best Regards")</f>
        <v>130</v>
      </c>
      <c r="AD80" s="159">
        <f>SUMIFS('BR v Highly Regarded 2 Cherno 2'!$G$2:$G$163,'BR v Highly Regarded 2 Cherno 2'!$B$2:$B$163,"KS",'BR v Highly Regarded 2 Cherno 2'!$D$2:$D$163,"Undercooked")</f>
        <v>0</v>
      </c>
    </row>
    <row r="81" spans="1:30" ht="22.5" customHeight="1">
      <c r="A81" s="120">
        <v>83</v>
      </c>
      <c r="B81" s="142" t="str">
        <f>VLOOKUP(C81,Lists!I:J,2,FALSE)</f>
        <v>Tank</v>
      </c>
      <c r="C81" s="95" t="str">
        <f>VLOOKUP(E81&amp;D81,Lists!C:E,3,FALSE)</f>
        <v>SnS/Greatsword</v>
      </c>
      <c r="D81" s="122" t="s">
        <v>30</v>
      </c>
      <c r="E81" s="123" t="s">
        <v>407</v>
      </c>
      <c r="F81" s="122" t="s">
        <v>483</v>
      </c>
      <c r="G81" s="124">
        <v>0</v>
      </c>
      <c r="H81" s="124">
        <v>14</v>
      </c>
      <c r="I81" s="96">
        <f t="shared" si="0"/>
        <v>14</v>
      </c>
      <c r="J81" s="125">
        <v>101529</v>
      </c>
      <c r="K81" s="125">
        <v>427879</v>
      </c>
      <c r="L81" s="125">
        <v>21800</v>
      </c>
      <c r="M81" s="126">
        <f>I81/(HLOOKUP(F81,Team_Composition_23[[#All],[Yellow]:[Red]],10,FALSE)+HLOOKUP(F81,Team_Composition_23[[#All],[Yellow]:[Red]],11,FALSE))</f>
        <v>1.705237515225335E-2</v>
      </c>
      <c r="N81" s="126">
        <f>J81/HLOOKUP(F81,Team_Composition_23[[#All],[Yellow]:[Red]],6,FALSE)</f>
        <v>5.7538492315704851E-3</v>
      </c>
      <c r="O81" s="126">
        <f>K81/HLOOKUP(F81,Team_Composition_23[[#All],[Yellow]:[Red]],8,FALSE)</f>
        <v>9.7210015154056244E-3</v>
      </c>
      <c r="P81" s="126">
        <f>L81/HLOOKUP(F81,Team_Composition_23[[#All],[Yellow]:[Red]],7,FALSE)</f>
        <v>8.9828715182771154E-4</v>
      </c>
      <c r="Q81" s="119"/>
      <c r="R81" s="161" t="s">
        <v>466</v>
      </c>
      <c r="S81" s="162">
        <f>SUMIFS('BR v Highly Regarded 2 Cherno 2'!$H$2:$H$163,'BR v Highly Regarded 2 Cherno 2'!$B$2:$B$163,"KS",'BR v Highly Regarded 2 Cherno 2'!$F$2:$F$163,"Yellow")</f>
        <v>177</v>
      </c>
      <c r="T81" s="163">
        <f>SUMIFS('BR v Highly Regarded 2 Cherno 2'!$H$2:$H$163,'BR v Highly Regarded 2 Cherno 2'!$B$2:$B$163,"KS",'BR v Highly Regarded 2 Cherno 2'!$F$2:$F$163,"Red")</f>
        <v>116</v>
      </c>
      <c r="U81" s="119"/>
      <c r="V81" s="119"/>
      <c r="W81" s="119"/>
      <c r="X81" s="119"/>
      <c r="Y81" s="119"/>
      <c r="Z81" s="119"/>
      <c r="AA81" s="119"/>
      <c r="AB81" s="161" t="s">
        <v>466</v>
      </c>
      <c r="AC81" s="162">
        <f>SUMIFS('BR v Highly Regarded 2 Cherno 2'!$H$2:$H$163,'BR v Highly Regarded 2 Cherno 2'!$B$2:$B$163,"KS",'BR v Highly Regarded 2 Cherno 2'!$D$2:$D$163,"Best Regards")</f>
        <v>177</v>
      </c>
      <c r="AD81" s="163">
        <f>SUMIFS('BR v Highly Regarded 2 Cherno 2'!$H$2:$H$163,'BR v Highly Regarded 2 Cherno 2'!$B$2:$B$163,"KS",'BR v Highly Regarded 2 Cherno 2'!$D$2:$D$163,"Undercooked")</f>
        <v>0</v>
      </c>
    </row>
    <row r="82" spans="1:30" ht="22.5" customHeight="1">
      <c r="A82" s="120">
        <v>84</v>
      </c>
      <c r="B82" s="147" t="str">
        <f>VLOOKUP(C82,Lists!I:J,2,FALSE)</f>
        <v>Healer</v>
      </c>
      <c r="C82" s="95" t="str">
        <f>VLOOKUP(E82&amp;D82,Lists!C:E,3,FALSE)</f>
        <v>Wand/Longbow</v>
      </c>
      <c r="D82" s="122" t="s">
        <v>30</v>
      </c>
      <c r="E82" s="123" t="s">
        <v>420</v>
      </c>
      <c r="F82" s="122" t="s">
        <v>483</v>
      </c>
      <c r="G82" s="124">
        <v>0</v>
      </c>
      <c r="H82" s="124">
        <v>14</v>
      </c>
      <c r="I82" s="96">
        <f t="shared" si="0"/>
        <v>14</v>
      </c>
      <c r="J82" s="125">
        <v>42967</v>
      </c>
      <c r="K82" s="125">
        <v>809796</v>
      </c>
      <c r="L82" s="125">
        <v>330885</v>
      </c>
      <c r="M82" s="126">
        <f>I82/(HLOOKUP(F82,Team_Composition_23[[#All],[Yellow]:[Red]],10,FALSE)+HLOOKUP(F82,Team_Composition_23[[#All],[Yellow]:[Red]],11,FALSE))</f>
        <v>1.705237515225335E-2</v>
      </c>
      <c r="N82" s="126">
        <f>J82/HLOOKUP(F82,Team_Composition_23[[#All],[Yellow]:[Red]],6,FALSE)</f>
        <v>2.4350248690806473E-3</v>
      </c>
      <c r="O82" s="126">
        <f>K82/HLOOKUP(F82,Team_Composition_23[[#All],[Yellow]:[Red]],8,FALSE)</f>
        <v>1.8397790364026775E-2</v>
      </c>
      <c r="P82" s="126">
        <f>L82/HLOOKUP(F82,Team_Composition_23[[#All],[Yellow]:[Red]],7,FALSE)</f>
        <v>1.3634391937271208E-2</v>
      </c>
      <c r="Q82" s="119"/>
      <c r="R82" s="160" t="s">
        <v>54</v>
      </c>
      <c r="S82" s="158">
        <f t="shared" ref="S82:S84" si="18">COUNTIFS(C:C,R82,F:F,"Yellow")</f>
        <v>2</v>
      </c>
      <c r="T82" s="159">
        <f t="shared" ref="T82:T84" si="19">COUNTIFS(C:C,R82,F:F,"Red")</f>
        <v>3</v>
      </c>
      <c r="U82" s="119"/>
      <c r="V82" s="119"/>
      <c r="W82" s="119"/>
      <c r="X82" s="119"/>
      <c r="Y82" s="119"/>
      <c r="Z82" s="119"/>
      <c r="AA82" s="119"/>
      <c r="AB82" s="160" t="s">
        <v>54</v>
      </c>
      <c r="AC82" s="158">
        <f t="shared" ref="AC82:AC84" si="20">COUNTIFS(C:C,AB82,D:D,"Best Regards")</f>
        <v>2</v>
      </c>
      <c r="AD82" s="159">
        <f t="shared" ref="AD82:AD84" si="21">COUNTIFS(C:C,AB82,D:D,"Undercooked")</f>
        <v>0</v>
      </c>
    </row>
    <row r="83" spans="1:30" ht="22.5" customHeight="1">
      <c r="A83" s="120">
        <v>52</v>
      </c>
      <c r="B83" s="150" t="str">
        <f>VLOOKUP(C83,Lists!I:J,2,FALSE)</f>
        <v>Tank</v>
      </c>
      <c r="C83" s="95" t="str">
        <f>VLOOKUP(E83&amp;D83,Lists!C:E,3,FALSE)</f>
        <v>SnS/Spear</v>
      </c>
      <c r="D83" s="122" t="s">
        <v>30</v>
      </c>
      <c r="E83" s="123" t="s">
        <v>443</v>
      </c>
      <c r="F83" s="122" t="s">
        <v>483</v>
      </c>
      <c r="G83" s="124">
        <v>1</v>
      </c>
      <c r="H83" s="124">
        <v>12</v>
      </c>
      <c r="I83" s="96">
        <f t="shared" si="0"/>
        <v>13</v>
      </c>
      <c r="J83" s="125">
        <v>28734</v>
      </c>
      <c r="K83" s="125">
        <v>335209</v>
      </c>
      <c r="L83" s="125">
        <v>45010</v>
      </c>
      <c r="M83" s="126">
        <f>I83/(HLOOKUP(F83,Team_Composition_23[[#All],[Yellow]:[Red]],10,FALSE)+HLOOKUP(F83,Team_Composition_23[[#All],[Yellow]:[Red]],11,FALSE))</f>
        <v>1.5834348355663823E-2</v>
      </c>
      <c r="N83" s="126">
        <f>J83/HLOOKUP(F83,Team_Composition_23[[#All],[Yellow]:[Red]],6,FALSE)</f>
        <v>1.628412609401711E-3</v>
      </c>
      <c r="O83" s="126">
        <f>K83/HLOOKUP(F83,Team_Composition_23[[#All],[Yellow]:[Red]],8,FALSE)</f>
        <v>7.6156277755571175E-3</v>
      </c>
      <c r="P83" s="126">
        <f>L83/HLOOKUP(F83,Team_Composition_23[[#All],[Yellow]:[Red]],7,FALSE)</f>
        <v>1.8546745276956558E-3</v>
      </c>
      <c r="Q83" s="119"/>
      <c r="R83" s="157" t="s">
        <v>69</v>
      </c>
      <c r="S83" s="158">
        <f t="shared" si="18"/>
        <v>3</v>
      </c>
      <c r="T83" s="159">
        <f t="shared" si="19"/>
        <v>3</v>
      </c>
      <c r="U83" s="119"/>
      <c r="V83" s="119"/>
      <c r="W83" s="119"/>
      <c r="X83" s="119"/>
      <c r="Y83" s="119"/>
      <c r="Z83" s="119"/>
      <c r="AA83" s="119"/>
      <c r="AB83" s="157" t="s">
        <v>69</v>
      </c>
      <c r="AC83" s="158">
        <f t="shared" si="20"/>
        <v>3</v>
      </c>
      <c r="AD83" s="159">
        <f t="shared" si="21"/>
        <v>0</v>
      </c>
    </row>
    <row r="84" spans="1:30" ht="22.5" customHeight="1">
      <c r="A84" s="120">
        <v>85</v>
      </c>
      <c r="B84" s="94" t="str">
        <f>VLOOKUP(C84,Lists!I:J,2,FALSE)</f>
        <v>Tank</v>
      </c>
      <c r="C84" s="95" t="s">
        <v>14</v>
      </c>
      <c r="D84" s="122" t="s">
        <v>30</v>
      </c>
      <c r="E84" s="123" t="s">
        <v>454</v>
      </c>
      <c r="F84" s="122" t="s">
        <v>483</v>
      </c>
      <c r="G84" s="124">
        <v>0</v>
      </c>
      <c r="H84" s="124">
        <v>13</v>
      </c>
      <c r="I84" s="96">
        <f t="shared" si="0"/>
        <v>13</v>
      </c>
      <c r="J84" s="125">
        <v>28797</v>
      </c>
      <c r="K84" s="125">
        <v>626359</v>
      </c>
      <c r="L84" s="125">
        <v>71590</v>
      </c>
      <c r="M84" s="126">
        <f>I84/(HLOOKUP(F84,Team_Composition_23[[#All],[Yellow]:[Red]],10,FALSE)+HLOOKUP(F84,Team_Composition_23[[#All],[Yellow]:[Red]],11,FALSE))</f>
        <v>1.5834348355663823E-2</v>
      </c>
      <c r="N84" s="126">
        <f>J84/HLOOKUP(F84,Team_Composition_23[[#All],[Yellow]:[Red]],6,FALSE)</f>
        <v>1.6319829440015687E-3</v>
      </c>
      <c r="O84" s="126">
        <f>K84/HLOOKUP(F84,Team_Composition_23[[#All],[Yellow]:[Red]],8,FALSE)</f>
        <v>1.4230277223672934E-2</v>
      </c>
      <c r="P84" s="126">
        <f>L84/HLOOKUP(F84,Team_Composition_23[[#All],[Yellow]:[Red]],7,FALSE)</f>
        <v>2.9499255596030214E-3</v>
      </c>
      <c r="Q84" s="119"/>
      <c r="R84" s="160" t="s">
        <v>81</v>
      </c>
      <c r="S84" s="158">
        <f t="shared" si="18"/>
        <v>1</v>
      </c>
      <c r="T84" s="159">
        <f t="shared" si="19"/>
        <v>0</v>
      </c>
      <c r="U84" s="119"/>
      <c r="V84" s="119"/>
      <c r="W84" s="119"/>
      <c r="X84" s="119"/>
      <c r="Y84" s="119"/>
      <c r="Z84" s="119"/>
      <c r="AA84" s="119"/>
      <c r="AB84" s="160" t="s">
        <v>81</v>
      </c>
      <c r="AC84" s="158">
        <f t="shared" si="20"/>
        <v>1</v>
      </c>
      <c r="AD84" s="159">
        <f t="shared" si="21"/>
        <v>0</v>
      </c>
    </row>
    <row r="85" spans="1:30" ht="22.5" customHeight="1">
      <c r="A85" s="120">
        <v>40</v>
      </c>
      <c r="B85" s="149" t="str">
        <f>VLOOKUP(C85,Lists!I:J,2,FALSE)</f>
        <v>Tank</v>
      </c>
      <c r="C85" s="95" t="s">
        <v>73</v>
      </c>
      <c r="D85" s="122" t="s">
        <v>34</v>
      </c>
      <c r="E85" s="123" t="s">
        <v>83</v>
      </c>
      <c r="F85" s="122" t="s">
        <v>476</v>
      </c>
      <c r="G85" s="124">
        <v>2</v>
      </c>
      <c r="H85" s="124">
        <v>10</v>
      </c>
      <c r="I85" s="96">
        <f t="shared" si="0"/>
        <v>12</v>
      </c>
      <c r="J85" s="125">
        <v>892374</v>
      </c>
      <c r="K85" s="125">
        <v>900282</v>
      </c>
      <c r="L85" s="125">
        <v>89490</v>
      </c>
      <c r="M85" s="126">
        <f>I85/(HLOOKUP(F85,Team_Composition_23[[#All],[Yellow]:[Red]],10,FALSE)+HLOOKUP(F85,Team_Composition_23[[#All],[Yellow]:[Red]],11,FALSE))</f>
        <v>2.9992501874531365E-3</v>
      </c>
      <c r="N85" s="126">
        <f>J85/HLOOKUP(F85,Team_Composition_23[[#All],[Yellow]:[Red]],6,FALSE)</f>
        <v>2.0115008273338376E-2</v>
      </c>
      <c r="O85" s="126">
        <f>K85/HLOOKUP(F85,Team_Composition_23[[#All],[Yellow]:[Red]],8,FALSE)</f>
        <v>5.1389587267091863E-2</v>
      </c>
      <c r="P85" s="126">
        <f>L85/HLOOKUP(F85,Team_Composition_23[[#All],[Yellow]:[Red]],7,FALSE)</f>
        <v>6.91321455283808E-3</v>
      </c>
      <c r="Q85" s="119"/>
      <c r="R85" s="119"/>
      <c r="S85" s="119"/>
      <c r="T85" s="119"/>
      <c r="U85" s="119"/>
      <c r="V85" s="119"/>
      <c r="W85" s="119"/>
      <c r="X85" s="119"/>
      <c r="Y85" s="119"/>
      <c r="Z85" s="119"/>
      <c r="AA85" s="119"/>
      <c r="AB85" s="119"/>
      <c r="AC85" s="119"/>
      <c r="AD85" s="119"/>
    </row>
    <row r="86" spans="1:30" ht="22.5" customHeight="1">
      <c r="A86" s="120">
        <v>86</v>
      </c>
      <c r="B86" s="100" t="str">
        <f>VLOOKUP(C86,Lists!I:J,2,FALSE)</f>
        <v>Tank</v>
      </c>
      <c r="C86" s="95" t="str">
        <f>VLOOKUP(E86&amp;D86,Lists!C:E,3,FALSE)</f>
        <v>SnS/Greatsword</v>
      </c>
      <c r="D86" s="122" t="s">
        <v>34</v>
      </c>
      <c r="E86" s="123" t="s">
        <v>166</v>
      </c>
      <c r="F86" s="122" t="s">
        <v>476</v>
      </c>
      <c r="G86" s="124">
        <v>0</v>
      </c>
      <c r="H86" s="124">
        <v>12</v>
      </c>
      <c r="I86" s="96">
        <f t="shared" si="0"/>
        <v>12</v>
      </c>
      <c r="J86" s="125">
        <v>58492</v>
      </c>
      <c r="K86" s="125">
        <v>424344</v>
      </c>
      <c r="L86" s="125">
        <v>33669</v>
      </c>
      <c r="M86" s="126">
        <f>I86/(HLOOKUP(F86,Team_Composition_23[[#All],[Yellow]:[Red]],10,FALSE)+HLOOKUP(F86,Team_Composition_23[[#All],[Yellow]:[Red]],11,FALSE))</f>
        <v>2.9992501874531365E-3</v>
      </c>
      <c r="N86" s="126">
        <f>J86/HLOOKUP(F86,Team_Composition_23[[#All],[Yellow]:[Red]],6,FALSE)</f>
        <v>1.3184685613028936E-3</v>
      </c>
      <c r="O86" s="126">
        <f>K86/HLOOKUP(F86,Team_Composition_23[[#All],[Yellow]:[Red]],8,FALSE)</f>
        <v>2.4222258158295765E-2</v>
      </c>
      <c r="P86" s="126">
        <f>L86/HLOOKUP(F86,Team_Composition_23[[#All],[Yellow]:[Red]],7,FALSE)</f>
        <v>2.600972407861273E-3</v>
      </c>
      <c r="Q86" s="119"/>
      <c r="R86" s="119"/>
      <c r="S86" s="119"/>
      <c r="T86" s="119"/>
      <c r="U86" s="119"/>
      <c r="V86" s="119"/>
      <c r="W86" s="119"/>
      <c r="X86" s="119"/>
      <c r="Y86" s="119"/>
      <c r="Z86" s="119"/>
      <c r="AA86" s="119"/>
      <c r="AB86" s="119"/>
      <c r="AC86" s="119"/>
      <c r="AD86" s="119"/>
    </row>
    <row r="87" spans="1:30" ht="22.5" customHeight="1">
      <c r="A87" s="120">
        <v>87</v>
      </c>
      <c r="B87" s="142" t="str">
        <f>VLOOKUP(C87,Lists!I:J,2,FALSE)</f>
        <v>Tank</v>
      </c>
      <c r="C87" s="95" t="s">
        <v>14</v>
      </c>
      <c r="D87" s="122" t="s">
        <v>30</v>
      </c>
      <c r="E87" s="123" t="s">
        <v>508</v>
      </c>
      <c r="F87" s="122" t="s">
        <v>483</v>
      </c>
      <c r="G87" s="124">
        <v>0</v>
      </c>
      <c r="H87" s="124">
        <v>11</v>
      </c>
      <c r="I87" s="96">
        <f t="shared" si="0"/>
        <v>11</v>
      </c>
      <c r="J87" s="125">
        <v>53367</v>
      </c>
      <c r="K87" s="125">
        <v>561936</v>
      </c>
      <c r="L87" s="125">
        <v>31208</v>
      </c>
      <c r="M87" s="126">
        <f>I87/(HLOOKUP(F87,Team_Composition_23[[#All],[Yellow]:[Red]],10,FALSE)+HLOOKUP(F87,Team_Composition_23[[#All],[Yellow]:[Red]],11,FALSE))</f>
        <v>1.3398294762484775E-2</v>
      </c>
      <c r="N87" s="126">
        <f>J87/HLOOKUP(F87,Team_Composition_23[[#All],[Yellow]:[Red]],6,FALSE)</f>
        <v>3.0244134379460263E-3</v>
      </c>
      <c r="O87" s="126">
        <f>K87/HLOOKUP(F87,Team_Composition_23[[#All],[Yellow]:[Red]],8,FALSE)</f>
        <v>1.2766648299077483E-2</v>
      </c>
      <c r="P87" s="126">
        <f>L87/HLOOKUP(F87,Team_Composition_23[[#All],[Yellow]:[Red]],7,FALSE)</f>
        <v>1.2859516254238174E-3</v>
      </c>
      <c r="Q87" s="119"/>
      <c r="R87" s="119"/>
      <c r="S87" s="119"/>
      <c r="T87" s="119"/>
      <c r="U87" s="119"/>
      <c r="V87" s="119"/>
      <c r="W87" s="119"/>
      <c r="X87" s="119"/>
      <c r="Y87" s="119"/>
      <c r="Z87" s="119"/>
      <c r="AA87" s="119"/>
      <c r="AB87" s="119"/>
      <c r="AC87" s="119"/>
      <c r="AD87" s="119"/>
    </row>
    <row r="88" spans="1:30" ht="22.5" customHeight="1">
      <c r="A88" s="120">
        <v>88</v>
      </c>
      <c r="B88" s="94" t="str">
        <f>VLOOKUP(C88,Lists!I:J,2,FALSE)</f>
        <v>Tank</v>
      </c>
      <c r="C88" s="95" t="str">
        <f>VLOOKUP(E88&amp;D88,Lists!C:E,3,FALSE)</f>
        <v>SnS/Greatsword</v>
      </c>
      <c r="D88" s="122" t="s">
        <v>34</v>
      </c>
      <c r="E88" s="123" t="s">
        <v>163</v>
      </c>
      <c r="F88" s="122" t="s">
        <v>476</v>
      </c>
      <c r="G88" s="124">
        <v>0</v>
      </c>
      <c r="H88" s="124">
        <v>11</v>
      </c>
      <c r="I88" s="96">
        <f t="shared" si="0"/>
        <v>11</v>
      </c>
      <c r="J88" s="125">
        <v>106907</v>
      </c>
      <c r="K88" s="125">
        <v>581721</v>
      </c>
      <c r="L88" s="125">
        <v>33872</v>
      </c>
      <c r="M88" s="126">
        <f>I88/(HLOOKUP(F88,Team_Composition_23[[#All],[Yellow]:[Red]],10,FALSE)+HLOOKUP(F88,Team_Composition_23[[#All],[Yellow]:[Red]],11,FALSE))</f>
        <v>2.7493126718320421E-3</v>
      </c>
      <c r="N88" s="126">
        <f>J88/HLOOKUP(F88,Team_Composition_23[[#All],[Yellow]:[Red]],6,FALSE)</f>
        <v>2.4097913985366964E-3</v>
      </c>
      <c r="O88" s="126">
        <f>K88/HLOOKUP(F88,Team_Composition_23[[#All],[Yellow]:[Red]],8,FALSE)</f>
        <v>3.3205597906655851E-2</v>
      </c>
      <c r="P88" s="126">
        <f>L88/HLOOKUP(F88,Team_Composition_23[[#All],[Yellow]:[Red]],7,FALSE)</f>
        <v>2.6166544120430377E-3</v>
      </c>
      <c r="Q88" s="119"/>
      <c r="R88" s="119"/>
      <c r="S88" s="119"/>
      <c r="T88" s="119"/>
      <c r="U88" s="119"/>
      <c r="V88" s="119"/>
      <c r="W88" s="119"/>
      <c r="X88" s="119"/>
      <c r="Y88" s="119"/>
      <c r="Z88" s="119"/>
      <c r="AA88" s="119"/>
      <c r="AB88" s="119"/>
      <c r="AC88" s="119"/>
      <c r="AD88" s="119"/>
    </row>
    <row r="89" spans="1:30" ht="22.5" customHeight="1">
      <c r="A89" s="120">
        <v>89</v>
      </c>
      <c r="B89" s="142" t="str">
        <f>VLOOKUP(C89,Lists!I:J,2,FALSE)</f>
        <v>Healer</v>
      </c>
      <c r="C89" s="95" t="str">
        <f>VLOOKUP(E89&amp;D89,Lists!C:E,3,FALSE)</f>
        <v>Wand/Longbow</v>
      </c>
      <c r="D89" s="122" t="s">
        <v>30</v>
      </c>
      <c r="E89" s="123" t="s">
        <v>187</v>
      </c>
      <c r="F89" s="122" t="s">
        <v>483</v>
      </c>
      <c r="G89" s="124">
        <v>0</v>
      </c>
      <c r="H89" s="124">
        <v>11</v>
      </c>
      <c r="I89" s="96">
        <f t="shared" si="0"/>
        <v>11</v>
      </c>
      <c r="J89" s="125">
        <v>54334</v>
      </c>
      <c r="K89" s="125">
        <v>285966</v>
      </c>
      <c r="L89" s="125">
        <v>1545089</v>
      </c>
      <c r="M89" s="126">
        <f>I89/(HLOOKUP(F89,Team_Composition_23[[#All],[Yellow]:[Red]],10,FALSE)+HLOOKUP(F89,Team_Composition_23[[#All],[Yellow]:[Red]],11,FALSE))</f>
        <v>1.3398294762484775E-2</v>
      </c>
      <c r="N89" s="126">
        <f>J89/HLOOKUP(F89,Team_Composition_23[[#All],[Yellow]:[Red]],6,FALSE)</f>
        <v>3.0792152404549513E-3</v>
      </c>
      <c r="O89" s="126">
        <f>K89/HLOOKUP(F89,Team_Composition_23[[#All],[Yellow]:[Red]],8,FALSE)</f>
        <v>6.4968739278031514E-3</v>
      </c>
      <c r="P89" s="126">
        <f>L89/HLOOKUP(F89,Team_Composition_23[[#All],[Yellow]:[Red]],7,FALSE)</f>
        <v>6.3666678767446194E-2</v>
      </c>
      <c r="Q89" s="119"/>
      <c r="R89" s="119"/>
      <c r="S89" s="119"/>
      <c r="T89" s="119"/>
      <c r="U89" s="119"/>
      <c r="V89" s="119"/>
      <c r="W89" s="119"/>
      <c r="X89" s="119"/>
      <c r="Y89" s="119"/>
      <c r="Z89" s="119"/>
      <c r="AA89" s="119"/>
      <c r="AB89" s="119"/>
      <c r="AC89" s="119"/>
      <c r="AD89" s="119"/>
    </row>
    <row r="90" spans="1:30" ht="22.5" customHeight="1">
      <c r="A90" s="120">
        <v>90</v>
      </c>
      <c r="B90" s="147" t="str">
        <f>VLOOKUP(C90,Lists!I:J,2,FALSE)</f>
        <v>Healer</v>
      </c>
      <c r="C90" s="95" t="s">
        <v>9</v>
      </c>
      <c r="D90" s="122" t="s">
        <v>30</v>
      </c>
      <c r="E90" s="123" t="s">
        <v>449</v>
      </c>
      <c r="F90" s="122" t="s">
        <v>483</v>
      </c>
      <c r="G90" s="124">
        <v>0</v>
      </c>
      <c r="H90" s="124">
        <v>10</v>
      </c>
      <c r="I90" s="96">
        <f t="shared" si="0"/>
        <v>10</v>
      </c>
      <c r="J90" s="125">
        <v>34578</v>
      </c>
      <c r="K90" s="125">
        <v>206344</v>
      </c>
      <c r="L90" s="125">
        <v>617635</v>
      </c>
      <c r="M90" s="126">
        <f>I90/(HLOOKUP(F90,Team_Composition_23[[#All],[Yellow]:[Red]],10,FALSE)+HLOOKUP(F90,Team_Composition_23[[#All],[Yellow]:[Red]],11,FALSE))</f>
        <v>1.2180267965895249E-2</v>
      </c>
      <c r="N90" s="126">
        <f>J90/HLOOKUP(F90,Team_Composition_23[[#All],[Yellow]:[Red]],6,FALSE)</f>
        <v>1.9596036475218338E-3</v>
      </c>
      <c r="O90" s="126">
        <f>K90/HLOOKUP(F90,Team_Composition_23[[#All],[Yellow]:[Red]],8,FALSE)</f>
        <v>4.6879382645440837E-3</v>
      </c>
      <c r="P90" s="126">
        <f>L90/HLOOKUP(F90,Team_Composition_23[[#All],[Yellow]:[Red]],7,FALSE)</f>
        <v>2.5450164450417825E-2</v>
      </c>
      <c r="Q90" s="119"/>
      <c r="R90" s="119"/>
      <c r="S90" s="119"/>
      <c r="T90" s="119"/>
      <c r="U90" s="119"/>
      <c r="V90" s="119"/>
      <c r="W90" s="119"/>
      <c r="X90" s="119"/>
      <c r="Y90" s="119"/>
      <c r="Z90" s="119"/>
      <c r="AA90" s="119"/>
      <c r="AB90" s="119"/>
      <c r="AC90" s="119"/>
      <c r="AD90" s="119"/>
    </row>
    <row r="91" spans="1:30" ht="22.5" customHeight="1">
      <c r="A91" s="120">
        <v>91</v>
      </c>
      <c r="B91" s="146" t="str">
        <f>VLOOKUP(C91,Lists!I:J,2,FALSE)</f>
        <v>Tank</v>
      </c>
      <c r="C91" s="95" t="str">
        <f>VLOOKUP(E91&amp;D91,Lists!C:E,3,FALSE)</f>
        <v>SnS/Longbow</v>
      </c>
      <c r="D91" s="122" t="s">
        <v>34</v>
      </c>
      <c r="E91" s="123" t="s">
        <v>114</v>
      </c>
      <c r="F91" s="122" t="s">
        <v>476</v>
      </c>
      <c r="G91" s="124">
        <v>0</v>
      </c>
      <c r="H91" s="124">
        <v>9</v>
      </c>
      <c r="I91" s="96">
        <f t="shared" si="0"/>
        <v>9</v>
      </c>
      <c r="J91" s="125">
        <v>65502</v>
      </c>
      <c r="K91" s="125">
        <v>530294</v>
      </c>
      <c r="L91" s="125">
        <v>96247</v>
      </c>
      <c r="M91" s="126">
        <f>I91/(HLOOKUP(F91,Team_Composition_23[[#All],[Yellow]:[Red]],10,FALSE)+HLOOKUP(F91,Team_Composition_23[[#All],[Yellow]:[Red]],11,FALSE))</f>
        <v>2.2494376405898524E-3</v>
      </c>
      <c r="N91" s="126">
        <f>J91/HLOOKUP(F91,Team_Composition_23[[#All],[Yellow]:[Red]],6,FALSE)</f>
        <v>1.4764810179590737E-3</v>
      </c>
      <c r="O91" s="126">
        <f>K91/HLOOKUP(F91,Team_Composition_23[[#All],[Yellow]:[Red]],8,FALSE)</f>
        <v>3.0270059592677864E-2</v>
      </c>
      <c r="P91" s="126">
        <f>L91/HLOOKUP(F91,Team_Composition_23[[#All],[Yellow]:[Red]],7,FALSE)</f>
        <v>7.4352012634596792E-3</v>
      </c>
      <c r="Q91" s="119"/>
      <c r="R91" s="119"/>
      <c r="S91" s="119"/>
      <c r="T91" s="119"/>
      <c r="U91" s="119"/>
      <c r="V91" s="119"/>
      <c r="W91" s="119"/>
      <c r="X91" s="119"/>
      <c r="Y91" s="119"/>
      <c r="Z91" s="119"/>
      <c r="AA91" s="119"/>
      <c r="AB91" s="119"/>
      <c r="AC91" s="119"/>
      <c r="AD91" s="119"/>
    </row>
    <row r="92" spans="1:30" ht="22.5" customHeight="1">
      <c r="A92" s="120">
        <v>92</v>
      </c>
      <c r="B92" s="164" t="str">
        <f>VLOOKUP(C92,Lists!I:J,2,FALSE)</f>
        <v>Tank</v>
      </c>
      <c r="C92" s="95" t="s">
        <v>62</v>
      </c>
      <c r="D92" s="122" t="s">
        <v>30</v>
      </c>
      <c r="E92" s="123" t="s">
        <v>216</v>
      </c>
      <c r="F92" s="122" t="s">
        <v>483</v>
      </c>
      <c r="G92" s="124">
        <v>0</v>
      </c>
      <c r="H92" s="124">
        <v>8</v>
      </c>
      <c r="I92" s="96">
        <f t="shared" si="0"/>
        <v>8</v>
      </c>
      <c r="J92" s="125">
        <v>62677</v>
      </c>
      <c r="K92" s="125">
        <v>747592</v>
      </c>
      <c r="L92" s="125">
        <v>16076</v>
      </c>
      <c r="M92" s="126">
        <f>I92/(HLOOKUP(F92,Team_Composition_23[[#All],[Yellow]:[Red]],10,FALSE)+HLOOKUP(F92,Team_Composition_23[[#All],[Yellow]:[Red]],11,FALSE))</f>
        <v>9.7442143727161992E-3</v>
      </c>
      <c r="N92" s="126">
        <f>J92/HLOOKUP(F92,Team_Composition_23[[#All],[Yellow]:[Red]],6,FALSE)</f>
        <v>3.5520295510360913E-3</v>
      </c>
      <c r="O92" s="126">
        <f>K92/HLOOKUP(F92,Team_Composition_23[[#All],[Yellow]:[Red]],8,FALSE)</f>
        <v>1.6984574996447878E-2</v>
      </c>
      <c r="P92" s="126">
        <f>L92/HLOOKUP(F92,Team_Composition_23[[#All],[Yellow]:[Red]],7,FALSE)</f>
        <v>6.6242496572395827E-4</v>
      </c>
      <c r="Q92" s="119"/>
      <c r="R92" s="119"/>
      <c r="S92" s="119"/>
      <c r="T92" s="119"/>
      <c r="U92" s="119"/>
      <c r="V92" s="119"/>
      <c r="W92" s="119"/>
      <c r="X92" s="119"/>
      <c r="Y92" s="119"/>
      <c r="Z92" s="119"/>
      <c r="AA92" s="119"/>
      <c r="AB92" s="119"/>
      <c r="AC92" s="119"/>
      <c r="AD92" s="119"/>
    </row>
    <row r="93" spans="1:30" ht="22.5" customHeight="1">
      <c r="A93" s="120">
        <v>41</v>
      </c>
      <c r="B93" s="142" t="str">
        <f>VLOOKUP(C93,Lists!I:J,2,FALSE)</f>
        <v>Tank</v>
      </c>
      <c r="C93" s="95" t="str">
        <f>VLOOKUP(E93&amp;D93,Lists!C:E,3,FALSE)</f>
        <v>SnS/Spear</v>
      </c>
      <c r="D93" s="122" t="s">
        <v>30</v>
      </c>
      <c r="E93" s="123" t="s">
        <v>421</v>
      </c>
      <c r="F93" s="122" t="s">
        <v>483</v>
      </c>
      <c r="G93" s="124">
        <v>2</v>
      </c>
      <c r="H93" s="124">
        <v>5</v>
      </c>
      <c r="I93" s="96">
        <f t="shared" si="0"/>
        <v>7</v>
      </c>
      <c r="J93" s="125">
        <v>34657</v>
      </c>
      <c r="K93" s="125">
        <v>418385</v>
      </c>
      <c r="L93" s="125">
        <v>28069</v>
      </c>
      <c r="M93" s="126">
        <f>I93/(HLOOKUP(F93,Team_Composition_23[[#All],[Yellow]:[Red]],10,FALSE)+HLOOKUP(F93,Team_Composition_23[[#All],[Yellow]:[Red]],11,FALSE))</f>
        <v>8.5261875761266752E-3</v>
      </c>
      <c r="N93" s="126">
        <f>J93/HLOOKUP(F93,Team_Composition_23[[#All],[Yellow]:[Red]],6,FALSE)</f>
        <v>1.9640807337660995E-3</v>
      </c>
      <c r="O93" s="126">
        <f>K93/HLOOKUP(F93,Team_Composition_23[[#All],[Yellow]:[Red]],8,FALSE)</f>
        <v>9.5053069185984402E-3</v>
      </c>
      <c r="P93" s="126">
        <f>L93/HLOOKUP(F93,Team_Composition_23[[#All],[Yellow]:[Red]],7,FALSE)</f>
        <v>1.1566065167271575E-3</v>
      </c>
      <c r="Q93" s="119"/>
      <c r="R93" s="119"/>
      <c r="S93" s="119"/>
      <c r="T93" s="119"/>
      <c r="U93" s="119"/>
      <c r="V93" s="119"/>
      <c r="W93" s="119"/>
      <c r="X93" s="119"/>
      <c r="Y93" s="119"/>
      <c r="Z93" s="119"/>
      <c r="AA93" s="119"/>
      <c r="AB93" s="119"/>
      <c r="AC93" s="119"/>
      <c r="AD93" s="119"/>
    </row>
    <row r="94" spans="1:30" ht="22.5" customHeight="1">
      <c r="A94" s="120">
        <v>93</v>
      </c>
      <c r="B94" s="133" t="str">
        <f>VLOOKUP(C94,Lists!I:J,2,FALSE)</f>
        <v>Healer</v>
      </c>
      <c r="C94" s="95" t="str">
        <f>VLOOKUP(E94&amp;D94,Lists!C:E,3,FALSE)</f>
        <v>Wand/Longbow</v>
      </c>
      <c r="D94" s="122" t="s">
        <v>34</v>
      </c>
      <c r="E94" s="123" t="s">
        <v>136</v>
      </c>
      <c r="F94" s="122" t="s">
        <v>476</v>
      </c>
      <c r="G94" s="124">
        <v>0</v>
      </c>
      <c r="H94" s="124">
        <v>5</v>
      </c>
      <c r="I94" s="96">
        <f t="shared" si="0"/>
        <v>5</v>
      </c>
      <c r="J94" s="125">
        <v>51525</v>
      </c>
      <c r="K94" s="125">
        <v>882131</v>
      </c>
      <c r="L94" s="125">
        <v>157427</v>
      </c>
      <c r="M94" s="126">
        <f>I94/(HLOOKUP(F94,Team_Composition_23[[#All],[Yellow]:[Red]],10,FALSE)+HLOOKUP(F94,Team_Composition_23[[#All],[Yellow]:[Red]],11,FALSE))</f>
        <v>1.2496875781054736E-3</v>
      </c>
      <c r="N94" s="126">
        <f>J94/HLOOKUP(F94,Team_Composition_23[[#All],[Yellow]:[Red]],6,FALSE)</f>
        <v>1.161425367932907E-3</v>
      </c>
      <c r="O94" s="126">
        <f>K94/HLOOKUP(F94,Team_Composition_23[[#All],[Yellow]:[Red]],8,FALSE)</f>
        <v>5.0353498132259679E-2</v>
      </c>
      <c r="P94" s="126">
        <f>L94/HLOOKUP(F94,Team_Composition_23[[#All],[Yellow]:[Red]],7,FALSE)</f>
        <v>1.216143286858465E-2</v>
      </c>
      <c r="Q94" s="119"/>
      <c r="R94" s="119"/>
      <c r="S94" s="119"/>
      <c r="T94" s="119"/>
      <c r="U94" s="119"/>
      <c r="V94" s="119"/>
      <c r="W94" s="119"/>
      <c r="X94" s="119"/>
      <c r="Y94" s="119"/>
      <c r="Z94" s="119"/>
      <c r="AA94" s="119"/>
      <c r="AB94" s="119"/>
      <c r="AC94" s="119"/>
      <c r="AD94" s="119"/>
    </row>
    <row r="95" spans="1:30" ht="22.5" customHeight="1">
      <c r="A95" s="120">
        <v>94</v>
      </c>
      <c r="B95" s="109" t="str">
        <f>VLOOKUP(C95,Lists!I:J,2,FALSE)</f>
        <v>Healer</v>
      </c>
      <c r="C95" s="95" t="str">
        <f>VLOOKUP(E95&amp;D95,Lists!C:E,3,FALSE)</f>
        <v>Wand/Longbow</v>
      </c>
      <c r="D95" s="122" t="s">
        <v>34</v>
      </c>
      <c r="E95" s="123" t="s">
        <v>135</v>
      </c>
      <c r="F95" s="122" t="s">
        <v>476</v>
      </c>
      <c r="G95" s="124">
        <v>0</v>
      </c>
      <c r="H95" s="124">
        <v>4</v>
      </c>
      <c r="I95" s="96">
        <f t="shared" si="0"/>
        <v>4</v>
      </c>
      <c r="J95" s="125">
        <v>12210</v>
      </c>
      <c r="K95" s="125">
        <v>289242</v>
      </c>
      <c r="L95" s="125">
        <v>480955</v>
      </c>
      <c r="M95" s="126">
        <f>I95/(HLOOKUP(F95,Team_Composition_23[[#All],[Yellow]:[Red]],10,FALSE)+HLOOKUP(F95,Team_Composition_23[[#All],[Yellow]:[Red]],11,FALSE))</f>
        <v>9.9975006248437899E-4</v>
      </c>
      <c r="N95" s="126">
        <f>J95/HLOOKUP(F95,Team_Composition_23[[#All],[Yellow]:[Red]],6,FALSE)</f>
        <v>2.7522569126561461E-4</v>
      </c>
      <c r="O95" s="126">
        <f>K95/HLOOKUP(F95,Team_Composition_23[[#All],[Yellow]:[Red]],8,FALSE)</f>
        <v>1.6510412293379389E-2</v>
      </c>
      <c r="P95" s="126">
        <f>L95/HLOOKUP(F95,Team_Composition_23[[#All],[Yellow]:[Red]],7,FALSE)</f>
        <v>3.7154375966702853E-2</v>
      </c>
      <c r="Q95" s="119"/>
      <c r="R95" s="119"/>
      <c r="S95" s="119"/>
      <c r="T95" s="119"/>
      <c r="U95" s="119"/>
      <c r="V95" s="119"/>
      <c r="W95" s="119"/>
      <c r="X95" s="119"/>
      <c r="Y95" s="119"/>
      <c r="Z95" s="119"/>
      <c r="AA95" s="119"/>
      <c r="AB95" s="119"/>
      <c r="AC95" s="119"/>
      <c r="AD95" s="119"/>
    </row>
    <row r="96" spans="1:30" ht="22.5" customHeight="1">
      <c r="A96" s="120">
        <v>95</v>
      </c>
      <c r="B96" s="94" t="str">
        <f>VLOOKUP(C96,Lists!I:J,2,FALSE)</f>
        <v>Tank</v>
      </c>
      <c r="C96" s="95" t="str">
        <f>VLOOKUP(E96&amp;D96,Lists!C:E,3,FALSE)</f>
        <v>SnS/Spear</v>
      </c>
      <c r="D96" s="122" t="s">
        <v>30</v>
      </c>
      <c r="E96" s="123" t="s">
        <v>427</v>
      </c>
      <c r="F96" s="122" t="s">
        <v>483</v>
      </c>
      <c r="G96" s="124">
        <v>0</v>
      </c>
      <c r="H96" s="124">
        <v>2</v>
      </c>
      <c r="I96" s="96">
        <f t="shared" si="0"/>
        <v>2</v>
      </c>
      <c r="J96" s="125">
        <v>22915</v>
      </c>
      <c r="K96" s="125">
        <v>713943</v>
      </c>
      <c r="L96" s="125">
        <v>29380</v>
      </c>
      <c r="M96" s="126">
        <f>I96/(HLOOKUP(F96,Team_Composition_23[[#All],[Yellow]:[Red]],10,FALSE)+HLOOKUP(F96,Team_Composition_23[[#All],[Yellow]:[Red]],11,FALSE))</f>
        <v>2.4360535931790498E-3</v>
      </c>
      <c r="N96" s="126">
        <f>J96/HLOOKUP(F96,Team_Composition_23[[#All],[Yellow]:[Red]],6,FALSE)</f>
        <v>1.2986383707259766E-3</v>
      </c>
      <c r="O96" s="126">
        <f>K96/HLOOKUP(F96,Team_Composition_23[[#All],[Yellow]:[Red]],8,FALSE)</f>
        <v>1.6220101909449256E-2</v>
      </c>
      <c r="P96" s="126">
        <f>L96/HLOOKUP(F96,Team_Composition_23[[#All],[Yellow]:[Red]],7,FALSE)</f>
        <v>1.2106273633347782E-3</v>
      </c>
      <c r="Q96" s="119"/>
      <c r="R96" s="119"/>
      <c r="S96" s="119"/>
      <c r="T96" s="119"/>
      <c r="U96" s="119"/>
      <c r="V96" s="119"/>
      <c r="W96" s="119"/>
      <c r="X96" s="119"/>
      <c r="Y96" s="119"/>
      <c r="Z96" s="119"/>
      <c r="AA96" s="119"/>
      <c r="AB96" s="119"/>
      <c r="AC96" s="119"/>
      <c r="AD96" s="119"/>
    </row>
    <row r="97" spans="1:30" ht="22.5" customHeight="1">
      <c r="A97" s="120">
        <v>96</v>
      </c>
      <c r="B97" s="106" t="str">
        <f>VLOOKUP(C97,Lists!I:J,2,FALSE)</f>
        <v>Tank</v>
      </c>
      <c r="C97" s="95" t="s">
        <v>14</v>
      </c>
      <c r="D97" s="122" t="s">
        <v>30</v>
      </c>
      <c r="E97" s="123" t="s">
        <v>448</v>
      </c>
      <c r="F97" s="122" t="s">
        <v>483</v>
      </c>
      <c r="G97" s="124">
        <v>0</v>
      </c>
      <c r="H97" s="124">
        <v>1</v>
      </c>
      <c r="I97" s="96">
        <f t="shared" si="0"/>
        <v>1</v>
      </c>
      <c r="J97" s="125">
        <v>39174</v>
      </c>
      <c r="K97" s="125">
        <v>902211</v>
      </c>
      <c r="L97" s="125">
        <v>40154</v>
      </c>
      <c r="M97" s="126">
        <f>I97/(HLOOKUP(F97,Team_Composition_23[[#All],[Yellow]:[Red]],10,FALSE)+HLOOKUP(F97,Team_Composition_23[[#All],[Yellow]:[Red]],11,FALSE))</f>
        <v>1.2180267965895249E-3</v>
      </c>
      <c r="N97" s="126">
        <f>J97/HLOOKUP(F97,Team_Composition_23[[#All],[Yellow]:[Red]],6,FALSE)</f>
        <v>2.2200680573781105E-3</v>
      </c>
      <c r="O97" s="126">
        <f>K97/HLOOKUP(F97,Team_Composition_23[[#All],[Yellow]:[Red]],8,FALSE)</f>
        <v>2.0497370747841383E-2</v>
      </c>
      <c r="P97" s="126">
        <f>L97/HLOOKUP(F97,Team_Composition_23[[#All],[Yellow]:[Red]],7,FALSE)</f>
        <v>1.6545790043344002E-3</v>
      </c>
      <c r="Q97" s="119"/>
      <c r="R97" s="119"/>
      <c r="S97" s="119"/>
      <c r="T97" s="119"/>
      <c r="U97" s="119"/>
      <c r="V97" s="119"/>
      <c r="W97" s="119"/>
      <c r="X97" s="119"/>
      <c r="Y97" s="119"/>
      <c r="Z97" s="119"/>
      <c r="AA97" s="119"/>
      <c r="AB97" s="119"/>
      <c r="AC97" s="119"/>
      <c r="AD97" s="119"/>
    </row>
    <row r="98" spans="1:30" ht="22.5" customHeight="1">
      <c r="A98" s="99"/>
      <c r="B98" s="94"/>
      <c r="C98" s="95"/>
      <c r="D98" s="102"/>
      <c r="E98" s="103"/>
      <c r="F98" s="102"/>
      <c r="G98" s="99"/>
      <c r="H98" s="99"/>
      <c r="I98" s="110"/>
      <c r="J98" s="105"/>
      <c r="K98" s="105"/>
      <c r="L98" s="105"/>
      <c r="M98" s="165"/>
      <c r="N98" s="165"/>
      <c r="O98" s="165"/>
      <c r="P98" s="165"/>
      <c r="Q98" s="119"/>
      <c r="R98" s="119"/>
      <c r="S98" s="119"/>
      <c r="T98" s="119"/>
      <c r="U98" s="119"/>
      <c r="V98" s="119"/>
      <c r="W98" s="119"/>
      <c r="X98" s="119"/>
      <c r="Y98" s="119"/>
      <c r="Z98" s="119"/>
      <c r="AA98" s="119"/>
      <c r="AB98" s="119"/>
      <c r="AC98" s="119"/>
      <c r="AD98" s="119"/>
    </row>
    <row r="99" spans="1:30" ht="22.5" customHeight="1">
      <c r="A99" s="99"/>
      <c r="B99" s="111"/>
      <c r="C99" s="95"/>
      <c r="D99" s="102"/>
      <c r="E99" s="103"/>
      <c r="F99" s="102"/>
      <c r="G99" s="99"/>
      <c r="H99" s="99"/>
      <c r="I99" s="110"/>
      <c r="J99" s="105"/>
      <c r="K99" s="105"/>
      <c r="L99" s="105"/>
      <c r="M99" s="165"/>
      <c r="N99" s="165"/>
      <c r="O99" s="165"/>
      <c r="P99" s="165"/>
      <c r="Q99" s="119"/>
      <c r="R99" s="119"/>
      <c r="S99" s="119"/>
      <c r="T99" s="119"/>
      <c r="U99" s="119"/>
      <c r="V99" s="119"/>
      <c r="W99" s="119"/>
      <c r="X99" s="119"/>
      <c r="Y99" s="119"/>
      <c r="Z99" s="119"/>
      <c r="AA99" s="119"/>
      <c r="AB99" s="119"/>
      <c r="AC99" s="119"/>
      <c r="AD99" s="119"/>
    </row>
    <row r="100" spans="1:30" ht="22.5" customHeight="1">
      <c r="A100" s="99"/>
      <c r="B100" s="95"/>
      <c r="C100" s="95"/>
      <c r="D100" s="102"/>
      <c r="E100" s="103"/>
      <c r="F100" s="102"/>
      <c r="G100" s="99"/>
      <c r="H100" s="99"/>
      <c r="I100" s="110"/>
      <c r="J100" s="105"/>
      <c r="K100" s="105"/>
      <c r="L100" s="105"/>
      <c r="M100" s="165"/>
      <c r="N100" s="165"/>
      <c r="O100" s="165"/>
      <c r="P100" s="165"/>
      <c r="Q100" s="119"/>
      <c r="R100" s="119"/>
      <c r="S100" s="119"/>
      <c r="T100" s="119"/>
      <c r="U100" s="119"/>
      <c r="V100" s="119"/>
      <c r="W100" s="119"/>
      <c r="X100" s="119"/>
      <c r="Y100" s="119"/>
      <c r="Z100" s="119"/>
      <c r="AA100" s="119"/>
      <c r="AB100" s="119"/>
      <c r="AC100" s="119"/>
      <c r="AD100" s="119"/>
    </row>
    <row r="101" spans="1:30" ht="22.5" customHeight="1">
      <c r="A101" s="99"/>
      <c r="B101" s="106"/>
      <c r="C101" s="95"/>
      <c r="D101" s="102"/>
      <c r="E101" s="103"/>
      <c r="F101" s="102"/>
      <c r="G101" s="99"/>
      <c r="H101" s="99"/>
      <c r="I101" s="110"/>
      <c r="J101" s="105"/>
      <c r="K101" s="105"/>
      <c r="L101" s="105"/>
      <c r="M101" s="165"/>
      <c r="N101" s="165"/>
      <c r="O101" s="165"/>
      <c r="P101" s="165"/>
      <c r="Q101" s="119"/>
      <c r="R101" s="119"/>
      <c r="S101" s="119"/>
      <c r="T101" s="119"/>
      <c r="U101" s="119"/>
      <c r="V101" s="119"/>
      <c r="W101" s="119"/>
      <c r="X101" s="119"/>
      <c r="Y101" s="119"/>
      <c r="Z101" s="119"/>
      <c r="AA101" s="119"/>
      <c r="AB101" s="119"/>
      <c r="AC101" s="119"/>
      <c r="AD101" s="119"/>
    </row>
    <row r="102" spans="1:30" ht="22.5" customHeight="1">
      <c r="A102" s="99"/>
      <c r="B102" s="95"/>
      <c r="C102" s="95"/>
      <c r="D102" s="102"/>
      <c r="E102" s="103"/>
      <c r="F102" s="102"/>
      <c r="G102" s="99"/>
      <c r="H102" s="99"/>
      <c r="I102" s="110"/>
      <c r="J102" s="105"/>
      <c r="K102" s="105"/>
      <c r="L102" s="105"/>
      <c r="M102" s="165"/>
      <c r="N102" s="165"/>
      <c r="O102" s="165"/>
      <c r="P102" s="165"/>
      <c r="Q102" s="119"/>
      <c r="R102" s="119"/>
      <c r="S102" s="119"/>
      <c r="T102" s="119"/>
      <c r="U102" s="119"/>
      <c r="V102" s="119"/>
      <c r="W102" s="119"/>
      <c r="X102" s="119"/>
      <c r="Y102" s="119"/>
      <c r="Z102" s="119"/>
      <c r="AA102" s="119"/>
      <c r="AB102" s="119"/>
      <c r="AC102" s="119"/>
      <c r="AD102" s="119"/>
    </row>
    <row r="103" spans="1:30" ht="22.5" customHeight="1">
      <c r="A103" s="99"/>
      <c r="B103" s="111"/>
      <c r="C103" s="95"/>
      <c r="D103" s="102"/>
      <c r="E103" s="103"/>
      <c r="F103" s="102"/>
      <c r="G103" s="99"/>
      <c r="H103" s="99"/>
      <c r="I103" s="110"/>
      <c r="J103" s="105"/>
      <c r="K103" s="105"/>
      <c r="L103" s="105"/>
      <c r="M103" s="165"/>
      <c r="N103" s="165"/>
      <c r="O103" s="165"/>
      <c r="P103" s="165"/>
      <c r="Q103" s="119"/>
      <c r="R103" s="119"/>
      <c r="S103" s="119"/>
      <c r="T103" s="119"/>
      <c r="U103" s="119"/>
      <c r="V103" s="119"/>
      <c r="W103" s="119"/>
      <c r="X103" s="119"/>
      <c r="Y103" s="119"/>
      <c r="Z103" s="119"/>
      <c r="AA103" s="119"/>
      <c r="AB103" s="119"/>
      <c r="AC103" s="119"/>
      <c r="AD103" s="119"/>
    </row>
    <row r="104" spans="1:30" ht="22.5" customHeight="1">
      <c r="A104" s="99"/>
      <c r="B104" s="100"/>
      <c r="C104" s="95"/>
      <c r="D104" s="102"/>
      <c r="E104" s="103"/>
      <c r="F104" s="102"/>
      <c r="G104" s="99"/>
      <c r="H104" s="99"/>
      <c r="I104" s="110"/>
      <c r="J104" s="105"/>
      <c r="K104" s="105"/>
      <c r="L104" s="105"/>
      <c r="M104" s="165"/>
      <c r="N104" s="165"/>
      <c r="O104" s="165"/>
      <c r="P104" s="165"/>
      <c r="Q104" s="119"/>
      <c r="R104" s="119"/>
      <c r="S104" s="119"/>
      <c r="T104" s="119"/>
      <c r="U104" s="119"/>
      <c r="V104" s="119"/>
      <c r="W104" s="119"/>
      <c r="X104" s="119"/>
      <c r="Y104" s="119"/>
      <c r="Z104" s="119"/>
      <c r="AA104" s="119"/>
      <c r="AB104" s="119"/>
      <c r="AC104" s="119"/>
      <c r="AD104" s="119"/>
    </row>
    <row r="105" spans="1:30" ht="22.5" customHeight="1">
      <c r="A105" s="99"/>
      <c r="B105" s="111"/>
      <c r="C105" s="95"/>
      <c r="D105" s="102"/>
      <c r="E105" s="103"/>
      <c r="F105" s="102"/>
      <c r="G105" s="99"/>
      <c r="H105" s="99"/>
      <c r="I105" s="110"/>
      <c r="J105" s="105"/>
      <c r="K105" s="105"/>
      <c r="L105" s="105"/>
      <c r="M105" s="165"/>
      <c r="N105" s="165"/>
      <c r="O105" s="165"/>
      <c r="P105" s="165"/>
      <c r="Q105" s="119"/>
      <c r="R105" s="119"/>
      <c r="S105" s="119"/>
      <c r="T105" s="119"/>
      <c r="U105" s="119"/>
      <c r="V105" s="119"/>
      <c r="W105" s="119"/>
      <c r="X105" s="119"/>
      <c r="Y105" s="119"/>
      <c r="Z105" s="119"/>
      <c r="AA105" s="119"/>
      <c r="AB105" s="119"/>
      <c r="AC105" s="119"/>
      <c r="AD105" s="119"/>
    </row>
    <row r="106" spans="1:30" ht="22.5" customHeight="1">
      <c r="A106" s="99"/>
      <c r="B106" s="95"/>
      <c r="C106" s="95"/>
      <c r="D106" s="102"/>
      <c r="E106" s="103"/>
      <c r="F106" s="102"/>
      <c r="G106" s="99"/>
      <c r="H106" s="99"/>
      <c r="I106" s="110"/>
      <c r="J106" s="105"/>
      <c r="K106" s="105"/>
      <c r="L106" s="105"/>
      <c r="M106" s="165"/>
      <c r="N106" s="165"/>
      <c r="O106" s="165"/>
      <c r="P106" s="165"/>
      <c r="Q106" s="119"/>
      <c r="R106" s="119"/>
      <c r="S106" s="119"/>
      <c r="T106" s="119"/>
      <c r="U106" s="119"/>
      <c r="V106" s="119"/>
      <c r="W106" s="119"/>
      <c r="X106" s="119"/>
      <c r="Y106" s="119"/>
      <c r="Z106" s="119"/>
      <c r="AA106" s="119"/>
      <c r="AB106" s="119"/>
      <c r="AC106" s="119"/>
      <c r="AD106" s="119"/>
    </row>
    <row r="107" spans="1:30" ht="22.5" customHeight="1">
      <c r="A107" s="99"/>
      <c r="B107" s="111"/>
      <c r="C107" s="95"/>
      <c r="D107" s="102"/>
      <c r="E107" s="103"/>
      <c r="F107" s="102"/>
      <c r="G107" s="99"/>
      <c r="H107" s="99"/>
      <c r="I107" s="110"/>
      <c r="J107" s="105"/>
      <c r="K107" s="105"/>
      <c r="L107" s="105"/>
      <c r="M107" s="165"/>
      <c r="N107" s="165"/>
      <c r="O107" s="165"/>
      <c r="P107" s="165"/>
      <c r="Q107" s="119"/>
      <c r="R107" s="119"/>
      <c r="S107" s="119"/>
      <c r="T107" s="119"/>
      <c r="U107" s="119"/>
      <c r="V107" s="119"/>
      <c r="W107" s="119"/>
      <c r="X107" s="119"/>
      <c r="Y107" s="119"/>
      <c r="Z107" s="119"/>
      <c r="AA107" s="119"/>
      <c r="AB107" s="119"/>
      <c r="AC107" s="119"/>
      <c r="AD107" s="119"/>
    </row>
    <row r="108" spans="1:30" ht="22.5" customHeight="1">
      <c r="A108" s="99"/>
      <c r="B108" s="95"/>
      <c r="C108" s="95"/>
      <c r="D108" s="102"/>
      <c r="E108" s="103"/>
      <c r="F108" s="102"/>
      <c r="G108" s="99"/>
      <c r="H108" s="99"/>
      <c r="I108" s="110"/>
      <c r="J108" s="105"/>
      <c r="K108" s="105"/>
      <c r="L108" s="105"/>
      <c r="M108" s="165"/>
      <c r="N108" s="165"/>
      <c r="O108" s="165"/>
      <c r="P108" s="165"/>
      <c r="Q108" s="119"/>
      <c r="R108" s="119"/>
      <c r="S108" s="119"/>
      <c r="T108" s="119"/>
      <c r="U108" s="119"/>
      <c r="V108" s="119"/>
      <c r="W108" s="119"/>
      <c r="X108" s="119"/>
      <c r="Y108" s="119"/>
      <c r="Z108" s="119"/>
      <c r="AA108" s="119"/>
      <c r="AB108" s="119"/>
      <c r="AC108" s="119"/>
      <c r="AD108" s="119"/>
    </row>
    <row r="109" spans="1:30" ht="22.5" customHeight="1">
      <c r="A109" s="99"/>
      <c r="B109" s="111" t="e">
        <f>VLOOKUP(C109,Lists!I:J,2,FALSE)</f>
        <v>#N/A</v>
      </c>
      <c r="C109" s="166"/>
      <c r="D109" s="102"/>
      <c r="E109" s="103"/>
      <c r="F109" s="102"/>
      <c r="G109" s="99"/>
      <c r="H109" s="99"/>
      <c r="I109" s="104"/>
      <c r="J109" s="105"/>
      <c r="K109" s="105"/>
      <c r="L109" s="105"/>
      <c r="M109" s="167"/>
      <c r="N109" s="167"/>
      <c r="O109" s="167"/>
      <c r="P109" s="167"/>
      <c r="Q109" s="119"/>
      <c r="R109" s="119"/>
      <c r="S109" s="119"/>
      <c r="T109" s="119"/>
      <c r="U109" s="119"/>
      <c r="V109" s="119"/>
      <c r="W109" s="119"/>
      <c r="X109" s="119"/>
      <c r="Y109" s="119"/>
      <c r="Z109" s="119"/>
      <c r="AA109" s="119"/>
      <c r="AB109" s="119"/>
      <c r="AC109" s="119"/>
      <c r="AD109" s="119"/>
    </row>
    <row r="110" spans="1:30" ht="22.5" customHeight="1">
      <c r="A110" s="99"/>
      <c r="B110" s="95" t="e">
        <f>VLOOKUP(C110,Lists!I:J,2,FALSE)</f>
        <v>#N/A</v>
      </c>
      <c r="C110" s="107"/>
      <c r="D110" s="102"/>
      <c r="E110" s="103"/>
      <c r="F110" s="102"/>
      <c r="G110" s="99"/>
      <c r="H110" s="99"/>
      <c r="I110" s="104"/>
      <c r="J110" s="105"/>
      <c r="K110" s="105"/>
      <c r="L110" s="105"/>
      <c r="M110" s="167"/>
      <c r="N110" s="167"/>
      <c r="O110" s="167"/>
      <c r="P110" s="167"/>
      <c r="Q110" s="119"/>
      <c r="R110" s="119"/>
      <c r="S110" s="119"/>
      <c r="T110" s="119"/>
      <c r="U110" s="119"/>
      <c r="V110" s="119"/>
      <c r="W110" s="119"/>
      <c r="X110" s="119"/>
      <c r="Y110" s="119"/>
      <c r="Z110" s="119"/>
      <c r="AA110" s="119"/>
      <c r="AB110" s="119"/>
      <c r="AC110" s="119"/>
      <c r="AD110" s="119"/>
    </row>
    <row r="111" spans="1:30" ht="22.5" customHeight="1">
      <c r="A111" s="99"/>
      <c r="B111" s="111" t="e">
        <f>VLOOKUP(C111,Lists!I:J,2,FALSE)</f>
        <v>#N/A</v>
      </c>
      <c r="C111" s="166"/>
      <c r="D111" s="102"/>
      <c r="E111" s="103"/>
      <c r="F111" s="102"/>
      <c r="G111" s="99"/>
      <c r="H111" s="99"/>
      <c r="I111" s="104"/>
      <c r="J111" s="105"/>
      <c r="K111" s="105"/>
      <c r="L111" s="105"/>
      <c r="M111" s="167"/>
      <c r="N111" s="167"/>
      <c r="O111" s="167"/>
      <c r="P111" s="167"/>
      <c r="Q111" s="119"/>
      <c r="R111" s="119"/>
      <c r="S111" s="119"/>
      <c r="T111" s="119"/>
      <c r="U111" s="119"/>
      <c r="V111" s="119"/>
      <c r="W111" s="119"/>
      <c r="X111" s="119"/>
      <c r="Y111" s="119"/>
      <c r="Z111" s="119"/>
      <c r="AA111" s="119"/>
      <c r="AB111" s="119"/>
      <c r="AC111" s="119"/>
      <c r="AD111" s="119"/>
    </row>
    <row r="112" spans="1:30" ht="22.5" customHeight="1">
      <c r="A112" s="99"/>
      <c r="B112" s="95" t="e">
        <f>VLOOKUP(C112,Lists!I:J,2,FALSE)</f>
        <v>#N/A</v>
      </c>
      <c r="C112" s="107"/>
      <c r="D112" s="102"/>
      <c r="E112" s="103"/>
      <c r="F112" s="102"/>
      <c r="G112" s="99"/>
      <c r="H112" s="99"/>
      <c r="I112" s="104"/>
      <c r="J112" s="105"/>
      <c r="K112" s="105"/>
      <c r="L112" s="105"/>
      <c r="M112" s="167"/>
      <c r="N112" s="167"/>
      <c r="O112" s="167"/>
      <c r="P112" s="167"/>
      <c r="Q112" s="119"/>
      <c r="R112" s="119"/>
      <c r="S112" s="119"/>
      <c r="T112" s="119"/>
      <c r="U112" s="119"/>
      <c r="V112" s="119"/>
      <c r="W112" s="119"/>
      <c r="X112" s="119"/>
      <c r="Y112" s="119"/>
      <c r="Z112" s="119"/>
      <c r="AA112" s="119"/>
      <c r="AB112" s="119"/>
      <c r="AC112" s="119"/>
      <c r="AD112" s="119"/>
    </row>
    <row r="113" spans="1:30" ht="22.5" customHeight="1">
      <c r="A113" s="99"/>
      <c r="B113" s="111" t="e">
        <f>VLOOKUP(C113,Lists!I:J,2,FALSE)</f>
        <v>#N/A</v>
      </c>
      <c r="C113" s="166"/>
      <c r="D113" s="102"/>
      <c r="E113" s="103"/>
      <c r="F113" s="102"/>
      <c r="G113" s="99"/>
      <c r="H113" s="99"/>
      <c r="I113" s="104"/>
      <c r="J113" s="105"/>
      <c r="K113" s="105"/>
      <c r="L113" s="105"/>
      <c r="M113" s="167"/>
      <c r="N113" s="167"/>
      <c r="O113" s="167"/>
      <c r="P113" s="167"/>
      <c r="Q113" s="119"/>
      <c r="R113" s="119"/>
      <c r="S113" s="119"/>
      <c r="T113" s="119"/>
      <c r="U113" s="119"/>
      <c r="V113" s="119"/>
      <c r="W113" s="119"/>
      <c r="X113" s="119"/>
      <c r="Y113" s="119"/>
      <c r="Z113" s="119"/>
      <c r="AA113" s="119"/>
      <c r="AB113" s="119"/>
      <c r="AC113" s="119"/>
      <c r="AD113" s="119"/>
    </row>
    <row r="114" spans="1:30" ht="22.5" customHeight="1">
      <c r="A114" s="99"/>
      <c r="B114" s="95" t="e">
        <f>VLOOKUP(C114,Lists!I:J,2,FALSE)</f>
        <v>#N/A</v>
      </c>
      <c r="C114" s="107"/>
      <c r="D114" s="102"/>
      <c r="E114" s="103"/>
      <c r="F114" s="102"/>
      <c r="G114" s="99"/>
      <c r="H114" s="99"/>
      <c r="I114" s="104"/>
      <c r="J114" s="105"/>
      <c r="K114" s="105"/>
      <c r="L114" s="105"/>
      <c r="M114" s="167"/>
      <c r="N114" s="167"/>
      <c r="O114" s="167"/>
      <c r="P114" s="167"/>
      <c r="Q114" s="119"/>
      <c r="R114" s="119"/>
      <c r="S114" s="119"/>
      <c r="T114" s="119"/>
      <c r="U114" s="119"/>
      <c r="V114" s="119"/>
      <c r="W114" s="119"/>
      <c r="X114" s="119"/>
      <c r="Y114" s="119"/>
      <c r="Z114" s="119"/>
      <c r="AA114" s="119"/>
      <c r="AB114" s="119"/>
      <c r="AC114" s="119"/>
      <c r="AD114" s="119"/>
    </row>
    <row r="115" spans="1:30" ht="22.5" customHeight="1">
      <c r="A115" s="99"/>
      <c r="B115" s="111" t="e">
        <f>VLOOKUP(C115,Lists!I:J,2,FALSE)</f>
        <v>#N/A</v>
      </c>
      <c r="C115" s="166"/>
      <c r="D115" s="102"/>
      <c r="E115" s="103"/>
      <c r="F115" s="102"/>
      <c r="G115" s="99"/>
      <c r="H115" s="99"/>
      <c r="I115" s="104"/>
      <c r="J115" s="105"/>
      <c r="K115" s="105"/>
      <c r="L115" s="105"/>
      <c r="M115" s="167"/>
      <c r="N115" s="167"/>
      <c r="O115" s="167"/>
      <c r="P115" s="167"/>
      <c r="Q115" s="119"/>
      <c r="R115" s="119"/>
      <c r="S115" s="119"/>
      <c r="T115" s="119"/>
      <c r="U115" s="119"/>
      <c r="V115" s="119"/>
      <c r="W115" s="119"/>
      <c r="X115" s="119"/>
      <c r="Y115" s="119"/>
      <c r="Z115" s="119"/>
      <c r="AA115" s="119"/>
      <c r="AB115" s="119"/>
      <c r="AC115" s="119"/>
      <c r="AD115" s="119"/>
    </row>
    <row r="116" spans="1:30" ht="22.5" customHeight="1">
      <c r="A116" s="99"/>
      <c r="B116" s="95" t="e">
        <f>VLOOKUP(C116,Lists!I:J,2,FALSE)</f>
        <v>#N/A</v>
      </c>
      <c r="C116" s="107"/>
      <c r="D116" s="102"/>
      <c r="E116" s="103"/>
      <c r="F116" s="102"/>
      <c r="G116" s="99"/>
      <c r="H116" s="99"/>
      <c r="I116" s="104"/>
      <c r="J116" s="105"/>
      <c r="K116" s="105"/>
      <c r="L116" s="105"/>
      <c r="M116" s="167"/>
      <c r="N116" s="167"/>
      <c r="O116" s="167"/>
      <c r="P116" s="167"/>
      <c r="Q116" s="119"/>
      <c r="R116" s="119"/>
      <c r="S116" s="119"/>
      <c r="T116" s="119"/>
      <c r="U116" s="119"/>
      <c r="V116" s="119"/>
      <c r="W116" s="119"/>
      <c r="X116" s="119"/>
      <c r="Y116" s="119"/>
      <c r="Z116" s="119"/>
      <c r="AA116" s="119"/>
      <c r="AB116" s="119"/>
      <c r="AC116" s="119"/>
      <c r="AD116" s="119"/>
    </row>
    <row r="117" spans="1:30" ht="22.5" customHeight="1">
      <c r="A117" s="99"/>
      <c r="B117" s="111" t="e">
        <f>VLOOKUP(C117,Lists!I:J,2,FALSE)</f>
        <v>#N/A</v>
      </c>
      <c r="C117" s="166"/>
      <c r="D117" s="102"/>
      <c r="E117" s="103"/>
      <c r="F117" s="102"/>
      <c r="G117" s="99"/>
      <c r="H117" s="99"/>
      <c r="I117" s="104"/>
      <c r="J117" s="105"/>
      <c r="K117" s="105"/>
      <c r="L117" s="105"/>
      <c r="M117" s="167"/>
      <c r="N117" s="167"/>
      <c r="O117" s="167"/>
      <c r="P117" s="167"/>
      <c r="Q117" s="119"/>
      <c r="R117" s="119"/>
      <c r="S117" s="119"/>
      <c r="T117" s="119"/>
      <c r="U117" s="119"/>
      <c r="V117" s="119"/>
      <c r="W117" s="119"/>
      <c r="X117" s="119"/>
      <c r="Y117" s="119"/>
      <c r="Z117" s="119"/>
      <c r="AA117" s="119"/>
      <c r="AB117" s="119"/>
      <c r="AC117" s="119"/>
      <c r="AD117" s="119"/>
    </row>
    <row r="118" spans="1:30" ht="22.5" customHeight="1">
      <c r="A118" s="99"/>
      <c r="B118" s="95" t="e">
        <f>VLOOKUP(C118,Lists!I:J,2,FALSE)</f>
        <v>#N/A</v>
      </c>
      <c r="C118" s="107"/>
      <c r="D118" s="102"/>
      <c r="E118" s="103"/>
      <c r="F118" s="102"/>
      <c r="G118" s="99"/>
      <c r="H118" s="99"/>
      <c r="I118" s="104"/>
      <c r="J118" s="105"/>
      <c r="K118" s="105"/>
      <c r="L118" s="105"/>
      <c r="M118" s="167"/>
      <c r="N118" s="167"/>
      <c r="O118" s="167"/>
      <c r="P118" s="167"/>
      <c r="Q118" s="119"/>
      <c r="R118" s="119"/>
      <c r="S118" s="119"/>
      <c r="T118" s="119"/>
      <c r="U118" s="119"/>
      <c r="V118" s="119"/>
      <c r="W118" s="119"/>
      <c r="X118" s="119"/>
      <c r="Y118" s="119"/>
      <c r="Z118" s="119"/>
      <c r="AA118" s="119"/>
      <c r="AB118" s="119"/>
      <c r="AC118" s="119"/>
      <c r="AD118" s="119"/>
    </row>
    <row r="119" spans="1:30" ht="22.5" customHeight="1">
      <c r="A119" s="99"/>
      <c r="B119" s="111" t="e">
        <f>VLOOKUP(C119,Lists!I:J,2,FALSE)</f>
        <v>#N/A</v>
      </c>
      <c r="C119" s="166"/>
      <c r="D119" s="102"/>
      <c r="E119" s="103"/>
      <c r="F119" s="102"/>
      <c r="G119" s="99"/>
      <c r="H119" s="99"/>
      <c r="I119" s="104"/>
      <c r="J119" s="105"/>
      <c r="K119" s="105"/>
      <c r="L119" s="105"/>
      <c r="M119" s="167"/>
      <c r="N119" s="167"/>
      <c r="O119" s="167"/>
      <c r="P119" s="167"/>
      <c r="Q119" s="119"/>
      <c r="R119" s="119"/>
      <c r="S119" s="119"/>
      <c r="T119" s="119"/>
      <c r="U119" s="119"/>
      <c r="V119" s="119"/>
      <c r="W119" s="119"/>
      <c r="X119" s="119"/>
      <c r="Y119" s="119"/>
      <c r="Z119" s="119"/>
      <c r="AA119" s="119"/>
      <c r="AB119" s="119"/>
      <c r="AC119" s="119"/>
      <c r="AD119" s="119"/>
    </row>
    <row r="120" spans="1:30" ht="22.5" customHeight="1">
      <c r="A120" s="99"/>
      <c r="B120" s="95" t="e">
        <f>VLOOKUP(C120,Lists!I:J,2,FALSE)</f>
        <v>#N/A</v>
      </c>
      <c r="C120" s="107"/>
      <c r="D120" s="102"/>
      <c r="E120" s="103"/>
      <c r="F120" s="102"/>
      <c r="G120" s="99"/>
      <c r="H120" s="99"/>
      <c r="I120" s="104"/>
      <c r="J120" s="105"/>
      <c r="K120" s="105"/>
      <c r="L120" s="105"/>
      <c r="M120" s="167"/>
      <c r="N120" s="167"/>
      <c r="O120" s="167"/>
      <c r="P120" s="167"/>
      <c r="Q120" s="119"/>
      <c r="R120" s="119"/>
      <c r="S120" s="119"/>
      <c r="T120" s="119"/>
      <c r="U120" s="119"/>
      <c r="V120" s="119"/>
      <c r="W120" s="119"/>
      <c r="X120" s="119"/>
      <c r="Y120" s="119"/>
      <c r="Z120" s="119"/>
      <c r="AA120" s="119"/>
      <c r="AB120" s="119"/>
      <c r="AC120" s="119"/>
      <c r="AD120" s="119"/>
    </row>
    <row r="121" spans="1:30" ht="22.5" customHeight="1">
      <c r="A121" s="99"/>
      <c r="B121" s="111" t="e">
        <f>VLOOKUP(C121,Lists!I:J,2,FALSE)</f>
        <v>#N/A</v>
      </c>
      <c r="C121" s="166"/>
      <c r="D121" s="102"/>
      <c r="E121" s="103"/>
      <c r="F121" s="102"/>
      <c r="G121" s="99"/>
      <c r="H121" s="99"/>
      <c r="I121" s="104"/>
      <c r="J121" s="105"/>
      <c r="K121" s="105"/>
      <c r="L121" s="105"/>
      <c r="M121" s="167"/>
      <c r="N121" s="167"/>
      <c r="O121" s="167"/>
      <c r="P121" s="167"/>
      <c r="Q121" s="119"/>
      <c r="R121" s="119"/>
      <c r="S121" s="119"/>
      <c r="T121" s="119"/>
      <c r="U121" s="119"/>
      <c r="V121" s="119"/>
      <c r="W121" s="119"/>
      <c r="X121" s="119"/>
      <c r="Y121" s="119"/>
      <c r="Z121" s="119"/>
      <c r="AA121" s="119"/>
      <c r="AB121" s="119"/>
      <c r="AC121" s="119"/>
      <c r="AD121" s="119"/>
    </row>
    <row r="122" spans="1:30" ht="22.5" customHeight="1">
      <c r="A122" s="99"/>
      <c r="B122" s="95" t="e">
        <f>VLOOKUP(C122,Lists!I:J,2,FALSE)</f>
        <v>#N/A</v>
      </c>
      <c r="C122" s="107"/>
      <c r="D122" s="102"/>
      <c r="E122" s="103"/>
      <c r="F122" s="102"/>
      <c r="G122" s="99"/>
      <c r="H122" s="99"/>
      <c r="I122" s="104"/>
      <c r="J122" s="105"/>
      <c r="K122" s="105"/>
      <c r="L122" s="105"/>
      <c r="M122" s="167"/>
      <c r="N122" s="167"/>
      <c r="O122" s="167"/>
      <c r="P122" s="167"/>
      <c r="Q122" s="119"/>
      <c r="R122" s="119"/>
      <c r="S122" s="119"/>
      <c r="T122" s="119"/>
      <c r="U122" s="119"/>
      <c r="V122" s="119"/>
      <c r="W122" s="119"/>
      <c r="X122" s="119"/>
      <c r="Y122" s="119"/>
      <c r="Z122" s="119"/>
      <c r="AA122" s="119"/>
      <c r="AB122" s="119"/>
      <c r="AC122" s="119"/>
      <c r="AD122" s="119"/>
    </row>
    <row r="123" spans="1:30" ht="22.5" customHeight="1">
      <c r="A123" s="99"/>
      <c r="B123" s="111" t="e">
        <f>VLOOKUP(C123,Lists!I:J,2,FALSE)</f>
        <v>#N/A</v>
      </c>
      <c r="C123" s="166"/>
      <c r="D123" s="102"/>
      <c r="E123" s="103"/>
      <c r="F123" s="102"/>
      <c r="G123" s="99"/>
      <c r="H123" s="99"/>
      <c r="I123" s="104"/>
      <c r="J123" s="105"/>
      <c r="K123" s="105"/>
      <c r="L123" s="105"/>
      <c r="M123" s="167"/>
      <c r="N123" s="167"/>
      <c r="O123" s="167"/>
      <c r="P123" s="167"/>
      <c r="Q123" s="119"/>
      <c r="R123" s="119"/>
      <c r="S123" s="119"/>
      <c r="T123" s="119"/>
      <c r="U123" s="119"/>
      <c r="V123" s="119"/>
      <c r="W123" s="119"/>
      <c r="X123" s="119"/>
      <c r="Y123" s="119"/>
      <c r="Z123" s="119"/>
      <c r="AA123" s="119"/>
      <c r="AB123" s="119"/>
      <c r="AC123" s="119"/>
      <c r="AD123" s="119"/>
    </row>
    <row r="124" spans="1:30" ht="22.5" customHeight="1">
      <c r="A124" s="99"/>
      <c r="B124" s="95" t="e">
        <f>VLOOKUP(C124,Lists!I:J,2,FALSE)</f>
        <v>#N/A</v>
      </c>
      <c r="C124" s="107"/>
      <c r="D124" s="102"/>
      <c r="E124" s="103"/>
      <c r="F124" s="102"/>
      <c r="G124" s="99"/>
      <c r="H124" s="99"/>
      <c r="I124" s="104"/>
      <c r="J124" s="105"/>
      <c r="K124" s="105"/>
      <c r="L124" s="105"/>
      <c r="M124" s="167"/>
      <c r="N124" s="167"/>
      <c r="O124" s="167"/>
      <c r="P124" s="167"/>
      <c r="Q124" s="119"/>
      <c r="R124" s="119"/>
      <c r="S124" s="119"/>
      <c r="T124" s="119"/>
      <c r="U124" s="119"/>
      <c r="V124" s="119"/>
      <c r="W124" s="119"/>
      <c r="X124" s="119"/>
      <c r="Y124" s="119"/>
      <c r="Z124" s="119"/>
      <c r="AA124" s="119"/>
      <c r="AB124" s="119"/>
      <c r="AC124" s="119"/>
      <c r="AD124" s="119"/>
    </row>
    <row r="125" spans="1:30" ht="22.5" customHeight="1">
      <c r="A125" s="99"/>
      <c r="B125" s="111" t="e">
        <f>VLOOKUP(C125,Lists!I:J,2,FALSE)</f>
        <v>#N/A</v>
      </c>
      <c r="C125" s="166"/>
      <c r="D125" s="102"/>
      <c r="E125" s="103"/>
      <c r="F125" s="102"/>
      <c r="G125" s="99"/>
      <c r="H125" s="99"/>
      <c r="I125" s="104"/>
      <c r="J125" s="105"/>
      <c r="K125" s="105"/>
      <c r="L125" s="105"/>
      <c r="M125" s="167"/>
      <c r="N125" s="167"/>
      <c r="O125" s="167"/>
      <c r="P125" s="167"/>
      <c r="Q125" s="119"/>
      <c r="R125" s="119"/>
      <c r="S125" s="119"/>
      <c r="T125" s="119"/>
      <c r="U125" s="119"/>
      <c r="V125" s="119"/>
      <c r="W125" s="119"/>
      <c r="X125" s="119"/>
      <c r="Y125" s="119"/>
      <c r="Z125" s="119"/>
      <c r="AA125" s="119"/>
      <c r="AB125" s="119"/>
      <c r="AC125" s="119"/>
      <c r="AD125" s="119"/>
    </row>
    <row r="126" spans="1:30" ht="22.5" customHeight="1">
      <c r="A126" s="99"/>
      <c r="B126" s="95" t="e">
        <f>VLOOKUP(C126,Lists!I:J,2,FALSE)</f>
        <v>#N/A</v>
      </c>
      <c r="C126" s="107"/>
      <c r="D126" s="102"/>
      <c r="E126" s="103"/>
      <c r="F126" s="102"/>
      <c r="G126" s="99"/>
      <c r="H126" s="99"/>
      <c r="I126" s="104"/>
      <c r="J126" s="105"/>
      <c r="K126" s="105"/>
      <c r="L126" s="105"/>
      <c r="M126" s="167"/>
      <c r="N126" s="167"/>
      <c r="O126" s="167"/>
      <c r="P126" s="167"/>
      <c r="Q126" s="119"/>
      <c r="R126" s="119"/>
      <c r="S126" s="119"/>
      <c r="T126" s="119"/>
      <c r="U126" s="119"/>
      <c r="V126" s="119"/>
      <c r="W126" s="119"/>
      <c r="X126" s="119"/>
      <c r="Y126" s="119"/>
      <c r="Z126" s="119"/>
      <c r="AA126" s="119"/>
      <c r="AB126" s="119"/>
      <c r="AC126" s="119"/>
      <c r="AD126" s="119"/>
    </row>
    <row r="127" spans="1:30" ht="22.5" customHeight="1">
      <c r="A127" s="99"/>
      <c r="B127" s="111" t="e">
        <f>VLOOKUP(C127,Lists!I:J,2,FALSE)</f>
        <v>#N/A</v>
      </c>
      <c r="C127" s="166"/>
      <c r="D127" s="102"/>
      <c r="E127" s="103"/>
      <c r="F127" s="102"/>
      <c r="G127" s="99"/>
      <c r="H127" s="99"/>
      <c r="I127" s="104"/>
      <c r="J127" s="105"/>
      <c r="K127" s="105"/>
      <c r="L127" s="105"/>
      <c r="M127" s="167"/>
      <c r="N127" s="167"/>
      <c r="O127" s="167"/>
      <c r="P127" s="167"/>
      <c r="Q127" s="119"/>
      <c r="R127" s="119"/>
      <c r="S127" s="119"/>
      <c r="T127" s="119"/>
      <c r="U127" s="119"/>
      <c r="V127" s="119"/>
      <c r="W127" s="119"/>
      <c r="X127" s="119"/>
      <c r="Y127" s="119"/>
      <c r="Z127" s="119"/>
      <c r="AA127" s="119"/>
      <c r="AB127" s="119"/>
      <c r="AC127" s="119"/>
      <c r="AD127" s="119"/>
    </row>
    <row r="128" spans="1:30" ht="22.5" customHeight="1">
      <c r="A128" s="99"/>
      <c r="B128" s="95" t="e">
        <f>VLOOKUP(C128,Lists!I:J,2,FALSE)</f>
        <v>#N/A</v>
      </c>
      <c r="C128" s="107"/>
      <c r="D128" s="102"/>
      <c r="E128" s="103"/>
      <c r="F128" s="102"/>
      <c r="G128" s="99"/>
      <c r="H128" s="99"/>
      <c r="I128" s="104"/>
      <c r="J128" s="105"/>
      <c r="K128" s="105"/>
      <c r="L128" s="105"/>
      <c r="M128" s="167"/>
      <c r="N128" s="167"/>
      <c r="O128" s="167"/>
      <c r="P128" s="167"/>
      <c r="Q128" s="119"/>
      <c r="R128" s="119"/>
      <c r="S128" s="119"/>
      <c r="T128" s="119"/>
      <c r="U128" s="119"/>
      <c r="V128" s="119"/>
      <c r="W128" s="119"/>
      <c r="X128" s="119"/>
      <c r="Y128" s="119"/>
      <c r="Z128" s="119"/>
      <c r="AA128" s="119"/>
      <c r="AB128" s="119"/>
      <c r="AC128" s="119"/>
      <c r="AD128" s="119"/>
    </row>
    <row r="129" spans="1:30" ht="22.5" customHeight="1">
      <c r="A129" s="99"/>
      <c r="B129" s="111" t="e">
        <f>VLOOKUP(C129,Lists!I:J,2,FALSE)</f>
        <v>#N/A</v>
      </c>
      <c r="C129" s="166"/>
      <c r="D129" s="102"/>
      <c r="E129" s="103"/>
      <c r="F129" s="102"/>
      <c r="G129" s="99"/>
      <c r="H129" s="99"/>
      <c r="I129" s="104"/>
      <c r="J129" s="105"/>
      <c r="K129" s="105"/>
      <c r="L129" s="105"/>
      <c r="M129" s="167"/>
      <c r="N129" s="167"/>
      <c r="O129" s="167"/>
      <c r="P129" s="167"/>
      <c r="Q129" s="119"/>
      <c r="R129" s="119"/>
      <c r="S129" s="119"/>
      <c r="T129" s="119"/>
      <c r="U129" s="119"/>
      <c r="V129" s="119"/>
      <c r="W129" s="119"/>
      <c r="X129" s="119"/>
      <c r="Y129" s="119"/>
      <c r="Z129" s="119"/>
      <c r="AA129" s="119"/>
      <c r="AB129" s="119"/>
      <c r="AC129" s="119"/>
      <c r="AD129" s="119"/>
    </row>
    <row r="130" spans="1:30" ht="22.5" customHeight="1">
      <c r="A130" s="99"/>
      <c r="B130" s="95" t="e">
        <f>VLOOKUP(C130,Lists!I:J,2,FALSE)</f>
        <v>#N/A</v>
      </c>
      <c r="C130" s="107"/>
      <c r="D130" s="102"/>
      <c r="E130" s="103"/>
      <c r="F130" s="102"/>
      <c r="G130" s="99"/>
      <c r="H130" s="99"/>
      <c r="I130" s="104"/>
      <c r="J130" s="105"/>
      <c r="K130" s="105"/>
      <c r="L130" s="105"/>
      <c r="M130" s="167"/>
      <c r="N130" s="167"/>
      <c r="O130" s="167"/>
      <c r="P130" s="167"/>
      <c r="Q130" s="119"/>
      <c r="R130" s="119"/>
      <c r="S130" s="119"/>
      <c r="T130" s="119"/>
      <c r="U130" s="119"/>
      <c r="V130" s="119"/>
      <c r="W130" s="119"/>
      <c r="X130" s="119"/>
      <c r="Y130" s="119"/>
      <c r="Z130" s="119"/>
      <c r="AA130" s="119"/>
      <c r="AB130" s="119"/>
      <c r="AC130" s="119"/>
      <c r="AD130" s="119"/>
    </row>
    <row r="131" spans="1:30" ht="22.5" customHeight="1">
      <c r="A131" s="99"/>
      <c r="B131" s="111" t="e">
        <f>VLOOKUP(C131,Lists!I:J,2,FALSE)</f>
        <v>#N/A</v>
      </c>
      <c r="C131" s="166"/>
      <c r="D131" s="102"/>
      <c r="E131" s="103"/>
      <c r="F131" s="102"/>
      <c r="G131" s="99"/>
      <c r="H131" s="99"/>
      <c r="I131" s="104"/>
      <c r="J131" s="105"/>
      <c r="K131" s="105"/>
      <c r="L131" s="105"/>
      <c r="M131" s="167"/>
      <c r="N131" s="167"/>
      <c r="O131" s="167"/>
      <c r="P131" s="167"/>
      <c r="Q131" s="119"/>
      <c r="R131" s="119"/>
      <c r="S131" s="119"/>
      <c r="T131" s="119"/>
      <c r="U131" s="119"/>
      <c r="V131" s="119"/>
      <c r="W131" s="119"/>
      <c r="X131" s="119"/>
      <c r="Y131" s="119"/>
      <c r="Z131" s="119"/>
      <c r="AA131" s="119"/>
      <c r="AB131" s="119"/>
      <c r="AC131" s="119"/>
      <c r="AD131" s="119"/>
    </row>
    <row r="132" spans="1:30" ht="22.5" customHeight="1">
      <c r="A132" s="99"/>
      <c r="B132" s="95" t="e">
        <f>VLOOKUP(C132,Lists!I:J,2,FALSE)</f>
        <v>#N/A</v>
      </c>
      <c r="C132" s="107"/>
      <c r="D132" s="102"/>
      <c r="E132" s="103"/>
      <c r="F132" s="102"/>
      <c r="G132" s="99"/>
      <c r="H132" s="99"/>
      <c r="I132" s="104"/>
      <c r="J132" s="105"/>
      <c r="K132" s="105"/>
      <c r="L132" s="105"/>
      <c r="M132" s="167"/>
      <c r="N132" s="167"/>
      <c r="O132" s="167"/>
      <c r="P132" s="167"/>
      <c r="Q132" s="119"/>
      <c r="R132" s="119"/>
      <c r="S132" s="119"/>
      <c r="T132" s="119"/>
      <c r="U132" s="119"/>
      <c r="V132" s="119"/>
      <c r="W132" s="119"/>
      <c r="X132" s="119"/>
      <c r="Y132" s="119"/>
      <c r="Z132" s="119"/>
      <c r="AA132" s="119"/>
      <c r="AB132" s="119"/>
      <c r="AC132" s="119"/>
      <c r="AD132" s="119"/>
    </row>
    <row r="133" spans="1:30" ht="22.5" customHeight="1">
      <c r="A133" s="99"/>
      <c r="B133" s="111" t="e">
        <f>VLOOKUP(C133,Lists!I:J,2,FALSE)</f>
        <v>#N/A</v>
      </c>
      <c r="C133" s="166"/>
      <c r="D133" s="102"/>
      <c r="E133" s="103"/>
      <c r="F133" s="102"/>
      <c r="G133" s="99"/>
      <c r="H133" s="99"/>
      <c r="I133" s="104"/>
      <c r="J133" s="105"/>
      <c r="K133" s="105"/>
      <c r="L133" s="105"/>
      <c r="M133" s="167"/>
      <c r="N133" s="167"/>
      <c r="O133" s="167"/>
      <c r="P133" s="167"/>
      <c r="Q133" s="119"/>
      <c r="R133" s="119"/>
      <c r="S133" s="119"/>
      <c r="T133" s="119"/>
      <c r="U133" s="119"/>
      <c r="V133" s="119"/>
      <c r="W133" s="119"/>
      <c r="X133" s="119"/>
      <c r="Y133" s="119"/>
      <c r="Z133" s="119"/>
      <c r="AA133" s="119"/>
      <c r="AB133" s="119"/>
      <c r="AC133" s="119"/>
      <c r="AD133" s="119"/>
    </row>
    <row r="134" spans="1:30" ht="22.5" customHeight="1">
      <c r="A134" s="99"/>
      <c r="B134" s="95" t="e">
        <f>VLOOKUP(C134,Lists!I:J,2,FALSE)</f>
        <v>#N/A</v>
      </c>
      <c r="C134" s="107"/>
      <c r="D134" s="102"/>
      <c r="E134" s="103"/>
      <c r="F134" s="102"/>
      <c r="G134" s="99"/>
      <c r="H134" s="99"/>
      <c r="I134" s="104"/>
      <c r="J134" s="105"/>
      <c r="K134" s="105"/>
      <c r="L134" s="105"/>
      <c r="M134" s="167"/>
      <c r="N134" s="167"/>
      <c r="O134" s="167"/>
      <c r="P134" s="167"/>
      <c r="Q134" s="119"/>
      <c r="R134" s="119"/>
      <c r="S134" s="119"/>
      <c r="T134" s="119"/>
      <c r="U134" s="119"/>
      <c r="V134" s="119"/>
      <c r="W134" s="119"/>
      <c r="X134" s="119"/>
      <c r="Y134" s="119"/>
      <c r="Z134" s="119"/>
      <c r="AA134" s="119"/>
      <c r="AB134" s="119"/>
      <c r="AC134" s="119"/>
      <c r="AD134" s="119"/>
    </row>
    <row r="135" spans="1:30" ht="22.5" customHeight="1">
      <c r="A135" s="99"/>
      <c r="B135" s="111" t="e">
        <f>VLOOKUP(C135,Lists!I:J,2,FALSE)</f>
        <v>#N/A</v>
      </c>
      <c r="C135" s="166"/>
      <c r="D135" s="102"/>
      <c r="E135" s="103"/>
      <c r="F135" s="102"/>
      <c r="G135" s="99"/>
      <c r="H135" s="99"/>
      <c r="I135" s="104"/>
      <c r="J135" s="105"/>
      <c r="K135" s="105"/>
      <c r="L135" s="105"/>
      <c r="M135" s="167"/>
      <c r="N135" s="167"/>
      <c r="O135" s="167"/>
      <c r="P135" s="167"/>
      <c r="Q135" s="119"/>
      <c r="R135" s="119"/>
      <c r="S135" s="119"/>
      <c r="T135" s="119"/>
      <c r="U135" s="119"/>
      <c r="V135" s="119"/>
      <c r="W135" s="119"/>
      <c r="X135" s="119"/>
      <c r="Y135" s="119"/>
      <c r="Z135" s="119"/>
      <c r="AA135" s="119"/>
      <c r="AB135" s="119"/>
      <c r="AC135" s="119"/>
      <c r="AD135" s="119"/>
    </row>
    <row r="136" spans="1:30" ht="22.5" customHeight="1">
      <c r="A136" s="99"/>
      <c r="B136" s="95" t="e">
        <f>VLOOKUP(C136,Lists!I:J,2,FALSE)</f>
        <v>#N/A</v>
      </c>
      <c r="C136" s="107"/>
      <c r="D136" s="102"/>
      <c r="E136" s="103"/>
      <c r="F136" s="102"/>
      <c r="G136" s="99"/>
      <c r="H136" s="99"/>
      <c r="I136" s="104"/>
      <c r="J136" s="105"/>
      <c r="K136" s="105"/>
      <c r="L136" s="105"/>
      <c r="M136" s="167"/>
      <c r="N136" s="167"/>
      <c r="O136" s="167"/>
      <c r="P136" s="167"/>
      <c r="Q136" s="119"/>
      <c r="R136" s="119"/>
      <c r="S136" s="119"/>
      <c r="T136" s="119"/>
      <c r="U136" s="119"/>
      <c r="V136" s="119"/>
      <c r="W136" s="119"/>
      <c r="X136" s="119"/>
      <c r="Y136" s="119"/>
      <c r="Z136" s="119"/>
      <c r="AA136" s="119"/>
      <c r="AB136" s="119"/>
      <c r="AC136" s="119"/>
      <c r="AD136" s="119"/>
    </row>
    <row r="137" spans="1:30" ht="22.5" customHeight="1">
      <c r="A137" s="99"/>
      <c r="B137" s="111" t="e">
        <f>VLOOKUP(C137,Lists!I:J,2,FALSE)</f>
        <v>#N/A</v>
      </c>
      <c r="C137" s="166"/>
      <c r="D137" s="102"/>
      <c r="E137" s="103"/>
      <c r="F137" s="102"/>
      <c r="G137" s="99"/>
      <c r="H137" s="99"/>
      <c r="I137" s="104"/>
      <c r="J137" s="105"/>
      <c r="K137" s="105"/>
      <c r="L137" s="105"/>
      <c r="M137" s="167"/>
      <c r="N137" s="167"/>
      <c r="O137" s="167"/>
      <c r="P137" s="167"/>
      <c r="Q137" s="119"/>
      <c r="R137" s="119"/>
      <c r="S137" s="119"/>
      <c r="T137" s="119"/>
      <c r="U137" s="119"/>
      <c r="V137" s="119"/>
      <c r="W137" s="119"/>
      <c r="X137" s="119"/>
      <c r="Y137" s="119"/>
      <c r="Z137" s="119"/>
      <c r="AA137" s="119"/>
      <c r="AB137" s="119"/>
      <c r="AC137" s="119"/>
      <c r="AD137" s="119"/>
    </row>
    <row r="138" spans="1:30" ht="22.5" customHeight="1">
      <c r="A138" s="99"/>
      <c r="B138" s="95" t="e">
        <f>VLOOKUP(C138,Lists!I:J,2,FALSE)</f>
        <v>#N/A</v>
      </c>
      <c r="C138" s="107"/>
      <c r="D138" s="102"/>
      <c r="E138" s="103"/>
      <c r="F138" s="102"/>
      <c r="G138" s="99"/>
      <c r="H138" s="99"/>
      <c r="I138" s="104"/>
      <c r="J138" s="105"/>
      <c r="K138" s="105"/>
      <c r="L138" s="105"/>
      <c r="M138" s="167"/>
      <c r="N138" s="167"/>
      <c r="O138" s="167"/>
      <c r="P138" s="167"/>
      <c r="Q138" s="119"/>
      <c r="R138" s="119"/>
      <c r="S138" s="119"/>
      <c r="T138" s="119"/>
      <c r="U138" s="119"/>
      <c r="V138" s="119"/>
      <c r="W138" s="119"/>
      <c r="X138" s="119"/>
      <c r="Y138" s="119"/>
      <c r="Z138" s="119"/>
      <c r="AA138" s="119"/>
      <c r="AB138" s="119"/>
      <c r="AC138" s="119"/>
      <c r="AD138" s="119"/>
    </row>
    <row r="139" spans="1:30" ht="22.5" customHeight="1">
      <c r="A139" s="99"/>
      <c r="B139" s="111" t="e">
        <f>VLOOKUP(C139,Lists!I:J,2,FALSE)</f>
        <v>#N/A</v>
      </c>
      <c r="C139" s="166"/>
      <c r="D139" s="102"/>
      <c r="E139" s="103"/>
      <c r="F139" s="102"/>
      <c r="G139" s="99"/>
      <c r="H139" s="99"/>
      <c r="I139" s="104"/>
      <c r="J139" s="105"/>
      <c r="K139" s="105"/>
      <c r="L139" s="105"/>
      <c r="M139" s="167"/>
      <c r="N139" s="167"/>
      <c r="O139" s="167"/>
      <c r="P139" s="167"/>
      <c r="Q139" s="119"/>
      <c r="R139" s="119"/>
      <c r="S139" s="119"/>
      <c r="T139" s="119"/>
      <c r="U139" s="119"/>
      <c r="V139" s="119"/>
      <c r="W139" s="119"/>
      <c r="X139" s="119"/>
      <c r="Y139" s="119"/>
      <c r="Z139" s="119"/>
      <c r="AA139" s="119"/>
      <c r="AB139" s="119"/>
      <c r="AC139" s="119"/>
      <c r="AD139" s="119"/>
    </row>
    <row r="140" spans="1:30" ht="22.5" customHeight="1">
      <c r="A140" s="99"/>
      <c r="B140" s="95" t="e">
        <f>VLOOKUP(C140,Lists!I:J,2,FALSE)</f>
        <v>#N/A</v>
      </c>
      <c r="C140" s="107"/>
      <c r="D140" s="102"/>
      <c r="E140" s="103"/>
      <c r="F140" s="102"/>
      <c r="G140" s="99"/>
      <c r="H140" s="99"/>
      <c r="I140" s="104"/>
      <c r="J140" s="105"/>
      <c r="K140" s="105"/>
      <c r="L140" s="105"/>
      <c r="M140" s="167"/>
      <c r="N140" s="167"/>
      <c r="O140" s="167"/>
      <c r="P140" s="167"/>
      <c r="Q140" s="119"/>
      <c r="R140" s="119"/>
      <c r="S140" s="119"/>
      <c r="T140" s="119"/>
      <c r="U140" s="119"/>
      <c r="V140" s="119"/>
      <c r="W140" s="119"/>
      <c r="X140" s="119"/>
      <c r="Y140" s="119"/>
      <c r="Z140" s="119"/>
      <c r="AA140" s="119"/>
      <c r="AB140" s="119"/>
      <c r="AC140" s="119"/>
      <c r="AD140" s="119"/>
    </row>
    <row r="141" spans="1:30" ht="22.5" customHeight="1">
      <c r="A141" s="99"/>
      <c r="B141" s="111" t="e">
        <f>VLOOKUP(C141,Lists!I:J,2,FALSE)</f>
        <v>#N/A</v>
      </c>
      <c r="C141" s="166"/>
      <c r="D141" s="102"/>
      <c r="E141" s="103"/>
      <c r="F141" s="102"/>
      <c r="G141" s="99"/>
      <c r="H141" s="99"/>
      <c r="I141" s="104"/>
      <c r="J141" s="105"/>
      <c r="K141" s="105"/>
      <c r="L141" s="105"/>
      <c r="M141" s="167"/>
      <c r="N141" s="167"/>
      <c r="O141" s="167"/>
      <c r="P141" s="167"/>
      <c r="Q141" s="119"/>
      <c r="R141" s="119"/>
      <c r="S141" s="119"/>
      <c r="T141" s="119"/>
      <c r="U141" s="119"/>
      <c r="V141" s="119"/>
      <c r="W141" s="119"/>
      <c r="X141" s="119"/>
      <c r="Y141" s="119"/>
      <c r="Z141" s="119"/>
      <c r="AA141" s="119"/>
      <c r="AB141" s="119"/>
      <c r="AC141" s="119"/>
      <c r="AD141" s="119"/>
    </row>
    <row r="142" spans="1:30" ht="22.5" customHeight="1">
      <c r="A142" s="99"/>
      <c r="B142" s="95" t="e">
        <f>VLOOKUP(C142,Lists!I:J,2,FALSE)</f>
        <v>#N/A</v>
      </c>
      <c r="C142" s="107"/>
      <c r="D142" s="102"/>
      <c r="E142" s="103"/>
      <c r="F142" s="102"/>
      <c r="G142" s="99"/>
      <c r="H142" s="99"/>
      <c r="I142" s="104"/>
      <c r="J142" s="105"/>
      <c r="K142" s="105"/>
      <c r="L142" s="105"/>
      <c r="M142" s="167"/>
      <c r="N142" s="167"/>
      <c r="O142" s="167"/>
      <c r="P142" s="167"/>
      <c r="Q142" s="119"/>
      <c r="R142" s="119"/>
      <c r="S142" s="119"/>
      <c r="T142" s="119"/>
      <c r="U142" s="119"/>
      <c r="V142" s="119"/>
      <c r="W142" s="119"/>
      <c r="X142" s="119"/>
      <c r="Y142" s="119"/>
      <c r="Z142" s="119"/>
      <c r="AA142" s="119"/>
      <c r="AB142" s="119"/>
      <c r="AC142" s="119"/>
      <c r="AD142" s="119"/>
    </row>
    <row r="143" spans="1:30" ht="22.5" customHeight="1">
      <c r="A143" s="99"/>
      <c r="B143" s="111" t="e">
        <f>VLOOKUP(C143,Lists!I:J,2,FALSE)</f>
        <v>#N/A</v>
      </c>
      <c r="C143" s="166"/>
      <c r="D143" s="102"/>
      <c r="E143" s="103"/>
      <c r="F143" s="102"/>
      <c r="G143" s="99"/>
      <c r="H143" s="99"/>
      <c r="I143" s="104"/>
      <c r="J143" s="105"/>
      <c r="K143" s="105"/>
      <c r="L143" s="105"/>
      <c r="M143" s="167"/>
      <c r="N143" s="167"/>
      <c r="O143" s="167"/>
      <c r="P143" s="167"/>
      <c r="Q143" s="119"/>
      <c r="R143" s="119"/>
      <c r="S143" s="119"/>
      <c r="T143" s="119"/>
      <c r="U143" s="119"/>
      <c r="V143" s="119"/>
      <c r="W143" s="119"/>
      <c r="X143" s="119"/>
      <c r="Y143" s="119"/>
      <c r="Z143" s="119"/>
      <c r="AA143" s="119"/>
      <c r="AB143" s="119"/>
      <c r="AC143" s="119"/>
      <c r="AD143" s="119"/>
    </row>
    <row r="144" spans="1:30" ht="22.5" customHeight="1">
      <c r="A144" s="99"/>
      <c r="B144" s="95" t="e">
        <f>VLOOKUP(C144,Lists!I:J,2,FALSE)</f>
        <v>#N/A</v>
      </c>
      <c r="C144" s="107"/>
      <c r="D144" s="102"/>
      <c r="E144" s="103"/>
      <c r="F144" s="102"/>
      <c r="G144" s="99"/>
      <c r="H144" s="99"/>
      <c r="I144" s="104"/>
      <c r="J144" s="105"/>
      <c r="K144" s="105"/>
      <c r="L144" s="105"/>
      <c r="M144" s="167"/>
      <c r="N144" s="167"/>
      <c r="O144" s="167"/>
      <c r="P144" s="167"/>
      <c r="Q144" s="119"/>
      <c r="R144" s="119"/>
      <c r="S144" s="119"/>
      <c r="T144" s="119"/>
      <c r="U144" s="119"/>
      <c r="V144" s="119"/>
      <c r="W144" s="119"/>
      <c r="X144" s="119"/>
      <c r="Y144" s="119"/>
      <c r="Z144" s="119"/>
      <c r="AA144" s="119"/>
      <c r="AB144" s="119"/>
      <c r="AC144" s="119"/>
      <c r="AD144" s="119"/>
    </row>
    <row r="145" spans="1:30" ht="22.5" customHeight="1">
      <c r="A145" s="99"/>
      <c r="B145" s="111" t="e">
        <f>VLOOKUP(C145,Lists!I:J,2,FALSE)</f>
        <v>#N/A</v>
      </c>
      <c r="C145" s="166"/>
      <c r="D145" s="102"/>
      <c r="E145" s="103"/>
      <c r="F145" s="102"/>
      <c r="G145" s="99"/>
      <c r="H145" s="99"/>
      <c r="I145" s="104"/>
      <c r="J145" s="105"/>
      <c r="K145" s="105"/>
      <c r="L145" s="105"/>
      <c r="M145" s="167"/>
      <c r="N145" s="167"/>
      <c r="O145" s="167"/>
      <c r="P145" s="167"/>
      <c r="Q145" s="119"/>
      <c r="R145" s="119"/>
      <c r="S145" s="119"/>
      <c r="T145" s="119"/>
      <c r="U145" s="119"/>
      <c r="V145" s="119"/>
      <c r="W145" s="119"/>
      <c r="X145" s="119"/>
      <c r="Y145" s="119"/>
      <c r="Z145" s="119"/>
      <c r="AA145" s="119"/>
      <c r="AB145" s="119"/>
      <c r="AC145" s="119"/>
      <c r="AD145" s="119"/>
    </row>
    <row r="146" spans="1:30" ht="22.5" customHeight="1">
      <c r="A146" s="99"/>
      <c r="B146" s="95" t="e">
        <f>VLOOKUP(C146,Lists!I:J,2,FALSE)</f>
        <v>#N/A</v>
      </c>
      <c r="C146" s="107"/>
      <c r="D146" s="102"/>
      <c r="E146" s="103"/>
      <c r="F146" s="102"/>
      <c r="G146" s="99"/>
      <c r="H146" s="99"/>
      <c r="I146" s="104"/>
      <c r="J146" s="105"/>
      <c r="K146" s="105"/>
      <c r="L146" s="105"/>
      <c r="M146" s="167"/>
      <c r="N146" s="167"/>
      <c r="O146" s="167"/>
      <c r="P146" s="167"/>
      <c r="Q146" s="119"/>
      <c r="R146" s="119"/>
      <c r="S146" s="119"/>
      <c r="T146" s="119"/>
      <c r="U146" s="119"/>
      <c r="V146" s="119"/>
      <c r="W146" s="119"/>
      <c r="X146" s="119"/>
      <c r="Y146" s="119"/>
      <c r="Z146" s="119"/>
      <c r="AA146" s="119"/>
      <c r="AB146" s="119"/>
      <c r="AC146" s="119"/>
      <c r="AD146" s="119"/>
    </row>
    <row r="147" spans="1:30" ht="22.5" customHeight="1">
      <c r="A147" s="99"/>
      <c r="B147" s="111" t="e">
        <f>VLOOKUP(C147,Lists!I:J,2,FALSE)</f>
        <v>#N/A</v>
      </c>
      <c r="C147" s="166"/>
      <c r="D147" s="102"/>
      <c r="E147" s="103"/>
      <c r="F147" s="102"/>
      <c r="G147" s="99"/>
      <c r="H147" s="99"/>
      <c r="I147" s="104"/>
      <c r="J147" s="105"/>
      <c r="K147" s="105"/>
      <c r="L147" s="105"/>
      <c r="M147" s="167"/>
      <c r="N147" s="167"/>
      <c r="O147" s="167"/>
      <c r="P147" s="167"/>
      <c r="Q147" s="119"/>
      <c r="R147" s="119"/>
      <c r="S147" s="119"/>
      <c r="T147" s="119"/>
      <c r="U147" s="119"/>
      <c r="V147" s="119"/>
      <c r="W147" s="119"/>
      <c r="X147" s="119"/>
      <c r="Y147" s="119"/>
      <c r="Z147" s="119"/>
      <c r="AA147" s="119"/>
      <c r="AB147" s="119"/>
      <c r="AC147" s="119"/>
      <c r="AD147" s="119"/>
    </row>
    <row r="148" spans="1:30" ht="22.5" customHeight="1">
      <c r="A148" s="99"/>
      <c r="B148" s="95" t="e">
        <f>VLOOKUP(C148,Lists!I:J,2,FALSE)</f>
        <v>#N/A</v>
      </c>
      <c r="C148" s="107"/>
      <c r="D148" s="102"/>
      <c r="E148" s="103"/>
      <c r="F148" s="102"/>
      <c r="G148" s="99"/>
      <c r="H148" s="99"/>
      <c r="I148" s="104"/>
      <c r="J148" s="105"/>
      <c r="K148" s="105"/>
      <c r="L148" s="105"/>
      <c r="M148" s="167"/>
      <c r="N148" s="167"/>
      <c r="O148" s="167"/>
      <c r="P148" s="167"/>
      <c r="Q148" s="119"/>
      <c r="R148" s="119"/>
      <c r="S148" s="119"/>
      <c r="T148" s="119"/>
      <c r="U148" s="119"/>
      <c r="V148" s="119"/>
      <c r="W148" s="119"/>
      <c r="X148" s="119"/>
      <c r="Y148" s="119"/>
      <c r="Z148" s="119"/>
      <c r="AA148" s="119"/>
      <c r="AB148" s="119"/>
      <c r="AC148" s="119"/>
      <c r="AD148" s="119"/>
    </row>
    <row r="149" spans="1:30" ht="22.5" customHeight="1">
      <c r="A149" s="99"/>
      <c r="B149" s="111" t="e">
        <f>VLOOKUP(C149,Lists!I:J,2,FALSE)</f>
        <v>#N/A</v>
      </c>
      <c r="C149" s="166"/>
      <c r="D149" s="102"/>
      <c r="E149" s="103"/>
      <c r="F149" s="102"/>
      <c r="G149" s="99"/>
      <c r="H149" s="99"/>
      <c r="I149" s="104"/>
      <c r="J149" s="105"/>
      <c r="K149" s="105"/>
      <c r="L149" s="105"/>
      <c r="M149" s="167"/>
      <c r="N149" s="167"/>
      <c r="O149" s="167"/>
      <c r="P149" s="167"/>
      <c r="Q149" s="119"/>
      <c r="R149" s="119"/>
      <c r="S149" s="119"/>
      <c r="T149" s="119"/>
      <c r="U149" s="119"/>
      <c r="V149" s="119"/>
      <c r="W149" s="119"/>
      <c r="X149" s="119"/>
      <c r="Y149" s="119"/>
      <c r="Z149" s="119"/>
      <c r="AA149" s="119"/>
      <c r="AB149" s="119"/>
      <c r="AC149" s="119"/>
      <c r="AD149" s="119"/>
    </row>
    <row r="150" spans="1:30" ht="22.5" customHeight="1">
      <c r="A150" s="99"/>
      <c r="B150" s="95" t="e">
        <f>VLOOKUP(C150,Lists!I:J,2,FALSE)</f>
        <v>#N/A</v>
      </c>
      <c r="C150" s="107"/>
      <c r="D150" s="102"/>
      <c r="E150" s="103"/>
      <c r="F150" s="102"/>
      <c r="G150" s="99"/>
      <c r="H150" s="99"/>
      <c r="I150" s="104"/>
      <c r="J150" s="105"/>
      <c r="K150" s="105"/>
      <c r="L150" s="105"/>
      <c r="M150" s="167"/>
      <c r="N150" s="167"/>
      <c r="O150" s="167"/>
      <c r="P150" s="167"/>
      <c r="Q150" s="119"/>
      <c r="R150" s="119"/>
      <c r="S150" s="119"/>
      <c r="T150" s="119"/>
      <c r="U150" s="119"/>
      <c r="V150" s="119"/>
      <c r="W150" s="119"/>
      <c r="X150" s="119"/>
      <c r="Y150" s="119"/>
      <c r="Z150" s="119"/>
      <c r="AA150" s="119"/>
      <c r="AB150" s="119"/>
      <c r="AC150" s="119"/>
      <c r="AD150" s="119"/>
    </row>
    <row r="151" spans="1:30" ht="22.5" customHeight="1">
      <c r="A151" s="99"/>
      <c r="B151" s="111" t="e">
        <f>VLOOKUP(C151,Lists!I:J,2,FALSE)</f>
        <v>#N/A</v>
      </c>
      <c r="C151" s="166"/>
      <c r="D151" s="102"/>
      <c r="E151" s="103"/>
      <c r="F151" s="102"/>
      <c r="G151" s="99"/>
      <c r="H151" s="99"/>
      <c r="I151" s="104"/>
      <c r="J151" s="105"/>
      <c r="K151" s="105"/>
      <c r="L151" s="105"/>
      <c r="M151" s="167"/>
      <c r="N151" s="167"/>
      <c r="O151" s="167"/>
      <c r="P151" s="167"/>
      <c r="Q151" s="119"/>
      <c r="R151" s="119"/>
      <c r="S151" s="119"/>
      <c r="T151" s="119"/>
      <c r="U151" s="119"/>
      <c r="V151" s="119"/>
      <c r="W151" s="119"/>
      <c r="X151" s="119"/>
      <c r="Y151" s="119"/>
      <c r="Z151" s="119"/>
      <c r="AA151" s="119"/>
      <c r="AB151" s="119"/>
      <c r="AC151" s="119"/>
      <c r="AD151" s="119"/>
    </row>
    <row r="152" spans="1:30" ht="22.5" customHeight="1">
      <c r="A152" s="99"/>
      <c r="B152" s="95" t="e">
        <f>VLOOKUP(C152,Lists!I:J,2,FALSE)</f>
        <v>#N/A</v>
      </c>
      <c r="C152" s="107"/>
      <c r="D152" s="102"/>
      <c r="E152" s="103"/>
      <c r="F152" s="102"/>
      <c r="G152" s="99"/>
      <c r="H152" s="99"/>
      <c r="I152" s="104"/>
      <c r="J152" s="105"/>
      <c r="K152" s="105"/>
      <c r="L152" s="105"/>
      <c r="M152" s="167"/>
      <c r="N152" s="167"/>
      <c r="O152" s="167"/>
      <c r="P152" s="167"/>
      <c r="Q152" s="119"/>
      <c r="R152" s="119"/>
      <c r="S152" s="119"/>
      <c r="T152" s="119"/>
      <c r="U152" s="119"/>
      <c r="V152" s="119"/>
      <c r="W152" s="119"/>
      <c r="X152" s="119"/>
      <c r="Y152" s="119"/>
      <c r="Z152" s="119"/>
      <c r="AA152" s="119"/>
      <c r="AB152" s="119"/>
      <c r="AC152" s="119"/>
      <c r="AD152" s="119"/>
    </row>
    <row r="153" spans="1:30" ht="22.5" customHeight="1">
      <c r="A153" s="99"/>
      <c r="B153" s="111" t="e">
        <f>VLOOKUP(C153,Lists!I:J,2,FALSE)</f>
        <v>#N/A</v>
      </c>
      <c r="C153" s="166"/>
      <c r="D153" s="102"/>
      <c r="E153" s="103"/>
      <c r="F153" s="102"/>
      <c r="G153" s="99"/>
      <c r="H153" s="99"/>
      <c r="I153" s="104"/>
      <c r="J153" s="105"/>
      <c r="K153" s="105"/>
      <c r="L153" s="105"/>
      <c r="M153" s="167"/>
      <c r="N153" s="167"/>
      <c r="O153" s="167"/>
      <c r="P153" s="167"/>
      <c r="Q153" s="119"/>
      <c r="R153" s="119"/>
      <c r="S153" s="119"/>
      <c r="T153" s="119"/>
      <c r="U153" s="119"/>
      <c r="V153" s="119"/>
      <c r="W153" s="119"/>
      <c r="X153" s="119"/>
      <c r="Y153" s="119"/>
      <c r="Z153" s="119"/>
      <c r="AA153" s="119"/>
      <c r="AB153" s="119"/>
      <c r="AC153" s="119"/>
      <c r="AD153" s="119"/>
    </row>
    <row r="154" spans="1:30" ht="22.5" customHeight="1">
      <c r="A154" s="99"/>
      <c r="B154" s="95" t="e">
        <f>VLOOKUP(C154,Lists!I:J,2,FALSE)</f>
        <v>#N/A</v>
      </c>
      <c r="C154" s="107"/>
      <c r="D154" s="102"/>
      <c r="E154" s="103"/>
      <c r="F154" s="102"/>
      <c r="G154" s="99"/>
      <c r="H154" s="99"/>
      <c r="I154" s="104"/>
      <c r="J154" s="105"/>
      <c r="K154" s="105"/>
      <c r="L154" s="105"/>
      <c r="M154" s="167"/>
      <c r="N154" s="167"/>
      <c r="O154" s="167"/>
      <c r="P154" s="167"/>
      <c r="Q154" s="119"/>
      <c r="R154" s="119"/>
      <c r="S154" s="119"/>
      <c r="T154" s="119"/>
      <c r="U154" s="119"/>
      <c r="V154" s="119"/>
      <c r="W154" s="119"/>
      <c r="X154" s="119"/>
      <c r="Y154" s="119"/>
      <c r="Z154" s="119"/>
      <c r="AA154" s="119"/>
      <c r="AB154" s="119"/>
      <c r="AC154" s="119"/>
      <c r="AD154" s="119"/>
    </row>
    <row r="155" spans="1:30" ht="22.5" customHeight="1">
      <c r="A155" s="99"/>
      <c r="B155" s="111" t="e">
        <f>VLOOKUP(C155,Lists!I:J,2,FALSE)</f>
        <v>#N/A</v>
      </c>
      <c r="C155" s="166"/>
      <c r="D155" s="102"/>
      <c r="E155" s="103"/>
      <c r="F155" s="102"/>
      <c r="G155" s="99"/>
      <c r="H155" s="99"/>
      <c r="I155" s="104"/>
      <c r="J155" s="105"/>
      <c r="K155" s="105"/>
      <c r="L155" s="105"/>
      <c r="M155" s="167"/>
      <c r="N155" s="167"/>
      <c r="O155" s="167"/>
      <c r="P155" s="167"/>
      <c r="Q155" s="119"/>
      <c r="R155" s="119"/>
      <c r="S155" s="119"/>
      <c r="T155" s="119"/>
      <c r="U155" s="119"/>
      <c r="V155" s="119"/>
      <c r="W155" s="119"/>
      <c r="X155" s="119"/>
      <c r="Y155" s="119"/>
      <c r="Z155" s="119"/>
      <c r="AA155" s="119"/>
      <c r="AB155" s="119"/>
      <c r="AC155" s="119"/>
      <c r="AD155" s="119"/>
    </row>
    <row r="156" spans="1:30" ht="22.5" customHeight="1">
      <c r="A156" s="99"/>
      <c r="B156" s="95" t="e">
        <f>VLOOKUP(C156,Lists!I:J,2,FALSE)</f>
        <v>#N/A</v>
      </c>
      <c r="C156" s="107"/>
      <c r="D156" s="102"/>
      <c r="E156" s="103"/>
      <c r="F156" s="102"/>
      <c r="G156" s="99"/>
      <c r="H156" s="99"/>
      <c r="I156" s="104"/>
      <c r="J156" s="105"/>
      <c r="K156" s="105"/>
      <c r="L156" s="105"/>
      <c r="M156" s="167"/>
      <c r="N156" s="167"/>
      <c r="O156" s="167"/>
      <c r="P156" s="167"/>
      <c r="Q156" s="119"/>
      <c r="R156" s="119"/>
      <c r="S156" s="119"/>
      <c r="T156" s="119"/>
      <c r="U156" s="119"/>
      <c r="V156" s="119"/>
      <c r="W156" s="119"/>
      <c r="X156" s="119"/>
      <c r="Y156" s="119"/>
      <c r="Z156" s="119"/>
      <c r="AA156" s="119"/>
      <c r="AB156" s="119"/>
      <c r="AC156" s="119"/>
      <c r="AD156" s="119"/>
    </row>
    <row r="157" spans="1:30" ht="22.5" customHeight="1">
      <c r="A157" s="99"/>
      <c r="B157" s="111" t="e">
        <f>VLOOKUP(C157,Lists!I:J,2,FALSE)</f>
        <v>#N/A</v>
      </c>
      <c r="C157" s="166"/>
      <c r="D157" s="102"/>
      <c r="E157" s="103"/>
      <c r="F157" s="102"/>
      <c r="G157" s="99"/>
      <c r="H157" s="99"/>
      <c r="I157" s="104"/>
      <c r="J157" s="105"/>
      <c r="K157" s="105"/>
      <c r="L157" s="105"/>
      <c r="M157" s="167"/>
      <c r="N157" s="167"/>
      <c r="O157" s="167"/>
      <c r="P157" s="167"/>
      <c r="Q157" s="119"/>
      <c r="R157" s="119"/>
      <c r="S157" s="119"/>
      <c r="T157" s="119"/>
      <c r="U157" s="119"/>
      <c r="V157" s="119"/>
      <c r="W157" s="119"/>
      <c r="X157" s="119"/>
      <c r="Y157" s="119"/>
      <c r="Z157" s="119"/>
      <c r="AA157" s="119"/>
      <c r="AB157" s="119"/>
      <c r="AC157" s="119"/>
      <c r="AD157" s="119"/>
    </row>
    <row r="158" spans="1:30" ht="22.5" customHeight="1">
      <c r="A158" s="99"/>
      <c r="B158" s="95" t="e">
        <f>VLOOKUP(C158,Lists!I:J,2,FALSE)</f>
        <v>#N/A</v>
      </c>
      <c r="C158" s="107"/>
      <c r="D158" s="102"/>
      <c r="E158" s="103"/>
      <c r="F158" s="102"/>
      <c r="G158" s="99"/>
      <c r="H158" s="99"/>
      <c r="I158" s="104"/>
      <c r="J158" s="105"/>
      <c r="K158" s="105"/>
      <c r="L158" s="105"/>
      <c r="M158" s="167"/>
      <c r="N158" s="167"/>
      <c r="O158" s="167"/>
      <c r="P158" s="167"/>
      <c r="Q158" s="119"/>
      <c r="R158" s="119"/>
      <c r="S158" s="119"/>
      <c r="T158" s="119"/>
      <c r="U158" s="119"/>
      <c r="V158" s="119"/>
      <c r="W158" s="119"/>
      <c r="X158" s="119"/>
      <c r="Y158" s="119"/>
      <c r="Z158" s="119"/>
      <c r="AA158" s="119"/>
      <c r="AB158" s="119"/>
      <c r="AC158" s="119"/>
      <c r="AD158" s="119"/>
    </row>
    <row r="159" spans="1:30" ht="22.5" customHeight="1">
      <c r="A159" s="99"/>
      <c r="B159" s="111" t="e">
        <f>VLOOKUP(C159,Lists!I:J,2,FALSE)</f>
        <v>#N/A</v>
      </c>
      <c r="C159" s="166"/>
      <c r="D159" s="102"/>
      <c r="E159" s="103"/>
      <c r="F159" s="102"/>
      <c r="G159" s="99"/>
      <c r="H159" s="99"/>
      <c r="I159" s="104"/>
      <c r="J159" s="105"/>
      <c r="K159" s="105"/>
      <c r="L159" s="105"/>
      <c r="M159" s="167"/>
      <c r="N159" s="167"/>
      <c r="O159" s="167"/>
      <c r="P159" s="167"/>
      <c r="Q159" s="119"/>
      <c r="R159" s="119"/>
      <c r="S159" s="119"/>
      <c r="T159" s="119"/>
      <c r="U159" s="119"/>
      <c r="V159" s="119"/>
      <c r="W159" s="119"/>
      <c r="X159" s="119"/>
      <c r="Y159" s="119"/>
      <c r="Z159" s="119"/>
      <c r="AA159" s="119"/>
      <c r="AB159" s="119"/>
      <c r="AC159" s="119"/>
      <c r="AD159" s="119"/>
    </row>
    <row r="160" spans="1:30" ht="22.5" customHeight="1">
      <c r="A160" s="99"/>
      <c r="B160" s="95" t="e">
        <f>VLOOKUP(C160,Lists!I:J,2,FALSE)</f>
        <v>#N/A</v>
      </c>
      <c r="C160" s="107"/>
      <c r="D160" s="102"/>
      <c r="E160" s="103"/>
      <c r="F160" s="102"/>
      <c r="G160" s="99"/>
      <c r="H160" s="99"/>
      <c r="I160" s="104"/>
      <c r="J160" s="105"/>
      <c r="K160" s="105"/>
      <c r="L160" s="105"/>
      <c r="M160" s="167"/>
      <c r="N160" s="167"/>
      <c r="O160" s="167"/>
      <c r="P160" s="167"/>
      <c r="Q160" s="119"/>
      <c r="R160" s="119"/>
      <c r="S160" s="119"/>
      <c r="T160" s="119"/>
      <c r="U160" s="119"/>
      <c r="V160" s="119"/>
      <c r="W160" s="119"/>
      <c r="X160" s="119"/>
      <c r="Y160" s="119"/>
      <c r="Z160" s="119"/>
      <c r="AA160" s="119"/>
      <c r="AB160" s="119"/>
      <c r="AC160" s="119"/>
      <c r="AD160" s="119"/>
    </row>
    <row r="161" spans="1:30" ht="22.5" customHeight="1">
      <c r="A161" s="99"/>
      <c r="B161" s="111" t="e">
        <f>VLOOKUP(C161,Lists!I:J,2,FALSE)</f>
        <v>#N/A</v>
      </c>
      <c r="C161" s="166"/>
      <c r="D161" s="102"/>
      <c r="E161" s="103"/>
      <c r="F161" s="102"/>
      <c r="G161" s="99"/>
      <c r="H161" s="99"/>
      <c r="I161" s="104"/>
      <c r="J161" s="105"/>
      <c r="K161" s="105"/>
      <c r="L161" s="105"/>
      <c r="M161" s="167"/>
      <c r="N161" s="167"/>
      <c r="O161" s="167"/>
      <c r="P161" s="167"/>
      <c r="Q161" s="119"/>
      <c r="R161" s="119"/>
      <c r="S161" s="119"/>
      <c r="T161" s="119"/>
      <c r="U161" s="119"/>
      <c r="V161" s="119"/>
      <c r="W161" s="119"/>
      <c r="X161" s="119"/>
      <c r="Y161" s="119"/>
      <c r="Z161" s="119"/>
      <c r="AA161" s="119"/>
      <c r="AB161" s="119"/>
      <c r="AC161" s="119"/>
      <c r="AD161" s="119"/>
    </row>
    <row r="162" spans="1:30" ht="22.5" customHeight="1">
      <c r="A162" s="99"/>
      <c r="B162" s="95" t="e">
        <f>VLOOKUP(C162,Lists!I:J,2,FALSE)</f>
        <v>#N/A</v>
      </c>
      <c r="C162" s="107"/>
      <c r="D162" s="102"/>
      <c r="E162" s="103"/>
      <c r="F162" s="102"/>
      <c r="G162" s="99"/>
      <c r="H162" s="99"/>
      <c r="I162" s="104"/>
      <c r="J162" s="105"/>
      <c r="K162" s="105"/>
      <c r="L162" s="105"/>
      <c r="M162" s="167"/>
      <c r="N162" s="167"/>
      <c r="O162" s="167"/>
      <c r="P162" s="167"/>
      <c r="Q162" s="119"/>
      <c r="R162" s="119"/>
      <c r="S162" s="119"/>
      <c r="T162" s="119"/>
      <c r="U162" s="119"/>
      <c r="V162" s="119"/>
      <c r="W162" s="119"/>
      <c r="X162" s="119"/>
      <c r="Y162" s="119"/>
      <c r="Z162" s="119"/>
      <c r="AA162" s="119"/>
      <c r="AB162" s="119"/>
      <c r="AC162" s="119"/>
      <c r="AD162" s="119"/>
    </row>
    <row r="163" spans="1:30" ht="22.5" customHeight="1">
      <c r="A163" s="99"/>
      <c r="B163" s="168" t="e">
        <f>VLOOKUP(C163,Lists!I:J,2,FALSE)</f>
        <v>#N/A</v>
      </c>
      <c r="C163" s="169"/>
      <c r="D163" s="102"/>
      <c r="E163" s="103"/>
      <c r="F163" s="102"/>
      <c r="G163" s="99"/>
      <c r="H163" s="99"/>
      <c r="I163" s="104"/>
      <c r="J163" s="105"/>
      <c r="K163" s="105"/>
      <c r="L163" s="105"/>
      <c r="M163" s="167"/>
      <c r="N163" s="167"/>
      <c r="O163" s="167"/>
      <c r="P163" s="167"/>
      <c r="Q163" s="119"/>
      <c r="R163" s="119"/>
      <c r="S163" s="119"/>
      <c r="T163" s="119"/>
      <c r="U163" s="119"/>
      <c r="V163" s="119"/>
      <c r="W163" s="119"/>
      <c r="X163" s="119"/>
      <c r="Y163" s="119"/>
      <c r="Z163" s="119"/>
      <c r="AA163" s="119"/>
      <c r="AB163" s="119"/>
      <c r="AC163" s="119"/>
      <c r="AD163" s="119"/>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700-000000000000}">
      <formula1>#REF!</formula1>
    </dataValidation>
    <dataValidation type="list" allowBlank="1" sqref="F2:F163" xr:uid="{00000000-0002-0000-0700-000002000000}">
      <formula1>"Yellow,Red"</formula1>
    </dataValidation>
    <dataValidation type="custom" allowBlank="1" showDropDown="1" sqref="AC4:AD14 S4:T14 S17:T25 AC17:AD25 AC30:AD46 S30:T46 AC51:AD60 S51:T60 S65:T72 AC65:AD72 S77:T84 AC77:AD84 A2:A163 G2:L163" xr:uid="{00000000-0002-0000-0700-000003000000}">
      <formula1>AND(ISNUMBER(A2),(NOT(OR(NOT(ISERROR(DATEVALUE(A2))), AND(ISNUMBER(A2), LEFT(CELL("format", A2))="D")))))</formula1>
    </dataValidation>
    <dataValidation allowBlank="1" showDropDown="1" sqref="E2:E163" xr:uid="{00000000-0002-0000-07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4</v>
      </c>
      <c r="B2" s="33" t="str">
        <f>VLOOKUP(C2,Lists!I:J,2,FALSE)</f>
        <v>Ranged DPS</v>
      </c>
      <c r="C2" s="34" t="str">
        <f>VLOOKUP(E2&amp;D2,Lists!C:E,3,FALSE)</f>
        <v>Crossbow/SnS</v>
      </c>
      <c r="D2" s="35" t="s">
        <v>34</v>
      </c>
      <c r="E2" s="36" t="s">
        <v>167</v>
      </c>
      <c r="F2" s="35" t="s">
        <v>483</v>
      </c>
      <c r="G2" s="32">
        <v>51</v>
      </c>
      <c r="H2" s="32">
        <v>117</v>
      </c>
      <c r="I2" s="84">
        <f t="shared" ref="I2:I97" si="0">SUM(G2:H2)</f>
        <v>168</v>
      </c>
      <c r="J2" s="37">
        <v>3579697</v>
      </c>
      <c r="K2" s="37">
        <v>528544</v>
      </c>
      <c r="L2" s="37">
        <v>0</v>
      </c>
      <c r="M2" s="38">
        <f>I2/(HLOOKUP(F2,Team_Composition_23[[#All],[Yellow]:[Red]],10,FALSE)+HLOOKUP(F2,Team_Composition_23[[#All],[Yellow]:[Red]],11,FALSE))</f>
        <v>0.2046285018270402</v>
      </c>
      <c r="N2" s="38">
        <f>J2/HLOOKUP(F2,Team_Composition_23[[#All],[Yellow]:[Red]],6,FALSE)</f>
        <v>0.20286850882708557</v>
      </c>
      <c r="O2" s="38">
        <f>K2/HLOOKUP(F2,Team_Composition_23[[#All],[Yellow]:[Red]],8,FALSE)</f>
        <v>1.2008014006199301E-2</v>
      </c>
      <c r="P2" s="38">
        <f>L2/HLOOKUP(F2,Team_Composition_23[[#All],[Yellow]:[Red]],7,FALSE)</f>
        <v>0</v>
      </c>
      <c r="Q2" s="31"/>
      <c r="R2" s="227" t="s">
        <v>477</v>
      </c>
      <c r="S2" s="228"/>
      <c r="T2" s="228"/>
      <c r="U2" s="31"/>
      <c r="V2" s="229" t="s">
        <v>478</v>
      </c>
      <c r="W2" s="228"/>
      <c r="X2" s="39"/>
      <c r="Y2" s="229" t="s">
        <v>479</v>
      </c>
      <c r="Z2" s="228"/>
      <c r="AA2" s="31"/>
      <c r="AB2" s="227" t="s">
        <v>480</v>
      </c>
      <c r="AC2" s="228"/>
      <c r="AD2" s="228"/>
    </row>
    <row r="3" spans="1:30" ht="22.5" customHeight="1">
      <c r="A3" s="32">
        <v>2</v>
      </c>
      <c r="B3" s="52" t="str">
        <f>VLOOKUP(C3,Lists!I:J,2,FALSE)</f>
        <v>Ranged DPS</v>
      </c>
      <c r="C3" s="34" t="str">
        <f>VLOOKUP(E3&amp;D3,Lists!C:E,3,FALSE)</f>
        <v>Crossbow/SnS</v>
      </c>
      <c r="D3" s="35" t="s">
        <v>34</v>
      </c>
      <c r="E3" s="35" t="s">
        <v>141</v>
      </c>
      <c r="F3" s="35" t="s">
        <v>483</v>
      </c>
      <c r="G3" s="32">
        <v>60</v>
      </c>
      <c r="H3" s="32">
        <v>82</v>
      </c>
      <c r="I3" s="84">
        <f t="shared" si="0"/>
        <v>142</v>
      </c>
      <c r="J3" s="37">
        <v>2839684</v>
      </c>
      <c r="K3" s="37">
        <v>790367</v>
      </c>
      <c r="L3" s="37">
        <v>39355</v>
      </c>
      <c r="M3" s="38">
        <f>I3/(HLOOKUP(F3,Team_Composition_23[[#All],[Yellow]:[Red]],10,FALSE)+HLOOKUP(F3,Team_Composition_23[[#All],[Yellow]:[Red]],11,FALSE))</f>
        <v>0.17295980511571254</v>
      </c>
      <c r="N3" s="38">
        <f>J3/HLOOKUP(F3,Team_Composition_23[[#All],[Yellow]:[Red]],6,FALSE)</f>
        <v>0.16093050853749177</v>
      </c>
      <c r="O3" s="38">
        <f>K3/HLOOKUP(F3,Team_Composition_23[[#All],[Yellow]:[Red]],8,FALSE)</f>
        <v>1.7956382072330256E-2</v>
      </c>
      <c r="P3" s="38">
        <f>L3/HLOOKUP(F3,Team_Composition_23[[#All],[Yellow]:[Red]],7,FALSE)</f>
        <v>1.621655544044935E-3</v>
      </c>
      <c r="Q3" s="31"/>
      <c r="R3" s="41" t="s">
        <v>482</v>
      </c>
      <c r="S3" s="42" t="s">
        <v>476</v>
      </c>
      <c r="T3" s="42" t="s">
        <v>483</v>
      </c>
      <c r="U3" s="31"/>
      <c r="V3" s="43" t="s">
        <v>1</v>
      </c>
      <c r="W3" s="44" t="s">
        <v>467</v>
      </c>
      <c r="X3" s="31"/>
      <c r="Y3" s="43" t="s">
        <v>1</v>
      </c>
      <c r="Z3" s="44" t="s">
        <v>484</v>
      </c>
      <c r="AA3" s="31"/>
      <c r="AB3" s="41" t="s">
        <v>482</v>
      </c>
      <c r="AC3" s="42" t="s">
        <v>485</v>
      </c>
      <c r="AD3" s="42" t="s">
        <v>28</v>
      </c>
    </row>
    <row r="4" spans="1:30" ht="22.5" customHeight="1">
      <c r="A4" s="32">
        <v>1</v>
      </c>
      <c r="B4" s="68" t="str">
        <f>VLOOKUP(C4,Lists!I:J,2,FALSE)</f>
        <v>Ranged DPS</v>
      </c>
      <c r="C4" s="34" t="str">
        <f>VLOOKUP(E4&amp;D4,Lists!C:E,3,FALSE)</f>
        <v>Orb/Wand</v>
      </c>
      <c r="D4" s="35" t="s">
        <v>30</v>
      </c>
      <c r="E4" s="36" t="s">
        <v>412</v>
      </c>
      <c r="F4" s="35" t="s">
        <v>476</v>
      </c>
      <c r="G4" s="32">
        <v>64</v>
      </c>
      <c r="H4" s="32">
        <v>74</v>
      </c>
      <c r="I4" s="84">
        <f t="shared" si="0"/>
        <v>138</v>
      </c>
      <c r="J4" s="37">
        <v>4062296</v>
      </c>
      <c r="K4" s="37">
        <v>760249</v>
      </c>
      <c r="L4" s="37">
        <v>0</v>
      </c>
      <c r="M4" s="38">
        <f>I4/(HLOOKUP(F4,Team_Composition_23[[#All],[Yellow]:[Red]],10,FALSE)+HLOOKUP(F4,Team_Composition_23[[#All],[Yellow]:[Red]],11,FALSE))</f>
        <v>3.4491377155711073E-2</v>
      </c>
      <c r="N4" s="38">
        <f>J4/HLOOKUP(F4,Team_Composition_23[[#All],[Yellow]:[Red]],6,FALSE)</f>
        <v>9.156824117326301E-2</v>
      </c>
      <c r="O4" s="38">
        <f>K4/HLOOKUP(F4,Team_Composition_23[[#All],[Yellow]:[Red]],8,FALSE)</f>
        <v>4.3396271757315287E-2</v>
      </c>
      <c r="P4" s="38">
        <f>L4/HLOOKUP(F4,Team_Composition_23[[#All],[Yellow]:[Red]],7,FALSE)</f>
        <v>0</v>
      </c>
      <c r="Q4" s="31"/>
      <c r="R4" s="45" t="s">
        <v>25</v>
      </c>
      <c r="S4" s="46">
        <f>COUNTIFS(Scoreboard_36[Role],R4,Scoreboard_36[Team],"Yellow")</f>
        <v>6</v>
      </c>
      <c r="T4" s="47">
        <f>COUNTIFS(Scoreboard_36[Role],R4,Scoreboard_36[Team],"Red")</f>
        <v>5</v>
      </c>
      <c r="U4" s="31"/>
      <c r="V4" s="48" t="str">
        <f ca="1">IFERROR(__xludf.DUMMYFUNCTION("query(A1:P238, ""Select E,I where B!='Healer' Order by I Desc Limit 10"", 0)"),"charigueya")</f>
        <v>charigueya</v>
      </c>
      <c r="W4" s="49">
        <f ca="1">IFERROR(__xludf.DUMMYFUNCTION("""COMPUTED_VALUE"""),168)</f>
        <v>168</v>
      </c>
      <c r="X4" s="31"/>
      <c r="Y4" s="48" t="str">
        <f ca="1">IFERROR(__xludf.DUMMYFUNCTION("query(A1:P238, ""Select E,J Order by J Desc Limit 10"", 0)"),"SuperSaiyanAndy")</f>
        <v>SuperSaiyanAndy</v>
      </c>
      <c r="Z4" s="49">
        <f ca="1">IFERROR(__xludf.DUMMYFUNCTION("""COMPUTED_VALUE"""),4536255)</f>
        <v>4536255</v>
      </c>
      <c r="AA4" s="31"/>
      <c r="AB4" s="45" t="s">
        <v>25</v>
      </c>
      <c r="AC4" s="50">
        <f>COUNTIFS(Scoreboard_36[Role],AB4,Scoreboard_36[Guild],"Best Regards")</f>
        <v>5</v>
      </c>
      <c r="AD4" s="51">
        <f>COUNTIFS(Scoreboard_36[Role],AB4,Scoreboard_36[Guild],"Undercooked")</f>
        <v>0</v>
      </c>
    </row>
    <row r="5" spans="1:30" ht="22.5" customHeight="1">
      <c r="A5" s="32">
        <v>3</v>
      </c>
      <c r="B5" s="73" t="s">
        <v>25</v>
      </c>
      <c r="C5" s="34" t="str">
        <f>VLOOKUP(E5&amp;D5,Lists!C:E,3,FALSE)</f>
        <v>Staff/Orb</v>
      </c>
      <c r="D5" s="35" t="s">
        <v>30</v>
      </c>
      <c r="E5" s="36" t="s">
        <v>397</v>
      </c>
      <c r="F5" s="35" t="s">
        <v>476</v>
      </c>
      <c r="G5" s="32">
        <v>57</v>
      </c>
      <c r="H5" s="32">
        <v>81</v>
      </c>
      <c r="I5" s="84">
        <f t="shared" si="0"/>
        <v>138</v>
      </c>
      <c r="J5" s="37">
        <v>4536255</v>
      </c>
      <c r="K5" s="37">
        <v>1170288</v>
      </c>
      <c r="L5" s="37">
        <v>0</v>
      </c>
      <c r="M5" s="38">
        <f>I5/(HLOOKUP(F5,Team_Composition_23[[#All],[Yellow]:[Red]],10,FALSE)+HLOOKUP(F5,Team_Composition_23[[#All],[Yellow]:[Red]],11,FALSE))</f>
        <v>3.4491377155711073E-2</v>
      </c>
      <c r="N5" s="38">
        <f>J5/HLOOKUP(F5,Team_Composition_23[[#All],[Yellow]:[Red]],6,FALSE)</f>
        <v>0.10225175414677319</v>
      </c>
      <c r="O5" s="38">
        <f>K5/HLOOKUP(F5,Team_Composition_23[[#All],[Yellow]:[Red]],8,FALSE)</f>
        <v>6.6801976829071782E-2</v>
      </c>
      <c r="P5" s="38">
        <f>L5/HLOOKUP(F5,Team_Composition_23[[#All],[Yellow]:[Red]],7,FALSE)</f>
        <v>0</v>
      </c>
      <c r="Q5" s="31"/>
      <c r="R5" s="45" t="s">
        <v>39</v>
      </c>
      <c r="S5" s="46">
        <f>COUNTIFS(Scoreboard_36[Role],R5,Scoreboard_36[Team],"Yellow")</f>
        <v>8</v>
      </c>
      <c r="T5" s="47">
        <f>COUNTIFS(Scoreboard_36[Role],R5,Scoreboard_36[Team],"Red")</f>
        <v>8</v>
      </c>
      <c r="U5" s="31"/>
      <c r="V5" s="48" t="str">
        <f ca="1">IFERROR(__xludf.DUMMYFUNCTION("""COMPUTED_VALUE"""),"Thundercats")</f>
        <v>Thundercats</v>
      </c>
      <c r="W5" s="49">
        <f ca="1">IFERROR(__xludf.DUMMYFUNCTION("""COMPUTED_VALUE"""),142)</f>
        <v>142</v>
      </c>
      <c r="X5" s="31"/>
      <c r="Y5" s="48" t="str">
        <f ca="1">IFERROR(__xludf.DUMMYFUNCTION("""COMPUTED_VALUE"""),"Artayy")</f>
        <v>Artayy</v>
      </c>
      <c r="Z5" s="49">
        <f ca="1">IFERROR(__xludf.DUMMYFUNCTION("""COMPUTED_VALUE"""),4062296)</f>
        <v>4062296</v>
      </c>
      <c r="AA5" s="31"/>
      <c r="AB5" s="45" t="s">
        <v>39</v>
      </c>
      <c r="AC5" s="50">
        <f>COUNTIFS(Scoreboard_36[Role],AB5,Scoreboard_36[Guild],"Best Regards")</f>
        <v>8</v>
      </c>
      <c r="AD5" s="51">
        <f>COUNTIFS(Scoreboard_36[Role],AB5,Scoreboard_36[Guild],"Undercooked")</f>
        <v>0</v>
      </c>
    </row>
    <row r="6" spans="1:30" ht="22.5" customHeight="1">
      <c r="A6" s="32">
        <v>16</v>
      </c>
      <c r="B6" s="71" t="str">
        <f>VLOOKUP(C6,Lists!I:J,2,FALSE)</f>
        <v>Ranged DPS</v>
      </c>
      <c r="C6" s="34" t="str">
        <f>VLOOKUP(E6&amp;D6,Lists!C:E,3,FALSE)</f>
        <v>Crossbow/SnS</v>
      </c>
      <c r="D6" s="35" t="s">
        <v>30</v>
      </c>
      <c r="E6" s="36" t="s">
        <v>405</v>
      </c>
      <c r="F6" s="35" t="s">
        <v>476</v>
      </c>
      <c r="G6" s="32">
        <v>36</v>
      </c>
      <c r="H6" s="32">
        <v>100</v>
      </c>
      <c r="I6" s="84">
        <f t="shared" si="0"/>
        <v>136</v>
      </c>
      <c r="J6" s="37">
        <v>3057520</v>
      </c>
      <c r="K6" s="37">
        <v>656073</v>
      </c>
      <c r="L6" s="37">
        <v>43067</v>
      </c>
      <c r="M6" s="38">
        <f>I6/(HLOOKUP(F6,Team_Composition_23[[#All],[Yellow]:[Red]],10,FALSE)+HLOOKUP(F6,Team_Composition_23[[#All],[Yellow]:[Red]],11,FALSE))</f>
        <v>3.3991502124468879E-2</v>
      </c>
      <c r="N6" s="38">
        <f>J6/HLOOKUP(F6,Team_Composition_23[[#All],[Yellow]:[Red]],6,FALSE)</f>
        <v>6.8919578669815074E-2</v>
      </c>
      <c r="O6" s="38">
        <f>K6/HLOOKUP(F6,Team_Composition_23[[#All],[Yellow]:[Red]],8,FALSE)</f>
        <v>3.7449733180362106E-2</v>
      </c>
      <c r="P6" s="38">
        <f>L6/HLOOKUP(F6,Team_Composition_23[[#All],[Yellow]:[Red]],7,FALSE)</f>
        <v>3.3269796753500678E-3</v>
      </c>
      <c r="Q6" s="31"/>
      <c r="R6" s="45" t="s">
        <v>67</v>
      </c>
      <c r="S6" s="46">
        <f>COUNTIFS(Scoreboard_36[Role],R6,Scoreboard_36[Team],"Yellow")</f>
        <v>13</v>
      </c>
      <c r="T6" s="47">
        <f>COUNTIFS(Scoreboard_36[Role],R6,Scoreboard_36[Team],"Red")</f>
        <v>13</v>
      </c>
      <c r="U6" s="31"/>
      <c r="V6" s="48" t="str">
        <f ca="1">IFERROR(__xludf.DUMMYFUNCTION("""COMPUTED_VALUE"""),"Artayy")</f>
        <v>Artayy</v>
      </c>
      <c r="W6" s="49">
        <f ca="1">IFERROR(__xludf.DUMMYFUNCTION("""COMPUTED_VALUE"""),138)</f>
        <v>138</v>
      </c>
      <c r="X6" s="31"/>
      <c r="Y6" s="48" t="str">
        <f ca="1">IFERROR(__xludf.DUMMYFUNCTION("""COMPUTED_VALUE"""),"charigueya")</f>
        <v>charigueya</v>
      </c>
      <c r="Z6" s="49">
        <f ca="1">IFERROR(__xludf.DUMMYFUNCTION("""COMPUTED_VALUE"""),3579697)</f>
        <v>3579697</v>
      </c>
      <c r="AA6" s="31"/>
      <c r="AB6" s="45" t="s">
        <v>67</v>
      </c>
      <c r="AC6" s="50">
        <f>COUNTIFS(Scoreboard_36[Role],AB6,Scoreboard_36[Guild],"Best Regards")</f>
        <v>13</v>
      </c>
      <c r="AD6" s="51">
        <f>COUNTIFS(Scoreboard_36[Role],AB6,Scoreboard_36[Guild],"Undercooked")</f>
        <v>0</v>
      </c>
    </row>
    <row r="7" spans="1:30" ht="22.5" customHeight="1">
      <c r="A7" s="32">
        <v>14</v>
      </c>
      <c r="B7" s="67" t="str">
        <f>VLOOKUP(C7,Lists!I:J,2,FALSE)</f>
        <v>Ranged DPS</v>
      </c>
      <c r="C7" s="34" t="str">
        <f>VLOOKUP(E7&amp;D7,Lists!C:E,3,FALSE)</f>
        <v>Crossbow/SnS</v>
      </c>
      <c r="D7" s="35" t="s">
        <v>30</v>
      </c>
      <c r="E7" s="36" t="s">
        <v>399</v>
      </c>
      <c r="F7" s="35" t="s">
        <v>476</v>
      </c>
      <c r="G7" s="32">
        <v>37</v>
      </c>
      <c r="H7" s="32">
        <v>93</v>
      </c>
      <c r="I7" s="84">
        <f t="shared" si="0"/>
        <v>130</v>
      </c>
      <c r="J7" s="37">
        <v>2372714</v>
      </c>
      <c r="K7" s="37">
        <v>746919</v>
      </c>
      <c r="L7" s="37">
        <v>39948</v>
      </c>
      <c r="M7" s="38">
        <f>I7/(HLOOKUP(F7,Team_Composition_23[[#All],[Yellow]:[Red]],10,FALSE)+HLOOKUP(F7,Team_Composition_23[[#All],[Yellow]:[Red]],11,FALSE))</f>
        <v>3.2491877030742314E-2</v>
      </c>
      <c r="N7" s="38">
        <f>J7/HLOOKUP(F7,Team_Composition_23[[#All],[Yellow]:[Red]],6,FALSE)</f>
        <v>5.3483362065978833E-2</v>
      </c>
      <c r="O7" s="38">
        <f>K7/HLOOKUP(F7,Team_Composition_23[[#All],[Yellow]:[Red]],8,FALSE)</f>
        <v>4.2635373285202845E-2</v>
      </c>
      <c r="P7" s="38">
        <f>L7/HLOOKUP(F7,Team_Composition_23[[#All],[Yellow]:[Red]],7,FALSE)</f>
        <v>3.0860330199662042E-3</v>
      </c>
      <c r="Q7" s="31"/>
      <c r="R7" s="45" t="s">
        <v>11</v>
      </c>
      <c r="S7" s="46">
        <f>COUNTIFS(Scoreboard_36[Role],R7,Scoreboard_36[Team],"Yellow")</f>
        <v>16</v>
      </c>
      <c r="T7" s="47">
        <f>COUNTIFS(Scoreboard_36[Role],R7,Scoreboard_36[Team],"Red")</f>
        <v>17</v>
      </c>
      <c r="U7" s="31"/>
      <c r="V7" s="48" t="str">
        <f ca="1">IFERROR(__xludf.DUMMYFUNCTION("""COMPUTED_VALUE"""),"SuperSaiyanAndy")</f>
        <v>SuperSaiyanAndy</v>
      </c>
      <c r="W7" s="49">
        <f ca="1">IFERROR(__xludf.DUMMYFUNCTION("""COMPUTED_VALUE"""),138)</f>
        <v>138</v>
      </c>
      <c r="X7" s="31"/>
      <c r="Y7" s="48" t="str">
        <f ca="1">IFERROR(__xludf.DUMMYFUNCTION("""COMPUTED_VALUE"""),"Ceviche")</f>
        <v>Ceviche</v>
      </c>
      <c r="Z7" s="49">
        <f ca="1">IFERROR(__xludf.DUMMYFUNCTION("""COMPUTED_VALUE"""),3506760)</f>
        <v>3506760</v>
      </c>
      <c r="AA7" s="31"/>
      <c r="AB7" s="45" t="s">
        <v>11</v>
      </c>
      <c r="AC7" s="50">
        <f>COUNTIFS(Scoreboard_36[Role],AB7,Scoreboard_36[Guild],"Best Regards")</f>
        <v>17</v>
      </c>
      <c r="AD7" s="51">
        <f>COUNTIFS(Scoreboard_36[Role],AB7,Scoreboard_36[Guild],"Undercooked")</f>
        <v>0</v>
      </c>
    </row>
    <row r="8" spans="1:30" ht="22.5" customHeight="1">
      <c r="A8" s="32">
        <v>10</v>
      </c>
      <c r="B8" s="60" t="str">
        <f>VLOOKUP(C8,Lists!I:J,2,FALSE)</f>
        <v>Melee DPS</v>
      </c>
      <c r="C8" s="34" t="str">
        <f>VLOOKUP(E8&amp;D8,Lists!C:E,3,FALSE)</f>
        <v>Greatsword/Spear</v>
      </c>
      <c r="D8" s="35" t="s">
        <v>34</v>
      </c>
      <c r="E8" s="36" t="s">
        <v>147</v>
      </c>
      <c r="F8" s="35" t="s">
        <v>483</v>
      </c>
      <c r="G8" s="32">
        <v>39</v>
      </c>
      <c r="H8" s="32">
        <v>89</v>
      </c>
      <c r="I8" s="84">
        <f t="shared" si="0"/>
        <v>128</v>
      </c>
      <c r="J8" s="37">
        <v>2241218</v>
      </c>
      <c r="K8" s="37">
        <v>1985058</v>
      </c>
      <c r="L8" s="37">
        <v>18871</v>
      </c>
      <c r="M8" s="38">
        <f>I8/(HLOOKUP(F8,Team_Composition_23[[#All],[Yellow]:[Red]],10,FALSE)+HLOOKUP(F8,Team_Composition_23[[#All],[Yellow]:[Red]],11,FALSE))</f>
        <v>0.15590742996345919</v>
      </c>
      <c r="N8" s="38">
        <f>J8/HLOOKUP(F8,Team_Composition_23[[#All],[Yellow]:[Red]],6,FALSE)</f>
        <v>0.12701425668608909</v>
      </c>
      <c r="O8" s="38">
        <f>K8/HLOOKUP(F8,Team_Composition_23[[#All],[Yellow]:[Red]],8,FALSE)</f>
        <v>4.509861859583681E-2</v>
      </c>
      <c r="P8" s="38">
        <f>L8/HLOOKUP(F8,Team_Composition_23[[#All],[Yellow]:[Red]],7,FALSE)</f>
        <v>7.7759526798810747E-4</v>
      </c>
      <c r="Q8" s="31"/>
      <c r="R8" s="45" t="s">
        <v>468</v>
      </c>
      <c r="S8" s="46">
        <f>SUMIFS(Scoreboard_36[Damage Dealt],Scoreboard_36[Team],"Yellow")</f>
        <v>36512557</v>
      </c>
      <c r="T8" s="47">
        <f>SUMIFS(Scoreboard_36[Damage Dealt],Scoreboard_36[Team],"Red")</f>
        <v>34840821</v>
      </c>
      <c r="U8" s="31"/>
      <c r="V8" s="48" t="str">
        <f ca="1">IFERROR(__xludf.DUMMYFUNCTION("""COMPUTED_VALUE"""),"Nyvri")</f>
        <v>Nyvri</v>
      </c>
      <c r="W8" s="49">
        <f ca="1">IFERROR(__xludf.DUMMYFUNCTION("""COMPUTED_VALUE"""),136)</f>
        <v>136</v>
      </c>
      <c r="X8" s="31"/>
      <c r="Y8" s="48" t="str">
        <f ca="1">IFERROR(__xludf.DUMMYFUNCTION("""COMPUTED_VALUE"""),"Ryujin")</f>
        <v>Ryujin</v>
      </c>
      <c r="Z8" s="49">
        <f ca="1">IFERROR(__xludf.DUMMYFUNCTION("""COMPUTED_VALUE"""),3455339)</f>
        <v>3455339</v>
      </c>
      <c r="AA8" s="31"/>
      <c r="AB8" s="45" t="s">
        <v>468</v>
      </c>
      <c r="AC8" s="50">
        <f>SUMIFS(Scoreboard_36[Damage Dealt],Scoreboard_36[Guild],"Best Regards")</f>
        <v>34814567</v>
      </c>
      <c r="AD8" s="51">
        <f>SUMIFS(Scoreboard_36[Damage Dealt],Scoreboard_36[Guild],"Undercooked")</f>
        <v>0</v>
      </c>
    </row>
    <row r="9" spans="1:30" ht="22.5" customHeight="1">
      <c r="A9" s="32">
        <v>6</v>
      </c>
      <c r="B9" s="52" t="str">
        <f>VLOOKUP(C9,Lists!I:J,2,FALSE)</f>
        <v>Ranged DPS</v>
      </c>
      <c r="C9" s="34" t="str">
        <f>VLOOKUP(E9&amp;D9,Lists!C:E,3,FALSE)</f>
        <v>Staff/Dagger</v>
      </c>
      <c r="D9" s="35" t="s">
        <v>34</v>
      </c>
      <c r="E9" s="36" t="s">
        <v>158</v>
      </c>
      <c r="F9" s="35" t="s">
        <v>483</v>
      </c>
      <c r="G9" s="32">
        <v>45</v>
      </c>
      <c r="H9" s="32">
        <v>75</v>
      </c>
      <c r="I9" s="84">
        <f t="shared" si="0"/>
        <v>120</v>
      </c>
      <c r="J9" s="37">
        <v>3506760</v>
      </c>
      <c r="K9" s="37">
        <v>1017313</v>
      </c>
      <c r="L9" s="37">
        <v>49366</v>
      </c>
      <c r="M9" s="38">
        <f>I9/(HLOOKUP(F9,Team_Composition_23[[#All],[Yellow]:[Red]],10,FALSE)+HLOOKUP(F9,Team_Composition_23[[#All],[Yellow]:[Red]],11,FALSE))</f>
        <v>0.146163215590743</v>
      </c>
      <c r="N9" s="38">
        <f>J9/HLOOKUP(F9,Team_Composition_23[[#All],[Yellow]:[Red]],6,FALSE)</f>
        <v>0.19873502478407268</v>
      </c>
      <c r="O9" s="38">
        <f>K9/HLOOKUP(F9,Team_Composition_23[[#All],[Yellow]:[Red]],8,FALSE)</f>
        <v>2.3112378066326794E-2</v>
      </c>
      <c r="P9" s="38">
        <f>L9/HLOOKUP(F9,Team_Composition_23[[#All],[Yellow]:[Red]],7,FALSE)</f>
        <v>2.0341671347305873E-3</v>
      </c>
      <c r="Q9" s="31"/>
      <c r="R9" s="45" t="s">
        <v>470</v>
      </c>
      <c r="S9" s="46">
        <f>SUMIFS(Scoreboard_36[Amount Healed],Scoreboard_36[Team],"Yellow")</f>
        <v>22179829</v>
      </c>
      <c r="T9" s="47">
        <f>SUMIFS(Scoreboard_36[Amount Healed],Scoreboard_36[Team],"Red")</f>
        <v>24638100</v>
      </c>
      <c r="U9" s="31"/>
      <c r="V9" s="48" t="str">
        <f ca="1">IFERROR(__xludf.DUMMYFUNCTION("""COMPUTED_VALUE"""),"HEALERTANKDPS")</f>
        <v>HEALERTANKDPS</v>
      </c>
      <c r="W9" s="49">
        <f ca="1">IFERROR(__xludf.DUMMYFUNCTION("""COMPUTED_VALUE"""),130)</f>
        <v>130</v>
      </c>
      <c r="X9" s="31"/>
      <c r="Y9" s="48" t="str">
        <f ca="1">IFERROR(__xludf.DUMMYFUNCTION("""COMPUTED_VALUE"""),"GUNWALLET")</f>
        <v>GUNWALLET</v>
      </c>
      <c r="Z9" s="49">
        <f ca="1">IFERROR(__xludf.DUMMYFUNCTION("""COMPUTED_VALUE"""),3070903)</f>
        <v>3070903</v>
      </c>
      <c r="AA9" s="31"/>
      <c r="AB9" s="45" t="s">
        <v>470</v>
      </c>
      <c r="AC9" s="50">
        <f>SUMIFS(Scoreboard_36[Amount Healed],Scoreboard_36[Guild],"Best Regards")</f>
        <v>24540600</v>
      </c>
      <c r="AD9" s="51">
        <f>SUMIFS(Scoreboard_36[Amount Healed],Scoreboard_36[Guild],"Undercooked")</f>
        <v>0</v>
      </c>
    </row>
    <row r="10" spans="1:30" ht="22.5" customHeight="1">
      <c r="A10" s="32">
        <v>8</v>
      </c>
      <c r="B10" s="69" t="str">
        <f>VLOOKUP(C10,Lists!I:J,2,FALSE)</f>
        <v>Ranged DPS</v>
      </c>
      <c r="C10" s="34" t="str">
        <f>VLOOKUP(E10&amp;D10,Lists!C:E,3,FALSE)</f>
        <v>Staff/Dagger</v>
      </c>
      <c r="D10" s="35" t="s">
        <v>30</v>
      </c>
      <c r="E10" s="36" t="s">
        <v>224</v>
      </c>
      <c r="F10" s="35" t="s">
        <v>476</v>
      </c>
      <c r="G10" s="32">
        <v>41</v>
      </c>
      <c r="H10" s="32">
        <v>76</v>
      </c>
      <c r="I10" s="84">
        <f t="shared" si="0"/>
        <v>117</v>
      </c>
      <c r="J10" s="37">
        <v>3070903</v>
      </c>
      <c r="K10" s="37">
        <v>1025371</v>
      </c>
      <c r="L10" s="37">
        <v>0</v>
      </c>
      <c r="M10" s="38">
        <f>I10/(HLOOKUP(F10,Team_Composition_23[[#All],[Yellow]:[Red]],10,FALSE)+HLOOKUP(F10,Team_Composition_23[[#All],[Yellow]:[Red]],11,FALSE))</f>
        <v>2.9242689327668082E-2</v>
      </c>
      <c r="N10" s="38">
        <f>J10/HLOOKUP(F10,Team_Composition_23[[#All],[Yellow]:[Red]],6,FALSE)</f>
        <v>6.9221244961887779E-2</v>
      </c>
      <c r="O10" s="38">
        <f>K10/HLOOKUP(F10,Team_Composition_23[[#All],[Yellow]:[Red]],8,FALSE)</f>
        <v>5.8529874512258655E-2</v>
      </c>
      <c r="P10" s="38">
        <f>L10/HLOOKUP(F10,Team_Composition_23[[#All],[Yellow]:[Red]],7,FALSE)</f>
        <v>0</v>
      </c>
      <c r="Q10" s="31"/>
      <c r="R10" s="45" t="s">
        <v>469</v>
      </c>
      <c r="S10" s="46">
        <f>SUMIFS(Scoreboard_36[Damage Taken],Scoreboard_36[Team],"Yellow")</f>
        <v>35403816</v>
      </c>
      <c r="T10" s="47">
        <f>SUMIFS(Scoreboard_36[Damage Taken],Scoreboard_36[Team],"Red")</f>
        <v>36327302</v>
      </c>
      <c r="U10" s="31"/>
      <c r="V10" s="48" t="str">
        <f ca="1">IFERROR(__xludf.DUMMYFUNCTION("""COMPUTED_VALUE"""),"K")</f>
        <v>K</v>
      </c>
      <c r="W10" s="49">
        <f ca="1">IFERROR(__xludf.DUMMYFUNCTION("""COMPUTED_VALUE"""),128)</f>
        <v>128</v>
      </c>
      <c r="X10" s="31"/>
      <c r="Y10" s="48" t="str">
        <f ca="1">IFERROR(__xludf.DUMMYFUNCTION("""COMPUTED_VALUE"""),"Nyvri")</f>
        <v>Nyvri</v>
      </c>
      <c r="Z10" s="49">
        <f ca="1">IFERROR(__xludf.DUMMYFUNCTION("""COMPUTED_VALUE"""),3057520)</f>
        <v>3057520</v>
      </c>
      <c r="AA10" s="31"/>
      <c r="AB10" s="45" t="s">
        <v>469</v>
      </c>
      <c r="AC10" s="50">
        <f>SUMIFS(Scoreboard_36[Damage Taken],Scoreboard_36[Guild],"Best Regards")</f>
        <v>36067446</v>
      </c>
      <c r="AD10" s="51">
        <f>SUMIFS(Scoreboard_36[Damage Taken],Scoreboard_36[Guild],"Undercooked")</f>
        <v>0</v>
      </c>
    </row>
    <row r="11" spans="1:30" ht="22.5" customHeight="1">
      <c r="A11" s="32">
        <v>11</v>
      </c>
      <c r="B11" s="52" t="str">
        <f>VLOOKUP(C11,Lists!I:J,2,FALSE)</f>
        <v>Melee DPS</v>
      </c>
      <c r="C11" s="34" t="str">
        <f>VLOOKUP(E11&amp;D11,Lists!C:E,3,FALSE)</f>
        <v>Spear/Dagger</v>
      </c>
      <c r="D11" s="35" t="s">
        <v>34</v>
      </c>
      <c r="E11" s="36" t="s">
        <v>104</v>
      </c>
      <c r="F11" s="35" t="s">
        <v>483</v>
      </c>
      <c r="G11" s="32">
        <v>39</v>
      </c>
      <c r="H11" s="32">
        <v>78</v>
      </c>
      <c r="I11" s="84">
        <f t="shared" si="0"/>
        <v>117</v>
      </c>
      <c r="J11" s="37">
        <v>2334009</v>
      </c>
      <c r="K11" s="37">
        <v>1702996</v>
      </c>
      <c r="L11" s="37">
        <v>49042</v>
      </c>
      <c r="M11" s="38">
        <f>I11/(HLOOKUP(F11,Team_Composition_23[[#All],[Yellow]:[Red]],10,FALSE)+HLOOKUP(F11,Team_Composition_23[[#All],[Yellow]:[Red]],11,FALSE))</f>
        <v>0.14250913520097441</v>
      </c>
      <c r="N11" s="38">
        <f>J11/HLOOKUP(F11,Team_Composition_23[[#All],[Yellow]:[Red]],6,FALSE)</f>
        <v>0.1322729061758571</v>
      </c>
      <c r="O11" s="38">
        <f>K11/HLOOKUP(F11,Team_Composition_23[[#All],[Yellow]:[Red]],8,FALSE)</f>
        <v>3.8690439812960477E-2</v>
      </c>
      <c r="P11" s="38">
        <f>L11/HLOOKUP(F11,Team_Composition_23[[#All],[Yellow]:[Red]],7,FALSE)</f>
        <v>2.0208164449511297E-3</v>
      </c>
      <c r="Q11" s="31"/>
      <c r="R11" s="45" t="s">
        <v>495</v>
      </c>
      <c r="S11" s="46">
        <f ca="1">IFERROR(DIVIDE(SUMIFS(Scoreboard_36[Amount Healed],Scoreboard_36[Team],"Yellow"), SUMIFS(Scoreboard_36[Damage Taken],Scoreboard_36[Team],"Yellow"))*(100),0)</f>
        <v>0</v>
      </c>
      <c r="T11" s="47">
        <f ca="1">IFERROR(DIVIDE(SUMIFS(Scoreboard_36[Amount Healed],Scoreboard_36[Team],"Red"), SUMIFS(Scoreboard_36[Damage Taken],Scoreboard_36[Team],"Red"))*(100),0)</f>
        <v>0</v>
      </c>
      <c r="U11" s="31"/>
      <c r="V11" s="48" t="str">
        <f ca="1">IFERROR(__xludf.DUMMYFUNCTION("""COMPUTED_VALUE"""),"Ceviche")</f>
        <v>Ceviche</v>
      </c>
      <c r="W11" s="49">
        <f ca="1">IFERROR(__xludf.DUMMYFUNCTION("""COMPUTED_VALUE"""),120)</f>
        <v>120</v>
      </c>
      <c r="X11" s="31"/>
      <c r="Y11" s="48" t="str">
        <f ca="1">IFERROR(__xludf.DUMMYFUNCTION("""COMPUTED_VALUE"""),"Thundercats")</f>
        <v>Thundercats</v>
      </c>
      <c r="Z11" s="49">
        <f ca="1">IFERROR(__xludf.DUMMYFUNCTION("""COMPUTED_VALUE"""),2839684)</f>
        <v>2839684</v>
      </c>
      <c r="AA11" s="31"/>
      <c r="AB11" s="45" t="s">
        <v>495</v>
      </c>
      <c r="AC11" s="50">
        <f ca="1">IFERROR(DIVIDE(SUMIFS(Scoreboard_36[Amount Healed],Scoreboard_36[Guild],"Best Regards"), SUMIFS(Scoreboard_36[Damage Taken],Scoreboard_36[Guild],"Best Regards"))*(100),0)</f>
        <v>0</v>
      </c>
      <c r="AD11" s="51">
        <f ca="1">IFERROR(DIVIDE(SUMIFS(Scoreboard_36[Amount Healed],Scoreboard_36[Guild],"Undercooked"), SUMIFS(Scoreboard_36[Damage Taken],Scoreboard_36[Guild],"Undercooked"))*(100),0)</f>
        <v>0</v>
      </c>
    </row>
    <row r="12" spans="1:30" ht="22.5" customHeight="1">
      <c r="A12" s="32">
        <v>17</v>
      </c>
      <c r="B12" s="62" t="str">
        <f>VLOOKUP(C12,Lists!I:J,2,FALSE)</f>
        <v>Ranged DPS</v>
      </c>
      <c r="C12" s="34" t="str">
        <f>VLOOKUP(E12&amp;D12,Lists!C:E,3,FALSE)</f>
        <v>Staff/Dagger</v>
      </c>
      <c r="D12" s="35" t="s">
        <v>34</v>
      </c>
      <c r="E12" s="36" t="s">
        <v>31</v>
      </c>
      <c r="F12" s="35" t="s">
        <v>483</v>
      </c>
      <c r="G12" s="32">
        <v>29</v>
      </c>
      <c r="H12" s="32">
        <v>85</v>
      </c>
      <c r="I12" s="84">
        <f t="shared" si="0"/>
        <v>114</v>
      </c>
      <c r="J12" s="37">
        <v>2142698</v>
      </c>
      <c r="K12" s="37">
        <v>783286</v>
      </c>
      <c r="L12" s="37">
        <v>0</v>
      </c>
      <c r="M12" s="38">
        <f>I12/(HLOOKUP(F12,Team_Composition_23[[#All],[Yellow]:[Red]],10,FALSE)+HLOOKUP(F12,Team_Composition_23[[#All],[Yellow]:[Red]],11,FALSE))</f>
        <v>0.13885505481120586</v>
      </c>
      <c r="N12" s="38">
        <f>J12/HLOOKUP(F12,Team_Composition_23[[#All],[Yellow]:[Red]],6,FALSE)</f>
        <v>0.12143093343564515</v>
      </c>
      <c r="O12" s="38">
        <f>K12/HLOOKUP(F12,Team_Composition_23[[#All],[Yellow]:[Red]],8,FALSE)</f>
        <v>1.779550852693404E-2</v>
      </c>
      <c r="P12" s="38">
        <f>L12/HLOOKUP(F12,Team_Composition_23[[#All],[Yellow]:[Red]],7,FALSE)</f>
        <v>0</v>
      </c>
      <c r="Q12" s="31"/>
      <c r="R12" s="45" t="s">
        <v>465</v>
      </c>
      <c r="S12" s="46">
        <f>SUMIFS(Scoreboard_36[Kills],Scoreboard_36[Team],"Yellow")</f>
        <v>533</v>
      </c>
      <c r="T12" s="47">
        <f>SUMIFS(Scoreboard_36[Kills],Scoreboard_36[Team],"Red")</f>
        <v>569</v>
      </c>
      <c r="U12" s="31"/>
      <c r="V12" s="48" t="str">
        <f ca="1">IFERROR(__xludf.DUMMYFUNCTION("""COMPUTED_VALUE"""),"GUNWALLET")</f>
        <v>GUNWALLET</v>
      </c>
      <c r="W12" s="49">
        <f ca="1">IFERROR(__xludf.DUMMYFUNCTION("""COMPUTED_VALUE"""),117)</f>
        <v>117</v>
      </c>
      <c r="X12" s="31"/>
      <c r="Y12" s="48" t="str">
        <f ca="1">IFERROR(__xludf.DUMMYFUNCTION("""COMPUTED_VALUE"""),"HEALERTANKDPS")</f>
        <v>HEALERTANKDPS</v>
      </c>
      <c r="Z12" s="49">
        <f ca="1">IFERROR(__xludf.DUMMYFUNCTION("""COMPUTED_VALUE"""),2372714)</f>
        <v>2372714</v>
      </c>
      <c r="AA12" s="31"/>
      <c r="AB12" s="45" t="s">
        <v>465</v>
      </c>
      <c r="AC12" s="50">
        <f>SUMIFS(Scoreboard_36[Kills],Scoreboard_36[Guild],"Best Regards")</f>
        <v>569</v>
      </c>
      <c r="AD12" s="51">
        <f>SUMIFS(Scoreboard_36[Kills],Scoreboard_36[Guild],"Undercooked")</f>
        <v>0</v>
      </c>
    </row>
    <row r="13" spans="1:30" ht="22.5" customHeight="1">
      <c r="A13" s="32">
        <v>7</v>
      </c>
      <c r="B13" s="65" t="str">
        <f>VLOOKUP(C13,Lists!I:J,2,FALSE)</f>
        <v>Ranged DPS</v>
      </c>
      <c r="C13" s="34" t="str">
        <f>VLOOKUP(E13&amp;D13,Lists!C:E,3,FALSE)</f>
        <v>Staff/Orb</v>
      </c>
      <c r="D13" s="35" t="s">
        <v>34</v>
      </c>
      <c r="E13" s="36" t="s">
        <v>156</v>
      </c>
      <c r="F13" s="35" t="s">
        <v>483</v>
      </c>
      <c r="G13" s="32">
        <v>43</v>
      </c>
      <c r="H13" s="32">
        <v>63</v>
      </c>
      <c r="I13" s="84">
        <f t="shared" si="0"/>
        <v>106</v>
      </c>
      <c r="J13" s="37">
        <v>3455339</v>
      </c>
      <c r="K13" s="37">
        <v>1060829</v>
      </c>
      <c r="L13" s="37">
        <v>7192</v>
      </c>
      <c r="M13" s="38">
        <f>I13/(HLOOKUP(F13,Team_Composition_23[[#All],[Yellow]:[Red]],10,FALSE)+HLOOKUP(F13,Team_Composition_23[[#All],[Yellow]:[Red]],11,FALSE))</f>
        <v>0.12911084043848964</v>
      </c>
      <c r="N13" s="38">
        <f>J13/HLOOKUP(F13,Team_Composition_23[[#All],[Yellow]:[Red]],6,FALSE)</f>
        <v>0.19582089501487782</v>
      </c>
      <c r="O13" s="38">
        <f>K13/HLOOKUP(F13,Team_Composition_23[[#All],[Yellow]:[Red]],8,FALSE)</f>
        <v>2.4101019953272379E-2</v>
      </c>
      <c r="P13" s="38">
        <f>L13/HLOOKUP(F13,Team_Composition_23[[#All],[Yellow]:[Red]],7,FALSE)</f>
        <v>2.9635234843783951E-4</v>
      </c>
      <c r="Q13" s="31"/>
      <c r="R13" s="45" t="s">
        <v>466</v>
      </c>
      <c r="S13" s="46">
        <f>SUMIFS(Scoreboard_36[Assists],Scoreboard_36[Team],"Yellow")</f>
        <v>2248</v>
      </c>
      <c r="T13" s="47">
        <f>SUMIFS(Scoreboard_36[Assists],Scoreboard_36[Team],"Red")</f>
        <v>2370</v>
      </c>
      <c r="U13" s="31"/>
      <c r="V13" s="48" t="str">
        <f ca="1">IFERROR(__xludf.DUMMYFUNCTION("""COMPUTED_VALUE"""),"Superluigi")</f>
        <v>Superluigi</v>
      </c>
      <c r="W13" s="49">
        <f ca="1">IFERROR(__xludf.DUMMYFUNCTION("""COMPUTED_VALUE"""),117)</f>
        <v>117</v>
      </c>
      <c r="X13" s="31"/>
      <c r="Y13" s="48" t="str">
        <f ca="1">IFERROR(__xludf.DUMMYFUNCTION("""COMPUTED_VALUE"""),"Superluigi")</f>
        <v>Superluigi</v>
      </c>
      <c r="Z13" s="49">
        <f ca="1">IFERROR(__xludf.DUMMYFUNCTION("""COMPUTED_VALUE"""),2334009)</f>
        <v>2334009</v>
      </c>
      <c r="AA13" s="31"/>
      <c r="AB13" s="45" t="s">
        <v>466</v>
      </c>
      <c r="AC13" s="50">
        <f>SUMIFS(Scoreboard_36[Assists],Scoreboard_36[Guild],"Best Regards")</f>
        <v>2366</v>
      </c>
      <c r="AD13" s="51">
        <f>SUMIFS(Scoreboard_36[Assists],Scoreboard_36[Guild],"Undercooked")</f>
        <v>0</v>
      </c>
    </row>
    <row r="14" spans="1:30" ht="22.5" customHeight="1">
      <c r="A14" s="32">
        <v>5</v>
      </c>
      <c r="B14" s="34" t="str">
        <f>VLOOKUP(C14,Lists!I:J,2,FALSE)</f>
        <v>KS</v>
      </c>
      <c r="C14" s="34" t="str">
        <f>VLOOKUP(E14&amp;D14,Lists!C:E,3,FALSE)</f>
        <v>Longbow/Dagger</v>
      </c>
      <c r="D14" s="35" t="s">
        <v>34</v>
      </c>
      <c r="E14" s="36" t="s">
        <v>51</v>
      </c>
      <c r="F14" s="35" t="s">
        <v>483</v>
      </c>
      <c r="G14" s="32">
        <v>49</v>
      </c>
      <c r="H14" s="32">
        <v>56</v>
      </c>
      <c r="I14" s="84">
        <f t="shared" si="0"/>
        <v>105</v>
      </c>
      <c r="J14" s="37">
        <v>1664912</v>
      </c>
      <c r="K14" s="37">
        <v>638663</v>
      </c>
      <c r="L14" s="37">
        <v>0</v>
      </c>
      <c r="M14" s="38">
        <f>I14/(HLOOKUP(F14,Team_Composition_23[[#All],[Yellow]:[Red]],10,FALSE)+HLOOKUP(F14,Team_Composition_23[[#All],[Yellow]:[Red]],11,FALSE))</f>
        <v>0.12789281364190011</v>
      </c>
      <c r="N14" s="38">
        <f>J14/HLOOKUP(F14,Team_Composition_23[[#All],[Yellow]:[Red]],6,FALSE)</f>
        <v>9.4353855862191888E-2</v>
      </c>
      <c r="O14" s="38">
        <f>K14/HLOOKUP(F14,Team_Composition_23[[#All],[Yellow]:[Red]],8,FALSE)</f>
        <v>1.4509812332069352E-2</v>
      </c>
      <c r="P14" s="38">
        <f>L14/HLOOKUP(F14,Team_Composition_23[[#All],[Yellow]:[Red]],7,FALSE)</f>
        <v>0</v>
      </c>
      <c r="Q14" s="31"/>
      <c r="R14" s="48"/>
      <c r="S14" s="58">
        <f t="shared" ref="S14:T14" si="1">SUM(S4:S7)</f>
        <v>43</v>
      </c>
      <c r="T14" s="58">
        <f t="shared" si="1"/>
        <v>43</v>
      </c>
      <c r="U14" s="31"/>
      <c r="V14" s="31"/>
      <c r="W14" s="31"/>
      <c r="X14" s="31"/>
      <c r="Y14" s="31"/>
      <c r="Z14" s="31"/>
      <c r="AA14" s="31"/>
      <c r="AB14" s="48"/>
      <c r="AC14" s="58"/>
      <c r="AD14" s="58"/>
    </row>
    <row r="15" spans="1:30" ht="22.5" customHeight="1">
      <c r="A15" s="32">
        <v>9</v>
      </c>
      <c r="B15" s="67" t="str">
        <f>VLOOKUP(C15,Lists!I:J,2,FALSE)</f>
        <v>KS</v>
      </c>
      <c r="C15" s="34" t="str">
        <f>VLOOKUP(E15&amp;D15,Lists!C:E,3,FALSE)</f>
        <v>Greatsword/Dagger</v>
      </c>
      <c r="D15" s="35" t="s">
        <v>34</v>
      </c>
      <c r="E15" s="36" t="s">
        <v>98</v>
      </c>
      <c r="F15" s="35" t="s">
        <v>483</v>
      </c>
      <c r="G15" s="32">
        <v>40</v>
      </c>
      <c r="H15" s="32">
        <v>64</v>
      </c>
      <c r="I15" s="84">
        <f t="shared" si="0"/>
        <v>104</v>
      </c>
      <c r="J15" s="37">
        <v>1640219</v>
      </c>
      <c r="K15" s="37">
        <v>924639</v>
      </c>
      <c r="L15" s="37">
        <v>58667</v>
      </c>
      <c r="M15" s="38">
        <f>I15/(HLOOKUP(F15,Team_Composition_23[[#All],[Yellow]:[Red]],10,FALSE)+HLOOKUP(F15,Team_Composition_23[[#All],[Yellow]:[Red]],11,FALSE))</f>
        <v>0.12667478684531058</v>
      </c>
      <c r="N15" s="38">
        <f>J15/HLOOKUP(F15,Team_Composition_23[[#All],[Yellow]:[Red]],6,FALSE)</f>
        <v>9.2954454714981039E-2</v>
      </c>
      <c r="O15" s="38">
        <f>K15/HLOOKUP(F15,Team_Composition_23[[#All],[Yellow]:[Red]],8,FALSE)</f>
        <v>2.1006913450305205E-2</v>
      </c>
      <c r="P15" s="38">
        <f>L15/HLOOKUP(F15,Team_Composition_23[[#All],[Yellow]:[Red]],7,FALSE)</f>
        <v>2.4174225842328602E-3</v>
      </c>
      <c r="Q15" s="31"/>
      <c r="R15" s="227" t="s">
        <v>25</v>
      </c>
      <c r="S15" s="228"/>
      <c r="T15" s="228"/>
      <c r="U15" s="31"/>
      <c r="V15" s="229" t="s">
        <v>496</v>
      </c>
      <c r="W15" s="228"/>
      <c r="X15" s="31"/>
      <c r="Y15" s="229" t="s">
        <v>497</v>
      </c>
      <c r="Z15" s="228"/>
      <c r="AA15" s="31"/>
      <c r="AB15" s="227" t="s">
        <v>25</v>
      </c>
      <c r="AC15" s="228"/>
      <c r="AD15" s="228"/>
    </row>
    <row r="16" spans="1:30" ht="22.5" customHeight="1">
      <c r="A16" s="32">
        <v>12</v>
      </c>
      <c r="B16" s="71" t="str">
        <f>VLOOKUP(C16,Lists!I:J,2,FALSE)</f>
        <v>Melee DPS</v>
      </c>
      <c r="C16" s="34" t="str">
        <f>VLOOKUP(E16&amp;D16,Lists!C:E,3,FALSE)</f>
        <v>Spear/Dagger</v>
      </c>
      <c r="D16" s="35" t="s">
        <v>30</v>
      </c>
      <c r="E16" s="36" t="s">
        <v>228</v>
      </c>
      <c r="F16" s="35" t="s">
        <v>476</v>
      </c>
      <c r="G16" s="32">
        <v>38</v>
      </c>
      <c r="H16" s="32">
        <v>58</v>
      </c>
      <c r="I16" s="84">
        <f t="shared" si="0"/>
        <v>96</v>
      </c>
      <c r="J16" s="37">
        <v>1715029</v>
      </c>
      <c r="K16" s="37">
        <v>1041390</v>
      </c>
      <c r="L16" s="37">
        <v>24114</v>
      </c>
      <c r="M16" s="38">
        <f>I16/(HLOOKUP(F16,Team_Composition_23[[#All],[Yellow]:[Red]],10,FALSE)+HLOOKUP(F16,Team_Composition_23[[#All],[Yellow]:[Red]],11,FALSE))</f>
        <v>2.3994001499625092E-2</v>
      </c>
      <c r="N16" s="38">
        <f>J16/HLOOKUP(F16,Team_Composition_23[[#All],[Yellow]:[Red]],6,FALSE)</f>
        <v>3.8658480103650764E-2</v>
      </c>
      <c r="O16" s="38">
        <f>K16/HLOOKUP(F16,Team_Composition_23[[#All],[Yellow]:[Red]],8,FALSE)</f>
        <v>5.9444265556877506E-2</v>
      </c>
      <c r="P16" s="38">
        <f>L16/HLOOKUP(F16,Team_Composition_23[[#All],[Yellow]:[Red]],7,FALSE)</f>
        <v>1.8628366937885512E-3</v>
      </c>
      <c r="Q16" s="31"/>
      <c r="R16" s="41" t="s">
        <v>482</v>
      </c>
      <c r="S16" s="42" t="s">
        <v>476</v>
      </c>
      <c r="T16" s="42" t="s">
        <v>483</v>
      </c>
      <c r="U16" s="31"/>
      <c r="V16" s="43" t="s">
        <v>1</v>
      </c>
      <c r="W16" s="44" t="s">
        <v>498</v>
      </c>
      <c r="X16" s="31"/>
      <c r="Y16" s="43" t="s">
        <v>1</v>
      </c>
      <c r="Z16" s="44" t="s">
        <v>499</v>
      </c>
      <c r="AA16" s="31"/>
      <c r="AB16" s="41" t="s">
        <v>482</v>
      </c>
      <c r="AC16" s="42" t="s">
        <v>485</v>
      </c>
      <c r="AD16" s="42" t="s">
        <v>28</v>
      </c>
    </row>
    <row r="17" spans="1:30" ht="22.5" customHeight="1">
      <c r="A17" s="32">
        <v>15</v>
      </c>
      <c r="B17" s="67" t="str">
        <f>VLOOKUP(C17,Lists!I:J,2,FALSE)</f>
        <v>KS</v>
      </c>
      <c r="C17" s="34" t="str">
        <f>VLOOKUP(E17&amp;D17,Lists!C:E,3,FALSE)</f>
        <v>Greatsword/Dagger</v>
      </c>
      <c r="D17" s="35" t="s">
        <v>30</v>
      </c>
      <c r="E17" s="36" t="s">
        <v>394</v>
      </c>
      <c r="F17" s="35" t="s">
        <v>476</v>
      </c>
      <c r="G17" s="32">
        <v>37</v>
      </c>
      <c r="H17" s="32">
        <v>59</v>
      </c>
      <c r="I17" s="84">
        <f t="shared" si="0"/>
        <v>96</v>
      </c>
      <c r="J17" s="37">
        <v>1761305</v>
      </c>
      <c r="K17" s="37">
        <v>820999</v>
      </c>
      <c r="L17" s="37">
        <v>158005</v>
      </c>
      <c r="M17" s="38">
        <f>I17/(HLOOKUP(F17,Team_Composition_23[[#All],[Yellow]:[Red]],10,FALSE)+HLOOKUP(F17,Team_Composition_23[[#All],[Yellow]:[Red]],11,FALSE))</f>
        <v>2.3994001499625092E-2</v>
      </c>
      <c r="N17" s="38">
        <f>J17/HLOOKUP(F17,Team_Composition_23[[#All],[Yellow]:[Red]],6,FALSE)</f>
        <v>3.9701587727648105E-2</v>
      </c>
      <c r="O17" s="38">
        <f>K17/HLOOKUP(F17,Team_Composition_23[[#All],[Yellow]:[Red]],8,FALSE)</f>
        <v>4.6863982348525408E-2</v>
      </c>
      <c r="P17" s="38">
        <f>L17/HLOOKUP(F17,Team_Composition_23[[#All],[Yellow]:[Red]],7,FALSE)</f>
        <v>1.220608409231401E-2</v>
      </c>
      <c r="Q17" s="31"/>
      <c r="R17" s="45" t="s">
        <v>468</v>
      </c>
      <c r="S17" s="46">
        <f>SUMIFS(Scoreboard_36[Damage Dealt],Scoreboard_36[Role],"Melee DPS",Scoreboard_36[Team],"Yellow")</f>
        <v>9722658</v>
      </c>
      <c r="T17" s="47">
        <f>SUMIFS(Scoreboard_36[Damage Dealt],Scoreboard_36[Role],"Melee DPS",Scoreboard_36[Team],"Red")</f>
        <v>8235829</v>
      </c>
      <c r="U17" s="31"/>
      <c r="V17" s="48" t="str">
        <f ca="1">IFERROR(__xludf.DUMMYFUNCTION("query(A1:P238, ""Select E,K Order by K Desc Limit 10"", 0)"),"K")</f>
        <v>K</v>
      </c>
      <c r="W17" s="49">
        <f ca="1">IFERROR(__xludf.DUMMYFUNCTION("""COMPUTED_VALUE"""),1985058)</f>
        <v>1985058</v>
      </c>
      <c r="X17" s="31"/>
      <c r="Y17" s="48" t="str">
        <f ca="1">IFERROR(__xludf.DUMMYFUNCTION("query(A1:P238, ""Select E,L Order by L Desc Limit 10"", 0)"),"EgirlWaifu")</f>
        <v>EgirlWaifu</v>
      </c>
      <c r="Z17" s="49">
        <f ca="1">IFERROR(__xludf.DUMMYFUNCTION("""COMPUTED_VALUE"""),3982767)</f>
        <v>3982767</v>
      </c>
      <c r="AA17" s="31"/>
      <c r="AB17" s="45" t="s">
        <v>468</v>
      </c>
      <c r="AC17" s="50">
        <f>SUMIFS(Scoreboard_36[Damage Dealt],Scoreboard_36[Role],"Melee DPS",Scoreboard_36[Guild],"Best Regards")</f>
        <v>8235829</v>
      </c>
      <c r="AD17" s="51">
        <f>SUMIFS(Scoreboard_36[Damage Dealt],Scoreboard_36[Role],"Melee DPS",Scoreboard_36[Guild],"Undercooked")</f>
        <v>0</v>
      </c>
    </row>
    <row r="18" spans="1:30" ht="22.5" customHeight="1">
      <c r="A18" s="32">
        <v>19</v>
      </c>
      <c r="B18" s="68" t="str">
        <f>VLOOKUP(C18,Lists!I:J,2,FALSE)</f>
        <v>Melee DPS</v>
      </c>
      <c r="C18" s="34" t="str">
        <f>VLOOKUP(E18&amp;D18,Lists!C:E,3,FALSE)</f>
        <v>Spear/Dagger</v>
      </c>
      <c r="D18" s="35" t="s">
        <v>34</v>
      </c>
      <c r="E18" s="36" t="s">
        <v>169</v>
      </c>
      <c r="F18" s="35" t="s">
        <v>483</v>
      </c>
      <c r="G18" s="32">
        <v>26</v>
      </c>
      <c r="H18" s="32">
        <v>67</v>
      </c>
      <c r="I18" s="84">
        <f t="shared" si="0"/>
        <v>93</v>
      </c>
      <c r="J18" s="37">
        <v>1610921</v>
      </c>
      <c r="K18" s="37">
        <v>1383902</v>
      </c>
      <c r="L18" s="37">
        <v>28983</v>
      </c>
      <c r="M18" s="38">
        <f>I18/(HLOOKUP(F18,Team_Composition_23[[#All],[Yellow]:[Red]],10,FALSE)+HLOOKUP(F18,Team_Composition_23[[#All],[Yellow]:[Red]],11,FALSE))</f>
        <v>0.11327649208282582</v>
      </c>
      <c r="N18" s="38">
        <f>J18/HLOOKUP(F18,Team_Composition_23[[#All],[Yellow]:[Red]],6,FALSE)</f>
        <v>9.1294079110113932E-2</v>
      </c>
      <c r="O18" s="38">
        <f>K18/HLOOKUP(F18,Team_Composition_23[[#All],[Yellow]:[Red]],8,FALSE)</f>
        <v>3.1440929419702474E-2</v>
      </c>
      <c r="P18" s="38">
        <f>L18/HLOOKUP(F18,Team_Composition_23[[#All],[Yellow]:[Red]],7,FALSE)</f>
        <v>1.1942686477716771E-3</v>
      </c>
      <c r="Q18" s="31"/>
      <c r="R18" s="45" t="s">
        <v>469</v>
      </c>
      <c r="S18" s="46">
        <f>SUMIFS(Scoreboard_36[Damage Taken],Scoreboard_36[Role],"Melee DPS",Scoreboard_36[Team],"Yellow")</f>
        <v>6359348</v>
      </c>
      <c r="T18" s="47">
        <f>SUMIFS(Scoreboard_36[Damage Taken],Scoreboard_36[Role],"Melee DPS",Scoreboard_36[Team],"Red")</f>
        <v>7560806</v>
      </c>
      <c r="U18" s="31"/>
      <c r="V18" s="48" t="str">
        <f ca="1">IFERROR(__xludf.DUMMYFUNCTION("""COMPUTED_VALUE"""),"nightghost1")</f>
        <v>nightghost1</v>
      </c>
      <c r="W18" s="49">
        <f ca="1">IFERROR(__xludf.DUMMYFUNCTION("""COMPUTED_VALUE"""),1869417)</f>
        <v>1869417</v>
      </c>
      <c r="X18" s="31"/>
      <c r="Y18" s="48" t="str">
        <f ca="1">IFERROR(__xludf.DUMMYFUNCTION("""COMPUTED_VALUE"""),"Z")</f>
        <v>Z</v>
      </c>
      <c r="Z18" s="49">
        <f ca="1">IFERROR(__xludf.DUMMYFUNCTION("""COMPUTED_VALUE"""),2598138)</f>
        <v>2598138</v>
      </c>
      <c r="AA18" s="31"/>
      <c r="AB18" s="45" t="s">
        <v>469</v>
      </c>
      <c r="AC18" s="50">
        <f>SUMIFS(Scoreboard_36[Damage Taken],Scoreboard_36[Role],"Melee DPS",Scoreboard_36[Guild],"Best Regards")</f>
        <v>7560806</v>
      </c>
      <c r="AD18" s="51">
        <f>SUMIFS(Scoreboard_36[Damage Taken],Scoreboard_36[Role],"Melee DPS",Scoreboard_36[Guild],"Undercooked")</f>
        <v>0</v>
      </c>
    </row>
    <row r="19" spans="1:30" ht="22.5" customHeight="1">
      <c r="A19" s="32">
        <v>35</v>
      </c>
      <c r="B19" s="56" t="str">
        <f>VLOOKUP(C19,Lists!I:J,2,FALSE)</f>
        <v>Ranged DPS</v>
      </c>
      <c r="C19" s="34" t="str">
        <f>VLOOKUP(E19&amp;D19,Lists!C:E,3,FALSE)</f>
        <v>SnS/Wand</v>
      </c>
      <c r="D19" s="35" t="s">
        <v>34</v>
      </c>
      <c r="E19" s="36" t="s">
        <v>162</v>
      </c>
      <c r="F19" s="35" t="s">
        <v>483</v>
      </c>
      <c r="G19" s="32">
        <v>6</v>
      </c>
      <c r="H19" s="32">
        <v>83</v>
      </c>
      <c r="I19" s="84">
        <f t="shared" si="0"/>
        <v>89</v>
      </c>
      <c r="J19" s="37">
        <v>1482443</v>
      </c>
      <c r="K19" s="37">
        <v>835871</v>
      </c>
      <c r="L19" s="37">
        <v>522180</v>
      </c>
      <c r="M19" s="38">
        <f>I19/(HLOOKUP(F19,Team_Composition_23[[#All],[Yellow]:[Red]],10,FALSE)+HLOOKUP(F19,Team_Composition_23[[#All],[Yellow]:[Red]],11,FALSE))</f>
        <v>0.10840438489646773</v>
      </c>
      <c r="N19" s="38">
        <f>J19/HLOOKUP(F19,Team_Composition_23[[#All],[Yellow]:[Red]],6,FALSE)</f>
        <v>8.4012976749471044E-2</v>
      </c>
      <c r="O19" s="38">
        <f>K19/HLOOKUP(F19,Team_Composition_23[[#All],[Yellow]:[Red]],8,FALSE)</f>
        <v>1.8990189417296979E-2</v>
      </c>
      <c r="P19" s="38">
        <f>L19/HLOOKUP(F19,Team_Composition_23[[#All],[Yellow]:[Red]],7,FALSE)</f>
        <v>2.1516861694559377E-2</v>
      </c>
      <c r="Q19" s="31"/>
      <c r="R19" s="45" t="s">
        <v>470</v>
      </c>
      <c r="S19" s="46">
        <f>SUMIFS(Scoreboard_36[Amount Healed],Scoreboard_36[Role],"Melee DPS",Scoreboard_36[Team],"Yellow")</f>
        <v>176360</v>
      </c>
      <c r="T19" s="47">
        <f>SUMIFS(Scoreboard_36[Amount Healed],Scoreboard_36[Role],"Melee DPS",Scoreboard_36[Team],"Red")</f>
        <v>169432</v>
      </c>
      <c r="U19" s="31"/>
      <c r="V19" s="48" t="str">
        <f ca="1">IFERROR(__xludf.DUMMYFUNCTION("""COMPUTED_VALUE"""),"Superluigi")</f>
        <v>Superluigi</v>
      </c>
      <c r="W19" s="49">
        <f ca="1">IFERROR(__xludf.DUMMYFUNCTION("""COMPUTED_VALUE"""),1702996)</f>
        <v>1702996</v>
      </c>
      <c r="X19" s="31"/>
      <c r="Y19" s="48" t="str">
        <f ca="1">IFERROR(__xludf.DUMMYFUNCTION("""COMPUTED_VALUE"""),"10000101")</f>
        <v>10000101</v>
      </c>
      <c r="Z19" s="49">
        <f ca="1">IFERROR(__xludf.DUMMYFUNCTION("""COMPUTED_VALUE"""),2391028)</f>
        <v>2391028</v>
      </c>
      <c r="AA19" s="31"/>
      <c r="AB19" s="45" t="s">
        <v>470</v>
      </c>
      <c r="AC19" s="50">
        <f>SUMIFS(Scoreboard_36[Amount Healed],Scoreboard_36[Role],"Melee DPS",Scoreboard_36[Guild],"Best Regards")</f>
        <v>169432</v>
      </c>
      <c r="AD19" s="51">
        <f>SUMIFS(Scoreboard_36[Amount Healed],Scoreboard_36[Role],"Melee DPS",Scoreboard_36[Guild],"Undercooked")</f>
        <v>0</v>
      </c>
    </row>
    <row r="20" spans="1:30" ht="22.5" customHeight="1">
      <c r="A20" s="32">
        <v>61</v>
      </c>
      <c r="B20" s="62" t="str">
        <f>VLOOKUP(C20,Lists!I:J,2,FALSE)</f>
        <v>Healer</v>
      </c>
      <c r="C20" s="34" t="str">
        <f>VLOOKUP(E20&amp;D20,Lists!C:E,3,FALSE)</f>
        <v>Wand/Orb</v>
      </c>
      <c r="D20" s="35" t="s">
        <v>34</v>
      </c>
      <c r="E20" s="36" t="s">
        <v>181</v>
      </c>
      <c r="F20" s="35" t="s">
        <v>483</v>
      </c>
      <c r="G20" s="32">
        <v>0</v>
      </c>
      <c r="H20" s="32">
        <v>87</v>
      </c>
      <c r="I20" s="84">
        <f t="shared" si="0"/>
        <v>87</v>
      </c>
      <c r="J20" s="37">
        <v>8419</v>
      </c>
      <c r="K20" s="37">
        <v>241107</v>
      </c>
      <c r="L20" s="37">
        <v>865193</v>
      </c>
      <c r="M20" s="38">
        <f>I20/(HLOOKUP(F20,Team_Composition_23[[#All],[Yellow]:[Red]],10,FALSE)+HLOOKUP(F20,Team_Composition_23[[#All],[Yellow]:[Red]],11,FALSE))</f>
        <v>0.10596833130328867</v>
      </c>
      <c r="N20" s="38">
        <f>J20/HLOOKUP(F20,Team_Composition_23[[#All],[Yellow]:[Red]],6,FALSE)</f>
        <v>4.7712138089207927E-4</v>
      </c>
      <c r="O20" s="38">
        <f>K20/HLOOKUP(F20,Team_Composition_23[[#All],[Yellow]:[Red]],8,FALSE)</f>
        <v>5.4777203657456986E-3</v>
      </c>
      <c r="P20" s="38">
        <f>L20/HLOOKUP(F20,Team_Composition_23[[#All],[Yellow]:[Red]],7,FALSE)</f>
        <v>3.5650997970241891E-2</v>
      </c>
      <c r="Q20" s="31"/>
      <c r="R20" s="45" t="s">
        <v>465</v>
      </c>
      <c r="S20" s="46">
        <f>SUMIFS(Scoreboard_36[Kills],Scoreboard_36[Role],"Melee DPS",Scoreboard_36[Team],"Yellow")</f>
        <v>138</v>
      </c>
      <c r="T20" s="47">
        <f>SUMIFS(Scoreboard_36[Kills],Scoreboard_36[Role],"Melee DPS",Scoreboard_36[Team],"Red")</f>
        <v>152</v>
      </c>
      <c r="U20" s="31"/>
      <c r="V20" s="48" t="str">
        <f ca="1">IFERROR(__xludf.DUMMYFUNCTION("""COMPUTED_VALUE"""),"Basileus")</f>
        <v>Basileus</v>
      </c>
      <c r="W20" s="49">
        <f ca="1">IFERROR(__xludf.DUMMYFUNCTION("""COMPUTED_VALUE"""),1587961)</f>
        <v>1587961</v>
      </c>
      <c r="X20" s="31"/>
      <c r="Y20" s="48" t="str">
        <f ca="1">IFERROR(__xludf.DUMMYFUNCTION("""COMPUTED_VALUE"""),"Raye")</f>
        <v>Raye</v>
      </c>
      <c r="Z20" s="49">
        <f ca="1">IFERROR(__xludf.DUMMYFUNCTION("""COMPUTED_VALUE"""),2149137)</f>
        <v>2149137</v>
      </c>
      <c r="AA20" s="31"/>
      <c r="AB20" s="45" t="s">
        <v>465</v>
      </c>
      <c r="AC20" s="50">
        <f>SUMIFS(Scoreboard_36[Kills],Scoreboard_36[Role],"Melee DPS",Scoreboard_36[Guild],"Best Regards")</f>
        <v>152</v>
      </c>
      <c r="AD20" s="51">
        <f>SUMIFS(Scoreboard_36[Kills],Scoreboard_36[Role],"Melee DPS",Scoreboard_36[Guild],"Undercooked")</f>
        <v>0</v>
      </c>
    </row>
    <row r="21" spans="1:30" ht="22.5" customHeight="1">
      <c r="A21" s="32">
        <v>62</v>
      </c>
      <c r="B21" s="52" t="str">
        <f>VLOOKUP(C21,Lists!I:J,2,FALSE)</f>
        <v>Healer</v>
      </c>
      <c r="C21" s="34" t="str">
        <f>VLOOKUP(E21&amp;D21,Lists!C:E,3,FALSE)</f>
        <v>Wand/Orb</v>
      </c>
      <c r="D21" s="35" t="s">
        <v>34</v>
      </c>
      <c r="E21" s="36" t="s">
        <v>139</v>
      </c>
      <c r="F21" s="35" t="s">
        <v>483</v>
      </c>
      <c r="G21" s="32">
        <v>0</v>
      </c>
      <c r="H21" s="32">
        <v>85</v>
      </c>
      <c r="I21" s="84">
        <f t="shared" si="0"/>
        <v>85</v>
      </c>
      <c r="J21" s="37">
        <v>7084</v>
      </c>
      <c r="K21" s="37">
        <v>298480</v>
      </c>
      <c r="L21" s="37">
        <v>1084568</v>
      </c>
      <c r="M21" s="38">
        <f>I21/(HLOOKUP(F21,Team_Composition_23[[#All],[Yellow]:[Red]],10,FALSE)+HLOOKUP(F21,Team_Composition_23[[#All],[Yellow]:[Red]],11,FALSE))</f>
        <v>0.10353227771010962</v>
      </c>
      <c r="N21" s="38">
        <f>J21/HLOOKUP(F21,Team_Composition_23[[#All],[Yellow]:[Red]],6,FALSE)</f>
        <v>4.0146429056176381E-4</v>
      </c>
      <c r="O21" s="38">
        <f>K21/HLOOKUP(F21,Team_Composition_23[[#All],[Yellow]:[Red]],8,FALSE)</f>
        <v>6.781180035286309E-3</v>
      </c>
      <c r="P21" s="38">
        <f>L21/HLOOKUP(F21,Team_Composition_23[[#All],[Yellow]:[Red]],7,FALSE)</f>
        <v>4.4690527508416393E-2</v>
      </c>
      <c r="Q21" s="31"/>
      <c r="R21" s="45" t="s">
        <v>466</v>
      </c>
      <c r="S21" s="46">
        <f>SUMIFS(Scoreboard_36[Assists],Scoreboard_36[Role],"Melee DPS",Scoreboard_36[Team],"Yellow")</f>
        <v>300</v>
      </c>
      <c r="T21" s="47">
        <f>SUMIFS(Scoreboard_36[Assists],Scoreboard_36[Role],"Melee DPS",Scoreboard_36[Team],"Red")</f>
        <v>306</v>
      </c>
      <c r="U21" s="31"/>
      <c r="V21" s="48" t="str">
        <f ca="1">IFERROR(__xludf.DUMMYFUNCTION("""COMPUTED_VALUE"""),"StephyBabyx")</f>
        <v>StephyBabyx</v>
      </c>
      <c r="W21" s="49">
        <f ca="1">IFERROR(__xludf.DUMMYFUNCTION("""COMPUTED_VALUE"""),1431749)</f>
        <v>1431749</v>
      </c>
      <c r="X21" s="31"/>
      <c r="Y21" s="48" t="str">
        <f ca="1">IFERROR(__xludf.DUMMYFUNCTION("""COMPUTED_VALUE"""),"ToxicFell")</f>
        <v>ToxicFell</v>
      </c>
      <c r="Z21" s="49">
        <f ca="1">IFERROR(__xludf.DUMMYFUNCTION("""COMPUTED_VALUE"""),1960061)</f>
        <v>1960061</v>
      </c>
      <c r="AA21" s="31"/>
      <c r="AB21" s="45" t="s">
        <v>466</v>
      </c>
      <c r="AC21" s="50">
        <f>SUMIFS(Scoreboard_36[Assists],Scoreboard_36[Role],"Melee DPS",Scoreboard_36[Guild],"Best Regards")</f>
        <v>306</v>
      </c>
      <c r="AD21" s="51">
        <f>SUMIFS(Scoreboard_36[Assists],Scoreboard_36[Role],"Melee DPS",Scoreboard_36[Guild],"Undercooked")</f>
        <v>0</v>
      </c>
    </row>
    <row r="22" spans="1:30" ht="22.5" customHeight="1">
      <c r="A22" s="32">
        <v>63</v>
      </c>
      <c r="B22" s="57" t="str">
        <f>VLOOKUP(C22,Lists!I:J,2,FALSE)</f>
        <v>Healer</v>
      </c>
      <c r="C22" s="34" t="str">
        <f>VLOOKUP(E22&amp;D22,Lists!C:E,3,FALSE)</f>
        <v>Wand/Orb</v>
      </c>
      <c r="D22" s="35" t="s">
        <v>34</v>
      </c>
      <c r="E22" s="36" t="s">
        <v>151</v>
      </c>
      <c r="F22" s="35" t="s">
        <v>483</v>
      </c>
      <c r="G22" s="32">
        <v>0</v>
      </c>
      <c r="H22" s="32">
        <v>85</v>
      </c>
      <c r="I22" s="84">
        <f t="shared" si="0"/>
        <v>85</v>
      </c>
      <c r="J22" s="37">
        <v>6781</v>
      </c>
      <c r="K22" s="37">
        <v>571844</v>
      </c>
      <c r="L22" s="37">
        <v>865420</v>
      </c>
      <c r="M22" s="38">
        <f>I22/(HLOOKUP(F22,Team_Composition_23[[#All],[Yellow]:[Red]],10,FALSE)+HLOOKUP(F22,Team_Composition_23[[#All],[Yellow]:[Red]],11,FALSE))</f>
        <v>0.10353227771010962</v>
      </c>
      <c r="N22" s="38">
        <f>J22/HLOOKUP(F22,Team_Composition_23[[#All],[Yellow]:[Red]],6,FALSE)</f>
        <v>3.8429268129578211E-4</v>
      </c>
      <c r="O22" s="38">
        <f>K22/HLOOKUP(F22,Team_Composition_23[[#All],[Yellow]:[Red]],8,FALSE)</f>
        <v>1.2991748579798526E-2</v>
      </c>
      <c r="P22" s="38">
        <f>L22/HLOOKUP(F22,Team_Composition_23[[#All],[Yellow]:[Red]],7,FALSE)</f>
        <v>3.5660351694254043E-2</v>
      </c>
      <c r="Q22" s="31"/>
      <c r="R22" s="45" t="s">
        <v>24</v>
      </c>
      <c r="S22" s="46">
        <f t="shared" ref="S22:S25" si="2">COUNTIFS(C:C,R22,F:F,"Yellow")</f>
        <v>3</v>
      </c>
      <c r="T22" s="47">
        <f t="shared" ref="T22:T25" si="3">COUNTIFS(C:C,R22,F:F,"Red")</f>
        <v>2</v>
      </c>
      <c r="U22" s="31"/>
      <c r="V22" s="48" t="str">
        <f ca="1">IFERROR(__xludf.DUMMYFUNCTION("""COMPUTED_VALUE"""),"H612")</f>
        <v>H612</v>
      </c>
      <c r="W22" s="49">
        <f ca="1">IFERROR(__xludf.DUMMYFUNCTION("""COMPUTED_VALUE"""),1383902)</f>
        <v>1383902</v>
      </c>
      <c r="X22" s="31"/>
      <c r="Y22" s="48" t="str">
        <f ca="1">IFERROR(__xludf.DUMMYFUNCTION("""COMPUTED_VALUE"""),"Dusk")</f>
        <v>Dusk</v>
      </c>
      <c r="Z22" s="49">
        <f ca="1">IFERROR(__xludf.DUMMYFUNCTION("""COMPUTED_VALUE"""),1934022)</f>
        <v>1934022</v>
      </c>
      <c r="AA22" s="31"/>
      <c r="AB22" s="45" t="s">
        <v>24</v>
      </c>
      <c r="AC22" s="50">
        <f t="shared" ref="AC22:AC25" si="4">COUNTIFS(C:C,AB22,D:D,"Best Regards")</f>
        <v>2</v>
      </c>
      <c r="AD22" s="51">
        <f t="shared" ref="AD22:AD25" si="5">COUNTIFS(C:C,AB22,D:D,"Undercooked")</f>
        <v>0</v>
      </c>
    </row>
    <row r="23" spans="1:30" ht="22.5" customHeight="1">
      <c r="A23" s="32">
        <v>23</v>
      </c>
      <c r="B23" s="40" t="str">
        <f>VLOOKUP(C23,Lists!I:J,2,FALSE)</f>
        <v>KS</v>
      </c>
      <c r="C23" s="34" t="str">
        <f>VLOOKUP(E23&amp;D23,Lists!C:E,3,FALSE)</f>
        <v>Crossbow/Dagger</v>
      </c>
      <c r="D23" s="35" t="s">
        <v>34</v>
      </c>
      <c r="E23" s="36" t="s">
        <v>504</v>
      </c>
      <c r="F23" s="35" t="s">
        <v>483</v>
      </c>
      <c r="G23" s="32">
        <v>21</v>
      </c>
      <c r="H23" s="32">
        <v>63</v>
      </c>
      <c r="I23" s="84">
        <f t="shared" si="0"/>
        <v>84</v>
      </c>
      <c r="J23" s="37">
        <v>823942</v>
      </c>
      <c r="K23" s="37">
        <v>602671</v>
      </c>
      <c r="L23" s="37">
        <v>0</v>
      </c>
      <c r="M23" s="38">
        <f>I23/(HLOOKUP(F23,Team_Composition_23[[#All],[Yellow]:[Red]],10,FALSE)+HLOOKUP(F23,Team_Composition_23[[#All],[Yellow]:[Red]],11,FALSE))</f>
        <v>0.1023142509135201</v>
      </c>
      <c r="N23" s="38">
        <f>J23/HLOOKUP(F23,Team_Composition_23[[#All],[Yellow]:[Red]],6,FALSE)</f>
        <v>4.6694422712315192E-2</v>
      </c>
      <c r="O23" s="38">
        <f>K23/HLOOKUP(F23,Team_Composition_23[[#All],[Yellow]:[Red]],8,FALSE)</f>
        <v>1.3692108526688673E-2</v>
      </c>
      <c r="P23" s="38">
        <f>L23/HLOOKUP(F23,Team_Composition_23[[#All],[Yellow]:[Red]],7,FALSE)</f>
        <v>0</v>
      </c>
      <c r="Q23" s="31"/>
      <c r="R23" s="45" t="s">
        <v>69</v>
      </c>
      <c r="S23" s="46">
        <f t="shared" si="2"/>
        <v>3</v>
      </c>
      <c r="T23" s="47">
        <f t="shared" si="3"/>
        <v>2</v>
      </c>
      <c r="U23" s="31"/>
      <c r="V23" s="48" t="str">
        <f ca="1">IFERROR(__xludf.DUMMYFUNCTION("""COMPUTED_VALUE"""),"Gravez")</f>
        <v>Gravez</v>
      </c>
      <c r="W23" s="49">
        <f ca="1">IFERROR(__xludf.DUMMYFUNCTION("""COMPUTED_VALUE"""),1282820)</f>
        <v>1282820</v>
      </c>
      <c r="X23" s="31"/>
      <c r="Y23" s="48" t="str">
        <f ca="1">IFERROR(__xludf.DUMMYFUNCTION("""COMPUTED_VALUE"""),"Pikupstyks")</f>
        <v>Pikupstyks</v>
      </c>
      <c r="Z23" s="49">
        <f ca="1">IFERROR(__xludf.DUMMYFUNCTION("""COMPUTED_VALUE"""),1809411)</f>
        <v>1809411</v>
      </c>
      <c r="AA23" s="31"/>
      <c r="AB23" s="45" t="s">
        <v>69</v>
      </c>
      <c r="AC23" s="50">
        <f t="shared" si="4"/>
        <v>2</v>
      </c>
      <c r="AD23" s="51">
        <f t="shared" si="5"/>
        <v>0</v>
      </c>
    </row>
    <row r="24" spans="1:30" ht="22.5" customHeight="1">
      <c r="A24" s="32">
        <v>64</v>
      </c>
      <c r="B24" s="57" t="str">
        <f>VLOOKUP(C24,Lists!I:J,2,FALSE)</f>
        <v>Healer</v>
      </c>
      <c r="C24" s="34" t="str">
        <f>VLOOKUP(E24&amp;D24,Lists!C:E,3,FALSE)</f>
        <v>Wand/Orb</v>
      </c>
      <c r="D24" s="35" t="s">
        <v>30</v>
      </c>
      <c r="E24" s="36" t="s">
        <v>200</v>
      </c>
      <c r="F24" s="35" t="s">
        <v>476</v>
      </c>
      <c r="G24" s="32">
        <v>0</v>
      </c>
      <c r="H24" s="32">
        <v>80</v>
      </c>
      <c r="I24" s="84">
        <f t="shared" si="0"/>
        <v>80</v>
      </c>
      <c r="J24" s="37">
        <v>1886</v>
      </c>
      <c r="K24" s="37">
        <v>160679</v>
      </c>
      <c r="L24" s="37">
        <v>341728</v>
      </c>
      <c r="M24" s="38">
        <f>I24/(HLOOKUP(F24,Team_Composition_23[[#All],[Yellow]:[Red]],10,FALSE)+HLOOKUP(F24,Team_Composition_23[[#All],[Yellow]:[Red]],11,FALSE))</f>
        <v>1.9995001249687578E-2</v>
      </c>
      <c r="N24" s="38">
        <f>J24/HLOOKUP(F24,Team_Composition_23[[#All],[Yellow]:[Red]],6,FALSE)</f>
        <v>4.2512338552575692E-5</v>
      </c>
      <c r="O24" s="38">
        <f>K24/HLOOKUP(F24,Team_Composition_23[[#All],[Yellow]:[Red]],8,FALSE)</f>
        <v>9.1718233758856151E-3</v>
      </c>
      <c r="P24" s="38">
        <f>L24/HLOOKUP(F24,Team_Composition_23[[#All],[Yellow]:[Red]],7,FALSE)</f>
        <v>2.6398915886828151E-2</v>
      </c>
      <c r="Q24" s="31"/>
      <c r="R24" s="45" t="s">
        <v>23</v>
      </c>
      <c r="S24" s="46">
        <f t="shared" si="2"/>
        <v>1</v>
      </c>
      <c r="T24" s="47">
        <f t="shared" si="3"/>
        <v>2</v>
      </c>
      <c r="U24" s="31"/>
      <c r="V24" s="48" t="str">
        <f ca="1">IFERROR(__xludf.DUMMYFUNCTION("""COMPUTED_VALUE"""),"POME")</f>
        <v>POME</v>
      </c>
      <c r="W24" s="49">
        <f ca="1">IFERROR(__xludf.DUMMYFUNCTION("""COMPUTED_VALUE"""),1269691)</f>
        <v>1269691</v>
      </c>
      <c r="X24" s="31"/>
      <c r="Y24" s="48" t="str">
        <f ca="1">IFERROR(__xludf.DUMMYFUNCTION("""COMPUTED_VALUE"""),"sunshine")</f>
        <v>sunshine</v>
      </c>
      <c r="Z24" s="49">
        <f ca="1">IFERROR(__xludf.DUMMYFUNCTION("""COMPUTED_VALUE"""),1706203)</f>
        <v>1706203</v>
      </c>
      <c r="AA24" s="31"/>
      <c r="AB24" s="45" t="s">
        <v>23</v>
      </c>
      <c r="AC24" s="50">
        <f t="shared" si="4"/>
        <v>2</v>
      </c>
      <c r="AD24" s="51">
        <f t="shared" si="5"/>
        <v>0</v>
      </c>
    </row>
    <row r="25" spans="1:30" ht="22.5" customHeight="1">
      <c r="A25" s="32">
        <v>13</v>
      </c>
      <c r="B25" s="54" t="str">
        <f>VLOOKUP(C25,Lists!I:J,2,FALSE)</f>
        <v>KS</v>
      </c>
      <c r="C25" s="34" t="str">
        <f>VLOOKUP(E25&amp;D25,Lists!C:E,3,FALSE)</f>
        <v>Greatsword/Dagger</v>
      </c>
      <c r="D25" s="35" t="s">
        <v>30</v>
      </c>
      <c r="E25" s="36" t="s">
        <v>396</v>
      </c>
      <c r="F25" s="35" t="s">
        <v>476</v>
      </c>
      <c r="G25" s="32">
        <v>38</v>
      </c>
      <c r="H25" s="32">
        <v>41</v>
      </c>
      <c r="I25" s="84">
        <f t="shared" si="0"/>
        <v>79</v>
      </c>
      <c r="J25" s="37">
        <v>1271025</v>
      </c>
      <c r="K25" s="37">
        <v>524129</v>
      </c>
      <c r="L25" s="37">
        <v>3715</v>
      </c>
      <c r="M25" s="38">
        <f>I25/(HLOOKUP(F25,Team_Composition_23[[#All],[Yellow]:[Red]],10,FALSE)+HLOOKUP(F25,Team_Composition_23[[#All],[Yellow]:[Red]],11,FALSE))</f>
        <v>1.9745063734066485E-2</v>
      </c>
      <c r="N25" s="38">
        <f>J25/HLOOKUP(F25,Team_Composition_23[[#All],[Yellow]:[Red]],6,FALSE)</f>
        <v>2.8650182984510879E-2</v>
      </c>
      <c r="O25" s="38">
        <f>K25/HLOOKUP(F25,Team_Composition_23[[#All],[Yellow]:[Red]],8,FALSE)</f>
        <v>2.9918151184532834E-2</v>
      </c>
      <c r="P25" s="38">
        <f>L25/HLOOKUP(F25,Team_Composition_23[[#All],[Yellow]:[Red]],7,FALSE)</f>
        <v>2.8698840165150818E-4</v>
      </c>
      <c r="Q25" s="31"/>
      <c r="R25" s="45" t="s">
        <v>33</v>
      </c>
      <c r="S25" s="46">
        <f t="shared" si="2"/>
        <v>0</v>
      </c>
      <c r="T25" s="47">
        <f t="shared" si="3"/>
        <v>0</v>
      </c>
      <c r="U25" s="31"/>
      <c r="V25" s="48" t="str">
        <f ca="1">IFERROR(__xludf.DUMMYFUNCTION("""COMPUTED_VALUE"""),"Tech")</f>
        <v>Tech</v>
      </c>
      <c r="W25" s="49">
        <f ca="1">IFERROR(__xludf.DUMMYFUNCTION("""COMPUTED_VALUE"""),1264170)</f>
        <v>1264170</v>
      </c>
      <c r="X25" s="31"/>
      <c r="Y25" s="48" t="str">
        <f ca="1">IFERROR(__xludf.DUMMYFUNCTION("""COMPUTED_VALUE"""),"Reinnier")</f>
        <v>Reinnier</v>
      </c>
      <c r="Z25" s="49">
        <f ca="1">IFERROR(__xludf.DUMMYFUNCTION("""COMPUTED_VALUE"""),1697805)</f>
        <v>1697805</v>
      </c>
      <c r="AA25" s="31"/>
      <c r="AB25" s="45" t="s">
        <v>33</v>
      </c>
      <c r="AC25" s="50">
        <f t="shared" si="4"/>
        <v>0</v>
      </c>
      <c r="AD25" s="51">
        <f t="shared" si="5"/>
        <v>0</v>
      </c>
    </row>
    <row r="26" spans="1:30" ht="22.5" customHeight="1">
      <c r="A26" s="32">
        <v>38</v>
      </c>
      <c r="B26" s="62" t="str">
        <f>VLOOKUP(C26,Lists!I:J,2,FALSE)</f>
        <v>Tank</v>
      </c>
      <c r="C26" s="34" t="str">
        <f>VLOOKUP(E26&amp;D26,Lists!C:E,3,FALSE)</f>
        <v>SnS/Greatsword</v>
      </c>
      <c r="D26" s="35" t="s">
        <v>30</v>
      </c>
      <c r="E26" s="36" t="s">
        <v>215</v>
      </c>
      <c r="F26" s="35" t="s">
        <v>476</v>
      </c>
      <c r="G26" s="32">
        <v>3</v>
      </c>
      <c r="H26" s="32">
        <v>74</v>
      </c>
      <c r="I26" s="84">
        <f t="shared" si="0"/>
        <v>77</v>
      </c>
      <c r="J26" s="37">
        <v>896739</v>
      </c>
      <c r="K26" s="37">
        <v>1264170</v>
      </c>
      <c r="L26" s="37">
        <v>196372</v>
      </c>
      <c r="M26" s="38">
        <f>I26/(HLOOKUP(F26,Team_Composition_23[[#All],[Yellow]:[Red]],10,FALSE)+HLOOKUP(F26,Team_Composition_23[[#All],[Yellow]:[Red]],11,FALSE))</f>
        <v>1.9245188702824295E-2</v>
      </c>
      <c r="N26" s="38">
        <f>J26/HLOOKUP(F26,Team_Composition_23[[#All],[Yellow]:[Red]],6,FALSE)</f>
        <v>2.0213399767390335E-2</v>
      </c>
      <c r="O26" s="38">
        <f>K26/HLOOKUP(F26,Team_Composition_23[[#All],[Yellow]:[Red]],8,FALSE)</f>
        <v>7.2160916840989284E-2</v>
      </c>
      <c r="P26" s="38">
        <f>L26/HLOOKUP(F26,Team_Composition_23[[#All],[Yellow]:[Red]],7,FALSE)</f>
        <v>1.5169982882667554E-2</v>
      </c>
      <c r="Q26" s="31"/>
      <c r="R26" s="48"/>
      <c r="S26" s="63"/>
      <c r="T26" s="63"/>
      <c r="U26" s="31"/>
      <c r="V26" s="48" t="str">
        <f ca="1">IFERROR(__xludf.DUMMYFUNCTION("""COMPUTED_VALUE"""),"Foonia")</f>
        <v>Foonia</v>
      </c>
      <c r="W26" s="49">
        <f ca="1">IFERROR(__xludf.DUMMYFUNCTION("""COMPUTED_VALUE"""),1258739)</f>
        <v>1258739</v>
      </c>
      <c r="X26" s="31"/>
      <c r="Y26" s="48" t="str">
        <f ca="1">IFERROR(__xludf.DUMMYFUNCTION("""COMPUTED_VALUE"""),"Mostley")</f>
        <v>Mostley</v>
      </c>
      <c r="Z26" s="49">
        <f ca="1">IFERROR(__xludf.DUMMYFUNCTION("""COMPUTED_VALUE"""),1689251)</f>
        <v>1689251</v>
      </c>
      <c r="AA26" s="31"/>
      <c r="AB26" s="48"/>
      <c r="AC26" s="63"/>
      <c r="AD26" s="63"/>
    </row>
    <row r="27" spans="1:30" ht="22.5" customHeight="1">
      <c r="A27" s="32">
        <v>65</v>
      </c>
      <c r="B27" s="52" t="str">
        <f>VLOOKUP(C27,Lists!I:J,2,FALSE)</f>
        <v>Healer</v>
      </c>
      <c r="C27" s="34" t="str">
        <f>VLOOKUP(E27&amp;D27,Lists!C:E,3,FALSE)</f>
        <v>Wand/Longbow</v>
      </c>
      <c r="D27" s="35" t="s">
        <v>30</v>
      </c>
      <c r="E27" s="36" t="s">
        <v>416</v>
      </c>
      <c r="F27" s="35" t="s">
        <v>476</v>
      </c>
      <c r="G27" s="32">
        <v>0</v>
      </c>
      <c r="H27" s="32">
        <v>77</v>
      </c>
      <c r="I27" s="84">
        <f t="shared" si="0"/>
        <v>77</v>
      </c>
      <c r="J27" s="37">
        <v>50862</v>
      </c>
      <c r="K27" s="37">
        <v>548422</v>
      </c>
      <c r="L27" s="37">
        <v>1809411</v>
      </c>
      <c r="M27" s="38">
        <f>I27/(HLOOKUP(F27,Team_Composition_23[[#All],[Yellow]:[Red]],10,FALSE)+HLOOKUP(F27,Team_Composition_23[[#All],[Yellow]:[Red]],11,FALSE))</f>
        <v>1.9245188702824295E-2</v>
      </c>
      <c r="N27" s="38">
        <f>J27/HLOOKUP(F27,Team_Composition_23[[#All],[Yellow]:[Red]],6,FALSE)</f>
        <v>1.1464806805202041E-3</v>
      </c>
      <c r="O27" s="38">
        <f>K27/HLOOKUP(F27,Team_Composition_23[[#All],[Yellow]:[Red]],8,FALSE)</f>
        <v>3.130483584942613E-2</v>
      </c>
      <c r="P27" s="38">
        <f>L27/HLOOKUP(F27,Team_Composition_23[[#All],[Yellow]:[Red]],7,FALSE)</f>
        <v>0.13977926536222263</v>
      </c>
      <c r="Q27" s="31"/>
      <c r="R27" s="31"/>
      <c r="S27" s="64"/>
      <c r="T27" s="64"/>
      <c r="U27" s="31"/>
      <c r="V27" s="31"/>
      <c r="W27" s="31"/>
      <c r="X27" s="31"/>
      <c r="Y27" s="31"/>
      <c r="Z27" s="31"/>
      <c r="AA27" s="31"/>
      <c r="AB27" s="31"/>
      <c r="AC27" s="64"/>
      <c r="AD27" s="64"/>
    </row>
    <row r="28" spans="1:30" ht="22.5" customHeight="1">
      <c r="A28" s="32">
        <v>31</v>
      </c>
      <c r="B28" s="60" t="str">
        <f>VLOOKUP(C28,Lists!I:J,2,FALSE)</f>
        <v>Ranged DPS</v>
      </c>
      <c r="C28" s="34" t="str">
        <f>VLOOKUP(E28&amp;D28,Lists!C:E,3,FALSE)</f>
        <v>Crossbow/SnS</v>
      </c>
      <c r="D28" s="35" t="s">
        <v>30</v>
      </c>
      <c r="E28" s="36" t="s">
        <v>455</v>
      </c>
      <c r="F28" s="35" t="s">
        <v>476</v>
      </c>
      <c r="G28" s="32">
        <v>13</v>
      </c>
      <c r="H28" s="32">
        <v>62</v>
      </c>
      <c r="I28" s="84">
        <f t="shared" si="0"/>
        <v>75</v>
      </c>
      <c r="J28" s="37">
        <v>1608973</v>
      </c>
      <c r="K28" s="37">
        <v>837077</v>
      </c>
      <c r="L28" s="37">
        <v>27066</v>
      </c>
      <c r="M28" s="38">
        <f>I28/(HLOOKUP(F28,Team_Composition_23[[#All],[Yellow]:[Red]],10,FALSE)+HLOOKUP(F28,Team_Composition_23[[#All],[Yellow]:[Red]],11,FALSE))</f>
        <v>1.8745313671582105E-2</v>
      </c>
      <c r="N28" s="38">
        <f>J28/HLOOKUP(F28,Team_Composition_23[[#All],[Yellow]:[Red]],6,FALSE)</f>
        <v>3.6267871101778031E-2</v>
      </c>
      <c r="O28" s="38">
        <f>K28/HLOOKUP(F28,Team_Composition_23[[#All],[Yellow]:[Red]],8,FALSE)</f>
        <v>4.7781741210837773E-2</v>
      </c>
      <c r="P28" s="38">
        <f>L28/HLOOKUP(F28,Team_Composition_23[[#All],[Yellow]:[Red]],7,FALSE)</f>
        <v>2.0908823900672195E-3</v>
      </c>
      <c r="Q28" s="31"/>
      <c r="R28" s="227" t="s">
        <v>39</v>
      </c>
      <c r="S28" s="228"/>
      <c r="T28" s="228"/>
      <c r="U28" s="31"/>
      <c r="V28" s="31"/>
      <c r="W28" s="31"/>
      <c r="X28" s="31"/>
      <c r="Y28" s="31"/>
      <c r="Z28" s="31"/>
      <c r="AA28" s="31"/>
      <c r="AB28" s="227" t="s">
        <v>39</v>
      </c>
      <c r="AC28" s="228"/>
      <c r="AD28" s="228"/>
    </row>
    <row r="29" spans="1:30" ht="22.5" customHeight="1">
      <c r="A29" s="32">
        <v>66</v>
      </c>
      <c r="B29" s="59" t="str">
        <f>VLOOKUP(C29,Lists!I:J,2,FALSE)</f>
        <v>Healer</v>
      </c>
      <c r="C29" s="34" t="str">
        <f>VLOOKUP(E29&amp;D29,Lists!C:E,3,FALSE)</f>
        <v>Wand/Orb</v>
      </c>
      <c r="D29" s="35" t="s">
        <v>30</v>
      </c>
      <c r="E29" s="36" t="s">
        <v>451</v>
      </c>
      <c r="F29" s="35" t="s">
        <v>476</v>
      </c>
      <c r="G29" s="32">
        <v>0</v>
      </c>
      <c r="H29" s="32">
        <v>74</v>
      </c>
      <c r="I29" s="84">
        <f t="shared" si="0"/>
        <v>74</v>
      </c>
      <c r="J29" s="37">
        <v>3740</v>
      </c>
      <c r="K29" s="37">
        <v>337748</v>
      </c>
      <c r="L29" s="37">
        <v>648171</v>
      </c>
      <c r="M29" s="38">
        <f>I29/(HLOOKUP(F29,Team_Composition_23[[#All],[Yellow]:[Red]],10,FALSE)+HLOOKUP(F29,Team_Composition_23[[#All],[Yellow]:[Red]],11,FALSE))</f>
        <v>1.8495376155961009E-2</v>
      </c>
      <c r="N29" s="38">
        <f>J29/HLOOKUP(F29,Team_Composition_23[[#All],[Yellow]:[Red]],6,FALSE)</f>
        <v>8.4303364892170254E-5</v>
      </c>
      <c r="O29" s="38">
        <f>K29/HLOOKUP(F29,Team_Composition_23[[#All],[Yellow]:[Red]],8,FALSE)</f>
        <v>1.9279215090700182E-2</v>
      </c>
      <c r="P29" s="38">
        <f>L29/HLOOKUP(F29,Team_Composition_23[[#All],[Yellow]:[Red]],7,FALSE)</f>
        <v>5.0072021342357928E-2</v>
      </c>
      <c r="Q29" s="31"/>
      <c r="R29" s="41" t="s">
        <v>482</v>
      </c>
      <c r="S29" s="42" t="s">
        <v>476</v>
      </c>
      <c r="T29" s="42" t="s">
        <v>483</v>
      </c>
      <c r="U29" s="31"/>
      <c r="V29" s="31"/>
      <c r="W29" s="31"/>
      <c r="X29" s="31"/>
      <c r="Y29" s="31"/>
      <c r="Z29" s="31"/>
      <c r="AA29" s="31"/>
      <c r="AB29" s="41" t="s">
        <v>482</v>
      </c>
      <c r="AC29" s="42" t="s">
        <v>485</v>
      </c>
      <c r="AD29" s="42" t="s">
        <v>28</v>
      </c>
    </row>
    <row r="30" spans="1:30" ht="22.5" customHeight="1">
      <c r="A30" s="32">
        <v>24</v>
      </c>
      <c r="B30" s="69" t="str">
        <f>VLOOKUP(C30,Lists!I:J,2,FALSE)</f>
        <v>Ranged DPS</v>
      </c>
      <c r="C30" s="34" t="str">
        <f>VLOOKUP(E30&amp;D30,Lists!C:E,3,FALSE)</f>
        <v>Crossbow/SnS</v>
      </c>
      <c r="D30" s="35" t="s">
        <v>30</v>
      </c>
      <c r="E30" s="36" t="s">
        <v>403</v>
      </c>
      <c r="F30" s="35" t="s">
        <v>476</v>
      </c>
      <c r="G30" s="32">
        <v>21</v>
      </c>
      <c r="H30" s="32">
        <v>51</v>
      </c>
      <c r="I30" s="84">
        <f t="shared" si="0"/>
        <v>72</v>
      </c>
      <c r="J30" s="37">
        <v>1344452</v>
      </c>
      <c r="K30" s="37">
        <v>637528</v>
      </c>
      <c r="L30" s="37">
        <v>37530</v>
      </c>
      <c r="M30" s="38">
        <f>I30/(HLOOKUP(F30,Team_Composition_23[[#All],[Yellow]:[Red]],10,FALSE)+HLOOKUP(F30,Team_Composition_23[[#All],[Yellow]:[Red]],11,FALSE))</f>
        <v>1.7995501124718819E-2</v>
      </c>
      <c r="N30" s="38">
        <f>J30/HLOOKUP(F30,Team_Composition_23[[#All],[Yellow]:[Red]],6,FALSE)</f>
        <v>3.0305301480216061E-2</v>
      </c>
      <c r="O30" s="38">
        <f>K30/HLOOKUP(F30,Team_Composition_23[[#All],[Yellow]:[Red]],8,FALSE)</f>
        <v>3.6391153873135906E-2</v>
      </c>
      <c r="P30" s="38">
        <f>L30/HLOOKUP(F30,Team_Composition_23[[#All],[Yellow]:[Red]],7,FALSE)</f>
        <v>2.8992394923233115E-3</v>
      </c>
      <c r="Q30" s="31"/>
      <c r="R30" s="45" t="s">
        <v>468</v>
      </c>
      <c r="S30" s="46">
        <f>SUMIFS(Scoreboard_36[Damage Dealt],Scoreboard_36[Role],"Ranged DPS",Scoreboard_36[Team],"Yellow")</f>
        <v>16815012</v>
      </c>
      <c r="T30" s="47">
        <f>SUMIFS(Scoreboard_36[Damage Dealt],Scoreboard_36[Role],"Ranged DPS",Scoreboard_36[Team],"Red")</f>
        <v>18266659</v>
      </c>
      <c r="U30" s="31"/>
      <c r="V30" s="31"/>
      <c r="W30" s="31"/>
      <c r="X30" s="31"/>
      <c r="Y30" s="31"/>
      <c r="Z30" s="31"/>
      <c r="AA30" s="31"/>
      <c r="AB30" s="45" t="s">
        <v>468</v>
      </c>
      <c r="AC30" s="50">
        <f>SUMIFS(Scoreboard_36[Damage Dealt],Scoreboard_36[Role],"Ranged DPS",Scoreboard_36[Guild],"Best Regards")</f>
        <v>18266659</v>
      </c>
      <c r="AD30" s="51">
        <f>SUMIFS(Scoreboard_36[Damage Dealt],Scoreboard_36[Role],"Ranged DPS",Scoreboard_36[Guild],"Undercooked")</f>
        <v>0</v>
      </c>
    </row>
    <row r="31" spans="1:30" ht="22.5" customHeight="1">
      <c r="A31" s="32">
        <v>67</v>
      </c>
      <c r="B31" s="54" t="str">
        <f>VLOOKUP(C31,Lists!I:J,2,FALSE)</f>
        <v>Healer</v>
      </c>
      <c r="C31" s="34" t="str">
        <f>VLOOKUP(E31&amp;D31,Lists!C:E,3,FALSE)</f>
        <v>Wand/Orb</v>
      </c>
      <c r="D31" s="35" t="s">
        <v>30</v>
      </c>
      <c r="E31" s="36" t="s">
        <v>442</v>
      </c>
      <c r="F31" s="35" t="s">
        <v>476</v>
      </c>
      <c r="G31" s="32">
        <v>0</v>
      </c>
      <c r="H31" s="32">
        <v>70</v>
      </c>
      <c r="I31" s="84">
        <f t="shared" si="0"/>
        <v>70</v>
      </c>
      <c r="J31" s="37">
        <v>3134</v>
      </c>
      <c r="K31" s="37">
        <v>267034</v>
      </c>
      <c r="L31" s="37">
        <v>789198</v>
      </c>
      <c r="M31" s="38">
        <f>I31/(HLOOKUP(F31,Team_Composition_23[[#All],[Yellow]:[Red]],10,FALSE)+HLOOKUP(F31,Team_Composition_23[[#All],[Yellow]:[Red]],11,FALSE))</f>
        <v>1.7495626093476629E-2</v>
      </c>
      <c r="N31" s="38">
        <f>J31/HLOOKUP(F31,Team_Composition_23[[#All],[Yellow]:[Red]],6,FALSE)</f>
        <v>7.0643514858839991E-5</v>
      </c>
      <c r="O31" s="38">
        <f>K31/HLOOKUP(F31,Team_Composition_23[[#All],[Yellow]:[Red]],8,FALSE)</f>
        <v>1.5242742880875779E-2</v>
      </c>
      <c r="P31" s="38">
        <f>L31/HLOOKUP(F31,Team_Composition_23[[#All],[Yellow]:[Red]],7,FALSE)</f>
        <v>6.0966533676061085E-2</v>
      </c>
      <c r="Q31" s="31"/>
      <c r="R31" s="45" t="s">
        <v>469</v>
      </c>
      <c r="S31" s="46">
        <f>SUMIFS(Scoreboard_36[Damage Taken],Scoreboard_36[Role],"Ranged DPS",Scoreboard_36[Team],"Yellow")</f>
        <v>6124296</v>
      </c>
      <c r="T31" s="47">
        <f>SUMIFS(Scoreboard_36[Damage Taken],Scoreboard_36[Role],"Ranged DPS",Scoreboard_36[Team],"Red")</f>
        <v>6675707</v>
      </c>
      <c r="U31" s="31"/>
      <c r="V31" s="31"/>
      <c r="W31" s="31"/>
      <c r="X31" s="31"/>
      <c r="Y31" s="31"/>
      <c r="Z31" s="31"/>
      <c r="AA31" s="31"/>
      <c r="AB31" s="45" t="s">
        <v>469</v>
      </c>
      <c r="AC31" s="50">
        <f>SUMIFS(Scoreboard_36[Damage Taken],Scoreboard_36[Role],"Ranged DPS",Scoreboard_36[Guild],"Best Regards")</f>
        <v>6675707</v>
      </c>
      <c r="AD31" s="51">
        <f>SUMIFS(Scoreboard_36[Damage Taken],Scoreboard_36[Role],"Ranged DPS",Scoreboard_36[Guild],"Undercooked")</f>
        <v>0</v>
      </c>
    </row>
    <row r="32" spans="1:30" ht="22.5" customHeight="1">
      <c r="A32" s="32">
        <v>18</v>
      </c>
      <c r="B32" s="33" t="str">
        <f>VLOOKUP(C32,Lists!I:J,2,FALSE)</f>
        <v>KS</v>
      </c>
      <c r="C32" s="34" t="str">
        <f>VLOOKUP(E32&amp;D32,Lists!C:E,3,FALSE)</f>
        <v>Crossbow/Dagger</v>
      </c>
      <c r="D32" s="35" t="s">
        <v>30</v>
      </c>
      <c r="E32" s="36" t="s">
        <v>229</v>
      </c>
      <c r="F32" s="35" t="s">
        <v>476</v>
      </c>
      <c r="G32" s="32">
        <v>29</v>
      </c>
      <c r="H32" s="32">
        <v>40</v>
      </c>
      <c r="I32" s="84">
        <f t="shared" si="0"/>
        <v>69</v>
      </c>
      <c r="J32" s="37">
        <v>1037844</v>
      </c>
      <c r="K32" s="37">
        <v>548131</v>
      </c>
      <c r="L32" s="37">
        <v>6608</v>
      </c>
      <c r="M32" s="38">
        <f>I32/(HLOOKUP(F32,Team_Composition_23[[#All],[Yellow]:[Red]],10,FALSE)+HLOOKUP(F32,Team_Composition_23[[#All],[Yellow]:[Red]],11,FALSE))</f>
        <v>1.7245688577855536E-2</v>
      </c>
      <c r="N32" s="38">
        <f>J32/HLOOKUP(F32,Team_Composition_23[[#All],[Yellow]:[Red]],6,FALSE)</f>
        <v>2.339404851153731E-2</v>
      </c>
      <c r="O32" s="38">
        <f>K32/HLOOKUP(F32,Team_Composition_23[[#All],[Yellow]:[Red]],8,FALSE)</f>
        <v>3.1288225087581813E-2</v>
      </c>
      <c r="P32" s="38">
        <f>L32/HLOOKUP(F32,Team_Composition_23[[#All],[Yellow]:[Red]],7,FALSE)</f>
        <v>5.1047627405468806E-4</v>
      </c>
      <c r="Q32" s="31"/>
      <c r="R32" s="45" t="s">
        <v>470</v>
      </c>
      <c r="S32" s="46">
        <f>SUMIFS(Scoreboard_36[Amount Healed],Scoreboard_36[Role],"Ranged DPS",Scoreboard_36[Team],"Yellow")</f>
        <v>352033</v>
      </c>
      <c r="T32" s="47">
        <f>SUMIFS(Scoreboard_36[Amount Healed],Scoreboard_36[Role],"Ranged DPS",Scoreboard_36[Team],"Red")</f>
        <v>873141</v>
      </c>
      <c r="U32" s="31"/>
      <c r="V32" s="31"/>
      <c r="W32" s="31"/>
      <c r="X32" s="31"/>
      <c r="Y32" s="31"/>
      <c r="Z32" s="31"/>
      <c r="AA32" s="31"/>
      <c r="AB32" s="45" t="s">
        <v>470</v>
      </c>
      <c r="AC32" s="50">
        <f>SUMIFS(Scoreboard_36[Amount Healed],Scoreboard_36[Role],"Ranged DPS",Scoreboard_36[Guild],"Best Regards")</f>
        <v>873141</v>
      </c>
      <c r="AD32" s="51">
        <f>SUMIFS(Scoreboard_36[Amount Healed],Scoreboard_36[Role],"Ranged DPS",Scoreboard_36[Guild],"Undercooked")</f>
        <v>0</v>
      </c>
    </row>
    <row r="33" spans="1:30" ht="22.5" customHeight="1">
      <c r="A33" s="32">
        <v>26</v>
      </c>
      <c r="B33" s="54" t="str">
        <f>VLOOKUP(C33,Lists!I:J,2,FALSE)</f>
        <v>Melee DPS</v>
      </c>
      <c r="C33" s="34" t="str">
        <f>VLOOKUP(E33&amp;D33,Lists!C:E,3,FALSE)</f>
        <v>Spear/Dagger</v>
      </c>
      <c r="D33" s="35" t="s">
        <v>30</v>
      </c>
      <c r="E33" s="36" t="s">
        <v>457</v>
      </c>
      <c r="F33" s="35" t="s">
        <v>476</v>
      </c>
      <c r="G33" s="32">
        <v>17</v>
      </c>
      <c r="H33" s="32">
        <v>51</v>
      </c>
      <c r="I33" s="84">
        <f t="shared" si="0"/>
        <v>68</v>
      </c>
      <c r="J33" s="37">
        <v>1361009</v>
      </c>
      <c r="K33" s="37">
        <v>1090704</v>
      </c>
      <c r="L33" s="37">
        <v>23115</v>
      </c>
      <c r="M33" s="38">
        <f>I33/(HLOOKUP(F33,Team_Composition_23[[#All],[Yellow]:[Red]],10,FALSE)+HLOOKUP(F33,Team_Composition_23[[#All],[Yellow]:[Red]],11,FALSE))</f>
        <v>1.699575106223444E-2</v>
      </c>
      <c r="N33" s="38">
        <f>J33/HLOOKUP(F33,Team_Composition_23[[#All],[Yellow]:[Red]],6,FALSE)</f>
        <v>3.0678512927413835E-2</v>
      </c>
      <c r="O33" s="38">
        <f>K33/HLOOKUP(F33,Team_Composition_23[[#All],[Yellow]:[Red]],8,FALSE)</f>
        <v>6.2259190332102789E-2</v>
      </c>
      <c r="P33" s="38">
        <f>L33/HLOOKUP(F33,Team_Composition_23[[#All],[Yellow]:[Red]],7,FALSE)</f>
        <v>1.7856626929137582E-3</v>
      </c>
      <c r="Q33" s="31"/>
      <c r="R33" s="45" t="s">
        <v>465</v>
      </c>
      <c r="S33" s="46">
        <f>SUMIFS(Scoreboard_36[Kills],Scoreboard_36[Role],"Ranged DPS",Scoreboard_36[Team],"Yellow")</f>
        <v>225</v>
      </c>
      <c r="T33" s="47">
        <f>SUMIFS(Scoreboard_36[Kills],Scoreboard_36[Role],"Ranged DPS",Scoreboard_36[Team],"Red")</f>
        <v>248</v>
      </c>
      <c r="U33" s="31"/>
      <c r="V33" s="31"/>
      <c r="W33" s="31"/>
      <c r="X33" s="31"/>
      <c r="Y33" s="31"/>
      <c r="Z33" s="31"/>
      <c r="AA33" s="31"/>
      <c r="AB33" s="45" t="s">
        <v>465</v>
      </c>
      <c r="AC33" s="50">
        <f>SUMIFS(Scoreboard_36[Kills],Scoreboard_36[Role],"Ranged DPS",Scoreboard_36[Guild],"Best Regards")</f>
        <v>248</v>
      </c>
      <c r="AD33" s="51">
        <f>SUMIFS(Scoreboard_36[Kills],Scoreboard_36[Role],"Ranged DPS",Scoreboard_36[Guild],"Undercooked")</f>
        <v>0</v>
      </c>
    </row>
    <row r="34" spans="1:30" ht="22.5" customHeight="1">
      <c r="A34" s="32">
        <v>21</v>
      </c>
      <c r="B34" s="69" t="str">
        <f>VLOOKUP(C34,Lists!I:J,2,FALSE)</f>
        <v>KS</v>
      </c>
      <c r="C34" s="34" t="str">
        <f>VLOOKUP(E34&amp;D34,Lists!C:E,3,FALSE)</f>
        <v>Crossbow/Dagger</v>
      </c>
      <c r="D34" s="35" t="s">
        <v>34</v>
      </c>
      <c r="E34" s="36" t="s">
        <v>159</v>
      </c>
      <c r="F34" s="35" t="s">
        <v>483</v>
      </c>
      <c r="G34" s="32">
        <v>23</v>
      </c>
      <c r="H34" s="32">
        <v>44</v>
      </c>
      <c r="I34" s="84">
        <f t="shared" si="0"/>
        <v>67</v>
      </c>
      <c r="J34" s="37">
        <v>999129</v>
      </c>
      <c r="K34" s="37">
        <v>464347</v>
      </c>
      <c r="L34" s="37">
        <v>7162</v>
      </c>
      <c r="M34" s="38">
        <f>I34/(HLOOKUP(F34,Team_Composition_23[[#All],[Yellow]:[Red]],10,FALSE)+HLOOKUP(F34,Team_Composition_23[[#All],[Yellow]:[Red]],11,FALSE))</f>
        <v>8.1607795371498176E-2</v>
      </c>
      <c r="N34" s="38">
        <f>J34/HLOOKUP(F34,Team_Composition_23[[#All],[Yellow]:[Red]],6,FALSE)</f>
        <v>5.662261648287472E-2</v>
      </c>
      <c r="O34" s="38">
        <f>K34/HLOOKUP(F34,Team_Composition_23[[#All],[Yellow]:[Red]],8,FALSE)</f>
        <v>1.0549519585382913E-2</v>
      </c>
      <c r="P34" s="38">
        <f>L34/HLOOKUP(F34,Team_Composition_23[[#All],[Yellow]:[Red]],7,FALSE)</f>
        <v>2.9511617345826007E-4</v>
      </c>
      <c r="Q34" s="31"/>
      <c r="R34" s="45" t="s">
        <v>466</v>
      </c>
      <c r="S34" s="46">
        <f>SUMIFS(Scoreboard_36[Assists],Scoreboard_36[Role],"Ranged DPS",Scoreboard_36[Team],"Yellow")</f>
        <v>510</v>
      </c>
      <c r="T34" s="47">
        <f>SUMIFS(Scoreboard_36[Assists],Scoreboard_36[Role],"Ranged DPS",Scoreboard_36[Team],"Red")</f>
        <v>569</v>
      </c>
      <c r="U34" s="31"/>
      <c r="V34" s="31"/>
      <c r="W34" s="31"/>
      <c r="X34" s="31"/>
      <c r="Y34" s="31"/>
      <c r="Z34" s="31"/>
      <c r="AA34" s="31"/>
      <c r="AB34" s="45" t="s">
        <v>466</v>
      </c>
      <c r="AC34" s="50">
        <f>SUMIFS(Scoreboard_36[Assists],Scoreboard_36[Role],"Ranged DPS",Scoreboard_36[Guild],"Best Regards")</f>
        <v>569</v>
      </c>
      <c r="AD34" s="51">
        <f>SUMIFS(Scoreboard_36[Assists],Scoreboard_36[Role],"Ranged DPS",Scoreboard_36[Guild],"Undercooked")</f>
        <v>0</v>
      </c>
    </row>
    <row r="35" spans="1:30" ht="22.5" customHeight="1">
      <c r="A35" s="32">
        <v>68</v>
      </c>
      <c r="B35" s="40" t="str">
        <f>VLOOKUP(C35,Lists!I:J,2,FALSE)</f>
        <v>Healer</v>
      </c>
      <c r="C35" s="34" t="str">
        <f>VLOOKUP(E35&amp;D35,Lists!C:E,3,FALSE)</f>
        <v>Wand/Longbow</v>
      </c>
      <c r="D35" s="35" t="s">
        <v>34</v>
      </c>
      <c r="E35" s="36" t="s">
        <v>180</v>
      </c>
      <c r="F35" s="35" t="s">
        <v>483</v>
      </c>
      <c r="G35" s="32">
        <v>0</v>
      </c>
      <c r="H35" s="32">
        <v>67</v>
      </c>
      <c r="I35" s="84">
        <f t="shared" si="0"/>
        <v>67</v>
      </c>
      <c r="J35" s="37">
        <v>17698</v>
      </c>
      <c r="K35" s="37">
        <v>243265</v>
      </c>
      <c r="L35" s="37">
        <v>1326397</v>
      </c>
      <c r="M35" s="38">
        <f>I35/(HLOOKUP(F35,Team_Composition_23[[#All],[Yellow]:[Red]],10,FALSE)+HLOOKUP(F35,Team_Composition_23[[#All],[Yellow]:[Red]],11,FALSE))</f>
        <v>8.1607795371498176E-2</v>
      </c>
      <c r="N35" s="38">
        <f>J35/HLOOKUP(F35,Team_Composition_23[[#All],[Yellow]:[Red]],6,FALSE)</f>
        <v>1.0029806626711034E-3</v>
      </c>
      <c r="O35" s="38">
        <f>K35/HLOOKUP(F35,Team_Composition_23[[#All],[Yellow]:[Red]],8,FALSE)</f>
        <v>5.5267480611227689E-3</v>
      </c>
      <c r="P35" s="38">
        <f>L35/HLOOKUP(F35,Team_Composition_23[[#All],[Yellow]:[Red]],7,FALSE)</f>
        <v>5.465529281297344E-2</v>
      </c>
      <c r="Q35" s="31"/>
      <c r="R35" s="45" t="s">
        <v>54</v>
      </c>
      <c r="S35" s="46">
        <f t="shared" ref="S35:S46" si="6">COUNTIFS(C:C,R35,F:F,"Yellow")</f>
        <v>3</v>
      </c>
      <c r="T35" s="47">
        <f t="shared" ref="T35:T46" si="7">COUNTIFS(C:C,R35,F:F,"Red")</f>
        <v>3</v>
      </c>
      <c r="U35" s="31"/>
      <c r="V35" s="31"/>
      <c r="W35" s="31"/>
      <c r="X35" s="31"/>
      <c r="Y35" s="31"/>
      <c r="Z35" s="31"/>
      <c r="AA35" s="31"/>
      <c r="AB35" s="45" t="s">
        <v>54</v>
      </c>
      <c r="AC35" s="50">
        <f t="shared" ref="AC35:AC46" si="8">COUNTIFS(C:C,AB35,D:D,"Best Regards")</f>
        <v>3</v>
      </c>
      <c r="AD35" s="51">
        <f t="shared" ref="AD35:AD46" si="9">COUNTIFS(C:C,AB35,D:D,"Undercooked")</f>
        <v>0</v>
      </c>
    </row>
    <row r="36" spans="1:30" ht="22.5" customHeight="1">
      <c r="A36" s="32">
        <v>69</v>
      </c>
      <c r="B36" s="55" t="str">
        <f>VLOOKUP(C36,Lists!I:J,2,FALSE)</f>
        <v>Healer</v>
      </c>
      <c r="C36" s="34" t="str">
        <f>VLOOKUP(E36&amp;D36,Lists!C:E,3,FALSE)</f>
        <v>Wand/Orb</v>
      </c>
      <c r="D36" s="35" t="s">
        <v>30</v>
      </c>
      <c r="E36" s="36" t="s">
        <v>440</v>
      </c>
      <c r="F36" s="35" t="s">
        <v>476</v>
      </c>
      <c r="G36" s="32">
        <v>0</v>
      </c>
      <c r="H36" s="32">
        <v>67</v>
      </c>
      <c r="I36" s="84">
        <f t="shared" si="0"/>
        <v>67</v>
      </c>
      <c r="J36" s="37">
        <v>5638</v>
      </c>
      <c r="K36" s="37">
        <v>221333</v>
      </c>
      <c r="L36" s="37">
        <v>766567</v>
      </c>
      <c r="M36" s="38">
        <f>I36/(HLOOKUP(F36,Team_Composition_23[[#All],[Yellow]:[Red]],10,FALSE)+HLOOKUP(F36,Team_Composition_23[[#All],[Yellow]:[Red]],11,FALSE))</f>
        <v>1.6745813546613347E-2</v>
      </c>
      <c r="N36" s="38">
        <f>J36/HLOOKUP(F36,Team_Composition_23[[#All],[Yellow]:[Red]],6,FALSE)</f>
        <v>1.2708619552461386E-4</v>
      </c>
      <c r="O36" s="38">
        <f>K36/HLOOKUP(F36,Team_Composition_23[[#All],[Yellow]:[Red]],8,FALSE)</f>
        <v>1.2634054128136786E-2</v>
      </c>
      <c r="P36" s="38">
        <f>L36/HLOOKUP(F36,Team_Composition_23[[#All],[Yellow]:[Red]],7,FALSE)</f>
        <v>5.9218260589176758E-2</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20</v>
      </c>
      <c r="B37" s="54" t="str">
        <f>VLOOKUP(C37,Lists!I:J,2,FALSE)</f>
        <v>Melee DPS</v>
      </c>
      <c r="C37" s="34" t="str">
        <f>VLOOKUP(E37&amp;D37,Lists!C:E,3,FALSE)</f>
        <v>Greatsword/Spear</v>
      </c>
      <c r="D37" s="35" t="s">
        <v>34</v>
      </c>
      <c r="E37" s="36" t="s">
        <v>179</v>
      </c>
      <c r="F37" s="35" t="s">
        <v>483</v>
      </c>
      <c r="G37" s="32">
        <v>25</v>
      </c>
      <c r="H37" s="32">
        <v>41</v>
      </c>
      <c r="I37" s="84">
        <f t="shared" si="0"/>
        <v>66</v>
      </c>
      <c r="J37" s="37">
        <v>1195521</v>
      </c>
      <c r="K37" s="37">
        <v>1269691</v>
      </c>
      <c r="L37" s="37">
        <v>27220</v>
      </c>
      <c r="M37" s="38">
        <f>I37/(HLOOKUP(F37,Team_Composition_23[[#All],[Yellow]:[Red]],10,FALSE)+HLOOKUP(F37,Team_Composition_23[[#All],[Yellow]:[Red]],11,FALSE))</f>
        <v>8.0389768574908649E-2</v>
      </c>
      <c r="N37" s="38">
        <f>J37/HLOOKUP(F37,Team_Composition_23[[#All],[Yellow]:[Red]],6,FALSE)</f>
        <v>6.7752539542164092E-2</v>
      </c>
      <c r="O37" s="38">
        <f>K37/HLOOKUP(F37,Team_Composition_23[[#All],[Yellow]:[Red]],8,FALSE)</f>
        <v>2.8846164768770804E-2</v>
      </c>
      <c r="P37" s="38">
        <f>L37/HLOOKUP(F37,Team_Composition_23[[#All],[Yellow]:[Red]],7,FALSE)</f>
        <v>1.1216227648050598E-3</v>
      </c>
      <c r="Q37" s="31"/>
      <c r="R37" s="45" t="s">
        <v>45</v>
      </c>
      <c r="S37" s="46">
        <f t="shared" si="6"/>
        <v>4</v>
      </c>
      <c r="T37" s="47">
        <f t="shared" si="7"/>
        <v>3</v>
      </c>
      <c r="U37" s="31"/>
      <c r="V37" s="31"/>
      <c r="W37" s="31"/>
      <c r="X37" s="31"/>
      <c r="Y37" s="31"/>
      <c r="Z37" s="31"/>
      <c r="AA37" s="31"/>
      <c r="AB37" s="45" t="s">
        <v>45</v>
      </c>
      <c r="AC37" s="50">
        <f t="shared" si="8"/>
        <v>3</v>
      </c>
      <c r="AD37" s="51">
        <f t="shared" si="9"/>
        <v>0</v>
      </c>
    </row>
    <row r="38" spans="1:30" ht="22.5" customHeight="1">
      <c r="A38" s="32">
        <v>25</v>
      </c>
      <c r="B38" s="66" t="str">
        <f>VLOOKUP(C38,Lists!I:J,2,FALSE)</f>
        <v>KS</v>
      </c>
      <c r="C38" s="34" t="str">
        <f>VLOOKUP(E38&amp;D38,Lists!C:E,3,FALSE)</f>
        <v>Greatsword/Dagger</v>
      </c>
      <c r="D38" s="35" t="s">
        <v>30</v>
      </c>
      <c r="E38" s="36" t="s">
        <v>395</v>
      </c>
      <c r="F38" s="35" t="s">
        <v>476</v>
      </c>
      <c r="G38" s="32">
        <v>20</v>
      </c>
      <c r="H38" s="32">
        <v>45</v>
      </c>
      <c r="I38" s="84">
        <f t="shared" si="0"/>
        <v>65</v>
      </c>
      <c r="J38" s="37">
        <v>1026471</v>
      </c>
      <c r="K38" s="37">
        <v>462231</v>
      </c>
      <c r="L38" s="37">
        <v>0</v>
      </c>
      <c r="M38" s="38">
        <f>I38/(HLOOKUP(F38,Team_Composition_23[[#All],[Yellow]:[Red]],10,FALSE)+HLOOKUP(F38,Team_Composition_23[[#All],[Yellow]:[Red]],11,FALSE))</f>
        <v>1.6245938515371157E-2</v>
      </c>
      <c r="N38" s="38">
        <f>J38/HLOOKUP(F38,Team_Composition_23[[#All],[Yellow]:[Red]],6,FALSE)</f>
        <v>2.3137689642842484E-2</v>
      </c>
      <c r="O38" s="38">
        <f>K38/HLOOKUP(F38,Team_Composition_23[[#All],[Yellow]:[Red]],8,FALSE)</f>
        <v>2.638491085243861E-2</v>
      </c>
      <c r="P38" s="38">
        <f>L38/HLOOKUP(F38,Team_Composition_23[[#All],[Yellow]:[Red]],7,FALSE)</f>
        <v>0</v>
      </c>
      <c r="Q38" s="31"/>
      <c r="R38" s="45" t="s">
        <v>81</v>
      </c>
      <c r="S38" s="46">
        <f t="shared" si="6"/>
        <v>0</v>
      </c>
      <c r="T38" s="47">
        <f t="shared" si="7"/>
        <v>1</v>
      </c>
      <c r="U38" s="31"/>
      <c r="V38" s="31"/>
      <c r="W38" s="31"/>
      <c r="X38" s="31"/>
      <c r="Y38" s="31"/>
      <c r="Z38" s="31"/>
      <c r="AA38" s="31"/>
      <c r="AB38" s="45" t="s">
        <v>81</v>
      </c>
      <c r="AC38" s="50">
        <f t="shared" si="8"/>
        <v>1</v>
      </c>
      <c r="AD38" s="51">
        <f t="shared" si="9"/>
        <v>0</v>
      </c>
    </row>
    <row r="39" spans="1:30" ht="22.5" customHeight="1">
      <c r="A39" s="32">
        <v>39</v>
      </c>
      <c r="B39" s="61" t="str">
        <f>VLOOKUP(C39,Lists!I:J,2,FALSE)</f>
        <v>Tank</v>
      </c>
      <c r="C39" s="34" t="str">
        <f>VLOOKUP(E39&amp;D39,Lists!C:E,3,FALSE)</f>
        <v>SnS/Greatsword</v>
      </c>
      <c r="D39" s="35" t="s">
        <v>34</v>
      </c>
      <c r="E39" s="36" t="s">
        <v>55</v>
      </c>
      <c r="F39" s="35" t="s">
        <v>483</v>
      </c>
      <c r="G39" s="32">
        <v>3</v>
      </c>
      <c r="H39" s="32">
        <v>62</v>
      </c>
      <c r="I39" s="84">
        <f t="shared" si="0"/>
        <v>65</v>
      </c>
      <c r="J39" s="37">
        <v>308618</v>
      </c>
      <c r="K39" s="37">
        <v>1282820</v>
      </c>
      <c r="L39" s="37">
        <v>95488</v>
      </c>
      <c r="M39" s="38">
        <f>I39/(HLOOKUP(F39,Team_Composition_23[[#All],[Yellow]:[Red]],10,FALSE)+HLOOKUP(F39,Team_Composition_23[[#All],[Yellow]:[Red]],11,FALSE))</f>
        <v>7.9171741778319121E-2</v>
      </c>
      <c r="N39" s="38">
        <f>J39/HLOOKUP(F39,Team_Composition_23[[#All],[Yellow]:[Red]],6,FALSE)</f>
        <v>1.7489992437124565E-2</v>
      </c>
      <c r="O39" s="38">
        <f>K39/HLOOKUP(F39,Team_Composition_23[[#All],[Yellow]:[Red]],8,FALSE)</f>
        <v>2.9144443087865127E-2</v>
      </c>
      <c r="P39" s="38">
        <f>L39/HLOOKUP(F39,Team_Composition_23[[#All],[Yellow]:[Red]],7,FALSE)</f>
        <v>3.9346625483359871E-3</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32">
        <v>47</v>
      </c>
      <c r="B40" s="62" t="str">
        <f>VLOOKUP(C40,Lists!I:J,2,FALSE)</f>
        <v>Tank</v>
      </c>
      <c r="C40" s="34" t="str">
        <f>VLOOKUP(E40&amp;D40,Lists!C:E,3,FALSE)</f>
        <v>SnS/Spear</v>
      </c>
      <c r="D40" s="35" t="s">
        <v>34</v>
      </c>
      <c r="E40" s="36" t="s">
        <v>61</v>
      </c>
      <c r="F40" s="35" t="s">
        <v>483</v>
      </c>
      <c r="G40" s="32">
        <v>1</v>
      </c>
      <c r="H40" s="32">
        <v>64</v>
      </c>
      <c r="I40" s="84">
        <f t="shared" si="0"/>
        <v>65</v>
      </c>
      <c r="J40" s="37">
        <v>312241</v>
      </c>
      <c r="K40" s="37">
        <v>692806</v>
      </c>
      <c r="L40" s="37">
        <v>39388</v>
      </c>
      <c r="M40" s="38">
        <f>I40/(HLOOKUP(F40,Team_Composition_23[[#All],[Yellow]:[Red]],10,FALSE)+HLOOKUP(F40,Team_Composition_23[[#All],[Yellow]:[Red]],11,FALSE))</f>
        <v>7.9171741778319121E-2</v>
      </c>
      <c r="N40" s="38">
        <f>J40/HLOOKUP(F40,Team_Composition_23[[#All],[Yellow]:[Red]],6,FALSE)</f>
        <v>1.7695315012605264E-2</v>
      </c>
      <c r="O40" s="38">
        <f>K40/HLOOKUP(F40,Team_Composition_23[[#All],[Yellow]:[Red]],8,FALSE)</f>
        <v>1.5739889491847247E-2</v>
      </c>
      <c r="P40" s="38">
        <f>L40/HLOOKUP(F40,Team_Composition_23[[#All],[Yellow]:[Red]],7,FALSE)</f>
        <v>1.6230153365224724E-3</v>
      </c>
      <c r="Q40" s="31"/>
      <c r="R40" s="45" t="s">
        <v>50</v>
      </c>
      <c r="S40" s="46">
        <f t="shared" si="6"/>
        <v>1</v>
      </c>
      <c r="T40" s="47">
        <f t="shared" si="7"/>
        <v>0</v>
      </c>
      <c r="U40" s="31"/>
      <c r="V40" s="31"/>
      <c r="W40" s="31"/>
      <c r="X40" s="31"/>
      <c r="Y40" s="31"/>
      <c r="Z40" s="31"/>
      <c r="AA40" s="31"/>
      <c r="AB40" s="45" t="s">
        <v>50</v>
      </c>
      <c r="AC40" s="50">
        <f t="shared" si="8"/>
        <v>0</v>
      </c>
      <c r="AD40" s="51">
        <f t="shared" si="9"/>
        <v>0</v>
      </c>
    </row>
    <row r="41" spans="1:30" ht="22.5" customHeight="1">
      <c r="A41" s="32">
        <v>48</v>
      </c>
      <c r="B41" s="59" t="str">
        <f>VLOOKUP(C41,Lists!I:J,2,FALSE)</f>
        <v>Healer</v>
      </c>
      <c r="C41" s="34" t="str">
        <f>VLOOKUP(E41&amp;D41,Lists!C:E,3,FALSE)</f>
        <v>Wand/Longbow</v>
      </c>
      <c r="D41" s="35" t="s">
        <v>34</v>
      </c>
      <c r="E41" s="36" t="s">
        <v>44</v>
      </c>
      <c r="F41" s="35" t="s">
        <v>483</v>
      </c>
      <c r="G41" s="32">
        <v>1</v>
      </c>
      <c r="H41" s="32">
        <v>64</v>
      </c>
      <c r="I41" s="84">
        <f t="shared" si="0"/>
        <v>65</v>
      </c>
      <c r="J41" s="37">
        <v>60280</v>
      </c>
      <c r="K41" s="37">
        <v>915367</v>
      </c>
      <c r="L41" s="37">
        <v>3982767</v>
      </c>
      <c r="M41" s="38">
        <f>I41/(HLOOKUP(F41,Team_Composition_23[[#All],[Yellow]:[Red]],10,FALSE)+HLOOKUP(F41,Team_Composition_23[[#All],[Yellow]:[Red]],11,FALSE))</f>
        <v>7.9171741778319121E-2</v>
      </c>
      <c r="N41" s="38">
        <f>J41/HLOOKUP(F41,Team_Composition_23[[#All],[Yellow]:[Red]],6,FALSE)</f>
        <v>3.4161868203081767E-3</v>
      </c>
      <c r="O41" s="38">
        <f>K41/HLOOKUP(F41,Team_Composition_23[[#All],[Yellow]:[Red]],8,FALSE)</f>
        <v>2.0796262481104003E-2</v>
      </c>
      <c r="P41" s="38">
        <f>L41/HLOOKUP(F41,Team_Composition_23[[#All],[Yellow]:[Red]],7,FALSE)</f>
        <v>0.16411323049648618</v>
      </c>
      <c r="Q41" s="31"/>
      <c r="R41" s="45" t="s">
        <v>52</v>
      </c>
      <c r="S41" s="46">
        <f t="shared" si="6"/>
        <v>1</v>
      </c>
      <c r="T41" s="47">
        <f t="shared" si="7"/>
        <v>1</v>
      </c>
      <c r="U41" s="31"/>
      <c r="V41" s="31"/>
      <c r="W41" s="31"/>
      <c r="X41" s="31"/>
      <c r="Y41" s="31"/>
      <c r="Z41" s="31"/>
      <c r="AA41" s="31"/>
      <c r="AB41" s="45" t="s">
        <v>52</v>
      </c>
      <c r="AC41" s="50">
        <f t="shared" si="8"/>
        <v>1</v>
      </c>
      <c r="AD41" s="51">
        <f t="shared" si="9"/>
        <v>0</v>
      </c>
    </row>
    <row r="42" spans="1:30" ht="22.5" customHeight="1">
      <c r="A42" s="32">
        <v>70</v>
      </c>
      <c r="B42" s="62" t="str">
        <f>VLOOKUP(C42,Lists!I:J,2,FALSE)</f>
        <v>Healer</v>
      </c>
      <c r="C42" s="34" t="str">
        <f>VLOOKUP(E42&amp;D42,Lists!C:E,3,FALSE)</f>
        <v>Wand/Orb</v>
      </c>
      <c r="D42" s="35" t="s">
        <v>30</v>
      </c>
      <c r="E42" s="36" t="s">
        <v>419</v>
      </c>
      <c r="F42" s="35" t="s">
        <v>476</v>
      </c>
      <c r="G42" s="32">
        <v>0</v>
      </c>
      <c r="H42" s="32">
        <v>65</v>
      </c>
      <c r="I42" s="84">
        <f t="shared" si="0"/>
        <v>65</v>
      </c>
      <c r="J42" s="37">
        <v>12020</v>
      </c>
      <c r="K42" s="37">
        <v>190007</v>
      </c>
      <c r="L42" s="37">
        <v>983224</v>
      </c>
      <c r="M42" s="38">
        <f>I42/(HLOOKUP(F42,Team_Composition_23[[#All],[Yellow]:[Red]],10,FALSE)+HLOOKUP(F42,Team_Composition_23[[#All],[Yellow]:[Red]],11,FALSE))</f>
        <v>1.6245938515371157E-2</v>
      </c>
      <c r="N42" s="38">
        <f>J42/HLOOKUP(F42,Team_Composition_23[[#All],[Yellow]:[Red]],6,FALSE)</f>
        <v>2.7094290000103912E-4</v>
      </c>
      <c r="O42" s="38">
        <f>K42/HLOOKUP(F42,Team_Composition_23[[#All],[Yellow]:[Red]],8,FALSE)</f>
        <v>1.0845914177844635E-2</v>
      </c>
      <c r="P42" s="38">
        <f>L42/HLOOKUP(F42,Team_Composition_23[[#All],[Yellow]:[Red]],7,FALSE)</f>
        <v>7.5955285121238891E-2</v>
      </c>
      <c r="Q42" s="31"/>
      <c r="R42" s="45" t="s">
        <v>32</v>
      </c>
      <c r="S42" s="46">
        <f t="shared" si="6"/>
        <v>1</v>
      </c>
      <c r="T42" s="47">
        <f t="shared" si="7"/>
        <v>3</v>
      </c>
      <c r="U42" s="31"/>
      <c r="V42" s="31"/>
      <c r="W42" s="31"/>
      <c r="X42" s="31"/>
      <c r="Y42" s="31"/>
      <c r="Z42" s="31"/>
      <c r="AA42" s="31"/>
      <c r="AB42" s="45" t="s">
        <v>32</v>
      </c>
      <c r="AC42" s="50">
        <f t="shared" si="8"/>
        <v>3</v>
      </c>
      <c r="AD42" s="51">
        <f t="shared" si="9"/>
        <v>0</v>
      </c>
    </row>
    <row r="43" spans="1:30" ht="22.5" customHeight="1">
      <c r="A43" s="32">
        <v>30</v>
      </c>
      <c r="B43" s="67" t="str">
        <f>VLOOKUP(C43,Lists!I:J,2,FALSE)</f>
        <v>Ranged DPS</v>
      </c>
      <c r="C43" s="34" t="str">
        <f>VLOOKUP(E43&amp;D43,Lists!C:E,3,FALSE)</f>
        <v>Staff/Dagger</v>
      </c>
      <c r="D43" s="35" t="s">
        <v>34</v>
      </c>
      <c r="E43" s="36" t="s">
        <v>76</v>
      </c>
      <c r="F43" s="35" t="s">
        <v>483</v>
      </c>
      <c r="G43" s="32">
        <v>14</v>
      </c>
      <c r="H43" s="32">
        <v>50</v>
      </c>
      <c r="I43" s="84">
        <f t="shared" si="0"/>
        <v>64</v>
      </c>
      <c r="J43" s="37">
        <v>1210460</v>
      </c>
      <c r="K43" s="37">
        <v>1172811</v>
      </c>
      <c r="L43" s="37">
        <v>9765</v>
      </c>
      <c r="M43" s="38">
        <f>I43/(HLOOKUP(F43,Team_Composition_23[[#All],[Yellow]:[Red]],10,FALSE)+HLOOKUP(F43,Team_Composition_23[[#All],[Yellow]:[Red]],11,FALSE))</f>
        <v>7.7953714981729594E-2</v>
      </c>
      <c r="N43" s="38">
        <f>J43/HLOOKUP(F43,Team_Composition_23[[#All],[Yellow]:[Red]],6,FALSE)</f>
        <v>6.8599162218152543E-2</v>
      </c>
      <c r="O43" s="38">
        <f>K43/HLOOKUP(F43,Team_Composition_23[[#All],[Yellow]:[Red]],8,FALSE)</f>
        <v>2.6645143856754795E-2</v>
      </c>
      <c r="P43" s="38">
        <f>L43/HLOOKUP(F43,Team_Composition_23[[#All],[Yellow]:[Red]],7,FALSE)</f>
        <v>4.0237495585310104E-4</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71</v>
      </c>
      <c r="B44" s="66" t="str">
        <f>VLOOKUP(C44,Lists!I:J,2,FALSE)</f>
        <v>Healer</v>
      </c>
      <c r="C44" s="34" t="str">
        <f>VLOOKUP(E44&amp;D44,Lists!C:E,3,FALSE)</f>
        <v>Wand/Orb</v>
      </c>
      <c r="D44" s="35" t="s">
        <v>34</v>
      </c>
      <c r="E44" s="36" t="s">
        <v>146</v>
      </c>
      <c r="F44" s="35" t="s">
        <v>483</v>
      </c>
      <c r="G44" s="32">
        <v>0</v>
      </c>
      <c r="H44" s="32">
        <v>63</v>
      </c>
      <c r="I44" s="84">
        <f t="shared" si="0"/>
        <v>63</v>
      </c>
      <c r="J44" s="37">
        <v>10478</v>
      </c>
      <c r="K44" s="37">
        <v>324688</v>
      </c>
      <c r="L44" s="37">
        <v>1934022</v>
      </c>
      <c r="M44" s="38">
        <f>I44/(HLOOKUP(F44,Team_Composition_23[[#All],[Yellow]:[Red]],10,FALSE)+HLOOKUP(F44,Team_Composition_23[[#All],[Yellow]:[Red]],11,FALSE))</f>
        <v>7.6735688185140066E-2</v>
      </c>
      <c r="N44" s="38">
        <f>J44/HLOOKUP(F44,Team_Composition_23[[#All],[Yellow]:[Red]],6,FALSE)</f>
        <v>5.9380898313186913E-4</v>
      </c>
      <c r="O44" s="38">
        <f>K44/HLOOKUP(F44,Team_Composition_23[[#All],[Yellow]:[Red]],8,FALSE)</f>
        <v>7.3766007213114486E-3</v>
      </c>
      <c r="P44" s="38">
        <f>L44/HLOOKUP(F44,Team_Composition_23[[#All],[Yellow]:[Red]],7,FALSE)</f>
        <v>7.9692986878538263E-2</v>
      </c>
      <c r="Q44" s="31"/>
      <c r="R44" s="45" t="s">
        <v>58</v>
      </c>
      <c r="S44" s="46">
        <f t="shared" si="6"/>
        <v>2</v>
      </c>
      <c r="T44" s="47">
        <f t="shared" si="7"/>
        <v>1</v>
      </c>
      <c r="U44" s="31"/>
      <c r="V44" s="31"/>
      <c r="W44" s="31"/>
      <c r="X44" s="31"/>
      <c r="Y44" s="31"/>
      <c r="Z44" s="31"/>
      <c r="AA44" s="31"/>
      <c r="AB44" s="45" t="s">
        <v>58</v>
      </c>
      <c r="AC44" s="50">
        <f t="shared" si="8"/>
        <v>1</v>
      </c>
      <c r="AD44" s="51">
        <f t="shared" si="9"/>
        <v>0</v>
      </c>
    </row>
    <row r="45" spans="1:30" ht="22.5" customHeight="1">
      <c r="A45" s="32">
        <v>72</v>
      </c>
      <c r="B45" s="52" t="str">
        <f>VLOOKUP(C45,Lists!I:J,2,FALSE)</f>
        <v>Healer</v>
      </c>
      <c r="C45" s="34" t="str">
        <f>VLOOKUP(E45&amp;D45,Lists!C:E,3,FALSE)</f>
        <v>Wand/Longbow</v>
      </c>
      <c r="D45" s="35" t="s">
        <v>34</v>
      </c>
      <c r="E45" s="36" t="s">
        <v>149</v>
      </c>
      <c r="F45" s="35" t="s">
        <v>483</v>
      </c>
      <c r="G45" s="32">
        <v>0</v>
      </c>
      <c r="H45" s="32">
        <v>59</v>
      </c>
      <c r="I45" s="84">
        <f t="shared" si="0"/>
        <v>59</v>
      </c>
      <c r="J45" s="37">
        <v>52934</v>
      </c>
      <c r="K45" s="37">
        <v>919961</v>
      </c>
      <c r="L45" s="37">
        <v>2598138</v>
      </c>
      <c r="M45" s="38">
        <f>I45/(HLOOKUP(F45,Team_Composition_23[[#All],[Yellow]:[Red]],10,FALSE)+HLOOKUP(F45,Team_Composition_23[[#All],[Yellow]:[Red]],11,FALSE))</f>
        <v>7.186358099878197E-2</v>
      </c>
      <c r="N45" s="38">
        <f>J45/HLOOKUP(F45,Team_Composition_23[[#All],[Yellow]:[Red]],6,FALSE)</f>
        <v>2.9998744715692273E-3</v>
      </c>
      <c r="O45" s="38">
        <f>K45/HLOOKUP(F45,Team_Composition_23[[#All],[Yellow]:[Red]],8,FALSE)</f>
        <v>2.0900633765887258E-2</v>
      </c>
      <c r="P45" s="38">
        <f>L45/HLOOKUP(F45,Team_Composition_23[[#All],[Yellow]:[Red]],7,FALSE)</f>
        <v>0.10705843963648379</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34</v>
      </c>
      <c r="B46" s="60" t="str">
        <f>VLOOKUP(C46,Lists!I:J,2,FALSE)</f>
        <v>Tank</v>
      </c>
      <c r="C46" s="34" t="str">
        <f>VLOOKUP(E46&amp;D46,Lists!C:E,3,FALSE)</f>
        <v>SnS/Greatsword</v>
      </c>
      <c r="D46" s="35" t="s">
        <v>34</v>
      </c>
      <c r="E46" s="36" t="s">
        <v>173</v>
      </c>
      <c r="F46" s="35" t="s">
        <v>483</v>
      </c>
      <c r="G46" s="32">
        <v>7</v>
      </c>
      <c r="H46" s="32">
        <v>51</v>
      </c>
      <c r="I46" s="84">
        <f t="shared" si="0"/>
        <v>58</v>
      </c>
      <c r="J46" s="37">
        <v>431820</v>
      </c>
      <c r="K46" s="37">
        <v>406903</v>
      </c>
      <c r="L46" s="37">
        <v>35767</v>
      </c>
      <c r="M46" s="38">
        <f>I46/(HLOOKUP(F46,Team_Composition_23[[#All],[Yellow]:[Red]],10,FALSE)+HLOOKUP(F46,Team_Composition_23[[#All],[Yellow]:[Red]],11,FALSE))</f>
        <v>7.0645554202192443E-2</v>
      </c>
      <c r="N46" s="38">
        <f>J46/HLOOKUP(F46,Team_Composition_23[[#All],[Yellow]:[Red]],6,FALSE)</f>
        <v>2.4472093443023837E-2</v>
      </c>
      <c r="O46" s="38">
        <f>K46/HLOOKUP(F46,Team_Composition_23[[#All],[Yellow]:[Red]],8,FALSE)</f>
        <v>9.2444468637701196E-3</v>
      </c>
      <c r="P46" s="38">
        <f>L46/HLOOKUP(F46,Team_Composition_23[[#All],[Yellow]:[Red]],7,FALSE)</f>
        <v>1.4738090164872365E-3</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36</v>
      </c>
      <c r="B47" s="53" t="str">
        <f>VLOOKUP(C47,Lists!I:J,2,FALSE)</f>
        <v>Melee DPS</v>
      </c>
      <c r="C47" s="34" t="str">
        <f>VLOOKUP(E47&amp;D47,Lists!C:E,3,FALSE)</f>
        <v>Greatsword/Spear</v>
      </c>
      <c r="D47" s="35" t="s">
        <v>30</v>
      </c>
      <c r="E47" s="36" t="s">
        <v>398</v>
      </c>
      <c r="F47" s="35" t="s">
        <v>476</v>
      </c>
      <c r="G47" s="32">
        <v>5</v>
      </c>
      <c r="H47" s="32">
        <v>53</v>
      </c>
      <c r="I47" s="84">
        <f t="shared" si="0"/>
        <v>58</v>
      </c>
      <c r="J47" s="37">
        <v>1089150</v>
      </c>
      <c r="K47" s="37">
        <v>1869417</v>
      </c>
      <c r="L47" s="37">
        <v>122760</v>
      </c>
      <c r="M47" s="38">
        <f>I47/(HLOOKUP(F47,Team_Composition_23[[#All],[Yellow]:[Red]],10,FALSE)+HLOOKUP(F47,Team_Composition_23[[#All],[Yellow]:[Red]],11,FALSE))</f>
        <v>1.4496375906023495E-2</v>
      </c>
      <c r="N47" s="38">
        <f>J47/HLOOKUP(F47,Team_Composition_23[[#All],[Yellow]:[Red]],6,FALSE)</f>
        <v>2.4550537399012626E-2</v>
      </c>
      <c r="O47" s="38">
        <f>K47/HLOOKUP(F47,Team_Composition_23[[#All],[Yellow]:[Red]],8,FALSE)</f>
        <v>0.10670941778252266</v>
      </c>
      <c r="P47" s="38">
        <f>L47/HLOOKUP(F47,Team_Composition_23[[#All],[Yellow]:[Red]],7,FALSE)</f>
        <v>9.4833637111007112E-3</v>
      </c>
      <c r="Q47" s="31"/>
      <c r="R47" s="48"/>
      <c r="S47" s="63"/>
      <c r="T47" s="63"/>
      <c r="U47" s="31"/>
      <c r="V47" s="31"/>
      <c r="W47" s="31"/>
      <c r="X47" s="31"/>
      <c r="Y47" s="31"/>
      <c r="Z47" s="31"/>
      <c r="AA47" s="31"/>
      <c r="AB47" s="48"/>
      <c r="AC47" s="63"/>
      <c r="AD47" s="63"/>
    </row>
    <row r="48" spans="1:30" ht="22.5" customHeight="1">
      <c r="A48" s="32">
        <v>73</v>
      </c>
      <c r="B48" s="33" t="str">
        <f>VLOOKUP(C48,Lists!I:J,2,FALSE)</f>
        <v>Healer</v>
      </c>
      <c r="C48" s="34" t="str">
        <f>VLOOKUP(E48&amp;D48,Lists!C:E,3,FALSE)</f>
        <v>Wand/Longbow</v>
      </c>
      <c r="D48" s="35" t="s">
        <v>34</v>
      </c>
      <c r="E48" s="36" t="s">
        <v>165</v>
      </c>
      <c r="F48" s="35" t="s">
        <v>483</v>
      </c>
      <c r="G48" s="32">
        <v>0</v>
      </c>
      <c r="H48" s="32">
        <v>57</v>
      </c>
      <c r="I48" s="84">
        <f t="shared" si="0"/>
        <v>57</v>
      </c>
      <c r="J48" s="37">
        <v>53044</v>
      </c>
      <c r="K48" s="37">
        <v>616740</v>
      </c>
      <c r="L48" s="37">
        <v>1697805</v>
      </c>
      <c r="M48" s="38">
        <f>I48/(HLOOKUP(F48,Team_Composition_23[[#All],[Yellow]:[Red]],10,FALSE)+HLOOKUP(F48,Team_Composition_23[[#All],[Yellow]:[Red]],11,FALSE))</f>
        <v>6.9427527405602929E-2</v>
      </c>
      <c r="N48" s="38">
        <f>J48/HLOOKUP(F48,Team_Composition_23[[#All],[Yellow]:[Red]],6,FALSE)</f>
        <v>3.0061083891245342E-3</v>
      </c>
      <c r="O48" s="38">
        <f>K48/HLOOKUP(F48,Team_Composition_23[[#All],[Yellow]:[Red]],8,FALSE)</f>
        <v>1.4011742746456977E-2</v>
      </c>
      <c r="P48" s="38">
        <f>L48/HLOOKUP(F48,Team_Composition_23[[#All],[Yellow]:[Red]],7,FALSE)</f>
        <v>6.9959468706827871E-2</v>
      </c>
      <c r="Q48" s="31"/>
      <c r="R48" s="31"/>
      <c r="S48" s="64"/>
      <c r="T48" s="64"/>
      <c r="U48" s="31"/>
      <c r="V48" s="31"/>
      <c r="W48" s="31"/>
      <c r="X48" s="31"/>
      <c r="Y48" s="31"/>
      <c r="Z48" s="31"/>
      <c r="AA48" s="31"/>
      <c r="AB48" s="31"/>
      <c r="AC48" s="64"/>
      <c r="AD48" s="64"/>
    </row>
    <row r="49" spans="1:30" ht="22.5" customHeight="1">
      <c r="A49" s="32">
        <v>41</v>
      </c>
      <c r="B49" s="59" t="str">
        <f>VLOOKUP(C49,Lists!I:J,2,FALSE)</f>
        <v>Healer</v>
      </c>
      <c r="C49" s="34" t="str">
        <f>VLOOKUP(E49&amp;D49,Lists!C:E,3,FALSE)</f>
        <v>Wand/Greatsword</v>
      </c>
      <c r="D49" s="35" t="s">
        <v>30</v>
      </c>
      <c r="E49" s="36" t="s">
        <v>415</v>
      </c>
      <c r="F49" s="35" t="s">
        <v>476</v>
      </c>
      <c r="G49" s="32">
        <v>2</v>
      </c>
      <c r="H49" s="32">
        <v>53</v>
      </c>
      <c r="I49" s="84">
        <f t="shared" si="0"/>
        <v>55</v>
      </c>
      <c r="J49" s="37">
        <v>639631</v>
      </c>
      <c r="K49" s="37">
        <v>1117634</v>
      </c>
      <c r="L49" s="37">
        <v>212359</v>
      </c>
      <c r="M49" s="38">
        <f>I49/(HLOOKUP(F49,Team_Composition_23[[#All],[Yellow]:[Red]],10,FALSE)+HLOOKUP(F49,Team_Composition_23[[#All],[Yellow]:[Red]],11,FALSE))</f>
        <v>1.374656335916021E-2</v>
      </c>
      <c r="N49" s="38">
        <f>J49/HLOOKUP(F49,Team_Composition_23[[#All],[Yellow]:[Red]],6,FALSE)</f>
        <v>1.4417926628166778E-2</v>
      </c>
      <c r="O49" s="38">
        <f>K49/HLOOKUP(F49,Team_Composition_23[[#All],[Yellow]:[Red]],8,FALSE)</f>
        <v>6.3796399323399713E-2</v>
      </c>
      <c r="P49" s="38">
        <f>L49/HLOOKUP(F49,Team_Composition_23[[#All],[Yellow]:[Red]],7,FALSE)</f>
        <v>1.6404998650420624E-2</v>
      </c>
      <c r="Q49" s="31"/>
      <c r="R49" s="227" t="s">
        <v>67</v>
      </c>
      <c r="S49" s="228"/>
      <c r="T49" s="228"/>
      <c r="U49" s="31"/>
      <c r="V49" s="31"/>
      <c r="W49" s="31"/>
      <c r="X49" s="31"/>
      <c r="Y49" s="31"/>
      <c r="Z49" s="31"/>
      <c r="AA49" s="31"/>
      <c r="AB49" s="227" t="s">
        <v>67</v>
      </c>
      <c r="AC49" s="228"/>
      <c r="AD49" s="228"/>
    </row>
    <row r="50" spans="1:30" ht="22.5" customHeight="1">
      <c r="A50" s="32">
        <v>74</v>
      </c>
      <c r="B50" s="57" t="str">
        <f>VLOOKUP(C50,Lists!I:J,2,FALSE)</f>
        <v>Healer</v>
      </c>
      <c r="C50" s="34" t="str">
        <f>VLOOKUP(E50&amp;D50,Lists!C:E,3,FALSE)</f>
        <v>Wand/Longbow</v>
      </c>
      <c r="D50" s="35" t="s">
        <v>34</v>
      </c>
      <c r="E50" s="36" t="s">
        <v>106</v>
      </c>
      <c r="F50" s="35" t="s">
        <v>483</v>
      </c>
      <c r="G50" s="32">
        <v>0</v>
      </c>
      <c r="H50" s="32">
        <v>55</v>
      </c>
      <c r="I50" s="84">
        <f t="shared" si="0"/>
        <v>55</v>
      </c>
      <c r="J50" s="37">
        <v>6879</v>
      </c>
      <c r="K50" s="37">
        <v>369706</v>
      </c>
      <c r="L50" s="37">
        <v>1064835</v>
      </c>
      <c r="M50" s="38">
        <f>I50/(HLOOKUP(F50,Team_Composition_23[[#All],[Yellow]:[Red]],10,FALSE)+HLOOKUP(F50,Team_Composition_23[[#All],[Yellow]:[Red]],11,FALSE))</f>
        <v>6.6991473812423874E-2</v>
      </c>
      <c r="N50" s="38">
        <f>J50/HLOOKUP(F50,Team_Composition_23[[#All],[Yellow]:[Red]],6,FALSE)</f>
        <v>3.8984653511778277E-4</v>
      </c>
      <c r="O50" s="38">
        <f>K50/HLOOKUP(F50,Team_Composition_23[[#All],[Yellow]:[Red]],8,FALSE)</f>
        <v>8.3993666112488624E-3</v>
      </c>
      <c r="P50" s="38">
        <f>L50/HLOOKUP(F50,Team_Composition_23[[#All],[Yellow]:[Red]],7,FALSE)</f>
        <v>4.3877412812681704E-2</v>
      </c>
      <c r="Q50" s="31"/>
      <c r="R50" s="41" t="s">
        <v>482</v>
      </c>
      <c r="S50" s="42" t="s">
        <v>476</v>
      </c>
      <c r="T50" s="42" t="s">
        <v>483</v>
      </c>
      <c r="U50" s="31"/>
      <c r="V50" s="31"/>
      <c r="W50" s="31"/>
      <c r="X50" s="31"/>
      <c r="Y50" s="31"/>
      <c r="Z50" s="31"/>
      <c r="AA50" s="31"/>
      <c r="AB50" s="41" t="s">
        <v>482</v>
      </c>
      <c r="AC50" s="42" t="s">
        <v>485</v>
      </c>
      <c r="AD50" s="42" t="s">
        <v>28</v>
      </c>
    </row>
    <row r="51" spans="1:30" ht="22.5" customHeight="1">
      <c r="A51" s="32">
        <v>22</v>
      </c>
      <c r="B51" s="61" t="s">
        <v>25</v>
      </c>
      <c r="C51" s="34" t="str">
        <f>VLOOKUP(E51&amp;D51,Lists!C:E,3,FALSE)</f>
        <v>Greatsword/Dagger</v>
      </c>
      <c r="D51" s="35" t="s">
        <v>34</v>
      </c>
      <c r="E51" s="36" t="s">
        <v>502</v>
      </c>
      <c r="F51" s="35" t="s">
        <v>483</v>
      </c>
      <c r="G51" s="32">
        <v>23</v>
      </c>
      <c r="H51" s="32">
        <v>31</v>
      </c>
      <c r="I51" s="84">
        <f t="shared" si="0"/>
        <v>54</v>
      </c>
      <c r="J51" s="37">
        <v>854160</v>
      </c>
      <c r="K51" s="37">
        <v>1219159</v>
      </c>
      <c r="L51" s="37">
        <v>45316</v>
      </c>
      <c r="M51" s="38">
        <f>I51/(HLOOKUP(F51,Team_Composition_23[[#All],[Yellow]:[Red]],10,FALSE)+HLOOKUP(F51,Team_Composition_23[[#All],[Yellow]:[Red]],11,FALSE))</f>
        <v>6.5773447015834346E-2</v>
      </c>
      <c r="N51" s="38">
        <f>J51/HLOOKUP(F51,Team_Composition_23[[#All],[Yellow]:[Red]],6,FALSE)</f>
        <v>4.8406936536735765E-2</v>
      </c>
      <c r="O51" s="38">
        <f>K51/HLOOKUP(F51,Team_Composition_23[[#All],[Yellow]:[Red]],8,FALSE)</f>
        <v>2.7698126074241561E-2</v>
      </c>
      <c r="P51" s="38">
        <f>L51/HLOOKUP(F51,Team_Composition_23[[#All],[Yellow]:[Red]],7,FALSE)</f>
        <v>1.8672835124873659E-3</v>
      </c>
      <c r="Q51" s="31"/>
      <c r="R51" s="45" t="s">
        <v>468</v>
      </c>
      <c r="S51" s="46">
        <f>SUMIFS(Scoreboard_36[Damage Dealt],Scoreboard_36[Role],"Tank",Scoreboard_36[Team],"Yellow")</f>
        <v>3191031</v>
      </c>
      <c r="T51" s="47">
        <f>SUMIFS(Scoreboard_36[Damage Dealt],Scoreboard_36[Role],"Tank",Scoreboard_36[Team],"Red")</f>
        <v>1810831</v>
      </c>
      <c r="U51" s="31"/>
      <c r="V51" s="31"/>
      <c r="W51" s="31"/>
      <c r="X51" s="31"/>
      <c r="Y51" s="31"/>
      <c r="Z51" s="31"/>
      <c r="AA51" s="31"/>
      <c r="AB51" s="45" t="s">
        <v>468</v>
      </c>
      <c r="AC51" s="50">
        <f>SUMIFS(Scoreboard_36[Damage Dealt],Scoreboard_36[Role],"Tank",Scoreboard_36[Guild],"Best Regards")</f>
        <v>1784577</v>
      </c>
      <c r="AD51" s="51">
        <f>SUMIFS(Scoreboard_36[Damage Dealt],Scoreboard_36[Role],"Tank",Scoreboard_36[Guild],"Undercooked")</f>
        <v>0</v>
      </c>
    </row>
    <row r="52" spans="1:30" ht="22.5" customHeight="1">
      <c r="A52" s="32">
        <v>27</v>
      </c>
      <c r="B52" s="68" t="s">
        <v>25</v>
      </c>
      <c r="C52" s="34" t="str">
        <f>VLOOKUP(E52&amp;D52,Lists!C:E,3,FALSE)</f>
        <v>Crossbow/Dagger</v>
      </c>
      <c r="D52" s="35" t="s">
        <v>30</v>
      </c>
      <c r="E52" s="36" t="s">
        <v>404</v>
      </c>
      <c r="F52" s="35" t="s">
        <v>476</v>
      </c>
      <c r="G52" s="32">
        <v>16</v>
      </c>
      <c r="H52" s="32">
        <v>38</v>
      </c>
      <c r="I52" s="84">
        <f t="shared" si="0"/>
        <v>54</v>
      </c>
      <c r="J52" s="37">
        <v>622074</v>
      </c>
      <c r="K52" s="37">
        <v>491721</v>
      </c>
      <c r="L52" s="37">
        <v>6371</v>
      </c>
      <c r="M52" s="38">
        <f>I52/(HLOOKUP(F52,Team_Composition_23[[#All],[Yellow]:[Red]],10,FALSE)+HLOOKUP(F52,Team_Composition_23[[#All],[Yellow]:[Red]],11,FALSE))</f>
        <v>1.3496625843539115E-2</v>
      </c>
      <c r="N52" s="38">
        <f>J52/HLOOKUP(F52,Team_Composition_23[[#All],[Yellow]:[Red]],6,FALSE)</f>
        <v>1.4022174174313347E-2</v>
      </c>
      <c r="O52" s="38">
        <f>K52/HLOOKUP(F52,Team_Composition_23[[#All],[Yellow]:[Red]],8,FALSE)</f>
        <v>2.8068248882640857E-2</v>
      </c>
      <c r="P52" s="38">
        <f>L52/HLOOKUP(F52,Team_Composition_23[[#All],[Yellow]:[Red]],7,FALSE)</f>
        <v>4.9216772730060793E-4</v>
      </c>
      <c r="Q52" s="31"/>
      <c r="R52" s="45" t="s">
        <v>469</v>
      </c>
      <c r="S52" s="46">
        <f>SUMIFS(Scoreboard_36[Damage Taken],Scoreboard_36[Role],"Tank",Scoreboard_36[Team],"Yellow")</f>
        <v>11420028</v>
      </c>
      <c r="T52" s="47">
        <f>SUMIFS(Scoreboard_36[Damage Taken],Scoreboard_36[Role],"Tank",Scoreboard_36[Team],"Red")</f>
        <v>9461609</v>
      </c>
      <c r="U52" s="31"/>
      <c r="V52" s="31"/>
      <c r="W52" s="31"/>
      <c r="X52" s="31"/>
      <c r="Y52" s="31"/>
      <c r="Z52" s="31"/>
      <c r="AA52" s="31"/>
      <c r="AB52" s="45" t="s">
        <v>469</v>
      </c>
      <c r="AC52" s="50">
        <f>SUMIFS(Scoreboard_36[Damage Taken],Scoreboard_36[Role],"Tank",Scoreboard_36[Guild],"Best Regards")</f>
        <v>9201753</v>
      </c>
      <c r="AD52" s="51">
        <f>SUMIFS(Scoreboard_36[Damage Taken],Scoreboard_36[Role],"Tank",Scoreboard_36[Guild],"Undercooked")</f>
        <v>0</v>
      </c>
    </row>
    <row r="53" spans="1:30" ht="22.5" customHeight="1">
      <c r="A53" s="32">
        <v>75</v>
      </c>
      <c r="B53" s="56" t="str">
        <f>VLOOKUP(C53,Lists!I:J,2,FALSE)</f>
        <v>Healer</v>
      </c>
      <c r="C53" s="34" t="str">
        <f>VLOOKUP(E53&amp;D53,Lists!C:E,3,FALSE)</f>
        <v>Wand/Longbow</v>
      </c>
      <c r="D53" s="35" t="s">
        <v>30</v>
      </c>
      <c r="E53" s="36" t="s">
        <v>191</v>
      </c>
      <c r="F53" s="35" t="s">
        <v>476</v>
      </c>
      <c r="G53" s="32">
        <v>0</v>
      </c>
      <c r="H53" s="32">
        <v>53</v>
      </c>
      <c r="I53" s="84">
        <f t="shared" si="0"/>
        <v>53</v>
      </c>
      <c r="J53" s="37">
        <v>25895</v>
      </c>
      <c r="K53" s="37">
        <v>145696</v>
      </c>
      <c r="L53" s="37">
        <v>659875</v>
      </c>
      <c r="M53" s="38">
        <f>I53/(HLOOKUP(F53,Team_Composition_23[[#All],[Yellow]:[Red]],10,FALSE)+HLOOKUP(F53,Team_Composition_23[[#All],[Yellow]:[Red]],11,FALSE))</f>
        <v>1.324668832791802E-2</v>
      </c>
      <c r="N53" s="38">
        <f>J53/HLOOKUP(F53,Team_Composition_23[[#All],[Yellow]:[Red]],6,FALSE)</f>
        <v>5.8369936734832854E-4</v>
      </c>
      <c r="O53" s="38">
        <f>K53/HLOOKUP(F53,Team_Composition_23[[#All],[Yellow]:[Red]],8,FALSE)</f>
        <v>8.3165689266987627E-3</v>
      </c>
      <c r="P53" s="38">
        <f>L53/HLOOKUP(F53,Team_Composition_23[[#All],[Yellow]:[Red]],7,FALSE)</f>
        <v>5.0976169997251401E-2</v>
      </c>
      <c r="Q53" s="31"/>
      <c r="R53" s="45" t="s">
        <v>470</v>
      </c>
      <c r="S53" s="46">
        <f>SUMIFS(Scoreboard_36[Amount Healed],Scoreboard_36[Role],"Tank",Scoreboard_36[Team],"Yellow")</f>
        <v>3472286</v>
      </c>
      <c r="T53" s="47">
        <f>SUMIFS(Scoreboard_36[Amount Healed],Scoreboard_36[Role],"Tank",Scoreboard_36[Team],"Red")</f>
        <v>934256</v>
      </c>
      <c r="U53" s="31"/>
      <c r="V53" s="31"/>
      <c r="W53" s="31"/>
      <c r="X53" s="31"/>
      <c r="Y53" s="31"/>
      <c r="Z53" s="31"/>
      <c r="AA53" s="31"/>
      <c r="AB53" s="45" t="s">
        <v>470</v>
      </c>
      <c r="AC53" s="50">
        <f>SUMIFS(Scoreboard_36[Amount Healed],Scoreboard_36[Role],"Tank",Scoreboard_36[Guild],"Best Regards")</f>
        <v>836756</v>
      </c>
      <c r="AD53" s="51">
        <f>SUMIFS(Scoreboard_36[Amount Healed],Scoreboard_36[Role],"Tank",Scoreboard_36[Guild],"Undercooked")</f>
        <v>0</v>
      </c>
    </row>
    <row r="54" spans="1:30" ht="22.5" customHeight="1">
      <c r="A54" s="32">
        <v>76</v>
      </c>
      <c r="B54" s="69" t="str">
        <f>VLOOKUP(C54,Lists!I:J,2,FALSE)</f>
        <v>Healer</v>
      </c>
      <c r="C54" s="34" t="str">
        <f>VLOOKUP(E54&amp;D54,Lists!C:E,3,FALSE)</f>
        <v>Wand/Orb</v>
      </c>
      <c r="D54" s="35" t="s">
        <v>34</v>
      </c>
      <c r="E54" s="36" t="s">
        <v>144</v>
      </c>
      <c r="F54" s="35" t="s">
        <v>483</v>
      </c>
      <c r="G54" s="32">
        <v>0</v>
      </c>
      <c r="H54" s="32">
        <v>53</v>
      </c>
      <c r="I54" s="84">
        <f t="shared" si="0"/>
        <v>53</v>
      </c>
      <c r="J54" s="37">
        <v>9451</v>
      </c>
      <c r="K54" s="37">
        <v>553057</v>
      </c>
      <c r="L54" s="37">
        <v>1181162</v>
      </c>
      <c r="M54" s="38">
        <f>I54/(HLOOKUP(F54,Team_Composition_23[[#All],[Yellow]:[Red]],10,FALSE)+HLOOKUP(F54,Team_Composition_23[[#All],[Yellow]:[Red]],11,FALSE))</f>
        <v>6.4555420219244819E-2</v>
      </c>
      <c r="N54" s="38">
        <f>J54/HLOOKUP(F54,Team_Composition_23[[#All],[Yellow]:[Red]],6,FALSE)</f>
        <v>5.3560686195641303E-4</v>
      </c>
      <c r="O54" s="38">
        <f>K54/HLOOKUP(F54,Team_Composition_23[[#All],[Yellow]:[Red]],8,FALSE)</f>
        <v>1.2564925913881466E-2</v>
      </c>
      <c r="P54" s="38">
        <f>L54/HLOOKUP(F54,Team_Composition_23[[#All],[Yellow]:[Red]],7,FALSE)</f>
        <v>4.8670763707666209E-2</v>
      </c>
      <c r="Q54" s="31"/>
      <c r="R54" s="45" t="s">
        <v>465</v>
      </c>
      <c r="S54" s="46">
        <f>SUMIFS(Scoreboard_36[Kills],Scoreboard_36[Role],"Tank",Scoreboard_36[Team],"Yellow")</f>
        <v>24</v>
      </c>
      <c r="T54" s="47">
        <f>SUMIFS(Scoreboard_36[Kills],Scoreboard_36[Role],"Tank",Scoreboard_36[Team],"Red")</f>
        <v>19</v>
      </c>
      <c r="U54" s="31"/>
      <c r="V54" s="31"/>
      <c r="W54" s="31"/>
      <c r="X54" s="31"/>
      <c r="Y54" s="31"/>
      <c r="Z54" s="31"/>
      <c r="AA54" s="31"/>
      <c r="AB54" s="45" t="s">
        <v>465</v>
      </c>
      <c r="AC54" s="50">
        <f>SUMIFS(Scoreboard_36[Kills],Scoreboard_36[Role],"Tank",Scoreboard_36[Guild],"Best Regards")</f>
        <v>19</v>
      </c>
      <c r="AD54" s="51">
        <f>SUMIFS(Scoreboard_36[Kills],Scoreboard_36[Role],"Tank",Scoreboard_36[Guild],"Undercooked")</f>
        <v>0</v>
      </c>
    </row>
    <row r="55" spans="1:30" ht="22.5" customHeight="1">
      <c r="A55" s="32">
        <v>33</v>
      </c>
      <c r="B55" s="56" t="str">
        <f>VLOOKUP(C55,Lists!I:J,2,FALSE)</f>
        <v>Tank</v>
      </c>
      <c r="C55" s="34" t="str">
        <f>VLOOKUP(E55&amp;D55,Lists!C:E,3,FALSE)</f>
        <v>SnS/Greatsword</v>
      </c>
      <c r="D55" s="35" t="s">
        <v>30</v>
      </c>
      <c r="E55" s="36" t="s">
        <v>214</v>
      </c>
      <c r="F55" s="35" t="s">
        <v>476</v>
      </c>
      <c r="G55" s="32">
        <v>9</v>
      </c>
      <c r="H55" s="32">
        <v>43</v>
      </c>
      <c r="I55" s="84">
        <f t="shared" si="0"/>
        <v>52</v>
      </c>
      <c r="J55" s="37">
        <v>640355</v>
      </c>
      <c r="K55" s="37">
        <v>1258739</v>
      </c>
      <c r="L55" s="37">
        <v>42552</v>
      </c>
      <c r="M55" s="38">
        <f>I55/(HLOOKUP(F55,Team_Composition_23[[#All],[Yellow]:[Red]],10,FALSE)+HLOOKUP(F55,Team_Composition_23[[#All],[Yellow]:[Red]],11,FALSE))</f>
        <v>1.2996750812296926E-2</v>
      </c>
      <c r="N55" s="38">
        <f>J55/HLOOKUP(F55,Team_Composition_23[[#All],[Yellow]:[Red]],6,FALSE)</f>
        <v>1.4434246316985476E-2</v>
      </c>
      <c r="O55" s="38">
        <f>K55/HLOOKUP(F55,Team_Composition_23[[#All],[Yellow]:[Red]],8,FALSE)</f>
        <v>7.1850906368217893E-2</v>
      </c>
      <c r="P55" s="38">
        <f>L55/HLOOKUP(F55,Team_Composition_23[[#All],[Yellow]:[Red]],7,FALSE)</f>
        <v>3.2871952805047042E-3</v>
      </c>
      <c r="Q55" s="31"/>
      <c r="R55" s="45" t="s">
        <v>466</v>
      </c>
      <c r="S55" s="46">
        <f>SUMIFS(Scoreboard_36[Assists],Scoreboard_36[Role],"Tank",Scoreboard_36[Team],"Yellow")</f>
        <v>407</v>
      </c>
      <c r="T55" s="47">
        <f>SUMIFS(Scoreboard_36[Assists],Scoreboard_36[Role],"Tank",Scoreboard_36[Team],"Red")</f>
        <v>340</v>
      </c>
      <c r="U55" s="31"/>
      <c r="V55" s="31"/>
      <c r="W55" s="31"/>
      <c r="X55" s="31"/>
      <c r="Y55" s="31"/>
      <c r="Z55" s="31"/>
      <c r="AA55" s="31"/>
      <c r="AB55" s="45" t="s">
        <v>466</v>
      </c>
      <c r="AC55" s="50">
        <f>SUMIFS(Scoreboard_36[Assists],Scoreboard_36[Role],"Tank",Scoreboard_36[Guild],"Best Regards")</f>
        <v>336</v>
      </c>
      <c r="AD55" s="51">
        <f>SUMIFS(Scoreboard_36[Assists],Scoreboard_36[Role],"Tank",Scoreboard_36[Guild],"Undercooked")</f>
        <v>0</v>
      </c>
    </row>
    <row r="56" spans="1:30" ht="22.5" customHeight="1">
      <c r="A56" s="32">
        <v>49</v>
      </c>
      <c r="B56" s="60" t="str">
        <f>VLOOKUP(C56,Lists!I:J,2,FALSE)</f>
        <v>Healer</v>
      </c>
      <c r="C56" s="34" t="str">
        <f>VLOOKUP(E56&amp;D56,Lists!C:E,3,FALSE)</f>
        <v>Wand/Longbow</v>
      </c>
      <c r="D56" s="35" t="s">
        <v>30</v>
      </c>
      <c r="E56" s="36" t="s">
        <v>420</v>
      </c>
      <c r="F56" s="35" t="s">
        <v>476</v>
      </c>
      <c r="G56" s="32">
        <v>1</v>
      </c>
      <c r="H56" s="32">
        <v>51</v>
      </c>
      <c r="I56" s="84">
        <f t="shared" si="0"/>
        <v>52</v>
      </c>
      <c r="J56" s="37">
        <v>37905</v>
      </c>
      <c r="K56" s="37">
        <v>542751</v>
      </c>
      <c r="L56" s="37">
        <v>1689251</v>
      </c>
      <c r="M56" s="38">
        <f>I56/(HLOOKUP(F56,Team_Composition_23[[#All],[Yellow]:[Red]],10,FALSE)+HLOOKUP(F56,Team_Composition_23[[#All],[Yellow]:[Red]],11,FALSE))</f>
        <v>1.2996750812296926E-2</v>
      </c>
      <c r="N56" s="38">
        <f>J56/HLOOKUP(F56,Team_Composition_23[[#All],[Yellow]:[Red]],6,FALSE)</f>
        <v>8.5441685728281102E-4</v>
      </c>
      <c r="O56" s="38">
        <f>K56/HLOOKUP(F56,Team_Composition_23[[#All],[Yellow]:[Red]],8,FALSE)</f>
        <v>3.0981125779257358E-2</v>
      </c>
      <c r="P56" s="38">
        <f>L56/HLOOKUP(F56,Team_Composition_23[[#All],[Yellow]:[Red]],7,FALSE)</f>
        <v>0.13049675490665191</v>
      </c>
      <c r="Q56" s="31"/>
      <c r="R56" s="45" t="s">
        <v>62</v>
      </c>
      <c r="S56" s="46">
        <f t="shared" ref="S56:S60" si="10">COUNTIFS(C:C,R56,F:F,"Yellow")</f>
        <v>3</v>
      </c>
      <c r="T56" s="47">
        <f t="shared" ref="T56:T60" si="11">COUNTIFS(C:C,R56,F:F,"Red")</f>
        <v>2</v>
      </c>
      <c r="U56" s="31"/>
      <c r="V56" s="31"/>
      <c r="W56" s="31"/>
      <c r="X56" s="31"/>
      <c r="Y56" s="31"/>
      <c r="Z56" s="31"/>
      <c r="AA56" s="31"/>
      <c r="AB56" s="45" t="s">
        <v>62</v>
      </c>
      <c r="AC56" s="50">
        <f t="shared" ref="AC56:AC60" si="12">COUNTIFS(C:C,AB56,D:D,"Best Regards")</f>
        <v>3</v>
      </c>
      <c r="AD56" s="51">
        <f t="shared" ref="AD56:AD60" si="13">COUNTIFS(C:C,AB56,D:D,"Undercooked")</f>
        <v>0</v>
      </c>
    </row>
    <row r="57" spans="1:30" ht="22.5" customHeight="1">
      <c r="A57" s="32">
        <v>77</v>
      </c>
      <c r="B57" s="54" t="str">
        <f>VLOOKUP(C57,Lists!I:J,2,FALSE)</f>
        <v>Healer</v>
      </c>
      <c r="C57" s="34" t="str">
        <f>VLOOKUP(E57&amp;D57,Lists!C:E,3,FALSE)</f>
        <v>Wand/Orb</v>
      </c>
      <c r="D57" s="35" t="s">
        <v>34</v>
      </c>
      <c r="E57" s="36" t="s">
        <v>164</v>
      </c>
      <c r="F57" s="35" t="s">
        <v>483</v>
      </c>
      <c r="G57" s="32">
        <v>0</v>
      </c>
      <c r="H57" s="32">
        <v>52</v>
      </c>
      <c r="I57" s="84">
        <f t="shared" si="0"/>
        <v>52</v>
      </c>
      <c r="J57" s="37">
        <v>9679</v>
      </c>
      <c r="K57" s="37">
        <v>378730</v>
      </c>
      <c r="L57" s="37">
        <v>681996</v>
      </c>
      <c r="M57" s="38">
        <f>I57/(HLOOKUP(F57,Team_Composition_23[[#All],[Yellow]:[Red]],10,FALSE)+HLOOKUP(F57,Team_Composition_23[[#All],[Yellow]:[Red]],11,FALSE))</f>
        <v>6.3337393422655291E-2</v>
      </c>
      <c r="N57" s="38">
        <f>J57/HLOOKUP(F57,Team_Composition_23[[#All],[Yellow]:[Red]],6,FALSE)</f>
        <v>5.4852807288923095E-4</v>
      </c>
      <c r="O57" s="38">
        <f>K57/HLOOKUP(F57,Team_Composition_23[[#All],[Yellow]:[Red]],8,FALSE)</f>
        <v>8.6043832577190563E-3</v>
      </c>
      <c r="P57" s="38">
        <f>L57/HLOOKUP(F57,Team_Composition_23[[#All],[Yellow]:[Red]],7,FALSE)</f>
        <v>2.810221304577486E-2</v>
      </c>
      <c r="Q57" s="31"/>
      <c r="R57" s="45" t="s">
        <v>70</v>
      </c>
      <c r="S57" s="46">
        <f t="shared" si="10"/>
        <v>0</v>
      </c>
      <c r="T57" s="47">
        <f t="shared" si="11"/>
        <v>1</v>
      </c>
      <c r="U57" s="31"/>
      <c r="V57" s="31"/>
      <c r="W57" s="31"/>
      <c r="X57" s="31"/>
      <c r="Y57" s="31"/>
      <c r="Z57" s="31"/>
      <c r="AA57" s="31"/>
      <c r="AB57" s="45" t="s">
        <v>70</v>
      </c>
      <c r="AC57" s="50">
        <f t="shared" si="12"/>
        <v>1</v>
      </c>
      <c r="AD57" s="51">
        <f t="shared" si="13"/>
        <v>0</v>
      </c>
    </row>
    <row r="58" spans="1:30" ht="22.5" customHeight="1">
      <c r="A58" s="32">
        <v>29</v>
      </c>
      <c r="B58" s="34" t="str">
        <f>VLOOKUP(C58,Lists!I:J,2,FALSE)</f>
        <v>KS</v>
      </c>
      <c r="C58" s="34" t="str">
        <f>VLOOKUP(E58&amp;D58,Lists!C:E,3,FALSE)</f>
        <v>Crossbow/Dagger</v>
      </c>
      <c r="D58" s="35" t="s">
        <v>34</v>
      </c>
      <c r="E58" s="36" t="s">
        <v>161</v>
      </c>
      <c r="F58" s="35" t="s">
        <v>483</v>
      </c>
      <c r="G58" s="32">
        <v>15</v>
      </c>
      <c r="H58" s="32">
        <v>35</v>
      </c>
      <c r="I58" s="84">
        <f t="shared" si="0"/>
        <v>50</v>
      </c>
      <c r="J58" s="37">
        <v>844344</v>
      </c>
      <c r="K58" s="37">
        <v>941126</v>
      </c>
      <c r="L58" s="37">
        <v>36357</v>
      </c>
      <c r="M58" s="38">
        <f>I58/(HLOOKUP(F58,Team_Composition_23[[#All],[Yellow]:[Red]],10,FALSE)+HLOOKUP(F58,Team_Composition_23[[#All],[Yellow]:[Red]],11,FALSE))</f>
        <v>6.090133982947625E-2</v>
      </c>
      <c r="N58" s="38">
        <f>J58/HLOOKUP(F58,Team_Composition_23[[#All],[Yellow]:[Red]],6,FALSE)</f>
        <v>4.7850644402891288E-2</v>
      </c>
      <c r="O58" s="38">
        <f>K58/HLOOKUP(F58,Team_Composition_23[[#All],[Yellow]:[Red]],8,FALSE)</f>
        <v>2.1381482316700829E-2</v>
      </c>
      <c r="P58" s="38">
        <f>L58/HLOOKUP(F58,Team_Composition_23[[#All],[Yellow]:[Red]],7,FALSE)</f>
        <v>1.4981204577522984E-3</v>
      </c>
      <c r="Q58" s="31"/>
      <c r="R58" s="45" t="s">
        <v>14</v>
      </c>
      <c r="S58" s="46">
        <f t="shared" si="10"/>
        <v>9</v>
      </c>
      <c r="T58" s="47">
        <f t="shared" si="11"/>
        <v>10</v>
      </c>
      <c r="U58" s="31"/>
      <c r="V58" s="31"/>
      <c r="W58" s="31"/>
      <c r="X58" s="31"/>
      <c r="Y58" s="31"/>
      <c r="Z58" s="31"/>
      <c r="AA58" s="31"/>
      <c r="AB58" s="45" t="s">
        <v>14</v>
      </c>
      <c r="AC58" s="50">
        <f t="shared" si="12"/>
        <v>9</v>
      </c>
      <c r="AD58" s="51">
        <f t="shared" si="13"/>
        <v>0</v>
      </c>
    </row>
    <row r="59" spans="1:30" ht="22.5" customHeight="1">
      <c r="A59" s="32">
        <v>32</v>
      </c>
      <c r="B59" s="54" t="str">
        <f>VLOOKUP(C59,Lists!I:J,2,FALSE)</f>
        <v>Ranged DPS</v>
      </c>
      <c r="C59" s="34" t="str">
        <f>VLOOKUP(E59&amp;D59,Lists!C:E,3,FALSE)</f>
        <v>Staff/Orb</v>
      </c>
      <c r="D59" s="35" t="s">
        <v>30</v>
      </c>
      <c r="E59" s="36" t="s">
        <v>231</v>
      </c>
      <c r="F59" s="35" t="s">
        <v>476</v>
      </c>
      <c r="G59" s="32">
        <v>13</v>
      </c>
      <c r="H59" s="32">
        <v>37</v>
      </c>
      <c r="I59" s="84">
        <f t="shared" si="0"/>
        <v>50</v>
      </c>
      <c r="J59" s="37">
        <v>1270383</v>
      </c>
      <c r="K59" s="37">
        <v>1109903</v>
      </c>
      <c r="L59" s="37">
        <v>0</v>
      </c>
      <c r="M59" s="38">
        <f>I59/(HLOOKUP(F59,Team_Composition_23[[#All],[Yellow]:[Red]],10,FALSE)+HLOOKUP(F59,Team_Composition_23[[#All],[Yellow]:[Red]],11,FALSE))</f>
        <v>1.2496875781054736E-2</v>
      </c>
      <c r="N59" s="38">
        <f>J59/HLOOKUP(F59,Team_Composition_23[[#All],[Yellow]:[Red]],6,FALSE)</f>
        <v>2.8635711658237945E-2</v>
      </c>
      <c r="O59" s="38">
        <f>K59/HLOOKUP(F59,Team_Composition_23[[#All],[Yellow]:[Red]],8,FALSE)</f>
        <v>6.3355101042236836E-2</v>
      </c>
      <c r="P59" s="38">
        <f>L59/HLOOKUP(F59,Team_Composition_23[[#All],[Yellow]:[Red]],7,FALSE)</f>
        <v>0</v>
      </c>
      <c r="Q59" s="31"/>
      <c r="R59" s="45" t="s">
        <v>73</v>
      </c>
      <c r="S59" s="46">
        <f t="shared" si="10"/>
        <v>1</v>
      </c>
      <c r="T59" s="47">
        <f t="shared" si="11"/>
        <v>1</v>
      </c>
      <c r="U59" s="31"/>
      <c r="V59" s="31"/>
      <c r="W59" s="31"/>
      <c r="X59" s="31"/>
      <c r="Y59" s="31"/>
      <c r="Z59" s="31"/>
      <c r="AA59" s="31"/>
      <c r="AB59" s="45" t="s">
        <v>73</v>
      </c>
      <c r="AC59" s="50">
        <f t="shared" si="12"/>
        <v>1</v>
      </c>
      <c r="AD59" s="51">
        <f t="shared" si="13"/>
        <v>0</v>
      </c>
    </row>
    <row r="60" spans="1:30" ht="22.5" customHeight="1">
      <c r="A60" s="32">
        <v>78</v>
      </c>
      <c r="B60" s="33" t="str">
        <f>VLOOKUP(C60,Lists!I:J,2,FALSE)</f>
        <v>Healer</v>
      </c>
      <c r="C60" s="34" t="str">
        <f>VLOOKUP(E60&amp;D60,Lists!C:E,3,FALSE)</f>
        <v>Wand/Orb</v>
      </c>
      <c r="D60" s="35" t="s">
        <v>34</v>
      </c>
      <c r="E60" s="36" t="s">
        <v>74</v>
      </c>
      <c r="F60" s="35" t="s">
        <v>483</v>
      </c>
      <c r="G60" s="32">
        <v>0</v>
      </c>
      <c r="H60" s="32">
        <v>50</v>
      </c>
      <c r="I60" s="84">
        <f t="shared" si="0"/>
        <v>50</v>
      </c>
      <c r="J60" s="37">
        <v>12529</v>
      </c>
      <c r="K60" s="37">
        <v>593300</v>
      </c>
      <c r="L60" s="37">
        <v>793900</v>
      </c>
      <c r="M60" s="38">
        <f>I60/(HLOOKUP(F60,Team_Composition_23[[#All],[Yellow]:[Red]],10,FALSE)+HLOOKUP(F60,Team_Composition_23[[#All],[Yellow]:[Red]],11,FALSE))</f>
        <v>6.090133982947625E-2</v>
      </c>
      <c r="N60" s="38">
        <f>J60/HLOOKUP(F60,Team_Composition_23[[#All],[Yellow]:[Red]],6,FALSE)</f>
        <v>7.1004320954945498E-4</v>
      </c>
      <c r="O60" s="38">
        <f>K60/HLOOKUP(F60,Team_Composition_23[[#All],[Yellow]:[Red]],8,FALSE)</f>
        <v>1.3479208372203724E-2</v>
      </c>
      <c r="P60" s="38">
        <f>L60/HLOOKUP(F60,Team_Composition_23[[#All],[Yellow]:[Red]],7,FALSE)</f>
        <v>3.2713310542936705E-2</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40</v>
      </c>
      <c r="B61" s="54" t="str">
        <f>VLOOKUP(C61,Lists!I:J,2,FALSE)</f>
        <v>Tank</v>
      </c>
      <c r="C61" s="34" t="str">
        <f>VLOOKUP(E61&amp;D61,Lists!C:E,3,FALSE)</f>
        <v>SnS/Greatsword</v>
      </c>
      <c r="D61" s="35" t="s">
        <v>30</v>
      </c>
      <c r="E61" s="36" t="s">
        <v>507</v>
      </c>
      <c r="F61" s="35" t="s">
        <v>476</v>
      </c>
      <c r="G61" s="32">
        <v>3</v>
      </c>
      <c r="H61" s="32">
        <v>44</v>
      </c>
      <c r="I61" s="84">
        <f t="shared" si="0"/>
        <v>47</v>
      </c>
      <c r="J61" s="37">
        <v>232950</v>
      </c>
      <c r="K61" s="37">
        <v>701309</v>
      </c>
      <c r="L61" s="37">
        <v>67429</v>
      </c>
      <c r="M61" s="38">
        <f>I61/(HLOOKUP(F61,Team_Composition_23[[#All],[Yellow]:[Red]],10,FALSE)+HLOOKUP(F61,Team_Composition_23[[#All],[Yellow]:[Red]],11,FALSE))</f>
        <v>1.1747063234191453E-2</v>
      </c>
      <c r="N61" s="38">
        <f>J61/HLOOKUP(F61,Team_Composition_23[[#All],[Yellow]:[Red]],6,FALSE)</f>
        <v>5.2509275004361125E-3</v>
      </c>
      <c r="O61" s="38">
        <f>K61/HLOOKUP(F61,Team_Composition_23[[#All],[Yellow]:[Red]],8,FALSE)</f>
        <v>4.003187896314369E-2</v>
      </c>
      <c r="P61" s="38">
        <f>L61/HLOOKUP(F61,Team_Composition_23[[#All],[Yellow]:[Red]],7,FALSE)</f>
        <v>5.208974679666095E-3</v>
      </c>
      <c r="Q61" s="31"/>
      <c r="R61" s="48"/>
      <c r="S61" s="63"/>
      <c r="T61" s="63"/>
      <c r="U61" s="31"/>
      <c r="V61" s="31"/>
      <c r="W61" s="31"/>
      <c r="X61" s="31"/>
      <c r="Y61" s="31"/>
      <c r="Z61" s="31"/>
      <c r="AA61" s="31"/>
      <c r="AB61" s="48"/>
      <c r="AC61" s="63"/>
      <c r="AD61" s="63"/>
    </row>
    <row r="62" spans="1:30" ht="22.5" customHeight="1">
      <c r="A62" s="32">
        <v>50</v>
      </c>
      <c r="B62" s="62" t="str">
        <f>VLOOKUP(C62,Lists!I:J,2,FALSE)</f>
        <v>Healer</v>
      </c>
      <c r="C62" s="34" t="str">
        <f>VLOOKUP(E62&amp;D62,Lists!C:E,3,FALSE)</f>
        <v>Wand/Longbow</v>
      </c>
      <c r="D62" s="35" t="s">
        <v>30</v>
      </c>
      <c r="E62" s="36" t="s">
        <v>414</v>
      </c>
      <c r="F62" s="35" t="s">
        <v>476</v>
      </c>
      <c r="G62" s="32">
        <v>1</v>
      </c>
      <c r="H62" s="32">
        <v>45</v>
      </c>
      <c r="I62" s="84">
        <f t="shared" si="0"/>
        <v>46</v>
      </c>
      <c r="J62" s="37">
        <v>79540</v>
      </c>
      <c r="K62" s="37">
        <v>781969</v>
      </c>
      <c r="L62" s="37">
        <v>2149137</v>
      </c>
      <c r="M62" s="38">
        <f>I62/(HLOOKUP(F62,Team_Composition_23[[#All],[Yellow]:[Red]],10,FALSE)+HLOOKUP(F62,Team_Composition_23[[#All],[Yellow]:[Red]],11,FALSE))</f>
        <v>1.1497125718570358E-2</v>
      </c>
      <c r="N62" s="38">
        <f>J62/HLOOKUP(F62,Team_Composition_23[[#All],[Yellow]:[Red]],6,FALSE)</f>
        <v>1.7929116693912357E-3</v>
      </c>
      <c r="O62" s="38">
        <f>K62/HLOOKUP(F62,Team_Composition_23[[#All],[Yellow]:[Red]],8,FALSE)</f>
        <v>4.4636085321777569E-2</v>
      </c>
      <c r="P62" s="38">
        <f>L62/HLOOKUP(F62,Team_Composition_23[[#All],[Yellow]:[Red]],7,FALSE)</f>
        <v>0.16602352424229269</v>
      </c>
      <c r="Q62" s="31"/>
      <c r="R62" s="31"/>
      <c r="S62" s="64"/>
      <c r="T62" s="64"/>
      <c r="U62" s="31"/>
      <c r="V62" s="31"/>
      <c r="W62" s="31"/>
      <c r="X62" s="31"/>
      <c r="Y62" s="31"/>
      <c r="Z62" s="31"/>
      <c r="AA62" s="31"/>
      <c r="AB62" s="31"/>
      <c r="AC62" s="64"/>
      <c r="AD62" s="64"/>
    </row>
    <row r="63" spans="1:30" ht="22.5" customHeight="1">
      <c r="A63" s="32">
        <v>79</v>
      </c>
      <c r="B63" s="65" t="str">
        <f>VLOOKUP(C63,Lists!I:J,2,FALSE)</f>
        <v>Tank</v>
      </c>
      <c r="C63" s="34" t="s">
        <v>14</v>
      </c>
      <c r="D63" s="35" t="s">
        <v>30</v>
      </c>
      <c r="E63" s="36" t="s">
        <v>187</v>
      </c>
      <c r="F63" s="35" t="s">
        <v>476</v>
      </c>
      <c r="G63" s="32">
        <v>0</v>
      </c>
      <c r="H63" s="32">
        <v>45</v>
      </c>
      <c r="I63" s="84">
        <f t="shared" si="0"/>
        <v>45</v>
      </c>
      <c r="J63" s="37">
        <v>0</v>
      </c>
      <c r="K63" s="37">
        <v>562092</v>
      </c>
      <c r="L63" s="37">
        <v>1960061</v>
      </c>
      <c r="M63" s="38">
        <f>I63/(HLOOKUP(F63,Team_Composition_23[[#All],[Yellow]:[Red]],10,FALSE)+HLOOKUP(F63,Team_Composition_23[[#All],[Yellow]:[Red]],11,FALSE))</f>
        <v>1.1247188202949263E-2</v>
      </c>
      <c r="N63" s="38">
        <f>J63/HLOOKUP(F63,Team_Composition_23[[#All],[Yellow]:[Red]],6,FALSE)</f>
        <v>0</v>
      </c>
      <c r="O63" s="38">
        <f>K63/HLOOKUP(F63,Team_Composition_23[[#All],[Yellow]:[Red]],8,FALSE)</f>
        <v>3.2085142084518181E-2</v>
      </c>
      <c r="P63" s="38">
        <f>L63/HLOOKUP(F63,Team_Composition_23[[#All],[Yellow]:[Red]],7,FALSE)</f>
        <v>0.15141716649514314</v>
      </c>
      <c r="Q63" s="31"/>
      <c r="R63" s="227" t="s">
        <v>11</v>
      </c>
      <c r="S63" s="228"/>
      <c r="T63" s="228"/>
      <c r="U63" s="31"/>
      <c r="V63" s="31"/>
      <c r="W63" s="31"/>
      <c r="X63" s="31"/>
      <c r="Y63" s="31"/>
      <c r="Z63" s="31"/>
      <c r="AA63" s="31"/>
      <c r="AB63" s="227" t="s">
        <v>11</v>
      </c>
      <c r="AC63" s="228"/>
      <c r="AD63" s="228"/>
    </row>
    <row r="64" spans="1:30" ht="22.5" customHeight="1">
      <c r="A64" s="32">
        <v>80</v>
      </c>
      <c r="B64" s="57" t="str">
        <f>VLOOKUP(C64,Lists!I:J,2,FALSE)</f>
        <v>Healer</v>
      </c>
      <c r="C64" s="34" t="str">
        <f>VLOOKUP(E64&amp;D64,Lists!C:E,3,FALSE)</f>
        <v>Wand/Orb</v>
      </c>
      <c r="D64" s="35" t="s">
        <v>30</v>
      </c>
      <c r="E64" s="36" t="s">
        <v>199</v>
      </c>
      <c r="F64" s="35" t="s">
        <v>476</v>
      </c>
      <c r="G64" s="32">
        <v>0</v>
      </c>
      <c r="H64" s="32">
        <v>44</v>
      </c>
      <c r="I64" s="84">
        <f t="shared" si="0"/>
        <v>44</v>
      </c>
      <c r="J64" s="37">
        <v>0</v>
      </c>
      <c r="K64" s="37">
        <v>731831</v>
      </c>
      <c r="L64" s="37">
        <v>896965</v>
      </c>
      <c r="M64" s="38">
        <f>I64/(HLOOKUP(F64,Team_Composition_23[[#All],[Yellow]:[Red]],10,FALSE)+HLOOKUP(F64,Team_Composition_23[[#All],[Yellow]:[Red]],11,FALSE))</f>
        <v>1.0997250687328168E-2</v>
      </c>
      <c r="N64" s="38">
        <f>J64/HLOOKUP(F64,Team_Composition_23[[#All],[Yellow]:[Red]],6,FALSE)</f>
        <v>0</v>
      </c>
      <c r="O64" s="38">
        <f>K64/HLOOKUP(F64,Team_Composition_23[[#All],[Yellow]:[Red]],8,FALSE)</f>
        <v>4.1774125262154641E-2</v>
      </c>
      <c r="P64" s="38">
        <f>L64/HLOOKUP(F64,Team_Composition_23[[#All],[Yellow]:[Red]],7,FALSE)</f>
        <v>6.9291669364022881E-2</v>
      </c>
      <c r="Q64" s="31"/>
      <c r="R64" s="41" t="s">
        <v>482</v>
      </c>
      <c r="S64" s="42" t="s">
        <v>476</v>
      </c>
      <c r="T64" s="42" t="s">
        <v>483</v>
      </c>
      <c r="U64" s="31"/>
      <c r="V64" s="31"/>
      <c r="W64" s="31"/>
      <c r="X64" s="31"/>
      <c r="Y64" s="31"/>
      <c r="Z64" s="31"/>
      <c r="AA64" s="31"/>
      <c r="AB64" s="41" t="s">
        <v>482</v>
      </c>
      <c r="AC64" s="42" t="s">
        <v>485</v>
      </c>
      <c r="AD64" s="42" t="s">
        <v>28</v>
      </c>
    </row>
    <row r="65" spans="1:30" ht="22.5" customHeight="1">
      <c r="A65" s="32">
        <v>42</v>
      </c>
      <c r="B65" s="56" t="str">
        <f>VLOOKUP(C65,Lists!I:J,2,FALSE)</f>
        <v>Healer</v>
      </c>
      <c r="C65" s="34" t="str">
        <f>VLOOKUP(E65&amp;D65,Lists!C:E,3,FALSE)</f>
        <v>Wand/Longbow</v>
      </c>
      <c r="D65" s="35" t="s">
        <v>30</v>
      </c>
      <c r="E65" s="97" t="s">
        <v>444</v>
      </c>
      <c r="F65" s="35" t="s">
        <v>476</v>
      </c>
      <c r="G65" s="32">
        <v>2</v>
      </c>
      <c r="H65" s="32">
        <v>37</v>
      </c>
      <c r="I65" s="84">
        <f t="shared" si="0"/>
        <v>39</v>
      </c>
      <c r="J65" s="37">
        <v>87832</v>
      </c>
      <c r="K65" s="37">
        <v>482555</v>
      </c>
      <c r="L65" s="37">
        <v>2391028</v>
      </c>
      <c r="M65" s="38">
        <f>I65/(HLOOKUP(F65,Team_Composition_23[[#All],[Yellow]:[Red]],10,FALSE)+HLOOKUP(F65,Team_Composition_23[[#All],[Yellow]:[Red]],11,FALSE))</f>
        <v>9.7475631092226941E-3</v>
      </c>
      <c r="N65" s="38">
        <f>J65/HLOOKUP(F65,Team_Composition_23[[#All],[Yellow]:[Red]],6,FALSE)</f>
        <v>1.9798216965799726E-3</v>
      </c>
      <c r="O65" s="38">
        <f>K65/HLOOKUP(F65,Team_Composition_23[[#All],[Yellow]:[Red]],8,FALSE)</f>
        <v>2.7545038425372842E-2</v>
      </c>
      <c r="P65" s="38">
        <f>L65/HLOOKUP(F65,Team_Composition_23[[#All],[Yellow]:[Red]],7,FALSE)</f>
        <v>0.18470990687052552</v>
      </c>
      <c r="Q65" s="31"/>
      <c r="R65" s="45" t="s">
        <v>468</v>
      </c>
      <c r="S65" s="46">
        <f>SUMIFS(Scoreboard_36[Damage Dealt],Scoreboard_36[Role],"Healer",Scoreboard_36[Team],"Yellow")</f>
        <v>1011516</v>
      </c>
      <c r="T65" s="47">
        <f>SUMIFS(Scoreboard_36[Damage Dealt],Scoreboard_36[Role],"Healer",Scoreboard_36[Team],"Red")</f>
        <v>554956</v>
      </c>
      <c r="U65" s="31"/>
      <c r="V65" s="31"/>
      <c r="W65" s="31"/>
      <c r="X65" s="31"/>
      <c r="Y65" s="31"/>
      <c r="Z65" s="31"/>
      <c r="AA65" s="31"/>
      <c r="AB65" s="45" t="s">
        <v>468</v>
      </c>
      <c r="AC65" s="50">
        <f>SUMIFS(Scoreboard_36[Damage Dealt],Scoreboard_36[Role],"Healer",Scoreboard_36[Guild],"Best Regards")</f>
        <v>554956</v>
      </c>
      <c r="AD65" s="51">
        <f>SUMIFS(Scoreboard_36[Damage Dealt],Scoreboard_36[Role],"Healer",Scoreboard_36[Guild],"Undercooked")</f>
        <v>0</v>
      </c>
    </row>
    <row r="66" spans="1:30" ht="22.5" customHeight="1">
      <c r="A66" s="32">
        <v>52</v>
      </c>
      <c r="B66" s="60" t="str">
        <f>VLOOKUP(C66,Lists!I:J,2,FALSE)</f>
        <v>Tank</v>
      </c>
      <c r="C66" s="34" t="str">
        <f>VLOOKUP(E66&amp;D66,Lists!C:E,3,FALSE)</f>
        <v>SnS/Longbow</v>
      </c>
      <c r="D66" s="35" t="s">
        <v>30</v>
      </c>
      <c r="E66" s="36" t="s">
        <v>409</v>
      </c>
      <c r="F66" s="35" t="s">
        <v>476</v>
      </c>
      <c r="G66" s="32">
        <v>1</v>
      </c>
      <c r="H66" s="32">
        <v>38</v>
      </c>
      <c r="I66" s="84">
        <f t="shared" si="0"/>
        <v>39</v>
      </c>
      <c r="J66" s="37">
        <v>136878</v>
      </c>
      <c r="K66" s="37">
        <v>1587961</v>
      </c>
      <c r="L66" s="37">
        <v>698604</v>
      </c>
      <c r="M66" s="38">
        <f>I66/(HLOOKUP(F66,Team_Composition_23[[#All],[Yellow]:[Red]],10,FALSE)+HLOOKUP(F66,Team_Composition_23[[#All],[Yellow]:[Red]],11,FALSE))</f>
        <v>9.7475631092226941E-3</v>
      </c>
      <c r="N66" s="38">
        <f>J66/HLOOKUP(F66,Team_Composition_23[[#All],[Yellow]:[Red]],6,FALSE)</f>
        <v>3.0853679090134972E-3</v>
      </c>
      <c r="O66" s="38">
        <f>K66/HLOOKUP(F66,Team_Composition_23[[#All],[Yellow]:[Red]],8,FALSE)</f>
        <v>9.0643443261376383E-2</v>
      </c>
      <c r="P66" s="38">
        <f>L66/HLOOKUP(F66,Team_Composition_23[[#All],[Yellow]:[Red]],7,FALSE)</f>
        <v>5.3968033740874888E-2</v>
      </c>
      <c r="Q66" s="31"/>
      <c r="R66" s="45" t="s">
        <v>469</v>
      </c>
      <c r="S66" s="46">
        <f>SUMIFS(Scoreboard_36[Damage Taken],Scoreboard_36[Role],"Healer",Scoreboard_36[Team],"Yellow")</f>
        <v>8470786</v>
      </c>
      <c r="T66" s="47">
        <f>SUMIFS(Scoreboard_36[Damage Taken],Scoreboard_36[Role],"Healer",Scoreboard_36[Team],"Red")</f>
        <v>9057734</v>
      </c>
      <c r="U66" s="31"/>
      <c r="V66" s="31"/>
      <c r="W66" s="31"/>
      <c r="X66" s="31"/>
      <c r="Y66" s="31"/>
      <c r="Z66" s="31"/>
      <c r="AA66" s="31"/>
      <c r="AB66" s="45" t="s">
        <v>469</v>
      </c>
      <c r="AC66" s="50">
        <f>SUMIFS(Scoreboard_36[Damage Taken],Scoreboard_36[Role],"Healer",Scoreboard_36[Guild],"Best Regards")</f>
        <v>9057734</v>
      </c>
      <c r="AD66" s="51">
        <f>SUMIFS(Scoreboard_36[Damage Taken],Scoreboard_36[Role],"Healer",Scoreboard_36[Guild],"Undercooked")</f>
        <v>0</v>
      </c>
    </row>
    <row r="67" spans="1:30" ht="22.5" customHeight="1">
      <c r="A67" s="32">
        <v>28</v>
      </c>
      <c r="B67" s="40" t="str">
        <f>VLOOKUP(C67,Lists!I:J,2,FALSE)</f>
        <v>KS</v>
      </c>
      <c r="C67" s="34" t="s">
        <v>54</v>
      </c>
      <c r="D67" s="35" t="s">
        <v>30</v>
      </c>
      <c r="E67" s="36" t="s">
        <v>458</v>
      </c>
      <c r="F67" s="35" t="s">
        <v>476</v>
      </c>
      <c r="G67" s="32">
        <v>16</v>
      </c>
      <c r="H67" s="32">
        <v>22</v>
      </c>
      <c r="I67" s="84">
        <f t="shared" si="0"/>
        <v>38</v>
      </c>
      <c r="J67" s="37">
        <v>675695</v>
      </c>
      <c r="K67" s="37">
        <v>673868</v>
      </c>
      <c r="L67" s="37">
        <v>3482</v>
      </c>
      <c r="M67" s="38">
        <f>I67/(HLOOKUP(F67,Team_Composition_23[[#All],[Yellow]:[Red]],10,FALSE)+HLOOKUP(F67,Team_Composition_23[[#All],[Yellow]:[Red]],11,FALSE))</f>
        <v>9.4976255936015993E-3</v>
      </c>
      <c r="N67" s="38">
        <f>J67/HLOOKUP(F67,Team_Composition_23[[#All],[Yellow]:[Red]],6,FALSE)</f>
        <v>1.5230845492196518E-2</v>
      </c>
      <c r="O67" s="38">
        <f>K67/HLOOKUP(F67,Team_Composition_23[[#All],[Yellow]:[Red]],8,FALSE)</f>
        <v>3.8465501245721519E-2</v>
      </c>
      <c r="P67" s="38">
        <f>L67/HLOOKUP(F67,Team_Composition_23[[#All],[Yellow]:[Red]],7,FALSE)</f>
        <v>2.689888599059358E-4</v>
      </c>
      <c r="Q67" s="31"/>
      <c r="R67" s="45" t="s">
        <v>470</v>
      </c>
      <c r="S67" s="46">
        <f>SUMIFS(Scoreboard_36[Amount Healed],Scoreboard_36[Role],"Healer",Scoreboard_36[Team],"Yellow")</f>
        <v>18007340</v>
      </c>
      <c r="T67" s="47">
        <f>SUMIFS(Scoreboard_36[Amount Healed],Scoreboard_36[Role],"Healer",Scoreboard_36[Team],"Red")</f>
        <v>22559085</v>
      </c>
      <c r="U67" s="31"/>
      <c r="V67" s="31"/>
      <c r="W67" s="31"/>
      <c r="X67" s="31"/>
      <c r="Y67" s="31"/>
      <c r="Z67" s="31"/>
      <c r="AA67" s="31"/>
      <c r="AB67" s="45" t="s">
        <v>470</v>
      </c>
      <c r="AC67" s="50">
        <f>SUMIFS(Scoreboard_36[Amount Healed],Scoreboard_36[Role],"Healer",Scoreboard_36[Guild],"Best Regards")</f>
        <v>22559085</v>
      </c>
      <c r="AD67" s="51">
        <f>SUMIFS(Scoreboard_36[Amount Healed],Scoreboard_36[Role],"Healer",Scoreboard_36[Guild],"Undercooked")</f>
        <v>0</v>
      </c>
    </row>
    <row r="68" spans="1:30" ht="22.5" customHeight="1">
      <c r="A68" s="32">
        <v>81</v>
      </c>
      <c r="B68" s="60" t="str">
        <f>VLOOKUP(C68,Lists!I:J,2,FALSE)</f>
        <v>Healer</v>
      </c>
      <c r="C68" s="34" t="str">
        <f>VLOOKUP(E68&amp;D68,Lists!C:E,3,FALSE)</f>
        <v>Wand/Orb</v>
      </c>
      <c r="D68" s="35" t="s">
        <v>34</v>
      </c>
      <c r="E68" s="36" t="s">
        <v>121</v>
      </c>
      <c r="F68" s="35" t="s">
        <v>483</v>
      </c>
      <c r="G68" s="32">
        <v>0</v>
      </c>
      <c r="H68" s="32">
        <v>38</v>
      </c>
      <c r="I68" s="84">
        <f t="shared" si="0"/>
        <v>38</v>
      </c>
      <c r="J68" s="37">
        <v>13894</v>
      </c>
      <c r="K68" s="37">
        <v>428265</v>
      </c>
      <c r="L68" s="37">
        <v>945052</v>
      </c>
      <c r="M68" s="38">
        <f>I68/(HLOOKUP(F68,Team_Composition_23[[#All],[Yellow]:[Red]],10,FALSE)+HLOOKUP(F68,Team_Composition_23[[#All],[Yellow]:[Red]],11,FALSE))</f>
        <v>4.6285018270401948E-2</v>
      </c>
      <c r="N68" s="38">
        <f>J68/HLOOKUP(F68,Team_Composition_23[[#All],[Yellow]:[Red]],6,FALSE)</f>
        <v>7.8740045921303593E-4</v>
      </c>
      <c r="O68" s="38">
        <f>K68/HLOOKUP(F68,Team_Composition_23[[#All],[Yellow]:[Red]],8,FALSE)</f>
        <v>9.7297710661079177E-3</v>
      </c>
      <c r="P68" s="38">
        <f>L68/HLOOKUP(F68,Team_Composition_23[[#All],[Yellow]:[Red]],7,FALSE)</f>
        <v>3.8941654560049652E-2</v>
      </c>
      <c r="Q68" s="31"/>
      <c r="R68" s="45" t="s">
        <v>465</v>
      </c>
      <c r="S68" s="46">
        <f>SUMIFS(Scoreboard_36[Kills],Scoreboard_36[Role],"Healer",Scoreboard_36[Team],"Yellow")</f>
        <v>6</v>
      </c>
      <c r="T68" s="47">
        <f>SUMIFS(Scoreboard_36[Kills],Scoreboard_36[Role],"Healer",Scoreboard_36[Team],"Red")</f>
        <v>2</v>
      </c>
      <c r="U68" s="31"/>
      <c r="V68" s="31"/>
      <c r="W68" s="31"/>
      <c r="X68" s="31"/>
      <c r="Y68" s="31"/>
      <c r="Z68" s="31"/>
      <c r="AA68" s="31"/>
      <c r="AB68" s="45" t="s">
        <v>465</v>
      </c>
      <c r="AC68" s="50">
        <f>SUMIFS(Scoreboard_36[Kills],Scoreboard_36[Role],"Healer",Scoreboard_36[Guild],"Best Regards")</f>
        <v>2</v>
      </c>
      <c r="AD68" s="51">
        <f>SUMIFS(Scoreboard_36[Kills],Scoreboard_36[Role],"Healer",Scoreboard_36[Guild],"Undercooked")</f>
        <v>0</v>
      </c>
    </row>
    <row r="69" spans="1:30" ht="22.5" customHeight="1">
      <c r="A69" s="32">
        <v>82</v>
      </c>
      <c r="B69" s="59" t="str">
        <f>VLOOKUP(C69,Lists!I:J,2,FALSE)</f>
        <v>Healer</v>
      </c>
      <c r="C69" s="34" t="str">
        <f>VLOOKUP(E69&amp;D69,Lists!C:E,3,FALSE)</f>
        <v>Wand/Longbow</v>
      </c>
      <c r="D69" s="35" t="s">
        <v>34</v>
      </c>
      <c r="E69" s="36" t="s">
        <v>29</v>
      </c>
      <c r="F69" s="35" t="s">
        <v>483</v>
      </c>
      <c r="G69" s="32">
        <v>0</v>
      </c>
      <c r="H69" s="32">
        <v>36</v>
      </c>
      <c r="I69" s="84">
        <f t="shared" si="0"/>
        <v>36</v>
      </c>
      <c r="J69" s="37">
        <v>51087</v>
      </c>
      <c r="K69" s="37">
        <v>455622</v>
      </c>
      <c r="L69" s="37">
        <v>1176892</v>
      </c>
      <c r="M69" s="38">
        <f>I69/(HLOOKUP(F69,Team_Composition_23[[#All],[Yellow]:[Red]],10,FALSE)+HLOOKUP(F69,Team_Composition_23[[#All],[Yellow]:[Red]],11,FALSE))</f>
        <v>4.38489646772229E-2</v>
      </c>
      <c r="N69" s="38">
        <f>J69/HLOOKUP(F69,Team_Composition_23[[#All],[Yellow]:[Red]],6,FALSE)</f>
        <v>2.8952013286178469E-3</v>
      </c>
      <c r="O69" s="38">
        <f>K69/HLOOKUP(F69,Team_Composition_23[[#All],[Yellow]:[Red]],8,FALSE)</f>
        <v>1.0351295932850505E-2</v>
      </c>
      <c r="P69" s="38">
        <f>L69/HLOOKUP(F69,Team_Composition_23[[#All],[Yellow]:[Red]],7,FALSE)</f>
        <v>4.8494814802239404E-2</v>
      </c>
      <c r="Q69" s="31"/>
      <c r="R69" s="45" t="s">
        <v>466</v>
      </c>
      <c r="S69" s="46">
        <f>SUMIFS(Scoreboard_36[Assists],Scoreboard_36[Role],"Healer",Scoreboard_36[Team],"Yellow")</f>
        <v>824</v>
      </c>
      <c r="T69" s="47">
        <f>SUMIFS(Scoreboard_36[Assists],Scoreboard_36[Role],"Healer",Scoreboard_36[Team],"Red")</f>
        <v>893</v>
      </c>
      <c r="U69" s="31"/>
      <c r="V69" s="31"/>
      <c r="W69" s="31"/>
      <c r="X69" s="31"/>
      <c r="Y69" s="31"/>
      <c r="Z69" s="31"/>
      <c r="AA69" s="31"/>
      <c r="AB69" s="45" t="s">
        <v>466</v>
      </c>
      <c r="AC69" s="50">
        <f>SUMIFS(Scoreboard_36[Assists],Scoreboard_36[Role],"Healer",Scoreboard_36[Guild],"Best Regards")</f>
        <v>893</v>
      </c>
      <c r="AD69" s="51">
        <f>SUMIFS(Scoreboard_36[Kills],Scoreboard_36[Role],"Healer",Scoreboard_36[Guild],"Undercooked")</f>
        <v>0</v>
      </c>
    </row>
    <row r="70" spans="1:30" ht="22.5" customHeight="1">
      <c r="A70" s="32">
        <v>43</v>
      </c>
      <c r="B70" s="33" t="str">
        <f>VLOOKUP(C70,Lists!I:J,2,FALSE)</f>
        <v>Tank</v>
      </c>
      <c r="C70" s="34" t="str">
        <f>VLOOKUP(E70&amp;D70,Lists!C:E,3,FALSE)</f>
        <v>SnS/Greatsword</v>
      </c>
      <c r="D70" s="35" t="s">
        <v>34</v>
      </c>
      <c r="E70" s="36" t="s">
        <v>57</v>
      </c>
      <c r="F70" s="35" t="s">
        <v>483</v>
      </c>
      <c r="G70" s="32">
        <v>2</v>
      </c>
      <c r="H70" s="32">
        <v>32</v>
      </c>
      <c r="I70" s="84">
        <f t="shared" si="0"/>
        <v>34</v>
      </c>
      <c r="J70" s="37">
        <v>113421</v>
      </c>
      <c r="K70" s="37">
        <v>615021</v>
      </c>
      <c r="L70" s="37">
        <v>57949</v>
      </c>
      <c r="M70" s="38">
        <f>I70/(HLOOKUP(F70,Team_Composition_23[[#All],[Yellow]:[Red]],10,FALSE)+HLOOKUP(F70,Team_Composition_23[[#All],[Yellow]:[Red]],11,FALSE))</f>
        <v>4.1412911084043852E-2</v>
      </c>
      <c r="N70" s="38">
        <f>J70/HLOOKUP(F70,Team_Composition_23[[#All],[Yellow]:[Red]],6,FALSE)</f>
        <v>6.4277923912769361E-3</v>
      </c>
      <c r="O70" s="38">
        <f>K70/HLOOKUP(F70,Team_Composition_23[[#All],[Yellow]:[Red]],8,FALSE)</f>
        <v>1.397268871107552E-2</v>
      </c>
      <c r="P70" s="38">
        <f>L70/HLOOKUP(F70,Team_Composition_23[[#All],[Yellow]:[Red]],7,FALSE)</f>
        <v>2.3878367963882591E-3</v>
      </c>
      <c r="Q70" s="31"/>
      <c r="R70" s="45" t="s">
        <v>10</v>
      </c>
      <c r="S70" s="46">
        <f t="shared" ref="S70:S72" si="14">COUNTIFS(C:C,R70,F:F,"Yellow")</f>
        <v>6</v>
      </c>
      <c r="T70" s="47">
        <f t="shared" ref="T70:T72" si="15">COUNTIFS(C:C,R70,F:F,"Red")</f>
        <v>8</v>
      </c>
      <c r="U70" s="31"/>
      <c r="V70" s="31"/>
      <c r="W70" s="31"/>
      <c r="X70" s="31"/>
      <c r="Y70" s="31"/>
      <c r="Z70" s="31"/>
      <c r="AA70" s="31"/>
      <c r="AB70" s="45" t="s">
        <v>10</v>
      </c>
      <c r="AC70" s="50">
        <f t="shared" ref="AC70:AC72" si="16">COUNTIFS(C:C,AB70,D:D,"Best Regards")</f>
        <v>8</v>
      </c>
      <c r="AD70" s="70">
        <f t="shared" ref="AD70:AD72" si="17">COUNTIFS(D:D,AC70,D:D,"Undercooked")</f>
        <v>0</v>
      </c>
    </row>
    <row r="71" spans="1:30" ht="22.5" customHeight="1">
      <c r="A71" s="32">
        <v>83</v>
      </c>
      <c r="B71" s="59" t="str">
        <f>VLOOKUP(C71,Lists!I:J,2,FALSE)</f>
        <v>Healer</v>
      </c>
      <c r="C71" s="34" t="str">
        <f>VLOOKUP(E71&amp;D71,Lists!C:E,3,FALSE)</f>
        <v>Wand/Orb</v>
      </c>
      <c r="D71" s="35" t="s">
        <v>30</v>
      </c>
      <c r="E71" s="36" t="s">
        <v>449</v>
      </c>
      <c r="F71" s="35" t="s">
        <v>476</v>
      </c>
      <c r="G71" s="32">
        <v>0</v>
      </c>
      <c r="H71" s="32">
        <v>34</v>
      </c>
      <c r="I71" s="84">
        <f t="shared" si="0"/>
        <v>34</v>
      </c>
      <c r="J71" s="37">
        <v>12991</v>
      </c>
      <c r="K71" s="37">
        <v>581375</v>
      </c>
      <c r="L71" s="37">
        <v>974069</v>
      </c>
      <c r="M71" s="38">
        <f>I71/(HLOOKUP(F71,Team_Composition_23[[#All],[Yellow]:[Red]],10,FALSE)+HLOOKUP(F71,Team_Composition_23[[#All],[Yellow]:[Red]],11,FALSE))</f>
        <v>8.4978755311172199E-3</v>
      </c>
      <c r="N71" s="38">
        <f>J71/HLOOKUP(F71,Team_Composition_23[[#All],[Yellow]:[Red]],6,FALSE)</f>
        <v>2.9283021746368546E-4</v>
      </c>
      <c r="O71" s="38">
        <f>K71/HLOOKUP(F71,Team_Composition_23[[#All],[Yellow]:[Red]],8,FALSE)</f>
        <v>3.3185847653741309E-2</v>
      </c>
      <c r="P71" s="38">
        <f>L71/HLOOKUP(F71,Team_Composition_23[[#All],[Yellow]:[Red]],7,FALSE)</f>
        <v>7.5248049908016937E-2</v>
      </c>
      <c r="Q71" s="31"/>
      <c r="R71" s="45" t="s">
        <v>9</v>
      </c>
      <c r="S71" s="46">
        <f t="shared" si="14"/>
        <v>9</v>
      </c>
      <c r="T71" s="47">
        <f t="shared" si="15"/>
        <v>8</v>
      </c>
      <c r="U71" s="31"/>
      <c r="V71" s="31"/>
      <c r="W71" s="31"/>
      <c r="X71" s="31"/>
      <c r="Y71" s="31"/>
      <c r="Z71" s="31"/>
      <c r="AA71" s="31"/>
      <c r="AB71" s="45" t="s">
        <v>9</v>
      </c>
      <c r="AC71" s="50">
        <f t="shared" si="16"/>
        <v>8</v>
      </c>
      <c r="AD71" s="70">
        <f t="shared" si="17"/>
        <v>0</v>
      </c>
    </row>
    <row r="72" spans="1:30" ht="22.5" customHeight="1">
      <c r="A72" s="32">
        <v>44</v>
      </c>
      <c r="B72" s="60" t="str">
        <f>VLOOKUP(C72,Lists!I:J,2,FALSE)</f>
        <v>Tank</v>
      </c>
      <c r="C72" s="34" t="str">
        <f>VLOOKUP(E72&amp;D72,Lists!C:E,3,FALSE)</f>
        <v>SnS/Greatsword</v>
      </c>
      <c r="D72" s="35" t="s">
        <v>30</v>
      </c>
      <c r="E72" s="36" t="s">
        <v>450</v>
      </c>
      <c r="F72" s="35" t="s">
        <v>476</v>
      </c>
      <c r="G72" s="32">
        <v>2</v>
      </c>
      <c r="H72" s="32">
        <v>27</v>
      </c>
      <c r="I72" s="84">
        <f t="shared" si="0"/>
        <v>29</v>
      </c>
      <c r="J72" s="37">
        <v>304929</v>
      </c>
      <c r="K72" s="37">
        <v>791127</v>
      </c>
      <c r="L72" s="37">
        <v>75177</v>
      </c>
      <c r="M72" s="38">
        <f>I72/(HLOOKUP(F72,Team_Composition_23[[#All],[Yellow]:[Red]],10,FALSE)+HLOOKUP(F72,Team_Composition_23[[#All],[Yellow]:[Red]],11,FALSE))</f>
        <v>7.2481879530117473E-3</v>
      </c>
      <c r="N72" s="38">
        <f>J72/HLOOKUP(F72,Team_Composition_23[[#All],[Yellow]:[Red]],6,FALSE)</f>
        <v>6.8734066185038986E-3</v>
      </c>
      <c r="O72" s="38">
        <f>K72/HLOOKUP(F72,Team_Composition_23[[#All],[Yellow]:[Red]],8,FALSE)</f>
        <v>4.5158839125799009E-2</v>
      </c>
      <c r="P72" s="38">
        <f>L72/HLOOKUP(F72,Team_Composition_23[[#All],[Yellow]:[Red]],7,FALSE)</f>
        <v>5.8075173811454727E-3</v>
      </c>
      <c r="Q72" s="31"/>
      <c r="R72" s="45" t="s">
        <v>18</v>
      </c>
      <c r="S72" s="46">
        <f t="shared" si="14"/>
        <v>1</v>
      </c>
      <c r="T72" s="47">
        <f t="shared" si="15"/>
        <v>0</v>
      </c>
      <c r="U72" s="31"/>
      <c r="V72" s="31"/>
      <c r="W72" s="31"/>
      <c r="X72" s="31"/>
      <c r="Y72" s="31"/>
      <c r="Z72" s="31"/>
      <c r="AA72" s="31"/>
      <c r="AB72" s="45" t="s">
        <v>18</v>
      </c>
      <c r="AC72" s="50">
        <f t="shared" si="16"/>
        <v>0</v>
      </c>
      <c r="AD72" s="70">
        <f t="shared" si="17"/>
        <v>0</v>
      </c>
    </row>
    <row r="73" spans="1:30" ht="22.5" customHeight="1">
      <c r="A73" s="32">
        <v>53</v>
      </c>
      <c r="B73" s="65" t="str">
        <f>VLOOKUP(C73,Lists!I:J,2,FALSE)</f>
        <v>Tank</v>
      </c>
      <c r="C73" s="34" t="str">
        <f>VLOOKUP(E73&amp;D73,Lists!C:E,3,FALSE)</f>
        <v>SnS/Greatsword</v>
      </c>
      <c r="D73" s="35" t="s">
        <v>30</v>
      </c>
      <c r="E73" s="36" t="s">
        <v>407</v>
      </c>
      <c r="F73" s="35" t="s">
        <v>476</v>
      </c>
      <c r="G73" s="32">
        <v>1</v>
      </c>
      <c r="H73" s="32">
        <v>28</v>
      </c>
      <c r="I73" s="84">
        <f t="shared" si="0"/>
        <v>29</v>
      </c>
      <c r="J73" s="37">
        <v>175986</v>
      </c>
      <c r="K73" s="37">
        <v>130562</v>
      </c>
      <c r="L73" s="37">
        <v>59094</v>
      </c>
      <c r="M73" s="38">
        <f>I73/(HLOOKUP(F73,Team_Composition_23[[#All],[Yellow]:[Red]],10,FALSE)+HLOOKUP(F73,Team_Composition_23[[#All],[Yellow]:[Red]],11,FALSE))</f>
        <v>7.2481879530117473E-3</v>
      </c>
      <c r="N73" s="38">
        <f>J73/HLOOKUP(F73,Team_Composition_23[[#All],[Yellow]:[Red]],6,FALSE)</f>
        <v>3.9669015973030674E-3</v>
      </c>
      <c r="O73" s="38">
        <f>K73/HLOOKUP(F73,Team_Composition_23[[#All],[Yellow]:[Red]],8,FALSE)</f>
        <v>7.4526951474827305E-3</v>
      </c>
      <c r="P73" s="38">
        <f>L73/HLOOKUP(F73,Team_Composition_23[[#All],[Yellow]:[Red]],7,FALSE)</f>
        <v>4.5650854931882159E-3</v>
      </c>
      <c r="Q73" s="31"/>
      <c r="R73" s="31"/>
      <c r="S73" s="31"/>
      <c r="T73" s="31"/>
      <c r="U73" s="31"/>
      <c r="V73" s="31"/>
      <c r="W73" s="31"/>
      <c r="X73" s="31"/>
      <c r="Y73" s="31"/>
      <c r="Z73" s="31"/>
      <c r="AA73" s="31"/>
      <c r="AB73" s="31"/>
      <c r="AC73" s="31"/>
      <c r="AD73" s="31"/>
    </row>
    <row r="74" spans="1:30" ht="22.5" customHeight="1">
      <c r="A74" s="32">
        <v>84</v>
      </c>
      <c r="B74" s="62" t="str">
        <f>VLOOKUP(C74,Lists!I:J,2,FALSE)</f>
        <v>Healer</v>
      </c>
      <c r="C74" s="34" t="str">
        <f>VLOOKUP(E74&amp;D74,Lists!C:E,3,FALSE)</f>
        <v>Wand/Orb</v>
      </c>
      <c r="D74" s="35" t="s">
        <v>30</v>
      </c>
      <c r="E74" s="36" t="s">
        <v>453</v>
      </c>
      <c r="F74" s="35" t="s">
        <v>476</v>
      </c>
      <c r="G74" s="32">
        <v>0</v>
      </c>
      <c r="H74" s="32">
        <v>29</v>
      </c>
      <c r="I74" s="84">
        <f t="shared" si="0"/>
        <v>29</v>
      </c>
      <c r="J74" s="37">
        <v>12747</v>
      </c>
      <c r="K74" s="37">
        <v>466271</v>
      </c>
      <c r="L74" s="37">
        <v>1484423</v>
      </c>
      <c r="M74" s="38">
        <f>I74/(HLOOKUP(F74,Team_Composition_23[[#All],[Yellow]:[Red]],10,FALSE)+HLOOKUP(F74,Team_Composition_23[[#All],[Yellow]:[Red]],11,FALSE))</f>
        <v>7.2481879530117473E-3</v>
      </c>
      <c r="N74" s="38">
        <f>J74/HLOOKUP(F74,Team_Composition_23[[#All],[Yellow]:[Red]],6,FALSE)</f>
        <v>2.8733021183970434E-4</v>
      </c>
      <c r="O74" s="38">
        <f>K74/HLOOKUP(F74,Team_Composition_23[[#All],[Yellow]:[Red]],8,FALSE)</f>
        <v>2.6615520741961062E-2</v>
      </c>
      <c r="P74" s="38">
        <f>L74/HLOOKUP(F74,Team_Composition_23[[#All],[Yellow]:[Red]],7,FALSE)</f>
        <v>0.11467353543599912</v>
      </c>
      <c r="Q74" s="31"/>
    </row>
    <row r="75" spans="1:30" ht="22.5" customHeight="1">
      <c r="A75" s="32">
        <v>85</v>
      </c>
      <c r="B75" s="56" t="str">
        <f>VLOOKUP(C75,Lists!I:J,2,FALSE)</f>
        <v>Healer</v>
      </c>
      <c r="C75" s="34" t="str">
        <f>VLOOKUP(E75&amp;D75,Lists!C:E,3,FALSE)</f>
        <v>Wand/Orb</v>
      </c>
      <c r="D75" s="35" t="s">
        <v>30</v>
      </c>
      <c r="E75" s="36" t="s">
        <v>505</v>
      </c>
      <c r="F75" s="35" t="s">
        <v>476</v>
      </c>
      <c r="G75" s="32">
        <v>0</v>
      </c>
      <c r="H75" s="32">
        <v>28</v>
      </c>
      <c r="I75" s="84">
        <f t="shared" si="0"/>
        <v>28</v>
      </c>
      <c r="J75" s="37">
        <v>15738</v>
      </c>
      <c r="K75" s="37">
        <v>856283</v>
      </c>
      <c r="L75" s="37">
        <v>1014226</v>
      </c>
      <c r="M75" s="38">
        <f>I75/(HLOOKUP(F75,Team_Composition_23[[#All],[Yellow]:[Red]],10,FALSE)+HLOOKUP(F75,Team_Composition_23[[#All],[Yellow]:[Red]],11,FALSE))</f>
        <v>6.9982504373906525E-3</v>
      </c>
      <c r="N75" s="38">
        <f>J75/HLOOKUP(F75,Team_Composition_23[[#All],[Yellow]:[Red]],6,FALSE)</f>
        <v>3.5475036274678484E-4</v>
      </c>
      <c r="O75" s="38">
        <f>K75/HLOOKUP(F75,Team_Composition_23[[#All],[Yellow]:[Red]],8,FALSE)</f>
        <v>4.8878051492562573E-2</v>
      </c>
      <c r="P75" s="38">
        <f>L75/HLOOKUP(F75,Team_Composition_23[[#All],[Yellow]:[Red]],7,FALSE)</f>
        <v>7.8350228439677663E-2</v>
      </c>
      <c r="Q75" s="31"/>
      <c r="R75" s="227" t="s">
        <v>78</v>
      </c>
      <c r="S75" s="228"/>
      <c r="T75" s="228"/>
      <c r="U75" s="31"/>
      <c r="V75" s="31"/>
      <c r="W75" s="31"/>
      <c r="X75" s="31"/>
      <c r="Y75" s="31"/>
      <c r="Z75" s="31"/>
      <c r="AA75" s="31"/>
      <c r="AB75" s="227" t="s">
        <v>78</v>
      </c>
      <c r="AC75" s="228"/>
      <c r="AD75" s="228"/>
    </row>
    <row r="76" spans="1:30" ht="22.5" customHeight="1">
      <c r="A76" s="32">
        <v>54</v>
      </c>
      <c r="B76" s="62" t="str">
        <f>VLOOKUP(C76,Lists!I:J,2,FALSE)</f>
        <v>Tank</v>
      </c>
      <c r="C76" s="34" t="str">
        <f>VLOOKUP(E76&amp;D76,Lists!C:E,3,FALSE)</f>
        <v>SnS/Spear</v>
      </c>
      <c r="D76" s="35" t="s">
        <v>30</v>
      </c>
      <c r="E76" s="36" t="s">
        <v>421</v>
      </c>
      <c r="F76" s="35" t="s">
        <v>476</v>
      </c>
      <c r="G76" s="32">
        <v>1</v>
      </c>
      <c r="H76" s="32">
        <v>24</v>
      </c>
      <c r="I76" s="84">
        <f t="shared" si="0"/>
        <v>25</v>
      </c>
      <c r="J76" s="37">
        <v>196448</v>
      </c>
      <c r="K76" s="37">
        <v>751199</v>
      </c>
      <c r="L76" s="37">
        <v>37824</v>
      </c>
      <c r="M76" s="38">
        <f>I76/(HLOOKUP(F76,Team_Composition_23[[#All],[Yellow]:[Red]],10,FALSE)+HLOOKUP(F76,Team_Composition_23[[#All],[Yellow]:[Red]],11,FALSE))</f>
        <v>6.2484378905273679E-3</v>
      </c>
      <c r="N76" s="38">
        <f>J76/HLOOKUP(F76,Team_Composition_23[[#All],[Yellow]:[Red]],6,FALSE)</f>
        <v>4.4281356754911931E-3</v>
      </c>
      <c r="O76" s="38">
        <f>K76/HLOOKUP(F76,Team_Composition_23[[#All],[Yellow]:[Red]],8,FALSE)</f>
        <v>4.2879682772122667E-2</v>
      </c>
      <c r="P76" s="38">
        <f>L76/HLOOKUP(F76,Team_Composition_23[[#All],[Yellow]:[Red]],7,FALSE)</f>
        <v>2.9219513604486257E-3</v>
      </c>
      <c r="Q76" s="31"/>
      <c r="R76" s="27" t="s">
        <v>482</v>
      </c>
      <c r="S76" s="72" t="s">
        <v>476</v>
      </c>
      <c r="T76" s="72" t="s">
        <v>483</v>
      </c>
      <c r="U76" s="31"/>
      <c r="V76" s="31"/>
      <c r="W76" s="31"/>
      <c r="X76" s="31"/>
      <c r="Y76" s="31"/>
      <c r="Z76" s="31"/>
      <c r="AA76" s="31"/>
      <c r="AB76" s="27" t="s">
        <v>482</v>
      </c>
      <c r="AC76" s="72" t="s">
        <v>485</v>
      </c>
      <c r="AD76" s="72" t="s">
        <v>28</v>
      </c>
    </row>
    <row r="77" spans="1:30" ht="22.5" customHeight="1">
      <c r="A77" s="32">
        <v>55</v>
      </c>
      <c r="B77" s="40" t="str">
        <f>VLOOKUP(C77,Lists!I:J,2,FALSE)</f>
        <v>Tank</v>
      </c>
      <c r="C77" s="34" t="str">
        <f>VLOOKUP(E77&amp;D77,Lists!C:E,3,FALSE)</f>
        <v>SnS/Spear</v>
      </c>
      <c r="D77" s="35" t="s">
        <v>34</v>
      </c>
      <c r="E77" s="36" t="s">
        <v>175</v>
      </c>
      <c r="F77" s="35" t="s">
        <v>483</v>
      </c>
      <c r="G77" s="32">
        <v>1</v>
      </c>
      <c r="H77" s="32">
        <v>24</v>
      </c>
      <c r="I77" s="84">
        <f t="shared" si="0"/>
        <v>25</v>
      </c>
      <c r="J77" s="37">
        <v>56434</v>
      </c>
      <c r="K77" s="37">
        <v>550908</v>
      </c>
      <c r="L77" s="37">
        <v>38068</v>
      </c>
      <c r="M77" s="38">
        <f>I77/(HLOOKUP(F77,Team_Composition_23[[#All],[Yellow]:[Red]],10,FALSE)+HLOOKUP(F77,Team_Composition_23[[#All],[Yellow]:[Red]],11,FALSE))</f>
        <v>3.0450669914738125E-2</v>
      </c>
      <c r="N77" s="38">
        <f>J77/HLOOKUP(F77,Team_Composition_23[[#All],[Yellow]:[Red]],6,FALSE)</f>
        <v>3.1982263937835372E-3</v>
      </c>
      <c r="O77" s="38">
        <f>K77/HLOOKUP(F77,Team_Composition_23[[#All],[Yellow]:[Red]],8,FALSE)</f>
        <v>1.2516102689893829E-2</v>
      </c>
      <c r="P77" s="38">
        <f>L77/HLOOKUP(F77,Team_Composition_23[[#All],[Yellow]:[Red]],7,FALSE)</f>
        <v>1.5686236374209781E-3</v>
      </c>
      <c r="Q77" s="31"/>
      <c r="R77" s="74" t="s">
        <v>468</v>
      </c>
      <c r="S77" s="75">
        <f>SUMIFS('BR v Highly Regarded 1 Talus 21'!$J$2:$J$163,'BR v Highly Regarded 1 Talus 21'!$B$2:$B$163,"KS",'BR v Highly Regarded 1 Talus 21'!$F$2:$F$163,"Yellow")</f>
        <v>5772340</v>
      </c>
      <c r="T77" s="76">
        <f>SUMIFS('BR v Highly Regarded 1 Talus 21'!$J$2:$J$163,'BR v Highly Regarded 1 Talus 21'!$B$2:$B$163,"KS",'BR v Highly Regarded 1 Talus 21'!$F$2:$F$163,"Red")</f>
        <v>5972546</v>
      </c>
      <c r="U77" s="31"/>
      <c r="V77" s="31"/>
      <c r="W77" s="31"/>
      <c r="X77" s="31"/>
      <c r="Y77" s="31"/>
      <c r="Z77" s="31"/>
      <c r="AA77" s="31"/>
      <c r="AB77" s="74" t="s">
        <v>468</v>
      </c>
      <c r="AC77" s="75">
        <f>SUMIFS('BR v Highly Regarded 1 Talus 21'!$J$2:$J$163,'BR v Highly Regarded 1 Talus 21'!$B$2:$B$163,"KS",'BR v Highly Regarded 1 Talus 21'!$D$2:$D$163,"Best Regards")</f>
        <v>5972546</v>
      </c>
      <c r="AD77" s="76">
        <f>SUMIFS('BR v Highly Regarded 1 Talus 21'!$J$2:$J$163,'BR v Highly Regarded 1 Talus 21'!$B$2:$B$163,"KS",'BR v Highly Regarded 1 Talus 21'!$D$2:$D$163,"Undercooked")</f>
        <v>0</v>
      </c>
    </row>
    <row r="78" spans="1:30" ht="22.5" customHeight="1">
      <c r="A78" s="32">
        <v>37</v>
      </c>
      <c r="B78" s="60" t="str">
        <f>VLOOKUP(C78,Lists!I:J,2,FALSE)</f>
        <v>Melee DPS</v>
      </c>
      <c r="C78" s="34" t="str">
        <f>VLOOKUP(E78&amp;D78,Lists!C:E,3,FALSE)</f>
        <v>Spear/Dagger</v>
      </c>
      <c r="D78" s="35" t="s">
        <v>30</v>
      </c>
      <c r="E78" s="36" t="s">
        <v>217</v>
      </c>
      <c r="F78" s="35" t="s">
        <v>476</v>
      </c>
      <c r="G78" s="32">
        <v>5</v>
      </c>
      <c r="H78" s="32">
        <v>19</v>
      </c>
      <c r="I78" s="84">
        <f t="shared" si="0"/>
        <v>24</v>
      </c>
      <c r="J78" s="37">
        <v>399141</v>
      </c>
      <c r="K78" s="37">
        <v>695828</v>
      </c>
      <c r="L78" s="37">
        <v>0</v>
      </c>
      <c r="M78" s="38">
        <f>I78/(HLOOKUP(F78,Team_Composition_23[[#All],[Yellow]:[Red]],10,FALSE)+HLOOKUP(F78,Team_Composition_23[[#All],[Yellow]:[Red]],11,FALSE))</f>
        <v>5.9985003749062731E-3</v>
      </c>
      <c r="N78" s="38">
        <f>J78/HLOOKUP(F78,Team_Composition_23[[#All],[Yellow]:[Red]],6,FALSE)</f>
        <v>8.9970399375469846E-3</v>
      </c>
      <c r="O78" s="38">
        <f>K78/HLOOKUP(F78,Team_Composition_23[[#All],[Yellow]:[Red]],8,FALSE)</f>
        <v>3.9719014407581174E-2</v>
      </c>
      <c r="P78" s="38">
        <f>L78/HLOOKUP(F78,Team_Composition_23[[#All],[Yellow]:[Red]],7,FALSE)</f>
        <v>0</v>
      </c>
      <c r="Q78" s="31"/>
      <c r="R78" s="78" t="s">
        <v>469</v>
      </c>
      <c r="S78" s="75">
        <f>SUMIFS('BR v Highly Regarded 1 Talus 21'!$K$2:$K$163,'BR v Highly Regarded 1 Talus 21'!$B$2:$B$163,"KS",'BR v Highly Regarded 1 Talus 21'!$F$2:$F$163,"Yellow")</f>
        <v>3029358</v>
      </c>
      <c r="T78" s="76">
        <f>SUMIFS('BR v Highly Regarded 1 Talus 21'!$K$2:$K$163,'BR v Highly Regarded 1 Talus 21'!$B$2:$B$163,"KS",'BR v Highly Regarded 1 Talus 21'!$F$2:$F$163,"Red")</f>
        <v>3571446</v>
      </c>
      <c r="U78" s="31"/>
      <c r="V78" s="31"/>
      <c r="W78" s="31"/>
      <c r="X78" s="31"/>
      <c r="Y78" s="31"/>
      <c r="Z78" s="31"/>
      <c r="AA78" s="31"/>
      <c r="AB78" s="78" t="s">
        <v>469</v>
      </c>
      <c r="AC78" s="75">
        <f>SUMIFS('BR v Highly Regarded 1 Talus 21'!$K$2:$K$163,'BR v Highly Regarded 1 Talus 21'!$B$2:$B$163,"KS",'BR v Highly Regarded 1 Talus 21'!$D$2:$D$163,"Best Regards")</f>
        <v>3571446</v>
      </c>
      <c r="AD78" s="76">
        <f>SUMIFS('BR v Highly Regarded 1 Talus 21'!$K$2:$K$163,'BR v Highly Regarded 1 Talus 21'!$B$2:$B$163,"KS",'BR v Highly Regarded 1 Talus 21'!$D$2:$D$163,"Undercooked")</f>
        <v>0</v>
      </c>
    </row>
    <row r="79" spans="1:30" ht="22.5" customHeight="1">
      <c r="A79" s="32">
        <v>56</v>
      </c>
      <c r="B79" s="40" t="s">
        <v>11</v>
      </c>
      <c r="C79" s="34" t="str">
        <f>VLOOKUP(E79&amp;D79,Lists!C:E,3,FALSE)</f>
        <v>SnS/Greatsword</v>
      </c>
      <c r="D79" s="35" t="s">
        <v>34</v>
      </c>
      <c r="E79" s="36" t="s">
        <v>148</v>
      </c>
      <c r="F79" s="35" t="s">
        <v>483</v>
      </c>
      <c r="G79" s="32">
        <v>1</v>
      </c>
      <c r="H79" s="32">
        <v>22</v>
      </c>
      <c r="I79" s="84">
        <f t="shared" si="0"/>
        <v>23</v>
      </c>
      <c r="J79" s="37">
        <v>96129</v>
      </c>
      <c r="K79" s="37">
        <v>721027</v>
      </c>
      <c r="L79" s="37">
        <v>29951</v>
      </c>
      <c r="M79" s="38">
        <f>I79/(HLOOKUP(F79,Team_Composition_23[[#All],[Yellow]:[Red]],10,FALSE)+HLOOKUP(F79,Team_Composition_23[[#All],[Yellow]:[Red]],11,FALSE))</f>
        <v>2.8014616321559074E-2</v>
      </c>
      <c r="N79" s="38">
        <f>J79/HLOOKUP(F79,Team_Composition_23[[#All],[Yellow]:[Red]],6,FALSE)</f>
        <v>5.4478205515826926E-3</v>
      </c>
      <c r="O79" s="38">
        <f>K79/HLOOKUP(F79,Team_Composition_23[[#All],[Yellow]:[Red]],8,FALSE)</f>
        <v>1.6381043611975281E-2</v>
      </c>
      <c r="P79" s="38">
        <f>L79/HLOOKUP(F79,Team_Composition_23[[#All],[Yellow]:[Red]],7,FALSE)</f>
        <v>1.2341558937794398E-3</v>
      </c>
      <c r="Q79" s="31"/>
      <c r="R79" s="74" t="s">
        <v>470</v>
      </c>
      <c r="S79" s="75">
        <f>SUMIFS('BR v Highly Regarded 1 Talus 21'!$L$2:$L$163,'BR v Highly Regarded 1 Talus 21'!$B$2:$B$163,"KS",'BR v Highly Regarded 1 Talus 21'!$F$2:$F$163,"Yellow")</f>
        <v>171810</v>
      </c>
      <c r="T79" s="76">
        <f>SUMIFS('BR v Highly Regarded 1 Talus 21'!$L$2:$L$163,'BR v Highly Regarded 1 Talus 21'!$B$2:$B$163,"KS",'BR v Highly Regarded 1 Talus 21'!$F$2:$F$163,"Red")</f>
        <v>102186</v>
      </c>
      <c r="U79" s="31"/>
      <c r="V79" s="31"/>
      <c r="W79" s="31"/>
      <c r="X79" s="31"/>
      <c r="Y79" s="31"/>
      <c r="Z79" s="31"/>
      <c r="AA79" s="31"/>
      <c r="AB79" s="74" t="s">
        <v>470</v>
      </c>
      <c r="AC79" s="75">
        <f>SUMIFS('BR v Highly Regarded 1 Talus 21'!$L$2:$L$163,'BR v Highly Regarded 1 Talus 21'!$B$2:$B$163,"KS",'BR v Highly Regarded 1 Talus 21'!$D$2:$D$163,"Best Regards")</f>
        <v>102186</v>
      </c>
      <c r="AD79" s="76">
        <f>SUMIFS('BR v Highly Regarded 1 Talus 21'!$L$2:$L$163,'BR v Highly Regarded 1 Talus 21'!$B$2:$B$163,"KS",'BR v Highly Regarded 1 Talus 21'!$D$2:$D$163,"Undercooked")</f>
        <v>0</v>
      </c>
    </row>
    <row r="80" spans="1:30" ht="22.5" customHeight="1">
      <c r="A80" s="32">
        <v>86</v>
      </c>
      <c r="B80" s="66" t="str">
        <f>VLOOKUP(C80,Lists!I:J,2,FALSE)</f>
        <v>Tank</v>
      </c>
      <c r="C80" s="34" t="str">
        <f>VLOOKUP(E80&amp;D80,Lists!C:E,3,FALSE)</f>
        <v>SnS/Greatsword</v>
      </c>
      <c r="D80" s="35" t="s">
        <v>34</v>
      </c>
      <c r="E80" s="36" t="s">
        <v>178</v>
      </c>
      <c r="F80" s="35" t="s">
        <v>483</v>
      </c>
      <c r="G80" s="32">
        <v>0</v>
      </c>
      <c r="H80" s="32">
        <v>23</v>
      </c>
      <c r="I80" s="84">
        <f t="shared" si="0"/>
        <v>23</v>
      </c>
      <c r="J80" s="37">
        <v>160214</v>
      </c>
      <c r="K80" s="37">
        <v>838558</v>
      </c>
      <c r="L80" s="37">
        <v>69994</v>
      </c>
      <c r="M80" s="38">
        <f>I80/(HLOOKUP(F80,Team_Composition_23[[#All],[Yellow]:[Red]],10,FALSE)+HLOOKUP(F80,Team_Composition_23[[#All],[Yellow]:[Red]],11,FALSE))</f>
        <v>2.8014616321559074E-2</v>
      </c>
      <c r="N80" s="38">
        <f>J80/HLOOKUP(F80,Team_Composition_23[[#All],[Yellow]:[Red]],6,FALSE)</f>
        <v>9.0796442473267125E-3</v>
      </c>
      <c r="O80" s="38">
        <f>K80/HLOOKUP(F80,Team_Composition_23[[#All],[Yellow]:[Red]],8,FALSE)</f>
        <v>1.905123548656398E-2</v>
      </c>
      <c r="P80" s="38">
        <f>L80/HLOOKUP(F80,Team_Composition_23[[#All],[Yellow]:[Red]],7,FALSE)</f>
        <v>2.8841610506893964E-3</v>
      </c>
      <c r="Q80" s="31"/>
      <c r="R80" s="78" t="s">
        <v>465</v>
      </c>
      <c r="S80" s="75">
        <f>SUMIFS('BR v Highly Regarded 1 Talus 21'!$G$2:$G$163,'BR v Highly Regarded 1 Talus 21'!$B$2:$B$163,"KS",'BR v Highly Regarded 1 Talus 21'!$F$2:$F$163,"Yellow")</f>
        <v>140</v>
      </c>
      <c r="T80" s="76">
        <f>SUMIFS('BR v Highly Regarded 1 Talus 21'!$G$2:$G$163,'BR v Highly Regarded 1 Talus 21'!$B$2:$B$163,"KS",'BR v Highly Regarded 1 Talus 21'!$F$2:$F$163,"Red")</f>
        <v>148</v>
      </c>
      <c r="U80" s="31"/>
      <c r="V80" s="31"/>
      <c r="W80" s="31"/>
      <c r="X80" s="31"/>
      <c r="Y80" s="31"/>
      <c r="Z80" s="31"/>
      <c r="AA80" s="31"/>
      <c r="AB80" s="78" t="s">
        <v>465</v>
      </c>
      <c r="AC80" s="75">
        <f>SUMIFS('BR v Highly Regarded 1 Talus 21'!$G$2:$G$163,'BR v Highly Regarded 1 Talus 21'!$B$2:$B$163,"KS",'BR v Highly Regarded 1 Talus 21'!$D$2:$D$163,"Best Regards")</f>
        <v>148</v>
      </c>
      <c r="AD80" s="76">
        <f>SUMIFS('BR v Highly Regarded 1 Talus 21'!$G$2:$G$163,'BR v Highly Regarded 1 Talus 21'!$B$2:$B$163,"KS",'BR v Highly Regarded 1 Talus 21'!$D$2:$D$163,"Undercooked")</f>
        <v>0</v>
      </c>
    </row>
    <row r="81" spans="1:30" ht="22.5" customHeight="1">
      <c r="A81" s="32">
        <v>45</v>
      </c>
      <c r="B81" s="54" t="str">
        <f>VLOOKUP(C81,Lists!I:J,2,FALSE)</f>
        <v>Tank</v>
      </c>
      <c r="C81" s="34" t="str">
        <f>VLOOKUP(E81&amp;D81,Lists!C:E,3,FALSE)</f>
        <v>SnS/Greatsword</v>
      </c>
      <c r="D81" s="35" t="s">
        <v>30</v>
      </c>
      <c r="E81" s="36" t="s">
        <v>216</v>
      </c>
      <c r="F81" s="35" t="s">
        <v>476</v>
      </c>
      <c r="G81" s="32">
        <v>2</v>
      </c>
      <c r="H81" s="32">
        <v>20</v>
      </c>
      <c r="I81" s="84">
        <f t="shared" si="0"/>
        <v>22</v>
      </c>
      <c r="J81" s="37">
        <v>204782</v>
      </c>
      <c r="K81" s="37">
        <v>652144</v>
      </c>
      <c r="L81" s="37">
        <v>57736</v>
      </c>
      <c r="M81" s="38">
        <f>I81/(HLOOKUP(F81,Team_Composition_23[[#All],[Yellow]:[Red]],10,FALSE)+HLOOKUP(F81,Team_Composition_23[[#All],[Yellow]:[Red]],11,FALSE))</f>
        <v>5.4986253436640842E-3</v>
      </c>
      <c r="N81" s="38">
        <f>J81/HLOOKUP(F81,Team_Composition_23[[#All],[Yellow]:[Red]],6,FALSE)</f>
        <v>4.6159924249594671E-3</v>
      </c>
      <c r="O81" s="38">
        <f>K81/HLOOKUP(F81,Team_Composition_23[[#All],[Yellow]:[Red]],8,FALSE)</f>
        <v>3.7225459354635941E-2</v>
      </c>
      <c r="P81" s="38">
        <f>L81/HLOOKUP(F81,Team_Composition_23[[#All],[Yellow]:[Red]],7,FALSE)</f>
        <v>4.4601782927998586E-3</v>
      </c>
      <c r="Q81" s="31"/>
      <c r="R81" s="79" t="s">
        <v>466</v>
      </c>
      <c r="S81" s="80">
        <f>SUMIFS('BR v Highly Regarded 1 Talus 21'!$H$2:$H$163,'BR v Highly Regarded 1 Talus 21'!$B$2:$B$163,"KS",'BR v Highly Regarded 1 Talus 21'!$F$2:$F$163,"Yellow")</f>
        <v>207</v>
      </c>
      <c r="T81" s="81">
        <f>SUMIFS('BR v Highly Regarded 1 Talus 21'!$H$2:$H$163,'BR v Highly Regarded 1 Talus 21'!$B$2:$B$163,"KS",'BR v Highly Regarded 1 Talus 21'!$F$2:$F$163,"Red")</f>
        <v>262</v>
      </c>
      <c r="U81" s="31"/>
      <c r="V81" s="31"/>
      <c r="W81" s="31"/>
      <c r="X81" s="31"/>
      <c r="Y81" s="31"/>
      <c r="Z81" s="31"/>
      <c r="AA81" s="31"/>
      <c r="AB81" s="79" t="s">
        <v>466</v>
      </c>
      <c r="AC81" s="80">
        <f>SUMIFS('BR v Highly Regarded 1 Talus 21'!$H$2:$H$163,'BR v Highly Regarded 1 Talus 21'!$B$2:$B$163,"KS",'BR v Highly Regarded 1 Talus 21'!$D$2:$D$163,"Best Regards")</f>
        <v>262</v>
      </c>
      <c r="AD81" s="81">
        <f>SUMIFS('BR v Highly Regarded 1 Talus 21'!$H$2:$H$163,'BR v Highly Regarded 1 Talus 21'!$B$2:$B$163,"KS",'BR v Highly Regarded 1 Talus 21'!$D$2:$D$163,"Undercooked")</f>
        <v>0</v>
      </c>
    </row>
    <row r="82" spans="1:30" ht="22.5" customHeight="1">
      <c r="A82" s="32">
        <v>57</v>
      </c>
      <c r="B82" s="33" t="str">
        <f>VLOOKUP(C82,Lists!I:J,2,FALSE)</f>
        <v>Tank</v>
      </c>
      <c r="C82" s="34" t="str">
        <f>VLOOKUP(E82&amp;D82,Lists!C:E,3,FALSE)</f>
        <v>SnS/Greatsword</v>
      </c>
      <c r="D82" s="35" t="s">
        <v>30</v>
      </c>
      <c r="E82" s="36" t="s">
        <v>431</v>
      </c>
      <c r="F82" s="35" t="s">
        <v>476</v>
      </c>
      <c r="G82" s="32">
        <v>1</v>
      </c>
      <c r="H82" s="32">
        <v>19</v>
      </c>
      <c r="I82" s="84">
        <f t="shared" si="0"/>
        <v>20</v>
      </c>
      <c r="J82" s="37">
        <v>184166</v>
      </c>
      <c r="K82" s="37">
        <v>1226788</v>
      </c>
      <c r="L82" s="37">
        <v>75850</v>
      </c>
      <c r="M82" s="38">
        <f>I82/(HLOOKUP(F82,Team_Composition_23[[#All],[Yellow]:[Red]],10,FALSE)+HLOOKUP(F82,Team_Composition_23[[#All],[Yellow]:[Red]],11,FALSE))</f>
        <v>4.9987503124218945E-3</v>
      </c>
      <c r="N82" s="38">
        <f>J82/HLOOKUP(F82,Team_Composition_23[[#All],[Yellow]:[Red]],6,FALSE)</f>
        <v>4.1512870317463703E-3</v>
      </c>
      <c r="O82" s="38">
        <f>K82/HLOOKUP(F82,Team_Composition_23[[#All],[Yellow]:[Red]],8,FALSE)</f>
        <v>7.0027090383036741E-2</v>
      </c>
      <c r="P82" s="38">
        <f>L82/HLOOKUP(F82,Team_Composition_23[[#All],[Yellow]:[Red]],7,FALSE)</f>
        <v>5.8595074738268891E-3</v>
      </c>
      <c r="Q82" s="31"/>
      <c r="R82" s="78" t="s">
        <v>54</v>
      </c>
      <c r="S82" s="75">
        <f t="shared" ref="S82:S84" si="18">COUNTIFS(C:C,R82,F:F,"Yellow")</f>
        <v>3</v>
      </c>
      <c r="T82" s="76">
        <f t="shared" ref="T82:T84" si="19">COUNTIFS(C:C,R82,F:F,"Red")</f>
        <v>3</v>
      </c>
      <c r="U82" s="31"/>
      <c r="V82" s="31"/>
      <c r="W82" s="31"/>
      <c r="X82" s="31"/>
      <c r="Y82" s="31"/>
      <c r="Z82" s="31"/>
      <c r="AA82" s="31"/>
      <c r="AB82" s="78" t="s">
        <v>54</v>
      </c>
      <c r="AC82" s="75">
        <f t="shared" ref="AC82:AC84" si="20">COUNTIFS(C:C,AB82,D:D,"Best Regards")</f>
        <v>3</v>
      </c>
      <c r="AD82" s="76">
        <f t="shared" ref="AD82:AD84" si="21">COUNTIFS(C:C,AB82,D:D,"Undercooked")</f>
        <v>0</v>
      </c>
    </row>
    <row r="83" spans="1:30" ht="22.5" customHeight="1">
      <c r="A83" s="32">
        <v>58</v>
      </c>
      <c r="B83" s="56" t="str">
        <f>VLOOKUP(C83,Lists!I:J,2,FALSE)</f>
        <v>Tank</v>
      </c>
      <c r="C83" s="34" t="str">
        <f>VLOOKUP(E83&amp;D83,Lists!C:E,3,FALSE)</f>
        <v>SnS/Greatsword</v>
      </c>
      <c r="D83" s="35" t="s">
        <v>34</v>
      </c>
      <c r="E83" s="114" t="s">
        <v>176</v>
      </c>
      <c r="F83" s="35" t="s">
        <v>483</v>
      </c>
      <c r="G83" s="32">
        <v>1</v>
      </c>
      <c r="H83" s="32">
        <v>18</v>
      </c>
      <c r="I83" s="84">
        <f t="shared" si="0"/>
        <v>19</v>
      </c>
      <c r="J83" s="37">
        <v>93336</v>
      </c>
      <c r="K83" s="37">
        <v>860511</v>
      </c>
      <c r="L83" s="37">
        <v>65406</v>
      </c>
      <c r="M83" s="38">
        <f>I83/(HLOOKUP(F83,Team_Composition_23[[#All],[Yellow]:[Red]],10,FALSE)+HLOOKUP(F83,Team_Composition_23[[#All],[Yellow]:[Red]],11,FALSE))</f>
        <v>2.3142509135200974E-2</v>
      </c>
      <c r="N83" s="38">
        <f>J83/HLOOKUP(F83,Team_Composition_23[[#All],[Yellow]:[Red]],6,FALSE)</f>
        <v>5.2895357176556733E-3</v>
      </c>
      <c r="O83" s="38">
        <f>K83/HLOOKUP(F83,Team_Composition_23[[#All],[Yellow]:[Red]],8,FALSE)</f>
        <v>1.9549986643474463E-2</v>
      </c>
      <c r="P83" s="38">
        <f>L83/HLOOKUP(F83,Team_Composition_23[[#All],[Yellow]:[Red]],7,FALSE)</f>
        <v>2.6951086904790506E-3</v>
      </c>
      <c r="Q83" s="31"/>
      <c r="R83" s="74" t="s">
        <v>69</v>
      </c>
      <c r="S83" s="75">
        <f t="shared" si="18"/>
        <v>3</v>
      </c>
      <c r="T83" s="76">
        <f t="shared" si="19"/>
        <v>2</v>
      </c>
      <c r="U83" s="31"/>
      <c r="V83" s="31"/>
      <c r="W83" s="31"/>
      <c r="X83" s="31"/>
      <c r="Y83" s="31"/>
      <c r="Z83" s="31"/>
      <c r="AA83" s="31"/>
      <c r="AB83" s="74" t="s">
        <v>69</v>
      </c>
      <c r="AC83" s="75">
        <f t="shared" si="20"/>
        <v>2</v>
      </c>
      <c r="AD83" s="76">
        <f t="shared" si="21"/>
        <v>0</v>
      </c>
    </row>
    <row r="84" spans="1:30" ht="22.5" customHeight="1">
      <c r="A84" s="32">
        <v>59</v>
      </c>
      <c r="B84" s="55" t="str">
        <f>VLOOKUP(C84,Lists!I:J,2,FALSE)</f>
        <v>Tank</v>
      </c>
      <c r="C84" s="34" t="str">
        <f>VLOOKUP(E84&amp;D84,Lists!C:E,3,FALSE)</f>
        <v>SnS/Longbow</v>
      </c>
      <c r="D84" s="35" t="s">
        <v>34</v>
      </c>
      <c r="E84" s="36" t="s">
        <v>114</v>
      </c>
      <c r="F84" s="35" t="s">
        <v>483</v>
      </c>
      <c r="G84" s="32">
        <v>1</v>
      </c>
      <c r="H84" s="32">
        <v>17</v>
      </c>
      <c r="I84" s="84">
        <f t="shared" si="0"/>
        <v>18</v>
      </c>
      <c r="J84" s="37">
        <v>73261</v>
      </c>
      <c r="K84" s="37">
        <v>703710</v>
      </c>
      <c r="L84" s="37">
        <v>218194</v>
      </c>
      <c r="M84" s="38">
        <f>I84/(HLOOKUP(F84,Team_Composition_23[[#All],[Yellow]:[Red]],10,FALSE)+HLOOKUP(F84,Team_Composition_23[[#All],[Yellow]:[Red]],11,FALSE))</f>
        <v>2.192448233861145E-2</v>
      </c>
      <c r="N84" s="38">
        <f>J84/HLOOKUP(F84,Team_Composition_23[[#All],[Yellow]:[Red]],6,FALSE)</f>
        <v>4.1518457638121649E-3</v>
      </c>
      <c r="O84" s="38">
        <f>K84/HLOOKUP(F84,Team_Composition_23[[#All],[Yellow]:[Red]],8,FALSE)</f>
        <v>1.59876179396654E-2</v>
      </c>
      <c r="P84" s="38">
        <f>L84/HLOOKUP(F84,Team_Composition_23[[#All],[Yellow]:[Red]],7,FALSE)</f>
        <v>8.9908654498117285E-3</v>
      </c>
      <c r="Q84" s="31"/>
      <c r="R84" s="78" t="s">
        <v>81</v>
      </c>
      <c r="S84" s="75">
        <f t="shared" si="18"/>
        <v>0</v>
      </c>
      <c r="T84" s="76">
        <f t="shared" si="19"/>
        <v>1</v>
      </c>
      <c r="U84" s="31"/>
      <c r="V84" s="31"/>
      <c r="W84" s="31"/>
      <c r="X84" s="31"/>
      <c r="Y84" s="31"/>
      <c r="Z84" s="31"/>
      <c r="AA84" s="31"/>
      <c r="AB84" s="78" t="s">
        <v>81</v>
      </c>
      <c r="AC84" s="75">
        <f t="shared" si="20"/>
        <v>1</v>
      </c>
      <c r="AD84" s="76">
        <f t="shared" si="21"/>
        <v>0</v>
      </c>
    </row>
    <row r="85" spans="1:30" ht="22.5" customHeight="1">
      <c r="A85" s="32">
        <v>60</v>
      </c>
      <c r="B85" s="52" t="str">
        <f>VLOOKUP(C85,Lists!I:J,2,FALSE)</f>
        <v>Tank</v>
      </c>
      <c r="C85" s="34" t="s">
        <v>14</v>
      </c>
      <c r="D85" s="35" t="s">
        <v>509</v>
      </c>
      <c r="E85" s="36" t="s">
        <v>510</v>
      </c>
      <c r="F85" s="35" t="s">
        <v>483</v>
      </c>
      <c r="G85" s="32">
        <v>1</v>
      </c>
      <c r="H85" s="32">
        <v>17</v>
      </c>
      <c r="I85" s="84">
        <f t="shared" si="0"/>
        <v>18</v>
      </c>
      <c r="J85" s="37">
        <v>71775</v>
      </c>
      <c r="K85" s="37">
        <v>579104</v>
      </c>
      <c r="L85" s="37">
        <v>109737</v>
      </c>
      <c r="M85" s="38">
        <f>I85/(HLOOKUP(F85,Team_Composition_23[[#All],[Yellow]:[Red]],10,FALSE)+HLOOKUP(F85,Team_Composition_23[[#All],[Yellow]:[Red]],11,FALSE))</f>
        <v>2.192448233861145E-2</v>
      </c>
      <c r="N85" s="38">
        <f>J85/HLOOKUP(F85,Team_Composition_23[[#All],[Yellow]:[Red]],6,FALSE)</f>
        <v>4.067631204837747E-3</v>
      </c>
      <c r="O85" s="38">
        <f>K85/HLOOKUP(F85,Team_Composition_23[[#All],[Yellow]:[Red]],8,FALSE)</f>
        <v>1.3156688833940106E-2</v>
      </c>
      <c r="P85" s="38">
        <f>L85/HLOOKUP(F85,Team_Composition_23[[#All],[Yellow]:[Red]],7,FALSE)</f>
        <v>4.5218044578035589E-3</v>
      </c>
      <c r="Q85" s="31"/>
      <c r="R85" s="31"/>
      <c r="S85" s="31"/>
      <c r="T85" s="31"/>
      <c r="U85" s="31"/>
      <c r="V85" s="31"/>
      <c r="W85" s="31"/>
      <c r="X85" s="31"/>
      <c r="Y85" s="31"/>
      <c r="Z85" s="31"/>
      <c r="AA85" s="31"/>
      <c r="AB85" s="31"/>
      <c r="AC85" s="31"/>
      <c r="AD85" s="31"/>
    </row>
    <row r="86" spans="1:30" ht="22.5" customHeight="1">
      <c r="A86" s="32">
        <v>87</v>
      </c>
      <c r="B86" s="33" t="str">
        <f>VLOOKUP(C86,Lists!I:J,2,FALSE)</f>
        <v>Tank</v>
      </c>
      <c r="C86" s="34" t="str">
        <f>VLOOKUP(E86&amp;D86,Lists!C:E,3,FALSE)</f>
        <v>SnS/Greatsword</v>
      </c>
      <c r="D86" s="35" t="s">
        <v>30</v>
      </c>
      <c r="E86" s="36" t="s">
        <v>448</v>
      </c>
      <c r="F86" s="35" t="s">
        <v>476</v>
      </c>
      <c r="G86" s="32">
        <v>0</v>
      </c>
      <c r="H86" s="32">
        <v>17</v>
      </c>
      <c r="I86" s="84">
        <f t="shared" si="0"/>
        <v>17</v>
      </c>
      <c r="J86" s="37">
        <v>93070</v>
      </c>
      <c r="K86" s="37">
        <v>1187009</v>
      </c>
      <c r="L86" s="37">
        <v>129555</v>
      </c>
      <c r="M86" s="38">
        <f>I86/(HLOOKUP(F86,Team_Composition_23[[#All],[Yellow]:[Red]],10,FALSE)+HLOOKUP(F86,Team_Composition_23[[#All],[Yellow]:[Red]],11,FALSE))</f>
        <v>4.2489377655586099E-3</v>
      </c>
      <c r="N86" s="38">
        <f>J86/HLOOKUP(F86,Team_Composition_23[[#All],[Yellow]:[Red]],6,FALSE)</f>
        <v>2.0978914894423223E-3</v>
      </c>
      <c r="O86" s="38">
        <f>K86/HLOOKUP(F86,Team_Composition_23[[#All],[Yellow]:[Red]],8,FALSE)</f>
        <v>6.7756439196077947E-2</v>
      </c>
      <c r="P86" s="38">
        <f>L86/HLOOKUP(F86,Team_Composition_23[[#All],[Yellow]:[Red]],7,FALSE)</f>
        <v>1.0008285969303133E-2</v>
      </c>
      <c r="Q86" s="31"/>
      <c r="R86" s="31"/>
      <c r="S86" s="31"/>
      <c r="T86" s="31"/>
      <c r="U86" s="31"/>
      <c r="V86" s="31"/>
      <c r="W86" s="31"/>
      <c r="X86" s="31"/>
      <c r="Y86" s="31"/>
      <c r="Z86" s="31"/>
      <c r="AA86" s="31"/>
      <c r="AB86" s="31"/>
      <c r="AC86" s="31"/>
      <c r="AD86" s="31"/>
    </row>
    <row r="87" spans="1:30" ht="22.5" customHeight="1">
      <c r="A87" s="32">
        <v>88</v>
      </c>
      <c r="B87" s="56" t="str">
        <f>VLOOKUP(C87,Lists!I:J,2,FALSE)</f>
        <v>Ranged DPS</v>
      </c>
      <c r="C87" s="34" t="str">
        <f>VLOOKUP(E87&amp;D87,Lists!C:E,3,FALSE)</f>
        <v>SnS/Wand</v>
      </c>
      <c r="D87" s="35" t="s">
        <v>30</v>
      </c>
      <c r="E87" s="36" t="s">
        <v>424</v>
      </c>
      <c r="F87" s="35" t="s">
        <v>476</v>
      </c>
      <c r="G87" s="32">
        <v>0</v>
      </c>
      <c r="H87" s="32">
        <v>17</v>
      </c>
      <c r="I87" s="84">
        <f t="shared" si="0"/>
        <v>17</v>
      </c>
      <c r="J87" s="37">
        <v>27771</v>
      </c>
      <c r="K87" s="37">
        <v>351176</v>
      </c>
      <c r="L87" s="37">
        <v>204422</v>
      </c>
      <c r="M87" s="38">
        <f>I87/(HLOOKUP(F87,Team_Composition_23[[#All],[Yellow]:[Red]],10,FALSE)+HLOOKUP(F87,Team_Composition_23[[#All],[Yellow]:[Red]],11,FALSE))</f>
        <v>4.2489377655586099E-3</v>
      </c>
      <c r="N87" s="38">
        <f>J87/HLOOKUP(F87,Team_Composition_23[[#All],[Yellow]:[Red]],6,FALSE)</f>
        <v>6.2598629583434761E-4</v>
      </c>
      <c r="O87" s="38">
        <f>K87/HLOOKUP(F87,Team_Composition_23[[#All],[Yellow]:[Red]],8,FALSE)</f>
        <v>2.0045707565083219E-2</v>
      </c>
      <c r="P87" s="38">
        <f>L87/HLOOKUP(F87,Team_Composition_23[[#All],[Yellow]:[Red]],7,FALSE)</f>
        <v>1.5791855462289259E-2</v>
      </c>
      <c r="Q87" s="31"/>
      <c r="R87" s="31"/>
      <c r="S87" s="31"/>
      <c r="T87" s="31"/>
      <c r="U87" s="31"/>
      <c r="V87" s="31"/>
      <c r="W87" s="31"/>
      <c r="X87" s="31"/>
      <c r="Y87" s="31"/>
      <c r="Z87" s="31"/>
      <c r="AA87" s="31"/>
      <c r="AB87" s="31"/>
      <c r="AC87" s="31"/>
      <c r="AD87" s="31"/>
    </row>
    <row r="88" spans="1:30" ht="22.5" customHeight="1">
      <c r="A88" s="32">
        <v>89</v>
      </c>
      <c r="B88" s="33" t="str">
        <f>VLOOKUP(C88,Lists!I:J,2,FALSE)</f>
        <v>Healer</v>
      </c>
      <c r="C88" s="34" t="str">
        <f>VLOOKUP(E88&amp;D88,Lists!C:E,3,FALSE)</f>
        <v>Wand/Longbow</v>
      </c>
      <c r="D88" s="35" t="s">
        <v>30</v>
      </c>
      <c r="E88" s="36" t="s">
        <v>426</v>
      </c>
      <c r="F88" s="35" t="s">
        <v>476</v>
      </c>
      <c r="G88" s="32">
        <v>0</v>
      </c>
      <c r="H88" s="32">
        <v>17</v>
      </c>
      <c r="I88" s="84">
        <f t="shared" si="0"/>
        <v>17</v>
      </c>
      <c r="J88" s="37">
        <v>21957</v>
      </c>
      <c r="K88" s="37">
        <v>1039198</v>
      </c>
      <c r="L88" s="37">
        <v>1197708</v>
      </c>
      <c r="M88" s="38">
        <f>I88/(HLOOKUP(F88,Team_Composition_23[[#All],[Yellow]:[Red]],10,FALSE)+HLOOKUP(F88,Team_Composition_23[[#All],[Yellow]:[Red]],11,FALSE))</f>
        <v>4.2489377655586099E-3</v>
      </c>
      <c r="N88" s="38">
        <f>J88/HLOOKUP(F88,Team_Composition_23[[#All],[Yellow]:[Red]],6,FALSE)</f>
        <v>4.9493288313833743E-4</v>
      </c>
      <c r="O88" s="38">
        <f>K88/HLOOKUP(F88,Team_Composition_23[[#All],[Yellow]:[Red]],8,FALSE)</f>
        <v>5.9319142567314825E-2</v>
      </c>
      <c r="P88" s="38">
        <f>L88/HLOOKUP(F88,Team_Composition_23[[#All],[Yellow]:[Red]],7,FALSE)</f>
        <v>9.2524442682429223E-2</v>
      </c>
      <c r="Q88" s="31"/>
      <c r="R88" s="31"/>
      <c r="S88" s="31"/>
      <c r="T88" s="31"/>
      <c r="U88" s="31"/>
      <c r="V88" s="31"/>
      <c r="W88" s="31"/>
      <c r="X88" s="31"/>
      <c r="Y88" s="31"/>
      <c r="Z88" s="31"/>
      <c r="AA88" s="31"/>
      <c r="AB88" s="31"/>
      <c r="AC88" s="31"/>
      <c r="AD88" s="31"/>
    </row>
    <row r="89" spans="1:30" ht="22.5" customHeight="1">
      <c r="A89" s="32">
        <v>90</v>
      </c>
      <c r="B89" s="40" t="str">
        <f>VLOOKUP(C89,Lists!I:J,2,FALSE)</f>
        <v>Tank</v>
      </c>
      <c r="C89" s="34" t="str">
        <f>VLOOKUP(E89&amp;D89,Lists!C:E,3,FALSE)</f>
        <v>SnS/Spear</v>
      </c>
      <c r="D89" s="35" t="s">
        <v>30</v>
      </c>
      <c r="E89" s="36" t="s">
        <v>427</v>
      </c>
      <c r="F89" s="35" t="s">
        <v>476</v>
      </c>
      <c r="G89" s="32">
        <v>0</v>
      </c>
      <c r="H89" s="32">
        <v>15</v>
      </c>
      <c r="I89" s="84">
        <f t="shared" si="0"/>
        <v>15</v>
      </c>
      <c r="J89" s="37">
        <v>79207</v>
      </c>
      <c r="K89" s="37">
        <v>987680</v>
      </c>
      <c r="L89" s="37">
        <v>59795</v>
      </c>
      <c r="M89" s="38">
        <f>I89/(HLOOKUP(F89,Team_Composition_23[[#All],[Yellow]:[Red]],10,FALSE)+HLOOKUP(F89,Team_Composition_23[[#All],[Yellow]:[Red]],11,FALSE))</f>
        <v>3.7490627343164211E-3</v>
      </c>
      <c r="N89" s="38">
        <f>J89/HLOOKUP(F89,Team_Composition_23[[#All],[Yellow]:[Red]],6,FALSE)</f>
        <v>1.7854055141749007E-3</v>
      </c>
      <c r="O89" s="38">
        <f>K89/HLOOKUP(F89,Team_Composition_23[[#All],[Yellow]:[Red]],8,FALSE)</f>
        <v>5.6378409822657002E-2</v>
      </c>
      <c r="P89" s="38">
        <f>L89/HLOOKUP(F89,Team_Composition_23[[#All],[Yellow]:[Red]],7,FALSE)</f>
        <v>4.6192386209291877E-3</v>
      </c>
      <c r="Q89" s="31"/>
      <c r="R89" s="31"/>
      <c r="S89" s="31"/>
      <c r="T89" s="31"/>
      <c r="U89" s="31"/>
      <c r="V89" s="31"/>
      <c r="W89" s="31"/>
      <c r="X89" s="31"/>
      <c r="Y89" s="31"/>
      <c r="Z89" s="31"/>
      <c r="AA89" s="31"/>
      <c r="AB89" s="31"/>
      <c r="AC89" s="31"/>
      <c r="AD89" s="31"/>
    </row>
    <row r="90" spans="1:30" ht="22.5" customHeight="1">
      <c r="A90" s="32">
        <v>91</v>
      </c>
      <c r="B90" s="62" t="str">
        <f>VLOOKUP(C90,Lists!I:J,2,FALSE)</f>
        <v>Tank</v>
      </c>
      <c r="C90" s="34" t="str">
        <f>VLOOKUP(E90&amp;D90,Lists!C:E,3,FALSE)</f>
        <v>SnS/Dagger</v>
      </c>
      <c r="D90" s="35" t="s">
        <v>34</v>
      </c>
      <c r="E90" s="36" t="s">
        <v>177</v>
      </c>
      <c r="F90" s="35" t="s">
        <v>483</v>
      </c>
      <c r="G90" s="32">
        <v>0</v>
      </c>
      <c r="H90" s="32">
        <v>15</v>
      </c>
      <c r="I90" s="84">
        <f t="shared" si="0"/>
        <v>15</v>
      </c>
      <c r="J90" s="37">
        <v>43777</v>
      </c>
      <c r="K90" s="37">
        <v>122602</v>
      </c>
      <c r="L90" s="37">
        <v>7011</v>
      </c>
      <c r="M90" s="38">
        <f>I90/(HLOOKUP(F90,Team_Composition_23[[#All],[Yellow]:[Red]],10,FALSE)+HLOOKUP(F90,Team_Composition_23[[#All],[Yellow]:[Red]],11,FALSE))</f>
        <v>1.8270401948842874E-2</v>
      </c>
      <c r="N90" s="38">
        <f>J90/HLOOKUP(F90,Team_Composition_23[[#All],[Yellow]:[Red]],6,FALSE)</f>
        <v>2.4809291710788163E-3</v>
      </c>
      <c r="O90" s="38">
        <f>K90/HLOOKUP(F90,Team_Composition_23[[#All],[Yellow]:[Red]],8,FALSE)</f>
        <v>2.7854001430118337E-3</v>
      </c>
      <c r="P90" s="38">
        <f>L90/HLOOKUP(F90,Team_Composition_23[[#All],[Yellow]:[Red]],7,FALSE)</f>
        <v>2.8889409272771032E-4</v>
      </c>
      <c r="Q90" s="31"/>
      <c r="R90" s="31"/>
      <c r="S90" s="31"/>
      <c r="T90" s="31"/>
      <c r="U90" s="31"/>
      <c r="V90" s="31"/>
      <c r="W90" s="31"/>
      <c r="X90" s="31"/>
      <c r="Y90" s="31"/>
      <c r="Z90" s="31"/>
      <c r="AA90" s="31"/>
      <c r="AB90" s="31"/>
      <c r="AC90" s="31"/>
      <c r="AD90" s="31"/>
    </row>
    <row r="91" spans="1:30" ht="22.5" customHeight="1">
      <c r="A91" s="32">
        <v>51</v>
      </c>
      <c r="B91" s="52" t="str">
        <f>VLOOKUP(C91,Lists!I:J,2,FALSE)</f>
        <v>Tank</v>
      </c>
      <c r="C91" s="34" t="str">
        <f>VLOOKUP(E91&amp;D91,Lists!C:E,3,FALSE)</f>
        <v>SnS/Spear</v>
      </c>
      <c r="D91" s="35" t="s">
        <v>34</v>
      </c>
      <c r="E91" s="36" t="s">
        <v>175</v>
      </c>
      <c r="F91" s="35" t="s">
        <v>476</v>
      </c>
      <c r="G91" s="32">
        <v>1</v>
      </c>
      <c r="H91" s="32">
        <v>13</v>
      </c>
      <c r="I91" s="84">
        <f t="shared" si="0"/>
        <v>14</v>
      </c>
      <c r="J91" s="37">
        <v>45521</v>
      </c>
      <c r="K91" s="37">
        <v>319248</v>
      </c>
      <c r="L91" s="37">
        <v>12237</v>
      </c>
      <c r="M91" s="38">
        <f>I91/(HLOOKUP(F91,Team_Composition_23[[#All],[Yellow]:[Red]],10,FALSE)+HLOOKUP(F91,Team_Composition_23[[#All],[Yellow]:[Red]],11,FALSE))</f>
        <v>3.4991252186953262E-3</v>
      </c>
      <c r="N91" s="38">
        <f>J91/HLOOKUP(F91,Team_Composition_23[[#All],[Yellow]:[Red]],6,FALSE)</f>
        <v>1.0260891639723214E-3</v>
      </c>
      <c r="O91" s="38">
        <f>K91/HLOOKUP(F91,Team_Composition_23[[#All],[Yellow]:[Red]],8,FALSE)</f>
        <v>1.8223204457985989E-2</v>
      </c>
      <c r="P91" s="38">
        <f>L91/HLOOKUP(F91,Team_Composition_23[[#All],[Yellow]:[Red]],7,FALSE)</f>
        <v>9.4532357227712128E-4</v>
      </c>
      <c r="Q91" s="31"/>
      <c r="R91" s="31"/>
      <c r="S91" s="31"/>
      <c r="T91" s="31"/>
      <c r="U91" s="31"/>
      <c r="V91" s="31"/>
      <c r="W91" s="31"/>
      <c r="X91" s="31"/>
      <c r="Y91" s="31"/>
      <c r="Z91" s="31"/>
      <c r="AA91" s="31"/>
      <c r="AB91" s="31"/>
      <c r="AC91" s="31"/>
      <c r="AD91" s="31"/>
    </row>
    <row r="92" spans="1:30" ht="22.5" customHeight="1">
      <c r="A92" s="32">
        <v>92</v>
      </c>
      <c r="B92" s="71" t="str">
        <f>VLOOKUP(C92,Lists!I:J,2,FALSE)</f>
        <v>Ranged DPS</v>
      </c>
      <c r="C92" s="34" t="str">
        <f>VLOOKUP(E92&amp;D92,Lists!C:E,3,FALSE)</f>
        <v>Crossbow/SnS</v>
      </c>
      <c r="D92" s="35" t="s">
        <v>34</v>
      </c>
      <c r="E92" s="36" t="s">
        <v>83</v>
      </c>
      <c r="F92" s="35" t="s">
        <v>483</v>
      </c>
      <c r="G92" s="32">
        <v>0</v>
      </c>
      <c r="H92" s="32">
        <v>14</v>
      </c>
      <c r="I92" s="84">
        <f t="shared" si="0"/>
        <v>14</v>
      </c>
      <c r="J92" s="37">
        <v>49578</v>
      </c>
      <c r="K92" s="37">
        <v>486686</v>
      </c>
      <c r="L92" s="37">
        <v>245283</v>
      </c>
      <c r="M92" s="38">
        <f>I92/(HLOOKUP(F92,Team_Composition_23[[#All],[Yellow]:[Red]],10,FALSE)+HLOOKUP(F92,Team_Composition_23[[#All],[Yellow]:[Red]],11,FALSE))</f>
        <v>1.705237515225335E-2</v>
      </c>
      <c r="N92" s="38">
        <f>J92/HLOOKUP(F92,Team_Composition_23[[#All],[Yellow]:[Red]],6,FALSE)</f>
        <v>2.8096833141545915E-3</v>
      </c>
      <c r="O92" s="38">
        <f>K92/HLOOKUP(F92,Team_Composition_23[[#All],[Yellow]:[Red]],8,FALSE)</f>
        <v>1.1057040292995687E-2</v>
      </c>
      <c r="P92" s="38">
        <f>L92/HLOOKUP(F92,Team_Composition_23[[#All],[Yellow]:[Red]],7,FALSE)</f>
        <v>1.0107090250539292E-2</v>
      </c>
      <c r="Q92" s="31"/>
      <c r="R92" s="31"/>
      <c r="S92" s="31"/>
      <c r="T92" s="31"/>
      <c r="U92" s="31"/>
      <c r="V92" s="31"/>
      <c r="W92" s="31"/>
      <c r="X92" s="31"/>
      <c r="Y92" s="31"/>
      <c r="Z92" s="31"/>
      <c r="AA92" s="31"/>
      <c r="AB92" s="31"/>
      <c r="AC92" s="31"/>
      <c r="AD92" s="31"/>
    </row>
    <row r="93" spans="1:30" ht="22.5" customHeight="1">
      <c r="A93" s="32">
        <v>93</v>
      </c>
      <c r="B93" s="52" t="str">
        <f>VLOOKUP(C93,Lists!I:J,2,FALSE)</f>
        <v>Healer</v>
      </c>
      <c r="C93" s="34" t="str">
        <f>VLOOKUP(E93&amp;D93,Lists!C:E,3,FALSE)</f>
        <v>Wand/Longbow</v>
      </c>
      <c r="D93" s="35" t="s">
        <v>34</v>
      </c>
      <c r="E93" s="36" t="s">
        <v>136</v>
      </c>
      <c r="F93" s="35" t="s">
        <v>483</v>
      </c>
      <c r="G93" s="32">
        <v>0</v>
      </c>
      <c r="H93" s="32">
        <v>13</v>
      </c>
      <c r="I93" s="84">
        <f t="shared" si="0"/>
        <v>13</v>
      </c>
      <c r="J93" s="37">
        <v>76614</v>
      </c>
      <c r="K93" s="37">
        <v>601218</v>
      </c>
      <c r="L93" s="37">
        <v>624784</v>
      </c>
      <c r="M93" s="38">
        <f>I93/(HLOOKUP(F93,Team_Composition_23[[#All],[Yellow]:[Red]],10,FALSE)+HLOOKUP(F93,Team_Composition_23[[#All],[Yellow]:[Red]],11,FALSE))</f>
        <v>1.5834348355663823E-2</v>
      </c>
      <c r="N93" s="38">
        <f>J93/HLOOKUP(F93,Team_Composition_23[[#All],[Yellow]:[Red]],6,FALSE)</f>
        <v>4.3418669052934745E-3</v>
      </c>
      <c r="O93" s="38">
        <f>K93/HLOOKUP(F93,Team_Composition_23[[#All],[Yellow]:[Red]],8,FALSE)</f>
        <v>1.3659097756817087E-2</v>
      </c>
      <c r="P93" s="38">
        <f>L93/HLOOKUP(F93,Team_Composition_23[[#All],[Yellow]:[Red]],7,FALSE)</f>
        <v>2.5744744948051602E-2</v>
      </c>
      <c r="Q93" s="31"/>
      <c r="R93" s="31"/>
      <c r="S93" s="31"/>
      <c r="T93" s="31"/>
      <c r="U93" s="31"/>
      <c r="V93" s="31"/>
      <c r="W93" s="31"/>
      <c r="X93" s="31"/>
      <c r="Y93" s="31"/>
      <c r="Z93" s="31"/>
      <c r="AA93" s="31"/>
      <c r="AB93" s="31"/>
      <c r="AC93" s="31"/>
      <c r="AD93" s="31"/>
    </row>
    <row r="94" spans="1:30" ht="22.5" customHeight="1">
      <c r="A94" s="32">
        <v>94</v>
      </c>
      <c r="B94" s="57" t="str">
        <f>VLOOKUP(C94,Lists!I:J,2,FALSE)</f>
        <v>Tank</v>
      </c>
      <c r="C94" s="34" t="str">
        <f>VLOOKUP(E94&amp;D94,Lists!C:E,3,FALSE)</f>
        <v>SnS/Greatsword</v>
      </c>
      <c r="D94" s="35" t="s">
        <v>34</v>
      </c>
      <c r="E94" s="36" t="s">
        <v>163</v>
      </c>
      <c r="F94" s="35" t="s">
        <v>483</v>
      </c>
      <c r="G94" s="32">
        <v>0</v>
      </c>
      <c r="H94" s="32">
        <v>11</v>
      </c>
      <c r="I94" s="84">
        <f t="shared" si="0"/>
        <v>11</v>
      </c>
      <c r="J94" s="37">
        <v>28483</v>
      </c>
      <c r="K94" s="37">
        <v>474706</v>
      </c>
      <c r="L94" s="37">
        <v>17332</v>
      </c>
      <c r="M94" s="38">
        <f>I94/(HLOOKUP(F94,Team_Composition_23[[#All],[Yellow]:[Red]],10,FALSE)+HLOOKUP(F94,Team_Composition_23[[#All],[Yellow]:[Red]],11,FALSE))</f>
        <v>1.3398294762484775E-2</v>
      </c>
      <c r="N94" s="38">
        <f>J94/HLOOKUP(F94,Team_Composition_23[[#All],[Yellow]:[Red]],6,FALSE)</f>
        <v>1.6141879429800562E-3</v>
      </c>
      <c r="O94" s="38">
        <f>K94/HLOOKUP(F94,Team_Composition_23[[#All],[Yellow]:[Red]],8,FALSE)</f>
        <v>1.0784866154618811E-2</v>
      </c>
      <c r="P94" s="38">
        <f>L94/HLOOKUP(F94,Team_Composition_23[[#All],[Yellow]:[Red]],7,FALSE)</f>
        <v>7.1417949153568326E-4</v>
      </c>
      <c r="Q94" s="31"/>
      <c r="R94" s="31"/>
      <c r="S94" s="31"/>
      <c r="T94" s="31"/>
      <c r="U94" s="31"/>
      <c r="V94" s="31"/>
      <c r="W94" s="31"/>
      <c r="X94" s="31"/>
      <c r="Y94" s="31"/>
      <c r="Z94" s="31"/>
      <c r="AA94" s="31"/>
      <c r="AB94" s="31"/>
      <c r="AC94" s="31"/>
      <c r="AD94" s="31"/>
    </row>
    <row r="95" spans="1:30" ht="22.5" customHeight="1">
      <c r="A95" s="32">
        <v>95</v>
      </c>
      <c r="B95" s="56" t="str">
        <f>VLOOKUP(C95,Lists!I:J,2,FALSE)</f>
        <v>Healer</v>
      </c>
      <c r="C95" s="34" t="str">
        <f>VLOOKUP(E95&amp;D95,Lists!C:E,3,FALSE)</f>
        <v>Wand/Longbow</v>
      </c>
      <c r="D95" s="35" t="s">
        <v>34</v>
      </c>
      <c r="E95" s="36" t="s">
        <v>135</v>
      </c>
      <c r="F95" s="35" t="s">
        <v>483</v>
      </c>
      <c r="G95" s="32">
        <v>0</v>
      </c>
      <c r="H95" s="32">
        <v>7</v>
      </c>
      <c r="I95" s="84">
        <f t="shared" si="0"/>
        <v>7</v>
      </c>
      <c r="J95" s="37">
        <v>61976</v>
      </c>
      <c r="K95" s="37">
        <v>825357</v>
      </c>
      <c r="L95" s="37">
        <v>1706203</v>
      </c>
      <c r="M95" s="38">
        <f>I95/(HLOOKUP(F95,Team_Composition_23[[#All],[Yellow]:[Red]],10,FALSE)+HLOOKUP(F95,Team_Composition_23[[#All],[Yellow]:[Red]],11,FALSE))</f>
        <v>8.5261875761266752E-3</v>
      </c>
      <c r="N95" s="38">
        <f>J95/HLOOKUP(F95,Team_Composition_23[[#All],[Yellow]:[Red]],6,FALSE)</f>
        <v>3.5123024946154538E-3</v>
      </c>
      <c r="O95" s="38">
        <f>K95/HLOOKUP(F95,Team_Composition_23[[#All],[Yellow]:[Red]],8,FALSE)</f>
        <v>1.8751321396354201E-2</v>
      </c>
      <c r="P95" s="38">
        <f>L95/HLOOKUP(F95,Team_Composition_23[[#All],[Yellow]:[Red]],7,FALSE)</f>
        <v>7.0305515289444814E-2</v>
      </c>
      <c r="Q95" s="31"/>
      <c r="R95" s="31"/>
      <c r="S95" s="31"/>
      <c r="T95" s="31"/>
      <c r="U95" s="31"/>
      <c r="V95" s="31"/>
      <c r="W95" s="31"/>
      <c r="X95" s="31"/>
      <c r="Y95" s="31"/>
      <c r="Z95" s="31"/>
      <c r="AA95" s="31"/>
      <c r="AB95" s="31"/>
      <c r="AC95" s="31"/>
      <c r="AD95" s="31"/>
    </row>
    <row r="96" spans="1:30" ht="22.5" customHeight="1">
      <c r="A96" s="32">
        <v>46</v>
      </c>
      <c r="B96" s="33" t="str">
        <f>VLOOKUP(C96,Lists!I:J,2,FALSE)</f>
        <v>Tank</v>
      </c>
      <c r="C96" s="34" t="str">
        <f>VLOOKUP(E96&amp;D96,Lists!C:E,3,FALSE)</f>
        <v>SnS/Greatsword</v>
      </c>
      <c r="D96" s="35" t="s">
        <v>34</v>
      </c>
      <c r="E96" s="36" t="s">
        <v>166</v>
      </c>
      <c r="F96" s="35" t="s">
        <v>483</v>
      </c>
      <c r="G96" s="32">
        <v>2</v>
      </c>
      <c r="H96" s="32">
        <v>4</v>
      </c>
      <c r="I96" s="84">
        <f t="shared" si="0"/>
        <v>6</v>
      </c>
      <c r="J96" s="37">
        <v>78277</v>
      </c>
      <c r="K96" s="37">
        <v>1431749</v>
      </c>
      <c r="L96" s="37">
        <v>108497</v>
      </c>
      <c r="M96" s="38">
        <f>I96/(HLOOKUP(F96,Team_Composition_23[[#All],[Yellow]:[Red]],10,FALSE)+HLOOKUP(F96,Team_Composition_23[[#All],[Yellow]:[Red]],11,FALSE))</f>
        <v>7.3081607795371494E-3</v>
      </c>
      <c r="N96" s="38">
        <f>J96/HLOOKUP(F96,Team_Composition_23[[#All],[Yellow]:[Red]],6,FALSE)</f>
        <v>4.4361124043341598E-3</v>
      </c>
      <c r="O96" s="38">
        <f>K96/HLOOKUP(F96,Team_Composition_23[[#All],[Yellow]:[Red]],8,FALSE)</f>
        <v>3.252796748305125E-2</v>
      </c>
      <c r="P96" s="38">
        <f>L96/HLOOKUP(F96,Team_Composition_23[[#All],[Yellow]:[Red]],7,FALSE)</f>
        <v>4.4707092253142757E-3</v>
      </c>
      <c r="Q96" s="31"/>
      <c r="R96" s="31"/>
      <c r="S96" s="31"/>
      <c r="T96" s="31"/>
      <c r="U96" s="31"/>
      <c r="V96" s="31"/>
      <c r="W96" s="31"/>
      <c r="X96" s="31"/>
      <c r="Y96" s="31"/>
      <c r="Z96" s="31"/>
      <c r="AA96" s="31"/>
      <c r="AB96" s="31"/>
      <c r="AC96" s="31"/>
      <c r="AD96" s="31"/>
    </row>
    <row r="97" spans="1:30" ht="22.5" customHeight="1">
      <c r="A97" s="32">
        <v>96</v>
      </c>
      <c r="B97" s="65" t="str">
        <f>VLOOKUP(C97,Lists!I:J,2,FALSE)</f>
        <v>Tank</v>
      </c>
      <c r="C97" s="34" t="str">
        <f>VLOOKUP(E97&amp;D97,Lists!C:E,3,FALSE)</f>
        <v>SnS/Greatsword</v>
      </c>
      <c r="D97" s="35" t="s">
        <v>34</v>
      </c>
      <c r="E97" s="36" t="s">
        <v>166</v>
      </c>
      <c r="F97" s="35" t="s">
        <v>483</v>
      </c>
      <c r="G97" s="32">
        <v>0</v>
      </c>
      <c r="H97" s="32">
        <v>2</v>
      </c>
      <c r="I97" s="84">
        <f t="shared" si="0"/>
        <v>2</v>
      </c>
      <c r="J97" s="37">
        <v>39174</v>
      </c>
      <c r="K97" s="37">
        <v>902211</v>
      </c>
      <c r="L97" s="37">
        <v>71425</v>
      </c>
      <c r="M97" s="38">
        <f>I97/(HLOOKUP(F97,Team_Composition_23[[#All],[Yellow]:[Red]],10,FALSE)+HLOOKUP(F97,Team_Composition_23[[#All],[Yellow]:[Red]],11,FALSE))</f>
        <v>2.4360535931790498E-3</v>
      </c>
      <c r="N97" s="38">
        <f>J97/HLOOKUP(F97,Team_Composition_23[[#All],[Yellow]:[Red]],6,FALSE)</f>
        <v>2.2200680573781105E-3</v>
      </c>
      <c r="O97" s="38">
        <f>K97/HLOOKUP(F97,Team_Composition_23[[#All],[Yellow]:[Red]],8,FALSE)</f>
        <v>2.0497370747841383E-2</v>
      </c>
      <c r="P97" s="38">
        <f>L97/HLOOKUP(F97,Team_Composition_23[[#All],[Yellow]:[Red]],7,FALSE)</f>
        <v>2.9431265972153344E-3</v>
      </c>
      <c r="Q97" s="31"/>
      <c r="R97" s="31"/>
      <c r="S97" s="31"/>
      <c r="T97" s="31"/>
      <c r="U97" s="31"/>
      <c r="V97" s="31"/>
      <c r="W97" s="31"/>
      <c r="X97" s="31"/>
      <c r="Y97" s="31"/>
      <c r="Z97" s="31"/>
      <c r="AA97" s="31"/>
      <c r="AB97" s="31"/>
      <c r="AC97" s="31"/>
      <c r="AD97" s="31"/>
    </row>
    <row r="98" spans="1:30" ht="22.5" customHeight="1">
      <c r="A98" s="82"/>
      <c r="B98" s="57"/>
      <c r="C98" s="34"/>
      <c r="D98" s="13"/>
      <c r="E98" s="83"/>
      <c r="F98" s="13"/>
      <c r="G98" s="82"/>
      <c r="H98" s="82"/>
      <c r="I98" s="84"/>
      <c r="J98" s="85"/>
      <c r="K98" s="85"/>
      <c r="L98" s="85"/>
      <c r="M98" s="38"/>
      <c r="N98" s="38"/>
      <c r="O98" s="38"/>
      <c r="P98" s="38"/>
      <c r="Q98" s="31"/>
      <c r="R98" s="31"/>
      <c r="S98" s="31"/>
      <c r="T98" s="31"/>
      <c r="U98" s="31"/>
      <c r="V98" s="31"/>
      <c r="W98" s="31"/>
      <c r="X98" s="31"/>
      <c r="Y98" s="31"/>
      <c r="Z98" s="31"/>
      <c r="AA98" s="31"/>
      <c r="AB98" s="31"/>
      <c r="AC98" s="31"/>
      <c r="AD98" s="31"/>
    </row>
    <row r="99" spans="1:30" ht="22.5" customHeight="1">
      <c r="A99" s="82"/>
      <c r="B99" s="53"/>
      <c r="C99" s="34"/>
      <c r="D99" s="13"/>
      <c r="E99" s="83"/>
      <c r="F99" s="13"/>
      <c r="G99" s="82"/>
      <c r="H99" s="82"/>
      <c r="I99" s="84"/>
      <c r="J99" s="85"/>
      <c r="K99" s="85"/>
      <c r="L99" s="85"/>
      <c r="M99" s="38"/>
      <c r="N99" s="38"/>
      <c r="O99" s="38"/>
      <c r="P99" s="38"/>
      <c r="Q99" s="31"/>
      <c r="R99" s="31"/>
      <c r="S99" s="31"/>
      <c r="T99" s="31"/>
      <c r="U99" s="31"/>
      <c r="V99" s="31"/>
      <c r="W99" s="31"/>
      <c r="X99" s="31"/>
      <c r="Y99" s="31"/>
      <c r="Z99" s="31"/>
      <c r="AA99" s="31"/>
      <c r="AB99" s="31"/>
      <c r="AC99" s="31"/>
      <c r="AD99" s="31"/>
    </row>
    <row r="100" spans="1:30" ht="22.5" customHeight="1">
      <c r="A100" s="82"/>
      <c r="B100" s="34"/>
      <c r="C100" s="34"/>
      <c r="D100" s="13"/>
      <c r="E100" s="83"/>
      <c r="F100" s="13"/>
      <c r="G100" s="82"/>
      <c r="H100" s="82"/>
      <c r="I100" s="84"/>
      <c r="J100" s="85"/>
      <c r="K100" s="85"/>
      <c r="L100" s="85"/>
      <c r="M100" s="38"/>
      <c r="N100" s="38"/>
      <c r="O100" s="38"/>
      <c r="P100" s="38"/>
      <c r="Q100" s="31"/>
      <c r="R100" s="31"/>
      <c r="S100" s="31"/>
      <c r="T100" s="31"/>
      <c r="U100" s="31"/>
      <c r="V100" s="31"/>
      <c r="W100" s="31"/>
      <c r="X100" s="31"/>
      <c r="Y100" s="31"/>
      <c r="Z100" s="31"/>
      <c r="AA100" s="31"/>
      <c r="AB100" s="31"/>
      <c r="AC100" s="31"/>
      <c r="AD100" s="31"/>
    </row>
    <row r="101" spans="1:30" ht="22.5" customHeight="1">
      <c r="A101" s="82"/>
      <c r="B101" s="65"/>
      <c r="C101" s="34"/>
      <c r="D101" s="13"/>
      <c r="E101" s="83"/>
      <c r="F101" s="13"/>
      <c r="G101" s="82"/>
      <c r="H101" s="82"/>
      <c r="I101" s="84"/>
      <c r="J101" s="85"/>
      <c r="K101" s="85"/>
      <c r="L101" s="85"/>
      <c r="M101" s="38"/>
      <c r="N101" s="38"/>
      <c r="O101" s="38"/>
      <c r="P101" s="38"/>
      <c r="Q101" s="31"/>
      <c r="R101" s="31"/>
      <c r="S101" s="31"/>
      <c r="T101" s="31"/>
      <c r="U101" s="31"/>
      <c r="V101" s="31"/>
      <c r="W101" s="31"/>
      <c r="X101" s="31"/>
      <c r="Y101" s="31"/>
      <c r="Z101" s="31"/>
      <c r="AA101" s="31"/>
      <c r="AB101" s="31"/>
      <c r="AC101" s="31"/>
      <c r="AD101" s="31"/>
    </row>
    <row r="102" spans="1:30" ht="22.5" customHeight="1">
      <c r="A102" s="82"/>
      <c r="B102" s="34"/>
      <c r="C102" s="34"/>
      <c r="D102" s="13"/>
      <c r="E102" s="83"/>
      <c r="F102" s="13"/>
      <c r="G102" s="82"/>
      <c r="H102" s="82"/>
      <c r="I102" s="84"/>
      <c r="J102" s="85"/>
      <c r="K102" s="85"/>
      <c r="L102" s="85"/>
      <c r="M102" s="38"/>
      <c r="N102" s="38"/>
      <c r="O102" s="38"/>
      <c r="P102" s="38"/>
      <c r="Q102" s="31"/>
      <c r="R102" s="31"/>
      <c r="S102" s="31"/>
      <c r="T102" s="31"/>
      <c r="U102" s="31"/>
      <c r="V102" s="31"/>
      <c r="W102" s="31"/>
      <c r="X102" s="31"/>
      <c r="Y102" s="31"/>
      <c r="Z102" s="31"/>
      <c r="AA102" s="31"/>
      <c r="AB102" s="31"/>
      <c r="AC102" s="31"/>
      <c r="AD102" s="31"/>
    </row>
    <row r="103" spans="1:30" ht="22.5" customHeight="1">
      <c r="A103" s="82"/>
      <c r="B103" s="53"/>
      <c r="C103" s="34"/>
      <c r="D103" s="13"/>
      <c r="E103" s="83"/>
      <c r="F103" s="13"/>
      <c r="G103" s="82"/>
      <c r="H103" s="82"/>
      <c r="I103" s="84"/>
      <c r="J103" s="85"/>
      <c r="K103" s="85"/>
      <c r="L103" s="85"/>
      <c r="M103" s="38"/>
      <c r="N103" s="38"/>
      <c r="O103" s="38"/>
      <c r="P103" s="38"/>
      <c r="Q103" s="31"/>
      <c r="R103" s="31"/>
      <c r="S103" s="31"/>
      <c r="T103" s="31"/>
      <c r="U103" s="31"/>
      <c r="V103" s="31"/>
      <c r="W103" s="31"/>
      <c r="X103" s="31"/>
      <c r="Y103" s="31"/>
      <c r="Z103" s="31"/>
      <c r="AA103" s="31"/>
      <c r="AB103" s="31"/>
      <c r="AC103" s="31"/>
      <c r="AD103" s="31"/>
    </row>
    <row r="104" spans="1:30" ht="22.5" customHeight="1">
      <c r="A104" s="82"/>
      <c r="B104" s="66"/>
      <c r="C104" s="34"/>
      <c r="D104" s="13"/>
      <c r="E104" s="83"/>
      <c r="F104" s="13"/>
      <c r="G104" s="82"/>
      <c r="H104" s="82"/>
      <c r="I104" s="84"/>
      <c r="J104" s="85"/>
      <c r="K104" s="85"/>
      <c r="L104" s="85"/>
      <c r="M104" s="38"/>
      <c r="N104" s="38"/>
      <c r="O104" s="38"/>
      <c r="P104" s="38"/>
      <c r="Q104" s="31"/>
      <c r="R104" s="31"/>
      <c r="S104" s="31"/>
      <c r="T104" s="31"/>
      <c r="U104" s="31"/>
      <c r="V104" s="31"/>
      <c r="W104" s="31"/>
      <c r="X104" s="31"/>
      <c r="Y104" s="31"/>
      <c r="Z104" s="31"/>
      <c r="AA104" s="31"/>
      <c r="AB104" s="31"/>
      <c r="AC104" s="31"/>
      <c r="AD104" s="31"/>
    </row>
    <row r="105" spans="1:30" ht="22.5" customHeight="1">
      <c r="A105" s="82"/>
      <c r="B105" s="53"/>
      <c r="C105" s="34"/>
      <c r="D105" s="13"/>
      <c r="E105" s="83"/>
      <c r="F105" s="13"/>
      <c r="G105" s="82"/>
      <c r="H105" s="82"/>
      <c r="I105" s="84"/>
      <c r="J105" s="85"/>
      <c r="K105" s="85"/>
      <c r="L105" s="85"/>
      <c r="M105" s="38"/>
      <c r="N105" s="38"/>
      <c r="O105" s="38"/>
      <c r="P105" s="38"/>
      <c r="Q105" s="31"/>
      <c r="R105" s="31"/>
      <c r="S105" s="31"/>
      <c r="T105" s="31"/>
      <c r="U105" s="31"/>
      <c r="V105" s="31"/>
      <c r="W105" s="31"/>
      <c r="X105" s="31"/>
      <c r="Y105" s="31"/>
      <c r="Z105" s="31"/>
      <c r="AA105" s="31"/>
      <c r="AB105" s="31"/>
      <c r="AC105" s="31"/>
      <c r="AD105" s="31"/>
    </row>
    <row r="106" spans="1:30" ht="22.5" customHeight="1">
      <c r="A106" s="82"/>
      <c r="B106" s="34"/>
      <c r="C106" s="34"/>
      <c r="D106" s="13"/>
      <c r="E106" s="83"/>
      <c r="F106" s="13"/>
      <c r="G106" s="82"/>
      <c r="H106" s="82"/>
      <c r="I106" s="84"/>
      <c r="J106" s="85"/>
      <c r="K106" s="85"/>
      <c r="L106" s="85"/>
      <c r="M106" s="38"/>
      <c r="N106" s="38"/>
      <c r="O106" s="38"/>
      <c r="P106" s="38"/>
      <c r="Q106" s="31"/>
      <c r="R106" s="31"/>
      <c r="S106" s="31"/>
      <c r="T106" s="31"/>
      <c r="U106" s="31"/>
      <c r="V106" s="31"/>
      <c r="W106" s="31"/>
      <c r="X106" s="31"/>
      <c r="Y106" s="31"/>
      <c r="Z106" s="31"/>
      <c r="AA106" s="31"/>
      <c r="AB106" s="31"/>
      <c r="AC106" s="31"/>
      <c r="AD106" s="31"/>
    </row>
    <row r="107" spans="1:30" ht="22.5" customHeight="1">
      <c r="A107" s="82"/>
      <c r="B107" s="53"/>
      <c r="C107" s="34"/>
      <c r="D107" s="13"/>
      <c r="E107" s="83"/>
      <c r="F107" s="13"/>
      <c r="G107" s="82"/>
      <c r="H107" s="82"/>
      <c r="I107" s="84"/>
      <c r="J107" s="85"/>
      <c r="K107" s="85"/>
      <c r="L107" s="85"/>
      <c r="M107" s="38"/>
      <c r="N107" s="38"/>
      <c r="O107" s="38"/>
      <c r="P107" s="38"/>
      <c r="Q107" s="31"/>
      <c r="R107" s="31"/>
      <c r="S107" s="31"/>
      <c r="T107" s="31"/>
      <c r="U107" s="31"/>
      <c r="V107" s="31"/>
      <c r="W107" s="31"/>
      <c r="X107" s="31"/>
      <c r="Y107" s="31"/>
      <c r="Z107" s="31"/>
      <c r="AA107" s="31"/>
      <c r="AB107" s="31"/>
      <c r="AC107" s="31"/>
      <c r="AD107" s="31"/>
    </row>
    <row r="108" spans="1:30" ht="22.5" customHeight="1">
      <c r="A108" s="82"/>
      <c r="B108" s="34"/>
      <c r="C108" s="34"/>
      <c r="D108" s="13"/>
      <c r="E108" s="83"/>
      <c r="F108" s="13"/>
      <c r="G108" s="82"/>
      <c r="H108" s="82"/>
      <c r="I108" s="84"/>
      <c r="J108" s="85"/>
      <c r="K108" s="85"/>
      <c r="L108" s="85"/>
      <c r="M108" s="38"/>
      <c r="N108" s="38"/>
      <c r="O108" s="38"/>
      <c r="P108" s="38"/>
      <c r="Q108" s="31"/>
      <c r="R108" s="31"/>
      <c r="S108" s="31"/>
      <c r="T108" s="31"/>
      <c r="U108" s="31"/>
      <c r="V108" s="31"/>
      <c r="W108" s="31"/>
      <c r="X108" s="31"/>
      <c r="Y108" s="31"/>
      <c r="Z108" s="31"/>
      <c r="AA108" s="31"/>
      <c r="AB108" s="31"/>
      <c r="AC108" s="31"/>
      <c r="AD108" s="31"/>
    </row>
    <row r="109" spans="1:30" ht="22.5" customHeight="1">
      <c r="A109" s="82"/>
      <c r="B109" s="53" t="e">
        <f>VLOOKUP(C109,Lists!I:J,2,FALSE)</f>
        <v>#N/A</v>
      </c>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800-000000000000}">
      <formula1>#REF!</formula1>
    </dataValidation>
    <dataValidation type="list" allowBlank="1" sqref="F2:F163" xr:uid="{00000000-0002-0000-0800-000002000000}">
      <formula1>"Yellow,Red"</formula1>
    </dataValidation>
    <dataValidation type="custom" allowBlank="1" showDropDown="1" sqref="S4:T14 AC4:AD14 S17:T25 AC17:AD25 AC30:AD46 S30:T46 AC51:AD60 S51:T60 AC65:AD72 S65:T72 AC77:AD84 S77:T84 A2:A163 G2:L163" xr:uid="{00000000-0002-0000-0800-000003000000}">
      <formula1>AND(ISNUMBER(A2),(NOT(OR(NOT(ISERROR(DATEVALUE(A2))), AND(ISNUMBER(A2), LEFT(CELL("format", A2))="D")))))</formula1>
    </dataValidation>
    <dataValidation allowBlank="1" showDropDown="1" sqref="E2:E163" xr:uid="{00000000-0002-0000-08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1</v>
      </c>
      <c r="B2" s="68" t="str">
        <f>VLOOKUP(C2,Lists!I:J,2,FALSE)</f>
        <v>Ranged DPS</v>
      </c>
      <c r="C2" s="34" t="str">
        <f>VLOOKUP(E2&amp;D2,Lists!C:E,3,FALSE)</f>
        <v>Staff/Dagger</v>
      </c>
      <c r="D2" s="35" t="s">
        <v>34</v>
      </c>
      <c r="E2" s="36" t="s">
        <v>158</v>
      </c>
      <c r="F2" s="35" t="s">
        <v>476</v>
      </c>
      <c r="G2" s="32">
        <v>51</v>
      </c>
      <c r="H2" s="32">
        <v>78</v>
      </c>
      <c r="I2" s="84">
        <f t="shared" ref="I2:I97" si="0">SUM(G2:H2)</f>
        <v>129</v>
      </c>
      <c r="J2" s="37">
        <v>4860443</v>
      </c>
      <c r="K2" s="37">
        <v>659610</v>
      </c>
      <c r="L2" s="37">
        <v>11080</v>
      </c>
      <c r="M2" s="38">
        <f>I2/(HLOOKUP(F2,Team_Composition_23[[#All],[Yellow]:[Red]],10,FALSE)+HLOOKUP(F2,Team_Composition_23[[#All],[Yellow]:[Red]],11,FALSE))</f>
        <v>3.2241939515121221E-2</v>
      </c>
      <c r="N2" s="38">
        <f>J2/HLOOKUP(F2,Team_Composition_23[[#All],[Yellow]:[Red]],6,FALSE)</f>
        <v>0.10955927801245846</v>
      </c>
      <c r="O2" s="38">
        <f>K2/HLOOKUP(F2,Team_Composition_23[[#All],[Yellow]:[Red]],8,FALSE)</f>
        <v>3.7651630997005893E-2</v>
      </c>
      <c r="P2" s="38">
        <f>L2/HLOOKUP(F2,Team_Composition_23[[#All],[Yellow]:[Red]],7,FALSE)</f>
        <v>8.5594387356627472E-4</v>
      </c>
      <c r="Q2" s="31"/>
      <c r="R2" s="227" t="s">
        <v>477</v>
      </c>
      <c r="S2" s="228"/>
      <c r="T2" s="228"/>
      <c r="U2" s="31"/>
      <c r="V2" s="229" t="s">
        <v>478</v>
      </c>
      <c r="W2" s="228"/>
      <c r="X2" s="39"/>
      <c r="Y2" s="229" t="s">
        <v>479</v>
      </c>
      <c r="Z2" s="228"/>
      <c r="AA2" s="31"/>
      <c r="AB2" s="227" t="s">
        <v>480</v>
      </c>
      <c r="AC2" s="228"/>
      <c r="AD2" s="228"/>
    </row>
    <row r="3" spans="1:30" ht="22.5" customHeight="1">
      <c r="A3" s="32">
        <v>4</v>
      </c>
      <c r="B3" s="52" t="str">
        <f>VLOOKUP(C3,Lists!I:J,2,FALSE)</f>
        <v>Melee DPS</v>
      </c>
      <c r="C3" s="34" t="str">
        <f>VLOOKUP(E3&amp;D3,Lists!C:E,3,FALSE)</f>
        <v>Greatsword/Spear</v>
      </c>
      <c r="D3" s="35" t="s">
        <v>28</v>
      </c>
      <c r="E3" s="77" t="s">
        <v>347</v>
      </c>
      <c r="F3" s="35" t="s">
        <v>476</v>
      </c>
      <c r="G3" s="32">
        <v>39</v>
      </c>
      <c r="H3" s="32">
        <v>75</v>
      </c>
      <c r="I3" s="84">
        <f t="shared" si="0"/>
        <v>114</v>
      </c>
      <c r="J3" s="37">
        <v>2455933</v>
      </c>
      <c r="K3" s="37">
        <v>1199173</v>
      </c>
      <c r="L3" s="37">
        <v>40481</v>
      </c>
      <c r="M3" s="38">
        <f>I3/(HLOOKUP(F3,Team_Composition_23[[#All],[Yellow]:[Red]],10,FALSE)+HLOOKUP(F3,Team_Composition_23[[#All],[Yellow]:[Red]],11,FALSE))</f>
        <v>2.84928767808048E-2</v>
      </c>
      <c r="N3" s="38">
        <f>J3/HLOOKUP(F3,Team_Composition_23[[#All],[Yellow]:[Red]],6,FALSE)</f>
        <v>5.5359202098856246E-2</v>
      </c>
      <c r="O3" s="38">
        <f>K3/HLOOKUP(F3,Team_Composition_23[[#All],[Yellow]:[Red]],8,FALSE)</f>
        <v>6.8450780457501484E-2</v>
      </c>
      <c r="P3" s="38">
        <f>L3/HLOOKUP(F3,Team_Composition_23[[#All],[Yellow]:[Red]],7,FALSE)</f>
        <v>3.1272079373498526E-3</v>
      </c>
      <c r="Q3" s="31"/>
      <c r="R3" s="41" t="s">
        <v>482</v>
      </c>
      <c r="S3" s="42" t="s">
        <v>476</v>
      </c>
      <c r="T3" s="42" t="s">
        <v>483</v>
      </c>
      <c r="U3" s="31"/>
      <c r="V3" s="43" t="s">
        <v>1</v>
      </c>
      <c r="W3" s="44" t="s">
        <v>467</v>
      </c>
      <c r="X3" s="31"/>
      <c r="Y3" s="43" t="s">
        <v>1</v>
      </c>
      <c r="Z3" s="44" t="s">
        <v>484</v>
      </c>
      <c r="AA3" s="31"/>
      <c r="AB3" s="41" t="s">
        <v>482</v>
      </c>
      <c r="AC3" s="42" t="s">
        <v>485</v>
      </c>
      <c r="AD3" s="42" t="s">
        <v>28</v>
      </c>
    </row>
    <row r="4" spans="1:30" ht="22.5" customHeight="1">
      <c r="A4" s="32">
        <v>2</v>
      </c>
      <c r="B4" s="71" t="s">
        <v>25</v>
      </c>
      <c r="C4" s="34" t="str">
        <f>VLOOKUP(E4&amp;D4,Lists!C:E,3,FALSE)</f>
        <v>Crossbow/SnS</v>
      </c>
      <c r="D4" s="35" t="s">
        <v>34</v>
      </c>
      <c r="E4" s="36" t="s">
        <v>167</v>
      </c>
      <c r="F4" s="35" t="s">
        <v>476</v>
      </c>
      <c r="G4" s="32">
        <v>41</v>
      </c>
      <c r="H4" s="32">
        <v>72</v>
      </c>
      <c r="I4" s="84">
        <f t="shared" si="0"/>
        <v>113</v>
      </c>
      <c r="J4" s="37">
        <v>2870240</v>
      </c>
      <c r="K4" s="37">
        <v>372328</v>
      </c>
      <c r="L4" s="37">
        <v>17730</v>
      </c>
      <c r="M4" s="38">
        <f>I4/(HLOOKUP(F4,Team_Composition_23[[#All],[Yellow]:[Red]],10,FALSE)+HLOOKUP(F4,Team_Composition_23[[#All],[Yellow]:[Red]],11,FALSE))</f>
        <v>2.8242939265183703E-2</v>
      </c>
      <c r="N4" s="38">
        <f>J4/HLOOKUP(F4,Team_Composition_23[[#All],[Yellow]:[Red]],6,FALSE)</f>
        <v>6.4698098943342983E-2</v>
      </c>
      <c r="O4" s="38">
        <f>K4/HLOOKUP(F4,Team_Composition_23[[#All],[Yellow]:[Red]],8,FALSE)</f>
        <v>2.1253098749038388E-2</v>
      </c>
      <c r="P4" s="38">
        <f>L4/HLOOKUP(F4,Team_Composition_23[[#All],[Yellow]:[Red]],7,FALSE)</f>
        <v>1.3696647002102934E-3</v>
      </c>
      <c r="Q4" s="31"/>
      <c r="R4" s="45" t="s">
        <v>25</v>
      </c>
      <c r="S4" s="46">
        <f>COUNTIFS(Scoreboard_35[Role],R4,Scoreboard_35[Team],"Yellow")</f>
        <v>6</v>
      </c>
      <c r="T4" s="47">
        <f>COUNTIFS(Scoreboard_35[Role],R4,Scoreboard_35[Team],"Red")</f>
        <v>6</v>
      </c>
      <c r="U4" s="31"/>
      <c r="V4" s="48" t="str">
        <f ca="1">IFERROR(__xludf.DUMMYFUNCTION("query(A1:P238, ""Select E,I where B!='Healer' Order by I Desc Limit 10"", 0)"),"Ceviche")</f>
        <v>Ceviche</v>
      </c>
      <c r="W4" s="49">
        <f ca="1">IFERROR(__xludf.DUMMYFUNCTION("""COMPUTED_VALUE"""),129)</f>
        <v>129</v>
      </c>
      <c r="X4" s="31"/>
      <c r="Y4" s="48" t="str">
        <f ca="1">IFERROR(__xludf.DUMMYFUNCTION("query(A1:P238, ""Select E,J Order by J Desc Limit 10"", 0)"),"Ceviche")</f>
        <v>Ceviche</v>
      </c>
      <c r="Z4" s="49">
        <f ca="1">IFERROR(__xludf.DUMMYFUNCTION("""COMPUTED_VALUE"""),4860443)</f>
        <v>4860443</v>
      </c>
      <c r="AA4" s="31"/>
      <c r="AB4" s="45" t="s">
        <v>25</v>
      </c>
      <c r="AC4" s="50">
        <f>COUNTIFS(Scoreboard_35[Role],AB4,Scoreboard_35[Guild],"Best Regards")</f>
        <v>8</v>
      </c>
      <c r="AD4" s="51">
        <f>COUNTIFS(Scoreboard_35[Role],AB4,Scoreboard_35[Guild],"Undercooked")</f>
        <v>4</v>
      </c>
    </row>
    <row r="5" spans="1:30" ht="22.5" customHeight="1">
      <c r="A5" s="32">
        <v>10</v>
      </c>
      <c r="B5" s="59" t="str">
        <f>VLOOKUP(C5,Lists!I:J,2,FALSE)</f>
        <v>Ranged DPS</v>
      </c>
      <c r="C5" s="34" t="str">
        <f>VLOOKUP(E5&amp;D5,Lists!C:E,3,FALSE)</f>
        <v>Staff/Orb</v>
      </c>
      <c r="D5" s="35" t="s">
        <v>28</v>
      </c>
      <c r="E5" s="36" t="s">
        <v>368</v>
      </c>
      <c r="F5" s="35" t="s">
        <v>476</v>
      </c>
      <c r="G5" s="32">
        <v>35</v>
      </c>
      <c r="H5" s="32">
        <v>75</v>
      </c>
      <c r="I5" s="84">
        <f t="shared" si="0"/>
        <v>110</v>
      </c>
      <c r="J5" s="37">
        <v>3214362</v>
      </c>
      <c r="K5" s="37">
        <v>1204147</v>
      </c>
      <c r="L5" s="37">
        <v>73172</v>
      </c>
      <c r="M5" s="38">
        <f>I5/(HLOOKUP(F5,Team_Composition_23[[#All],[Yellow]:[Red]],10,FALSE)+HLOOKUP(F5,Team_Composition_23[[#All],[Yellow]:[Red]],11,FALSE))</f>
        <v>2.749312671832042E-2</v>
      </c>
      <c r="N5" s="38">
        <f>J5/HLOOKUP(F5,Team_Composition_23[[#All],[Yellow]:[Red]],6,FALSE)</f>
        <v>7.2454955235702181E-2</v>
      </c>
      <c r="O5" s="38">
        <f>K5/HLOOKUP(F5,Team_Composition_23[[#All],[Yellow]:[Red]],8,FALSE)</f>
        <v>6.8734704613562042E-2</v>
      </c>
      <c r="P5" s="38">
        <f>L5/HLOOKUP(F5,Team_Composition_23[[#All],[Yellow]:[Red]],7,FALSE)</f>
        <v>5.6526286206309978E-3</v>
      </c>
      <c r="Q5" s="31"/>
      <c r="R5" s="45" t="s">
        <v>39</v>
      </c>
      <c r="S5" s="46">
        <f>COUNTIFS(Scoreboard_35[Role],R5,Scoreboard_35[Team],"Yellow")</f>
        <v>6</v>
      </c>
      <c r="T5" s="47">
        <f>COUNTIFS(Scoreboard_35[Role],R5,Scoreboard_35[Team],"Red")</f>
        <v>5</v>
      </c>
      <c r="U5" s="31"/>
      <c r="V5" s="48" t="str">
        <f ca="1">IFERROR(__xludf.DUMMYFUNCTION("""COMPUTED_VALUE"""),"Margheritaa")</f>
        <v>Margheritaa</v>
      </c>
      <c r="W5" s="49">
        <f ca="1">IFERROR(__xludf.DUMMYFUNCTION("""COMPUTED_VALUE"""),114)</f>
        <v>114</v>
      </c>
      <c r="X5" s="31"/>
      <c r="Y5" s="48" t="str">
        <f ca="1">IFERROR(__xludf.DUMMYFUNCTION("""COMPUTED_VALUE"""),"CruMpet")</f>
        <v>CruMpet</v>
      </c>
      <c r="Z5" s="49">
        <f ca="1">IFERROR(__xludf.DUMMYFUNCTION("""COMPUTED_VALUE"""),3640659)</f>
        <v>3640659</v>
      </c>
      <c r="AA5" s="31"/>
      <c r="AB5" s="45" t="s">
        <v>39</v>
      </c>
      <c r="AC5" s="50">
        <f>COUNTIFS(Scoreboard_35[Role],AB5,Scoreboard_35[Guild],"Best Regards")</f>
        <v>5</v>
      </c>
      <c r="AD5" s="51">
        <f>COUNTIFS(Scoreboard_35[Role],AB5,Scoreboard_35[Guild],"Undercooked")</f>
        <v>6</v>
      </c>
    </row>
    <row r="6" spans="1:30" ht="22.5" customHeight="1">
      <c r="A6" s="32">
        <v>47</v>
      </c>
      <c r="B6" s="34" t="str">
        <f>VLOOKUP(C6,Lists!I:J,2,FALSE)</f>
        <v>Healer</v>
      </c>
      <c r="C6" s="34" t="str">
        <f>VLOOKUP(E6&amp;D6,Lists!C:E,3,FALSE)</f>
        <v>Wand/Longbow</v>
      </c>
      <c r="D6" s="35" t="s">
        <v>28</v>
      </c>
      <c r="E6" s="36" t="s">
        <v>338</v>
      </c>
      <c r="F6" s="35" t="s">
        <v>476</v>
      </c>
      <c r="G6" s="32">
        <v>0</v>
      </c>
      <c r="H6" s="32">
        <v>106</v>
      </c>
      <c r="I6" s="84">
        <f t="shared" si="0"/>
        <v>106</v>
      </c>
      <c r="J6" s="37">
        <v>45971</v>
      </c>
      <c r="K6" s="37">
        <v>465708</v>
      </c>
      <c r="L6" s="37">
        <v>2768553</v>
      </c>
      <c r="M6" s="38">
        <f>I6/(HLOOKUP(F6,Team_Composition_23[[#All],[Yellow]:[Red]],10,FALSE)+HLOOKUP(F6,Team_Composition_23[[#All],[Yellow]:[Red]],11,FALSE))</f>
        <v>2.6493376655836041E-2</v>
      </c>
      <c r="N6" s="38">
        <f>J6/HLOOKUP(F6,Team_Composition_23[[#All],[Yellow]:[Red]],6,FALSE)</f>
        <v>1.0362326169673687E-3</v>
      </c>
      <c r="O6" s="38">
        <f>K6/HLOOKUP(F6,Team_Composition_23[[#All],[Yellow]:[Red]],8,FALSE)</f>
        <v>2.6583383769733057E-2</v>
      </c>
      <c r="P6" s="38">
        <f>L6/HLOOKUP(F6,Team_Composition_23[[#All],[Yellow]:[Red]],7,FALSE)</f>
        <v>0.21387418582974102</v>
      </c>
      <c r="Q6" s="31"/>
      <c r="R6" s="45" t="s">
        <v>67</v>
      </c>
      <c r="S6" s="46">
        <f>COUNTIFS(Scoreboard_35[Role],R6,Scoreboard_35[Team],"Yellow")</f>
        <v>14</v>
      </c>
      <c r="T6" s="47">
        <f>COUNTIFS(Scoreboard_35[Role],R6,Scoreboard_35[Team],"Red")</f>
        <v>14</v>
      </c>
      <c r="U6" s="31"/>
      <c r="V6" s="48" t="str">
        <f ca="1">IFERROR(__xludf.DUMMYFUNCTION("""COMPUTED_VALUE"""),"charigueya")</f>
        <v>charigueya</v>
      </c>
      <c r="W6" s="49">
        <f ca="1">IFERROR(__xludf.DUMMYFUNCTION("""COMPUTED_VALUE"""),113)</f>
        <v>113</v>
      </c>
      <c r="X6" s="31"/>
      <c r="Y6" s="48" t="str">
        <f ca="1">IFERROR(__xludf.DUMMYFUNCTION("""COMPUTED_VALUE"""),"cappuccino")</f>
        <v>cappuccino</v>
      </c>
      <c r="Z6" s="49">
        <f ca="1">IFERROR(__xludf.DUMMYFUNCTION("""COMPUTED_VALUE"""),3214362)</f>
        <v>3214362</v>
      </c>
      <c r="AA6" s="31"/>
      <c r="AB6" s="45" t="s">
        <v>67</v>
      </c>
      <c r="AC6" s="50">
        <f>COUNTIFS(Scoreboard_35[Role],AB6,Scoreboard_35[Guild],"Best Regards")</f>
        <v>15</v>
      </c>
      <c r="AD6" s="51">
        <f>COUNTIFS(Scoreboard_35[Role],AB6,Scoreboard_35[Guild],"Undercooked")</f>
        <v>13</v>
      </c>
    </row>
    <row r="7" spans="1:30" ht="22.5" customHeight="1">
      <c r="A7" s="32">
        <v>8</v>
      </c>
      <c r="B7" s="52" t="str">
        <f>VLOOKUP(C7,Lists!I:J,2,FALSE)</f>
        <v>Melee DPS</v>
      </c>
      <c r="C7" s="34" t="str">
        <f>VLOOKUP(E7&amp;D7,Lists!C:E,3,FALSE)</f>
        <v>Greatsword/Spear</v>
      </c>
      <c r="D7" s="35" t="s">
        <v>34</v>
      </c>
      <c r="E7" s="36" t="s">
        <v>145</v>
      </c>
      <c r="F7" s="35" t="s">
        <v>476</v>
      </c>
      <c r="G7" s="32">
        <v>37</v>
      </c>
      <c r="H7" s="32">
        <v>68</v>
      </c>
      <c r="I7" s="84">
        <f t="shared" si="0"/>
        <v>105</v>
      </c>
      <c r="J7" s="37">
        <v>1889288</v>
      </c>
      <c r="K7" s="37">
        <v>1820244</v>
      </c>
      <c r="L7" s="37">
        <v>22501</v>
      </c>
      <c r="M7" s="38">
        <f>I7/(HLOOKUP(F7,Team_Composition_23[[#All],[Yellow]:[Red]],10,FALSE)+HLOOKUP(F7,Team_Composition_23[[#All],[Yellow]:[Red]],11,FALSE))</f>
        <v>2.6243439140214948E-2</v>
      </c>
      <c r="N7" s="38">
        <f>J7/HLOOKUP(F7,Team_Composition_23[[#All],[Yellow]:[Red]],6,FALSE)</f>
        <v>4.2586453382459505E-2</v>
      </c>
      <c r="O7" s="38">
        <f>K7/HLOOKUP(F7,Team_Composition_23[[#All],[Yellow]:[Red]],8,FALSE)</f>
        <v>0.10390254152076833</v>
      </c>
      <c r="P7" s="38">
        <f>L7/HLOOKUP(F7,Team_Composition_23[[#All],[Yellow]:[Red]],7,FALSE)</f>
        <v>1.738230424107829E-3</v>
      </c>
      <c r="Q7" s="31"/>
      <c r="R7" s="45" t="s">
        <v>11</v>
      </c>
      <c r="S7" s="46">
        <f>COUNTIFS(Scoreboard_35[Role],R7,Scoreboard_35[Team],"Yellow")</f>
        <v>18</v>
      </c>
      <c r="T7" s="47">
        <f>COUNTIFS(Scoreboard_35[Role],R7,Scoreboard_35[Team],"Red")</f>
        <v>17</v>
      </c>
      <c r="U7" s="31"/>
      <c r="V7" s="48" t="str">
        <f ca="1">IFERROR(__xludf.DUMMYFUNCTION("""COMPUTED_VALUE"""),"cappuccino")</f>
        <v>cappuccino</v>
      </c>
      <c r="W7" s="49">
        <f ca="1">IFERROR(__xludf.DUMMYFUNCTION("""COMPUTED_VALUE"""),110)</f>
        <v>110</v>
      </c>
      <c r="X7" s="31"/>
      <c r="Y7" s="48" t="str">
        <f ca="1">IFERROR(__xludf.DUMMYFUNCTION("""COMPUTED_VALUE"""),"Prosciutto")</f>
        <v>Prosciutto</v>
      </c>
      <c r="Z7" s="49">
        <f ca="1">IFERROR(__xludf.DUMMYFUNCTION("""COMPUTED_VALUE"""),2928783)</f>
        <v>2928783</v>
      </c>
      <c r="AA7" s="31"/>
      <c r="AB7" s="45" t="s">
        <v>11</v>
      </c>
      <c r="AC7" s="50">
        <f>COUNTIFS(Scoreboard_35[Role],AB7,Scoreboard_35[Guild],"Best Regards")</f>
        <v>18</v>
      </c>
      <c r="AD7" s="51">
        <f>COUNTIFS(Scoreboard_35[Role],AB7,Scoreboard_35[Guild],"Undercooked")</f>
        <v>17</v>
      </c>
    </row>
    <row r="8" spans="1:30" ht="22.5" customHeight="1">
      <c r="A8" s="32">
        <v>9</v>
      </c>
      <c r="B8" s="34" t="str">
        <f>VLOOKUP(C8,Lists!I:J,2,FALSE)</f>
        <v>Melee DPS</v>
      </c>
      <c r="C8" s="34" t="str">
        <f>VLOOKUP(E8&amp;D8,Lists!C:E,3,FALSE)</f>
        <v>Greatsword/Spear</v>
      </c>
      <c r="D8" s="35" t="s">
        <v>34</v>
      </c>
      <c r="E8" s="36" t="s">
        <v>147</v>
      </c>
      <c r="F8" s="35" t="s">
        <v>476</v>
      </c>
      <c r="G8" s="32">
        <v>36</v>
      </c>
      <c r="H8" s="32">
        <v>69</v>
      </c>
      <c r="I8" s="84">
        <f t="shared" si="0"/>
        <v>105</v>
      </c>
      <c r="J8" s="37">
        <v>2264579</v>
      </c>
      <c r="K8" s="37">
        <v>2039487</v>
      </c>
      <c r="L8" s="37">
        <v>31551</v>
      </c>
      <c r="M8" s="38">
        <f>I8/(HLOOKUP(F8,Team_Composition_23[[#All],[Yellow]:[Red]],10,FALSE)+HLOOKUP(F8,Team_Composition_23[[#All],[Yellow]:[Red]],11,FALSE))</f>
        <v>2.6243439140214948E-2</v>
      </c>
      <c r="N8" s="38">
        <f>J8/HLOOKUP(F8,Team_Composition_23[[#All],[Yellow]:[Red]],6,FALSE)</f>
        <v>5.1045890311268986E-2</v>
      </c>
      <c r="O8" s="38">
        <f>K8/HLOOKUP(F8,Team_Composition_23[[#All],[Yellow]:[Red]],8,FALSE)</f>
        <v>0.11641729498823633</v>
      </c>
      <c r="P8" s="38">
        <f>L8/HLOOKUP(F8,Team_Composition_23[[#All],[Yellow]:[Red]],7,FALSE)</f>
        <v>2.4373542558564559E-3</v>
      </c>
      <c r="Q8" s="31"/>
      <c r="R8" s="45" t="s">
        <v>468</v>
      </c>
      <c r="S8" s="46">
        <f>SUMIFS(Scoreboard_35[Damage Dealt],Scoreboard_35[Team],"Yellow")</f>
        <v>37258048</v>
      </c>
      <c r="T8" s="47">
        <f>SUMIFS(Scoreboard_35[Damage Dealt],Scoreboard_35[Team],"Red")</f>
        <v>29449701</v>
      </c>
      <c r="U8" s="31"/>
      <c r="V8" s="48" t="str">
        <f ca="1">IFERROR(__xludf.DUMMYFUNCTION("""COMPUTED_VALUE"""),"B")</f>
        <v>B</v>
      </c>
      <c r="W8" s="49">
        <f ca="1">IFERROR(__xludf.DUMMYFUNCTION("""COMPUTED_VALUE"""),105)</f>
        <v>105</v>
      </c>
      <c r="X8" s="31"/>
      <c r="Y8" s="48" t="str">
        <f ca="1">IFERROR(__xludf.DUMMYFUNCTION("""COMPUTED_VALUE"""),"Ryujin")</f>
        <v>Ryujin</v>
      </c>
      <c r="Z8" s="49">
        <f ca="1">IFERROR(__xludf.DUMMYFUNCTION("""COMPUTED_VALUE"""),2896225)</f>
        <v>2896225</v>
      </c>
      <c r="AA8" s="31"/>
      <c r="AB8" s="45" t="s">
        <v>468</v>
      </c>
      <c r="AC8" s="50">
        <f>SUMIFS(Scoreboard_35[Damage Dealt],Scoreboard_35[Guild],"Best Regards")</f>
        <v>35189222</v>
      </c>
      <c r="AD8" s="51">
        <f>SUMIFS(Scoreboard_35[Damage Dealt],Scoreboard_35[Guild],"Undercooked")</f>
        <v>31518527</v>
      </c>
    </row>
    <row r="9" spans="1:30" ht="22.5" customHeight="1">
      <c r="A9" s="32">
        <v>6</v>
      </c>
      <c r="B9" s="67" t="str">
        <f>VLOOKUP(C9,Lists!I:J,2,FALSE)</f>
        <v>Ranged DPS</v>
      </c>
      <c r="C9" s="34" t="str">
        <f>VLOOKUP(E9&amp;D9,Lists!C:E,3,FALSE)</f>
        <v>Crossbow/SnS</v>
      </c>
      <c r="D9" s="35" t="s">
        <v>34</v>
      </c>
      <c r="E9" s="36" t="s">
        <v>141</v>
      </c>
      <c r="F9" s="35" t="s">
        <v>476</v>
      </c>
      <c r="G9" s="32">
        <v>38</v>
      </c>
      <c r="H9" s="32">
        <v>66</v>
      </c>
      <c r="I9" s="84">
        <f t="shared" si="0"/>
        <v>104</v>
      </c>
      <c r="J9" s="37">
        <v>2231060</v>
      </c>
      <c r="K9" s="37">
        <v>625829</v>
      </c>
      <c r="L9" s="37">
        <v>36336</v>
      </c>
      <c r="M9" s="38">
        <f>I9/(HLOOKUP(F9,Team_Composition_23[[#All],[Yellow]:[Red]],10,FALSE)+HLOOKUP(F9,Team_Composition_23[[#All],[Yellow]:[Red]],11,FALSE))</f>
        <v>2.5993501624593851E-2</v>
      </c>
      <c r="N9" s="38">
        <f>J9/HLOOKUP(F9,Team_Composition_23[[#All],[Yellow]:[Red]],6,FALSE)</f>
        <v>5.0290338309177902E-2</v>
      </c>
      <c r="O9" s="38">
        <f>K9/HLOOKUP(F9,Team_Composition_23[[#All],[Yellow]:[Red]],8,FALSE)</f>
        <v>3.572335558166978E-2</v>
      </c>
      <c r="P9" s="38">
        <f>L9/HLOOKUP(F9,Team_Composition_23[[#All],[Yellow]:[Red]],7,FALSE)</f>
        <v>2.8070014972837688E-3</v>
      </c>
      <c r="Q9" s="31"/>
      <c r="R9" s="45" t="s">
        <v>470</v>
      </c>
      <c r="S9" s="46">
        <f>SUMIFS(Scoreboard_35[Amount Healed],Scoreboard_35[Team],"Yellow")</f>
        <v>22714628</v>
      </c>
      <c r="T9" s="47">
        <f>SUMIFS(Scoreboard_35[Amount Healed],Scoreboard_35[Team],"Red")</f>
        <v>22336208</v>
      </c>
      <c r="U9" s="31"/>
      <c r="V9" s="48" t="str">
        <f ca="1">IFERROR(__xludf.DUMMYFUNCTION("""COMPUTED_VALUE"""),"K")</f>
        <v>K</v>
      </c>
      <c r="W9" s="49">
        <f ca="1">IFERROR(__xludf.DUMMYFUNCTION("""COMPUTED_VALUE"""),105)</f>
        <v>105</v>
      </c>
      <c r="X9" s="31"/>
      <c r="Y9" s="48" t="str">
        <f ca="1">IFERROR(__xludf.DUMMYFUNCTION("""COMPUTED_VALUE"""),"charigueya")</f>
        <v>charigueya</v>
      </c>
      <c r="Z9" s="49">
        <f ca="1">IFERROR(__xludf.DUMMYFUNCTION("""COMPUTED_VALUE"""),2870240)</f>
        <v>2870240</v>
      </c>
      <c r="AA9" s="31"/>
      <c r="AB9" s="45" t="s">
        <v>470</v>
      </c>
      <c r="AC9" s="50">
        <f>SUMIFS(Scoreboard_35[Amount Healed],Scoreboard_35[Guild],"Best Regards")</f>
        <v>22299598</v>
      </c>
      <c r="AD9" s="51">
        <f>SUMIFS(Scoreboard_35[Amount Healed],Scoreboard_35[Guild],"Undercooked")</f>
        <v>22751238</v>
      </c>
    </row>
    <row r="10" spans="1:30" ht="22.5" customHeight="1">
      <c r="A10" s="32">
        <v>12</v>
      </c>
      <c r="B10" s="69" t="str">
        <f>VLOOKUP(C10,Lists!I:J,2,FALSE)</f>
        <v>KS</v>
      </c>
      <c r="C10" s="34" t="str">
        <f>VLOOKUP(E10&amp;D10,Lists!C:E,3,FALSE)</f>
        <v>Greatsword/Dagger</v>
      </c>
      <c r="D10" s="35" t="s">
        <v>28</v>
      </c>
      <c r="E10" s="36" t="s">
        <v>334</v>
      </c>
      <c r="F10" s="35" t="s">
        <v>476</v>
      </c>
      <c r="G10" s="32">
        <v>33</v>
      </c>
      <c r="H10" s="32">
        <v>68</v>
      </c>
      <c r="I10" s="84">
        <f t="shared" si="0"/>
        <v>101</v>
      </c>
      <c r="J10" s="37">
        <v>1432525</v>
      </c>
      <c r="K10" s="37">
        <v>1698861</v>
      </c>
      <c r="L10" s="37">
        <v>104264</v>
      </c>
      <c r="M10" s="38">
        <f>I10/(HLOOKUP(F10,Team_Composition_23[[#All],[Yellow]:[Red]],10,FALSE)+HLOOKUP(F10,Team_Composition_23[[#All],[Yellow]:[Red]],11,FALSE))</f>
        <v>2.5243689077730568E-2</v>
      </c>
      <c r="N10" s="38">
        <f>J10/HLOOKUP(F10,Team_Composition_23[[#All],[Yellow]:[Red]],6,FALSE)</f>
        <v>3.2290555559400053E-2</v>
      </c>
      <c r="O10" s="38">
        <f>K10/HLOOKUP(F10,Team_Composition_23[[#All],[Yellow]:[Red]],8,FALSE)</f>
        <v>9.6973798892079313E-2</v>
      </c>
      <c r="P10" s="38">
        <f>L10/HLOOKUP(F10,Team_Composition_23[[#All],[Yellow]:[Red]],7,FALSE)</f>
        <v>8.0545245517611979E-3</v>
      </c>
      <c r="Q10" s="31"/>
      <c r="R10" s="45" t="s">
        <v>469</v>
      </c>
      <c r="S10" s="46">
        <f>SUMIFS(Scoreboard_35[Damage Taken],Scoreboard_35[Team],"Yellow")</f>
        <v>32149691</v>
      </c>
      <c r="T10" s="47">
        <f>SUMIFS(Scoreboard_35[Damage Taken],Scoreboard_35[Team],"Red")</f>
        <v>34558058</v>
      </c>
      <c r="U10" s="31"/>
      <c r="V10" s="48" t="str">
        <f ca="1">IFERROR(__xludf.DUMMYFUNCTION("""COMPUTED_VALUE"""),"Thundercats")</f>
        <v>Thundercats</v>
      </c>
      <c r="W10" s="49">
        <f ca="1">IFERROR(__xludf.DUMMYFUNCTION("""COMPUTED_VALUE"""),104)</f>
        <v>104</v>
      </c>
      <c r="X10" s="31"/>
      <c r="Y10" s="48" t="str">
        <f ca="1">IFERROR(__xludf.DUMMYFUNCTION("""COMPUTED_VALUE"""),"EnoughCrazy")</f>
        <v>EnoughCrazy</v>
      </c>
      <c r="Z10" s="49">
        <f ca="1">IFERROR(__xludf.DUMMYFUNCTION("""COMPUTED_VALUE"""),2811255)</f>
        <v>2811255</v>
      </c>
      <c r="AA10" s="31"/>
      <c r="AB10" s="45" t="s">
        <v>469</v>
      </c>
      <c r="AC10" s="50">
        <f>SUMIFS(Scoreboard_35[Damage Taken],Scoreboard_35[Guild],"Best Regards")</f>
        <v>33182365</v>
      </c>
      <c r="AD10" s="51">
        <f>SUMIFS(Scoreboard_35[Damage Taken],Scoreboard_35[Guild],"Undercooked")</f>
        <v>33525384</v>
      </c>
    </row>
    <row r="11" spans="1:30" ht="22.5" customHeight="1">
      <c r="A11" s="32">
        <v>16</v>
      </c>
      <c r="B11" s="52" t="str">
        <f>VLOOKUP(C11,Lists!I:J,2,FALSE)</f>
        <v>Melee DPS</v>
      </c>
      <c r="C11" s="34" t="str">
        <f>VLOOKUP(E11&amp;D11,Lists!C:E,3,FALSE)</f>
        <v>Greatsword/Spear</v>
      </c>
      <c r="D11" s="35" t="s">
        <v>28</v>
      </c>
      <c r="E11" s="36" t="s">
        <v>333</v>
      </c>
      <c r="F11" s="35" t="s">
        <v>483</v>
      </c>
      <c r="G11" s="32">
        <v>30</v>
      </c>
      <c r="H11" s="32">
        <v>68</v>
      </c>
      <c r="I11" s="84">
        <f t="shared" si="0"/>
        <v>98</v>
      </c>
      <c r="J11" s="37">
        <v>2928783</v>
      </c>
      <c r="K11" s="37">
        <v>1282434</v>
      </c>
      <c r="L11" s="37">
        <v>13057</v>
      </c>
      <c r="M11" s="38">
        <f>I11/(HLOOKUP(F11,Team_Composition_23[[#All],[Yellow]:[Red]],10,FALSE)+HLOOKUP(F11,Team_Composition_23[[#All],[Yellow]:[Red]],11,FALSE))</f>
        <v>0.11936662606577345</v>
      </c>
      <c r="N11" s="38">
        <f>J11/HLOOKUP(F11,Team_Composition_23[[#All],[Yellow]:[Red]],6,FALSE)</f>
        <v>0.16597992508531259</v>
      </c>
      <c r="O11" s="38">
        <f>K11/HLOOKUP(F11,Team_Composition_23[[#All],[Yellow]:[Red]],8,FALSE)</f>
        <v>2.9135673537162832E-2</v>
      </c>
      <c r="P11" s="38">
        <f>L11/HLOOKUP(F11,Team_Composition_23[[#All],[Yellow]:[Red]],7,FALSE)</f>
        <v>5.3802455694561605E-4</v>
      </c>
      <c r="Q11" s="31"/>
      <c r="R11" s="45" t="s">
        <v>495</v>
      </c>
      <c r="S11" s="46">
        <f ca="1">IFERROR(DIVIDE(SUMIFS(Scoreboard_35[Amount Healed],Scoreboard_35[Team],"Yellow"), SUMIFS(Scoreboard_35[Damage Taken],Scoreboard_35[Team],"Yellow"))*(100),0)</f>
        <v>0</v>
      </c>
      <c r="T11" s="47">
        <f ca="1">IFERROR(DIVIDE(SUMIFS(Scoreboard_35[Amount Healed],Scoreboard_35[Team],"Red"), SUMIFS(Scoreboard_35[Damage Taken],Scoreboard_35[Team],"Red"))*(100),0)</f>
        <v>0</v>
      </c>
      <c r="U11" s="31"/>
      <c r="V11" s="48" t="str">
        <f ca="1">IFERROR(__xludf.DUMMYFUNCTION("""COMPUTED_VALUE"""),"ALilSnakes")</f>
        <v>ALilSnakes</v>
      </c>
      <c r="W11" s="49">
        <f ca="1">IFERROR(__xludf.DUMMYFUNCTION("""COMPUTED_VALUE"""),101)</f>
        <v>101</v>
      </c>
      <c r="X11" s="31"/>
      <c r="Y11" s="48" t="str">
        <f ca="1">IFERROR(__xludf.DUMMYFUNCTION("""COMPUTED_VALUE"""),"Superluigi")</f>
        <v>Superluigi</v>
      </c>
      <c r="Z11" s="49">
        <f ca="1">IFERROR(__xludf.DUMMYFUNCTION("""COMPUTED_VALUE"""),2658241)</f>
        <v>2658241</v>
      </c>
      <c r="AA11" s="31"/>
      <c r="AB11" s="45" t="s">
        <v>495</v>
      </c>
      <c r="AC11" s="50">
        <f ca="1">IFERROR(DIVIDE(SUMIFS(Scoreboard_35[Amount Healed],Scoreboard_35[Guild],"Best Regards"), SUMIFS(Scoreboard_35[Damage Taken],Scoreboard_35[Guild],"Best Regards"))*(100),0)</f>
        <v>0</v>
      </c>
      <c r="AD11" s="51">
        <f ca="1">IFERROR(DIVIDE(SUMIFS(Scoreboard_35[Amount Healed],Scoreboard_35[Guild],"Undercooked"), SUMIFS(Scoreboard_35[Damage Taken],Scoreboard_35[Guild],"Undercooked"))*(100),0)</f>
        <v>0</v>
      </c>
    </row>
    <row r="12" spans="1:30" ht="22.5" customHeight="1">
      <c r="A12" s="32">
        <v>3</v>
      </c>
      <c r="B12" s="60" t="str">
        <f>VLOOKUP(C12,Lists!I:J,2,FALSE)</f>
        <v>KS</v>
      </c>
      <c r="C12" s="34" t="str">
        <f>VLOOKUP(E12&amp;D12,Lists!C:E,3,FALSE)</f>
        <v>Crossbow/Dagger</v>
      </c>
      <c r="D12" s="35" t="s">
        <v>28</v>
      </c>
      <c r="E12" s="36" t="s">
        <v>335</v>
      </c>
      <c r="F12" s="35" t="s">
        <v>476</v>
      </c>
      <c r="G12" s="32">
        <v>40</v>
      </c>
      <c r="H12" s="32">
        <v>54</v>
      </c>
      <c r="I12" s="84">
        <f t="shared" si="0"/>
        <v>94</v>
      </c>
      <c r="J12" s="37">
        <v>1833581</v>
      </c>
      <c r="K12" s="37">
        <v>933323</v>
      </c>
      <c r="L12" s="37">
        <v>0</v>
      </c>
      <c r="M12" s="38">
        <f>I12/(HLOOKUP(F12,Team_Composition_23[[#All],[Yellow]:[Red]],10,FALSE)+HLOOKUP(F12,Team_Composition_23[[#All],[Yellow]:[Red]],11,FALSE))</f>
        <v>2.3494126468382906E-2</v>
      </c>
      <c r="N12" s="38">
        <f>J12/HLOOKUP(F12,Team_Composition_23[[#All],[Yellow]:[Red]],6,FALSE)</f>
        <v>4.1330761524692623E-2</v>
      </c>
      <c r="O12" s="38">
        <f>K12/HLOOKUP(F12,Team_Composition_23[[#All],[Yellow]:[Red]],8,FALSE)</f>
        <v>5.3275622257119411E-2</v>
      </c>
      <c r="P12" s="38">
        <f>L12/HLOOKUP(F12,Team_Composition_23[[#All],[Yellow]:[Red]],7,FALSE)</f>
        <v>0</v>
      </c>
      <c r="Q12" s="31"/>
      <c r="R12" s="45" t="s">
        <v>465</v>
      </c>
      <c r="S12" s="46">
        <f>SUMIFS(Scoreboard_35[Kills],Scoreboard_35[Team],"Yellow")</f>
        <v>552</v>
      </c>
      <c r="T12" s="47">
        <f>SUMIFS(Scoreboard_35[Kills],Scoreboard_35[Team],"Red")</f>
        <v>355</v>
      </c>
      <c r="U12" s="31"/>
      <c r="V12" s="48" t="str">
        <f ca="1">IFERROR(__xludf.DUMMYFUNCTION("""COMPUTED_VALUE"""),"Prosciutto")</f>
        <v>Prosciutto</v>
      </c>
      <c r="W12" s="49">
        <f ca="1">IFERROR(__xludf.DUMMYFUNCTION("""COMPUTED_VALUE"""),98)</f>
        <v>98</v>
      </c>
      <c r="X12" s="31"/>
      <c r="Y12" s="48" t="str">
        <f ca="1">IFERROR(__xludf.DUMMYFUNCTION("""COMPUTED_VALUE"""),"Margheritaa")</f>
        <v>Margheritaa</v>
      </c>
      <c r="Z12" s="49">
        <f ca="1">IFERROR(__xludf.DUMMYFUNCTION("""COMPUTED_VALUE"""),2455933)</f>
        <v>2455933</v>
      </c>
      <c r="AA12" s="31"/>
      <c r="AB12" s="45" t="s">
        <v>465</v>
      </c>
      <c r="AC12" s="50">
        <f>SUMIFS(Scoreboard_35[Kills],Scoreboard_35[Guild],"Best Regards")</f>
        <v>487</v>
      </c>
      <c r="AD12" s="51">
        <f>SUMIFS(Scoreboard_35[Kills],Scoreboard_35[Guild],"Undercooked")</f>
        <v>420</v>
      </c>
    </row>
    <row r="13" spans="1:30" ht="22.5" customHeight="1">
      <c r="A13" s="32">
        <v>11</v>
      </c>
      <c r="B13" s="73" t="str">
        <f>VLOOKUP(C13,Lists!I:J,2,FALSE)</f>
        <v>KS</v>
      </c>
      <c r="C13" s="34" t="str">
        <f>VLOOKUP(E13&amp;D13,Lists!C:E,3,FALSE)</f>
        <v>Crossbow/Dagger</v>
      </c>
      <c r="D13" s="35" t="s">
        <v>34</v>
      </c>
      <c r="E13" s="36" t="s">
        <v>161</v>
      </c>
      <c r="F13" s="35" t="s">
        <v>476</v>
      </c>
      <c r="G13" s="32">
        <v>35</v>
      </c>
      <c r="H13" s="32">
        <v>58</v>
      </c>
      <c r="I13" s="84">
        <f t="shared" si="0"/>
        <v>93</v>
      </c>
      <c r="J13" s="37">
        <v>1227199</v>
      </c>
      <c r="K13" s="37">
        <v>379579</v>
      </c>
      <c r="L13" s="37">
        <v>1255</v>
      </c>
      <c r="M13" s="38">
        <f>I13/(HLOOKUP(F13,Team_Composition_23[[#All],[Yellow]:[Red]],10,FALSE)+HLOOKUP(F13,Team_Composition_23[[#All],[Yellow]:[Red]],11,FALSE))</f>
        <v>2.3244188952761809E-2</v>
      </c>
      <c r="N13" s="38">
        <f>J13/HLOOKUP(F13,Team_Composition_23[[#All],[Yellow]:[Red]],6,FALSE)</f>
        <v>2.7662300826819902E-2</v>
      </c>
      <c r="O13" s="38">
        <f>K13/HLOOKUP(F13,Team_Composition_23[[#All],[Yellow]:[Red]],8,FALSE)</f>
        <v>2.1666997835406529E-2</v>
      </c>
      <c r="P13" s="38">
        <f>L13/HLOOKUP(F13,Team_Composition_23[[#All],[Yellow]:[Red]],7,FALSE)</f>
        <v>9.6950321419284727E-5</v>
      </c>
      <c r="Q13" s="31"/>
      <c r="R13" s="45" t="s">
        <v>466</v>
      </c>
      <c r="S13" s="46">
        <f>SUMIFS(Scoreboard_35[Assists],Scoreboard_35[Team],"Yellow")</f>
        <v>2266</v>
      </c>
      <c r="T13" s="47">
        <f>SUMIFS(Scoreboard_35[Assists],Scoreboard_35[Team],"Red")</f>
        <v>1541</v>
      </c>
      <c r="U13" s="31"/>
      <c r="V13" s="48" t="str">
        <f ca="1">IFERROR(__xludf.DUMMYFUNCTION("""COMPUTED_VALUE"""),"Dog")</f>
        <v>Dog</v>
      </c>
      <c r="W13" s="49">
        <f ca="1">IFERROR(__xludf.DUMMYFUNCTION("""COMPUTED_VALUE"""),94)</f>
        <v>94</v>
      </c>
      <c r="X13" s="31"/>
      <c r="Y13" s="48" t="str">
        <f ca="1">IFERROR(__xludf.DUMMYFUNCTION("""COMPUTED_VALUE"""),"K")</f>
        <v>K</v>
      </c>
      <c r="Z13" s="49">
        <f ca="1">IFERROR(__xludf.DUMMYFUNCTION("""COMPUTED_VALUE"""),2264579)</f>
        <v>2264579</v>
      </c>
      <c r="AA13" s="31"/>
      <c r="AB13" s="45" t="s">
        <v>466</v>
      </c>
      <c r="AC13" s="50">
        <f>SUMIFS(Scoreboard_35[Assists],Scoreboard_35[Guild],"Best Regards")</f>
        <v>2033</v>
      </c>
      <c r="AD13" s="51">
        <f>SUMIFS(Scoreboard_35[Assists],Scoreboard_35[Guild],"Undercooked")</f>
        <v>1774</v>
      </c>
    </row>
    <row r="14" spans="1:30" ht="22.5" customHeight="1">
      <c r="A14" s="32">
        <v>22</v>
      </c>
      <c r="B14" s="55" t="str">
        <f>VLOOKUP(C14,Lists!I:J,2,FALSE)</f>
        <v>Ranged DPS</v>
      </c>
      <c r="C14" s="34" t="str">
        <f>VLOOKUP(E14&amp;D14,Lists!C:E,3,FALSE)</f>
        <v>Staff/Orb</v>
      </c>
      <c r="D14" s="35" t="s">
        <v>34</v>
      </c>
      <c r="E14" s="36" t="s">
        <v>156</v>
      </c>
      <c r="F14" s="35" t="s">
        <v>476</v>
      </c>
      <c r="G14" s="32">
        <v>23</v>
      </c>
      <c r="H14" s="32">
        <v>70</v>
      </c>
      <c r="I14" s="84">
        <f t="shared" si="0"/>
        <v>93</v>
      </c>
      <c r="J14" s="37">
        <v>2896225</v>
      </c>
      <c r="K14" s="37">
        <v>814156</v>
      </c>
      <c r="L14" s="37">
        <v>17698</v>
      </c>
      <c r="M14" s="38">
        <f>I14/(HLOOKUP(F14,Team_Composition_23[[#All],[Yellow]:[Red]],10,FALSE)+HLOOKUP(F14,Team_Composition_23[[#All],[Yellow]:[Red]],11,FALSE))</f>
        <v>2.3244188952761809E-2</v>
      </c>
      <c r="N14" s="38">
        <f>J14/HLOOKUP(F14,Team_Composition_23[[#All],[Yellow]:[Red]],6,FALSE)</f>
        <v>6.5283827001290318E-2</v>
      </c>
      <c r="O14" s="38">
        <f>K14/HLOOKUP(F14,Team_Composition_23[[#All],[Yellow]:[Red]],8,FALSE)</f>
        <v>4.6473372577732798E-2</v>
      </c>
      <c r="P14" s="38">
        <f>L14/HLOOKUP(F14,Team_Composition_23[[#All],[Yellow]:[Red]],7,FALSE)</f>
        <v>1.3671926601422318E-3</v>
      </c>
      <c r="Q14" s="31"/>
      <c r="R14" s="48"/>
      <c r="S14" s="58">
        <f t="shared" ref="S14:T14" si="1">SUM(S4:S7)</f>
        <v>44</v>
      </c>
      <c r="T14" s="58">
        <f t="shared" si="1"/>
        <v>42</v>
      </c>
      <c r="U14" s="31"/>
      <c r="V14" s="31"/>
      <c r="W14" s="31"/>
      <c r="X14" s="31"/>
      <c r="Y14" s="31"/>
      <c r="Z14" s="31"/>
      <c r="AA14" s="31"/>
      <c r="AB14" s="48"/>
      <c r="AC14" s="58"/>
      <c r="AD14" s="58"/>
    </row>
    <row r="15" spans="1:30" ht="22.5" customHeight="1">
      <c r="A15" s="32">
        <v>7</v>
      </c>
      <c r="B15" s="67" t="str">
        <f>VLOOKUP(C15,Lists!I:J,2,FALSE)</f>
        <v>KS</v>
      </c>
      <c r="C15" s="34" t="str">
        <f>VLOOKUP(E15&amp;D15,Lists!C:E,3,FALSE)</f>
        <v>Crossbow/Dagger</v>
      </c>
      <c r="D15" s="35" t="s">
        <v>28</v>
      </c>
      <c r="E15" s="36" t="s">
        <v>330</v>
      </c>
      <c r="F15" s="35" t="s">
        <v>476</v>
      </c>
      <c r="G15" s="32">
        <v>38</v>
      </c>
      <c r="H15" s="32">
        <v>54</v>
      </c>
      <c r="I15" s="84">
        <f t="shared" si="0"/>
        <v>92</v>
      </c>
      <c r="J15" s="37">
        <v>2072457</v>
      </c>
      <c r="K15" s="37">
        <v>1334622</v>
      </c>
      <c r="L15" s="37">
        <v>0</v>
      </c>
      <c r="M15" s="38">
        <f>I15/(HLOOKUP(F15,Team_Composition_23[[#All],[Yellow]:[Red]],10,FALSE)+HLOOKUP(F15,Team_Composition_23[[#All],[Yellow]:[Red]],11,FALSE))</f>
        <v>2.2994251437140716E-2</v>
      </c>
      <c r="N15" s="38">
        <f>J15/HLOOKUP(F15,Team_Composition_23[[#All],[Yellow]:[Red]],6,FALSE)</f>
        <v>4.6715267030570183E-2</v>
      </c>
      <c r="O15" s="38">
        <f>K15/HLOOKUP(F15,Team_Composition_23[[#All],[Yellow]:[Red]],8,FALSE)</f>
        <v>7.6182433656988222E-2</v>
      </c>
      <c r="P15" s="38">
        <f>L15/HLOOKUP(F15,Team_Composition_23[[#All],[Yellow]:[Red]],7,FALSE)</f>
        <v>0</v>
      </c>
      <c r="Q15" s="31"/>
      <c r="R15" s="227" t="s">
        <v>25</v>
      </c>
      <c r="S15" s="228"/>
      <c r="T15" s="228"/>
      <c r="U15" s="31"/>
      <c r="V15" s="229" t="s">
        <v>496</v>
      </c>
      <c r="W15" s="228"/>
      <c r="X15" s="31"/>
      <c r="Y15" s="229" t="s">
        <v>497</v>
      </c>
      <c r="Z15" s="228"/>
      <c r="AA15" s="31"/>
      <c r="AB15" s="227" t="s">
        <v>25</v>
      </c>
      <c r="AC15" s="228"/>
      <c r="AD15" s="228"/>
    </row>
    <row r="16" spans="1:30" ht="22.5" customHeight="1">
      <c r="A16" s="32">
        <v>14</v>
      </c>
      <c r="B16" s="69" t="str">
        <f>VLOOKUP(C16,Lists!I:J,2,FALSE)</f>
        <v>Melee DPS</v>
      </c>
      <c r="C16" s="34" t="str">
        <f>VLOOKUP(E16&amp;D16,Lists!C:E,3,FALSE)</f>
        <v>Greatsword/Spear</v>
      </c>
      <c r="D16" s="35" t="s">
        <v>28</v>
      </c>
      <c r="E16" s="36" t="s">
        <v>331</v>
      </c>
      <c r="F16" s="35" t="s">
        <v>483</v>
      </c>
      <c r="G16" s="32">
        <v>32</v>
      </c>
      <c r="H16" s="32">
        <v>58</v>
      </c>
      <c r="I16" s="84">
        <f t="shared" si="0"/>
        <v>90</v>
      </c>
      <c r="J16" s="37">
        <v>2238413</v>
      </c>
      <c r="K16" s="37">
        <v>1600932</v>
      </c>
      <c r="L16" s="37">
        <v>15613</v>
      </c>
      <c r="M16" s="38">
        <f>I16/(HLOOKUP(F16,Team_Composition_23[[#All],[Yellow]:[Red]],10,FALSE)+HLOOKUP(F16,Team_Composition_23[[#All],[Yellow]:[Red]],11,FALSE))</f>
        <v>0.10962241169305725</v>
      </c>
      <c r="N16" s="38">
        <f>J16/HLOOKUP(F16,Team_Composition_23[[#All],[Yellow]:[Red]],6,FALSE)</f>
        <v>0.12685529178842878</v>
      </c>
      <c r="O16" s="38">
        <f>K16/HLOOKUP(F16,Team_Composition_23[[#All],[Yellow]:[Red]],8,FALSE)</f>
        <v>3.6371643380631806E-2</v>
      </c>
      <c r="P16" s="38">
        <f>L16/HLOOKUP(F16,Team_Composition_23[[#All],[Yellow]:[Red]],7,FALSE)</f>
        <v>6.4334666520578254E-4</v>
      </c>
      <c r="Q16" s="31"/>
      <c r="R16" s="41" t="s">
        <v>482</v>
      </c>
      <c r="S16" s="42" t="s">
        <v>476</v>
      </c>
      <c r="T16" s="42" t="s">
        <v>483</v>
      </c>
      <c r="U16" s="31"/>
      <c r="V16" s="43" t="s">
        <v>1</v>
      </c>
      <c r="W16" s="44" t="s">
        <v>498</v>
      </c>
      <c r="X16" s="31"/>
      <c r="Y16" s="43" t="s">
        <v>1</v>
      </c>
      <c r="Z16" s="44" t="s">
        <v>499</v>
      </c>
      <c r="AA16" s="31"/>
      <c r="AB16" s="41" t="s">
        <v>482</v>
      </c>
      <c r="AC16" s="42" t="s">
        <v>485</v>
      </c>
      <c r="AD16" s="42" t="s">
        <v>28</v>
      </c>
    </row>
    <row r="17" spans="1:30" ht="22.5" customHeight="1">
      <c r="A17" s="32">
        <v>20</v>
      </c>
      <c r="B17" s="73" t="str">
        <f>VLOOKUP(C17,Lists!I:J,2,FALSE)</f>
        <v>Melee DPS</v>
      </c>
      <c r="C17" s="34" t="str">
        <f>VLOOKUP(E17&amp;D17,Lists!C:E,3,FALSE)</f>
        <v>Spear/Dagger</v>
      </c>
      <c r="D17" s="35" t="s">
        <v>34</v>
      </c>
      <c r="E17" s="36" t="s">
        <v>104</v>
      </c>
      <c r="F17" s="35" t="s">
        <v>483</v>
      </c>
      <c r="G17" s="32">
        <v>24</v>
      </c>
      <c r="H17" s="32">
        <v>61</v>
      </c>
      <c r="I17" s="84">
        <f t="shared" si="0"/>
        <v>85</v>
      </c>
      <c r="J17" s="37">
        <v>2658241</v>
      </c>
      <c r="K17" s="37">
        <v>1566395</v>
      </c>
      <c r="L17" s="37">
        <v>21667</v>
      </c>
      <c r="M17" s="38">
        <f>I17/(HLOOKUP(F17,Team_Composition_23[[#All],[Yellow]:[Red]],10,FALSE)+HLOOKUP(F17,Team_Composition_23[[#All],[Yellow]:[Red]],11,FALSE))</f>
        <v>0.10353227771010962</v>
      </c>
      <c r="N17" s="38">
        <f>J17/HLOOKUP(F17,Team_Composition_23[[#All],[Yellow]:[Red]],6,FALSE)</f>
        <v>0.1506477748739686</v>
      </c>
      <c r="O17" s="38">
        <f>K17/HLOOKUP(F17,Team_Composition_23[[#All],[Yellow]:[Red]],8,FALSE)</f>
        <v>3.5586995783209258E-2</v>
      </c>
      <c r="P17" s="38">
        <f>L17/HLOOKUP(F17,Team_Composition_23[[#All],[Yellow]:[Red]],7,FALSE)</f>
        <v>8.9280677608490945E-4</v>
      </c>
      <c r="Q17" s="31"/>
      <c r="R17" s="45" t="s">
        <v>468</v>
      </c>
      <c r="S17" s="46">
        <f>SUMIFS(Scoreboard_35[Damage Dealt],Scoreboard_35[Role],"Melee DPS",Scoreboard_35[Team],"Yellow")</f>
        <v>11593869</v>
      </c>
      <c r="T17" s="47">
        <f>SUMIFS(Scoreboard_35[Damage Dealt],Scoreboard_35[Role],"Melee DPS",Scoreboard_35[Team],"Red")</f>
        <v>13292029</v>
      </c>
      <c r="U17" s="31"/>
      <c r="V17" s="48" t="str">
        <f ca="1">IFERROR(__xludf.DUMMYFUNCTION("query(A1:P238, ""Select E,K Order by K Desc Limit 10"", 0)"),"K")</f>
        <v>K</v>
      </c>
      <c r="W17" s="49">
        <f ca="1">IFERROR(__xludf.DUMMYFUNCTION("""COMPUTED_VALUE"""),2039487)</f>
        <v>2039487</v>
      </c>
      <c r="X17" s="31"/>
      <c r="Y17" s="48" t="str">
        <f ca="1">IFERROR(__xludf.DUMMYFUNCTION("query(A1:P238, ""Select E,L Order by L Desc Limit 10"", 0)"),"Boharding")</f>
        <v>Boharding</v>
      </c>
      <c r="Z17" s="49">
        <f ca="1">IFERROR(__xludf.DUMMYFUNCTION("""COMPUTED_VALUE"""),3431814)</f>
        <v>3431814</v>
      </c>
      <c r="AA17" s="31"/>
      <c r="AB17" s="45" t="s">
        <v>468</v>
      </c>
      <c r="AC17" s="50">
        <f>SUMIFS(Scoreboard_35[Damage Dealt],Scoreboard_35[Role],"Melee DPS",Scoreboard_35[Guild],"Best Regards")</f>
        <v>16295114</v>
      </c>
      <c r="AD17" s="51">
        <f>SUMIFS(Scoreboard_35[Damage Dealt],Scoreboard_35[Role],"Melee DPS",Scoreboard_35[Guild],"Undercooked")</f>
        <v>8590784</v>
      </c>
    </row>
    <row r="18" spans="1:30" ht="22.5" customHeight="1">
      <c r="A18" s="32">
        <v>5</v>
      </c>
      <c r="B18" s="62" t="str">
        <f>VLOOKUP(C18,Lists!I:J,2,FALSE)</f>
        <v>Ranged DPS</v>
      </c>
      <c r="C18" s="34" t="str">
        <f>VLOOKUP(E18&amp;D18,Lists!C:E,3,FALSE)</f>
        <v>Staff/Orb</v>
      </c>
      <c r="D18" s="35" t="s">
        <v>28</v>
      </c>
      <c r="E18" s="36" t="s">
        <v>501</v>
      </c>
      <c r="F18" s="35" t="s">
        <v>483</v>
      </c>
      <c r="G18" s="32">
        <v>39</v>
      </c>
      <c r="H18" s="32">
        <v>44</v>
      </c>
      <c r="I18" s="84">
        <f t="shared" si="0"/>
        <v>83</v>
      </c>
      <c r="J18" s="37">
        <v>3640659</v>
      </c>
      <c r="K18" s="37">
        <v>1264684</v>
      </c>
      <c r="L18" s="37">
        <v>0</v>
      </c>
      <c r="M18" s="38">
        <f>I18/(HLOOKUP(F18,Team_Composition_23[[#All],[Yellow]:[Red]],10,FALSE)+HLOOKUP(F18,Team_Composition_23[[#All],[Yellow]:[Red]],11,FALSE))</f>
        <v>0.10109622411693057</v>
      </c>
      <c r="N18" s="38">
        <f>J18/HLOOKUP(F18,Team_Composition_23[[#All],[Yellow]:[Red]],6,FALSE)</f>
        <v>0.20632334593623666</v>
      </c>
      <c r="O18" s="38">
        <f>K18/HLOOKUP(F18,Team_Composition_23[[#All],[Yellow]:[Red]],8,FALSE)</f>
        <v>2.8732410519116961E-2</v>
      </c>
      <c r="P18" s="38">
        <f>L18/HLOOKUP(F18,Team_Composition_23[[#All],[Yellow]:[Red]],7,FALSE)</f>
        <v>0</v>
      </c>
      <c r="Q18" s="31"/>
      <c r="R18" s="45" t="s">
        <v>469</v>
      </c>
      <c r="S18" s="46">
        <f>SUMIFS(Scoreboard_35[Damage Taken],Scoreboard_35[Role],"Melee DPS",Scoreboard_35[Team],"Yellow")</f>
        <v>6889294</v>
      </c>
      <c r="T18" s="47">
        <f>SUMIFS(Scoreboard_35[Damage Taken],Scoreboard_35[Role],"Melee DPS",Scoreboard_35[Team],"Red")</f>
        <v>7997928</v>
      </c>
      <c r="U18" s="31"/>
      <c r="V18" s="48" t="str">
        <f ca="1">IFERROR(__xludf.DUMMYFUNCTION("""COMPUTED_VALUE"""),"B")</f>
        <v>B</v>
      </c>
      <c r="W18" s="49">
        <f ca="1">IFERROR(__xludf.DUMMYFUNCTION("""COMPUTED_VALUE"""),1820244)</f>
        <v>1820244</v>
      </c>
      <c r="X18" s="31"/>
      <c r="Y18" s="48" t="str">
        <f ca="1">IFERROR(__xludf.DUMMYFUNCTION("""COMPUTED_VALUE"""),"EgirlWaifu")</f>
        <v>EgirlWaifu</v>
      </c>
      <c r="Z18" s="49">
        <f ca="1">IFERROR(__xludf.DUMMYFUNCTION("""COMPUTED_VALUE"""),2962386)</f>
        <v>2962386</v>
      </c>
      <c r="AA18" s="31"/>
      <c r="AB18" s="45" t="s">
        <v>469</v>
      </c>
      <c r="AC18" s="50">
        <f>SUMIFS(Scoreboard_35[Damage Taken],Scoreboard_35[Role],"Melee DPS",Scoreboard_35[Guild],"Best Regards")</f>
        <v>9748419</v>
      </c>
      <c r="AD18" s="51">
        <f>SUMIFS(Scoreboard_35[Damage Taken],Scoreboard_35[Role],"Melee DPS",Scoreboard_35[Guild],"Undercooked")</f>
        <v>5138803</v>
      </c>
    </row>
    <row r="19" spans="1:30" ht="22.5" customHeight="1">
      <c r="A19" s="32">
        <v>39</v>
      </c>
      <c r="B19" s="59" t="str">
        <f>VLOOKUP(C19,Lists!I:J,2,FALSE)</f>
        <v>Healer</v>
      </c>
      <c r="C19" s="34" t="str">
        <f>VLOOKUP(E19&amp;D19,Lists!C:E,3,FALSE)</f>
        <v>Wand/Orb</v>
      </c>
      <c r="D19" s="35" t="s">
        <v>34</v>
      </c>
      <c r="E19" s="36" t="s">
        <v>183</v>
      </c>
      <c r="F19" s="35" t="s">
        <v>476</v>
      </c>
      <c r="G19" s="32">
        <v>1</v>
      </c>
      <c r="H19" s="32">
        <v>81</v>
      </c>
      <c r="I19" s="84">
        <f t="shared" si="0"/>
        <v>82</v>
      </c>
      <c r="J19" s="37">
        <v>15525</v>
      </c>
      <c r="K19" s="37">
        <v>633879</v>
      </c>
      <c r="L19" s="37">
        <v>823909</v>
      </c>
      <c r="M19" s="38">
        <f>I19/(HLOOKUP(F19,Team_Composition_23[[#All],[Yellow]:[Red]],10,FALSE)+HLOOKUP(F19,Team_Composition_23[[#All],[Yellow]:[Red]],11,FALSE))</f>
        <v>2.0494876280929768E-2</v>
      </c>
      <c r="N19" s="38">
        <f>J19/HLOOKUP(F19,Team_Composition_23[[#All],[Yellow]:[Red]],6,FALSE)</f>
        <v>3.4994912832912918E-4</v>
      </c>
      <c r="O19" s="38">
        <f>K19/HLOOKUP(F19,Team_Composition_23[[#All],[Yellow]:[Red]],8,FALSE)</f>
        <v>3.618286291104001E-2</v>
      </c>
      <c r="P19" s="38">
        <f>L19/HLOOKUP(F19,Team_Composition_23[[#All],[Yellow]:[Red]],7,FALSE)</f>
        <v>6.3648001888638617E-2</v>
      </c>
      <c r="Q19" s="31"/>
      <c r="R19" s="45" t="s">
        <v>470</v>
      </c>
      <c r="S19" s="46">
        <f>SUMIFS(Scoreboard_35[Amount Healed],Scoreboard_35[Role],"Melee DPS",Scoreboard_35[Team],"Yellow")</f>
        <v>133125</v>
      </c>
      <c r="T19" s="47">
        <f>SUMIFS(Scoreboard_35[Amount Healed],Scoreboard_35[Role],"Melee DPS",Scoreboard_35[Team],"Red")</f>
        <v>142930</v>
      </c>
      <c r="U19" s="31"/>
      <c r="V19" s="48" t="str">
        <f ca="1">IFERROR(__xludf.DUMMYFUNCTION("""COMPUTED_VALUE"""),"ALilSnakes")</f>
        <v>ALilSnakes</v>
      </c>
      <c r="W19" s="49">
        <f ca="1">IFERROR(__xludf.DUMMYFUNCTION("""COMPUTED_VALUE"""),1698861)</f>
        <v>1698861</v>
      </c>
      <c r="X19" s="31"/>
      <c r="Y19" s="48" t="str">
        <f ca="1">IFERROR(__xludf.DUMMYFUNCTION("""COMPUTED_VALUE"""),"Biscuit")</f>
        <v>Biscuit</v>
      </c>
      <c r="Z19" s="49">
        <f ca="1">IFERROR(__xludf.DUMMYFUNCTION("""COMPUTED_VALUE"""),2768553)</f>
        <v>2768553</v>
      </c>
      <c r="AA19" s="31"/>
      <c r="AB19" s="45" t="s">
        <v>470</v>
      </c>
      <c r="AC19" s="50">
        <f>SUMIFS(Scoreboard_35[Amount Healed],Scoreboard_35[Role],"Melee DPS",Scoreboard_35[Guild],"Best Regards")</f>
        <v>194828</v>
      </c>
      <c r="AD19" s="51">
        <f>SUMIFS(Scoreboard_35[Amount Healed],Scoreboard_35[Role],"Melee DPS",Scoreboard_35[Guild],"Undercooked")</f>
        <v>81227</v>
      </c>
    </row>
    <row r="20" spans="1:30" ht="22.5" customHeight="1">
      <c r="A20" s="32">
        <v>48</v>
      </c>
      <c r="B20" s="68" t="str">
        <f>VLOOKUP(C20,Lists!I:J,2,FALSE)</f>
        <v>Healer</v>
      </c>
      <c r="C20" s="34" t="str">
        <f>VLOOKUP(E20&amp;D20,Lists!C:E,3,FALSE)</f>
        <v>Wand/Longbow</v>
      </c>
      <c r="D20" s="35" t="s">
        <v>34</v>
      </c>
      <c r="E20" s="36" t="s">
        <v>106</v>
      </c>
      <c r="F20" s="35" t="s">
        <v>476</v>
      </c>
      <c r="G20" s="32">
        <v>0</v>
      </c>
      <c r="H20" s="32">
        <v>80</v>
      </c>
      <c r="I20" s="84">
        <f t="shared" si="0"/>
        <v>80</v>
      </c>
      <c r="J20" s="37">
        <v>10246</v>
      </c>
      <c r="K20" s="37">
        <v>259120</v>
      </c>
      <c r="L20" s="37">
        <v>965623</v>
      </c>
      <c r="M20" s="38">
        <f>I20/(HLOOKUP(F20,Team_Composition_23[[#All],[Yellow]:[Red]],10,FALSE)+HLOOKUP(F20,Team_Composition_23[[#All],[Yellow]:[Red]],11,FALSE))</f>
        <v>1.9995001249687578E-2</v>
      </c>
      <c r="N20" s="38">
        <f>J20/HLOOKUP(F20,Team_Composition_23[[#All],[Yellow]:[Red]],6,FALSE)</f>
        <v>2.3095515419389742E-4</v>
      </c>
      <c r="O20" s="38">
        <f>K20/HLOOKUP(F20,Team_Composition_23[[#All],[Yellow]:[Red]],8,FALSE)</f>
        <v>1.4790998656697394E-2</v>
      </c>
      <c r="P20" s="38">
        <f>L20/HLOOKUP(F20,Team_Composition_23[[#All],[Yellow]:[Red]],7,FALSE)</f>
        <v>7.4595585832552963E-2</v>
      </c>
      <c r="Q20" s="31"/>
      <c r="R20" s="45" t="s">
        <v>465</v>
      </c>
      <c r="S20" s="46">
        <f>SUMIFS(Scoreboard_35[Kills],Scoreboard_35[Role],"Melee DPS",Scoreboard_35[Team],"Yellow")</f>
        <v>201</v>
      </c>
      <c r="T20" s="47">
        <f>SUMIFS(Scoreboard_35[Kills],Scoreboard_35[Role],"Melee DPS",Scoreboard_35[Team],"Red")</f>
        <v>151</v>
      </c>
      <c r="U20" s="31"/>
      <c r="V20" s="48" t="str">
        <f ca="1">IFERROR(__xludf.DUMMYFUNCTION("""COMPUTED_VALUE"""),"Paella")</f>
        <v>Paella</v>
      </c>
      <c r="W20" s="49">
        <f ca="1">IFERROR(__xludf.DUMMYFUNCTION("""COMPUTED_VALUE"""),1600932)</f>
        <v>1600932</v>
      </c>
      <c r="X20" s="31"/>
      <c r="Y20" s="48" t="str">
        <f ca="1">IFERROR(__xludf.DUMMYFUNCTION("""COMPUTED_VALUE"""),"ShiFood")</f>
        <v>ShiFood</v>
      </c>
      <c r="Z20" s="49">
        <f ca="1">IFERROR(__xludf.DUMMYFUNCTION("""COMPUTED_VALUE"""),2464142)</f>
        <v>2464142</v>
      </c>
      <c r="AA20" s="31"/>
      <c r="AB20" s="45" t="s">
        <v>465</v>
      </c>
      <c r="AC20" s="50">
        <f>SUMIFS(Scoreboard_35[Kills],Scoreboard_35[Role],"Melee DPS",Scoreboard_35[Guild],"Best Regards")</f>
        <v>235</v>
      </c>
      <c r="AD20" s="51">
        <f>SUMIFS(Scoreboard_35[Kills],Scoreboard_35[Role],"Melee DPS",Scoreboard_35[Guild],"Undercooked")</f>
        <v>117</v>
      </c>
    </row>
    <row r="21" spans="1:30" ht="22.5" customHeight="1">
      <c r="A21" s="32">
        <v>13</v>
      </c>
      <c r="B21" s="54" t="str">
        <f>VLOOKUP(C21,Lists!I:J,2,FALSE)</f>
        <v>KS</v>
      </c>
      <c r="C21" s="34" t="str">
        <f>VLOOKUP(E21&amp;D21,Lists!C:E,3,FALSE)</f>
        <v>Greatsword/Dagger</v>
      </c>
      <c r="D21" s="35" t="s">
        <v>34</v>
      </c>
      <c r="E21" s="36" t="s">
        <v>502</v>
      </c>
      <c r="F21" s="35" t="s">
        <v>476</v>
      </c>
      <c r="G21" s="32">
        <v>33</v>
      </c>
      <c r="H21" s="32">
        <v>45</v>
      </c>
      <c r="I21" s="84">
        <f t="shared" si="0"/>
        <v>78</v>
      </c>
      <c r="J21" s="37">
        <v>1220933</v>
      </c>
      <c r="K21" s="37">
        <v>620774</v>
      </c>
      <c r="L21" s="37">
        <v>16760</v>
      </c>
      <c r="M21" s="38">
        <f>I21/(HLOOKUP(F21,Team_Composition_23[[#All],[Yellow]:[Red]],10,FALSE)+HLOOKUP(F21,Team_Composition_23[[#All],[Yellow]:[Red]],11,FALSE))</f>
        <v>1.9495126218445388E-2</v>
      </c>
      <c r="N21" s="38">
        <f>J21/HLOOKUP(F21,Team_Composition_23[[#All],[Yellow]:[Red]],6,FALSE)</f>
        <v>2.7521058879115535E-2</v>
      </c>
      <c r="O21" s="38">
        <f>K21/HLOOKUP(F21,Team_Composition_23[[#All],[Yellow]:[Red]],8,FALSE)</f>
        <v>3.5434807811487605E-2</v>
      </c>
      <c r="P21" s="38">
        <f>L21/HLOOKUP(F21,Team_Composition_23[[#All],[Yellow]:[Red]],7,FALSE)</f>
        <v>1.2947309856471809E-3</v>
      </c>
      <c r="Q21" s="31"/>
      <c r="R21" s="45" t="s">
        <v>466</v>
      </c>
      <c r="S21" s="46">
        <f>SUMIFS(Scoreboard_35[Assists],Scoreboard_35[Role],"Melee DPS",Scoreboard_35[Team],"Yellow")</f>
        <v>373</v>
      </c>
      <c r="T21" s="47">
        <f>SUMIFS(Scoreboard_35[Assists],Scoreboard_35[Role],"Melee DPS",Scoreboard_35[Team],"Red")</f>
        <v>302</v>
      </c>
      <c r="U21" s="31"/>
      <c r="V21" s="48" t="str">
        <f ca="1">IFERROR(__xludf.DUMMYFUNCTION("""COMPUTED_VALUE"""),"Superluigi")</f>
        <v>Superluigi</v>
      </c>
      <c r="W21" s="49">
        <f ca="1">IFERROR(__xludf.DUMMYFUNCTION("""COMPUTED_VALUE"""),1566395)</f>
        <v>1566395</v>
      </c>
      <c r="X21" s="31"/>
      <c r="Y21" s="48" t="str">
        <f ca="1">IFERROR(__xludf.DUMMYFUNCTION("""COMPUTED_VALUE"""),"psi")</f>
        <v>psi</v>
      </c>
      <c r="Z21" s="49">
        <f ca="1">IFERROR(__xludf.DUMMYFUNCTION("""COMPUTED_VALUE"""),2000989)</f>
        <v>2000989</v>
      </c>
      <c r="AA21" s="31"/>
      <c r="AB21" s="45" t="s">
        <v>466</v>
      </c>
      <c r="AC21" s="50">
        <f>SUMIFS(Scoreboard_35[Assists],Scoreboard_35[Role],"Melee DPS",Scoreboard_35[Guild],"Best Regards")</f>
        <v>427</v>
      </c>
      <c r="AD21" s="51">
        <f>SUMIFS(Scoreboard_35[Assists],Scoreboard_35[Role],"Melee DPS",Scoreboard_35[Guild],"Undercooked")</f>
        <v>248</v>
      </c>
    </row>
    <row r="22" spans="1:30" ht="22.5" customHeight="1">
      <c r="A22" s="32">
        <v>49</v>
      </c>
      <c r="B22" s="69" t="str">
        <f>VLOOKUP(C22,Lists!I:J,2,FALSE)</f>
        <v>Healer</v>
      </c>
      <c r="C22" s="34" t="str">
        <f>VLOOKUP(E22&amp;D22,Lists!C:E,3,FALSE)</f>
        <v>Wand/Orb</v>
      </c>
      <c r="D22" s="35" t="s">
        <v>34</v>
      </c>
      <c r="E22" s="36" t="s">
        <v>151</v>
      </c>
      <c r="F22" s="35" t="s">
        <v>476</v>
      </c>
      <c r="G22" s="32">
        <v>0</v>
      </c>
      <c r="H22" s="32">
        <v>78</v>
      </c>
      <c r="I22" s="84">
        <f t="shared" si="0"/>
        <v>78</v>
      </c>
      <c r="J22" s="37">
        <v>6778</v>
      </c>
      <c r="K22" s="37">
        <v>339564</v>
      </c>
      <c r="L22" s="37">
        <v>575447</v>
      </c>
      <c r="M22" s="38">
        <f>I22/(HLOOKUP(F22,Team_Composition_23[[#All],[Yellow]:[Red]],10,FALSE)+HLOOKUP(F22,Team_Composition_23[[#All],[Yellow]:[Red]],11,FALSE))</f>
        <v>1.9495126218445388E-2</v>
      </c>
      <c r="N22" s="38">
        <f>J22/HLOOKUP(F22,Team_Composition_23[[#All],[Yellow]:[Red]],6,FALSE)</f>
        <v>1.5278294311206684E-4</v>
      </c>
      <c r="O22" s="38">
        <f>K22/HLOOKUP(F22,Team_Composition_23[[#All],[Yellow]:[Red]],8,FALSE)</f>
        <v>1.938287537767364E-2</v>
      </c>
      <c r="P22" s="38">
        <f>L22/HLOOKUP(F22,Team_Composition_23[[#All],[Yellow]:[Red]],7,FALSE)</f>
        <v>4.4454001282679789E-2</v>
      </c>
      <c r="Q22" s="31"/>
      <c r="R22" s="45" t="s">
        <v>24</v>
      </c>
      <c r="S22" s="46">
        <f t="shared" ref="S22:S25" si="2">COUNTIFS(C:C,R22,F:F,"Yellow")</f>
        <v>0</v>
      </c>
      <c r="T22" s="47">
        <f t="shared" ref="T22:T25" si="3">COUNTIFS(C:C,R22,F:F,"Red")</f>
        <v>2</v>
      </c>
      <c r="U22" s="31"/>
      <c r="V22" s="48" t="str">
        <f ca="1">IFERROR(__xludf.DUMMYFUNCTION("""COMPUTED_VALUE"""),"H612")</f>
        <v>H612</v>
      </c>
      <c r="W22" s="49">
        <f ca="1">IFERROR(__xludf.DUMMYFUNCTION("""COMPUTED_VALUE"""),1536207)</f>
        <v>1536207</v>
      </c>
      <c r="X22" s="31"/>
      <c r="Y22" s="48" t="str">
        <f ca="1">IFERROR(__xludf.DUMMYFUNCTION("""COMPUTED_VALUE"""),"Danimals")</f>
        <v>Danimals</v>
      </c>
      <c r="Z22" s="49">
        <f ca="1">IFERROR(__xludf.DUMMYFUNCTION("""COMPUTED_VALUE"""),1830551)</f>
        <v>1830551</v>
      </c>
      <c r="AA22" s="31"/>
      <c r="AB22" s="45" t="s">
        <v>24</v>
      </c>
      <c r="AC22" s="50">
        <f t="shared" ref="AC22:AC25" si="4">COUNTIFS(C:C,AB22,D:D,"Best Regards")</f>
        <v>2</v>
      </c>
      <c r="AD22" s="51">
        <f t="shared" ref="AD22:AD25" si="5">COUNTIFS(C:C,AB22,D:D,"Undercooked")</f>
        <v>0</v>
      </c>
    </row>
    <row r="23" spans="1:30" ht="22.5" customHeight="1">
      <c r="A23" s="32">
        <v>15</v>
      </c>
      <c r="B23" s="61" t="s">
        <v>25</v>
      </c>
      <c r="C23" s="34" t="str">
        <f>VLOOKUP(E23&amp;D23,Lists!C:E,3,FALSE)</f>
        <v>Crossbow/Dagger</v>
      </c>
      <c r="D23" s="35" t="s">
        <v>34</v>
      </c>
      <c r="E23" s="36" t="s">
        <v>159</v>
      </c>
      <c r="F23" s="35" t="s">
        <v>476</v>
      </c>
      <c r="G23" s="32">
        <v>32</v>
      </c>
      <c r="H23" s="32">
        <v>42</v>
      </c>
      <c r="I23" s="84">
        <f t="shared" si="0"/>
        <v>74</v>
      </c>
      <c r="J23" s="37">
        <v>1146174</v>
      </c>
      <c r="K23" s="37">
        <v>401798</v>
      </c>
      <c r="L23" s="37">
        <v>8786</v>
      </c>
      <c r="M23" s="38">
        <f>I23/(HLOOKUP(F23,Team_Composition_23[[#All],[Yellow]:[Red]],10,FALSE)+HLOOKUP(F23,Team_Composition_23[[#All],[Yellow]:[Red]],11,FALSE))</f>
        <v>1.8495376155961009E-2</v>
      </c>
      <c r="N23" s="38">
        <f>J23/HLOOKUP(F23,Team_Composition_23[[#All],[Yellow]:[Red]],6,FALSE)</f>
        <v>2.5835915762545011E-2</v>
      </c>
      <c r="O23" s="38">
        <f>K23/HLOOKUP(F23,Team_Composition_23[[#All],[Yellow]:[Red]],8,FALSE)</f>
        <v>2.2935295146124187E-2</v>
      </c>
      <c r="P23" s="38">
        <f>L23/HLOOKUP(F23,Team_Composition_23[[#All],[Yellow]:[Red]],7,FALSE)</f>
        <v>6.7872950118712E-4</v>
      </c>
      <c r="Q23" s="31"/>
      <c r="R23" s="45" t="s">
        <v>69</v>
      </c>
      <c r="S23" s="46">
        <f t="shared" si="2"/>
        <v>2</v>
      </c>
      <c r="T23" s="47">
        <f t="shared" si="3"/>
        <v>3</v>
      </c>
      <c r="U23" s="31"/>
      <c r="V23" s="48" t="str">
        <f ca="1">IFERROR(__xludf.DUMMYFUNCTION("""COMPUTED_VALUE"""),"皮姆利")</f>
        <v>皮姆利</v>
      </c>
      <c r="W23" s="49">
        <f ca="1">IFERROR(__xludf.DUMMYFUNCTION("""COMPUTED_VALUE"""),1410256)</f>
        <v>1410256</v>
      </c>
      <c r="X23" s="31"/>
      <c r="Y23" s="48" t="str">
        <f ca="1">IFERROR(__xludf.DUMMYFUNCTION("""COMPUTED_VALUE"""),"bunnie")</f>
        <v>bunnie</v>
      </c>
      <c r="Z23" s="49">
        <f ca="1">IFERROR(__xludf.DUMMYFUNCTION("""COMPUTED_VALUE"""),1659713)</f>
        <v>1659713</v>
      </c>
      <c r="AA23" s="31"/>
      <c r="AB23" s="45" t="s">
        <v>69</v>
      </c>
      <c r="AC23" s="50">
        <f t="shared" si="4"/>
        <v>2</v>
      </c>
      <c r="AD23" s="51">
        <f t="shared" si="5"/>
        <v>3</v>
      </c>
    </row>
    <row r="24" spans="1:30" ht="22.5" customHeight="1">
      <c r="A24" s="32">
        <v>50</v>
      </c>
      <c r="B24" s="62" t="str">
        <f>VLOOKUP(C24,Lists!I:J,2,FALSE)</f>
        <v>Healer</v>
      </c>
      <c r="C24" s="34" t="str">
        <f>VLOOKUP(E24&amp;D24,Lists!C:E,3,FALSE)</f>
        <v>Wand/Orb</v>
      </c>
      <c r="D24" s="35" t="s">
        <v>34</v>
      </c>
      <c r="E24" s="36" t="s">
        <v>146</v>
      </c>
      <c r="F24" s="35" t="s">
        <v>476</v>
      </c>
      <c r="G24" s="32">
        <v>0</v>
      </c>
      <c r="H24" s="32">
        <v>69</v>
      </c>
      <c r="I24" s="84">
        <f t="shared" si="0"/>
        <v>69</v>
      </c>
      <c r="J24" s="37">
        <v>14820</v>
      </c>
      <c r="K24" s="37">
        <v>406228</v>
      </c>
      <c r="L24" s="37">
        <v>1576127</v>
      </c>
      <c r="M24" s="38">
        <f>I24/(HLOOKUP(F24,Team_Composition_23[[#All],[Yellow]:[Red]],10,FALSE)+HLOOKUP(F24,Team_Composition_23[[#All],[Yellow]:[Red]],11,FALSE))</f>
        <v>1.7245688577855536E-2</v>
      </c>
      <c r="N24" s="38">
        <f>J24/HLOOKUP(F24,Team_Composition_23[[#All],[Yellow]:[Red]],6,FALSE)</f>
        <v>3.3405771863688851E-4</v>
      </c>
      <c r="O24" s="38">
        <f>K24/HLOOKUP(F24,Team_Composition_23[[#All],[Yellow]:[Red]],8,FALSE)</f>
        <v>2.3188166881417369E-2</v>
      </c>
      <c r="P24" s="38">
        <f>L24/HLOOKUP(F24,Team_Composition_23[[#All],[Yellow]:[Red]],7,FALSE)</f>
        <v>0.12175778426104619</v>
      </c>
      <c r="Q24" s="31"/>
      <c r="R24" s="45" t="s">
        <v>23</v>
      </c>
      <c r="S24" s="46">
        <f t="shared" si="2"/>
        <v>4</v>
      </c>
      <c r="T24" s="47">
        <f t="shared" si="3"/>
        <v>3</v>
      </c>
      <c r="U24" s="31"/>
      <c r="V24" s="48" t="str">
        <f ca="1">IFERROR(__xludf.DUMMYFUNCTION("""COMPUTED_VALUE"""),"Butter")</f>
        <v>Butter</v>
      </c>
      <c r="W24" s="49">
        <f ca="1">IFERROR(__xludf.DUMMYFUNCTION("""COMPUTED_VALUE"""),1334622)</f>
        <v>1334622</v>
      </c>
      <c r="X24" s="31"/>
      <c r="Y24" s="48" t="str">
        <f ca="1">IFERROR(__xludf.DUMMYFUNCTION("""COMPUTED_VALUE"""),"MICTECACIHUATL")</f>
        <v>MICTECACIHUATL</v>
      </c>
      <c r="Z24" s="49">
        <f ca="1">IFERROR(__xludf.DUMMYFUNCTION("""COMPUTED_VALUE"""),1642850)</f>
        <v>1642850</v>
      </c>
      <c r="AA24" s="31"/>
      <c r="AB24" s="45" t="s">
        <v>23</v>
      </c>
      <c r="AC24" s="50">
        <f t="shared" si="4"/>
        <v>3</v>
      </c>
      <c r="AD24" s="51">
        <f t="shared" si="5"/>
        <v>4</v>
      </c>
    </row>
    <row r="25" spans="1:30" ht="22.5" customHeight="1">
      <c r="A25" s="32">
        <v>51</v>
      </c>
      <c r="B25" s="67" t="str">
        <f>VLOOKUP(C25,Lists!I:J,2,FALSE)</f>
        <v>Healer</v>
      </c>
      <c r="C25" s="34" t="str">
        <f>VLOOKUP(E25&amp;D25,Lists!C:E,3,FALSE)</f>
        <v>Wand/Orb</v>
      </c>
      <c r="D25" s="35" t="s">
        <v>34</v>
      </c>
      <c r="E25" s="36" t="s">
        <v>181</v>
      </c>
      <c r="F25" s="35" t="s">
        <v>476</v>
      </c>
      <c r="G25" s="32">
        <v>0</v>
      </c>
      <c r="H25" s="32">
        <v>68</v>
      </c>
      <c r="I25" s="84">
        <f t="shared" si="0"/>
        <v>68</v>
      </c>
      <c r="J25" s="37">
        <v>7942</v>
      </c>
      <c r="K25" s="37">
        <v>201184</v>
      </c>
      <c r="L25" s="37">
        <v>670851</v>
      </c>
      <c r="M25" s="38">
        <f>I25/(HLOOKUP(F25,Team_Composition_23[[#All],[Yellow]:[Red]],10,FALSE)+HLOOKUP(F25,Team_Composition_23[[#All],[Yellow]:[Red]],11,FALSE))</f>
        <v>1.699575106223444E-2</v>
      </c>
      <c r="N25" s="38">
        <f>J25/HLOOKUP(F25,Team_Composition_23[[#All],[Yellow]:[Red]],6,FALSE)</f>
        <v>1.7902067485925564E-4</v>
      </c>
      <c r="O25" s="38">
        <f>K25/HLOOKUP(F25,Team_Composition_23[[#All],[Yellow]:[Red]],8,FALSE)</f>
        <v>1.1483915844971474E-2</v>
      </c>
      <c r="P25" s="38">
        <f>L25/HLOOKUP(F25,Team_Composition_23[[#All],[Yellow]:[Red]],7,FALSE)</f>
        <v>5.1824079740596475E-2</v>
      </c>
      <c r="Q25" s="31"/>
      <c r="R25" s="45" t="s">
        <v>33</v>
      </c>
      <c r="S25" s="46">
        <f t="shared" si="2"/>
        <v>0</v>
      </c>
      <c r="T25" s="47">
        <f t="shared" si="3"/>
        <v>0</v>
      </c>
      <c r="U25" s="31"/>
      <c r="V25" s="48" t="str">
        <f ca="1">IFERROR(__xludf.DUMMYFUNCTION("""COMPUTED_VALUE"""),"Prosciutto")</f>
        <v>Prosciutto</v>
      </c>
      <c r="W25" s="49">
        <f ca="1">IFERROR(__xludf.DUMMYFUNCTION("""COMPUTED_VALUE"""),1282434)</f>
        <v>1282434</v>
      </c>
      <c r="X25" s="31"/>
      <c r="Y25" s="48" t="str">
        <f ca="1">IFERROR(__xludf.DUMMYFUNCTION("""COMPUTED_VALUE"""),"SazonxSofrito")</f>
        <v>SazonxSofrito</v>
      </c>
      <c r="Z25" s="49">
        <f ca="1">IFERROR(__xludf.DUMMYFUNCTION("""COMPUTED_VALUE"""),1610830)</f>
        <v>1610830</v>
      </c>
      <c r="AA25" s="31"/>
      <c r="AB25" s="45" t="s">
        <v>33</v>
      </c>
      <c r="AC25" s="50">
        <f t="shared" si="4"/>
        <v>0</v>
      </c>
      <c r="AD25" s="51">
        <f t="shared" si="5"/>
        <v>0</v>
      </c>
    </row>
    <row r="26" spans="1:30" ht="22.5" customHeight="1">
      <c r="A26" s="32">
        <v>52</v>
      </c>
      <c r="B26" s="66" t="str">
        <f>VLOOKUP(C26,Lists!I:J,2,FALSE)</f>
        <v>Healer</v>
      </c>
      <c r="C26" s="34" t="str">
        <f>VLOOKUP(E26&amp;D26,Lists!C:E,3,FALSE)</f>
        <v>Wand/Longbow</v>
      </c>
      <c r="D26" s="35" t="s">
        <v>34</v>
      </c>
      <c r="E26" s="36" t="s">
        <v>29</v>
      </c>
      <c r="F26" s="35" t="s">
        <v>476</v>
      </c>
      <c r="G26" s="32">
        <v>0</v>
      </c>
      <c r="H26" s="32">
        <v>67</v>
      </c>
      <c r="I26" s="84">
        <f t="shared" si="0"/>
        <v>67</v>
      </c>
      <c r="J26" s="37">
        <v>70616</v>
      </c>
      <c r="K26" s="37">
        <v>359610</v>
      </c>
      <c r="L26" s="37">
        <v>3431814</v>
      </c>
      <c r="M26" s="38">
        <f>I26/(HLOOKUP(F26,Team_Composition_23[[#All],[Yellow]:[Red]],10,FALSE)+HLOOKUP(F26,Team_Composition_23[[#All],[Yellow]:[Red]],11,FALSE))</f>
        <v>1.6745813546613347E-2</v>
      </c>
      <c r="N26" s="38">
        <f>J26/HLOOKUP(F26,Team_Composition_23[[#All],[Yellow]:[Red]],6,FALSE)</f>
        <v>1.5917557259961215E-3</v>
      </c>
      <c r="O26" s="38">
        <f>K26/HLOOKUP(F26,Team_Composition_23[[#All],[Yellow]:[Red]],8,FALSE)</f>
        <v>2.0527134250289247E-2</v>
      </c>
      <c r="P26" s="38">
        <f>L26/HLOOKUP(F26,Team_Composition_23[[#All],[Yellow]:[Red]],7,FALSE)</f>
        <v>0.26511192856669419</v>
      </c>
      <c r="Q26" s="31"/>
      <c r="R26" s="48"/>
      <c r="S26" s="63"/>
      <c r="T26" s="63"/>
      <c r="U26" s="31"/>
      <c r="V26" s="48" t="str">
        <f ca="1">IFERROR(__xludf.DUMMYFUNCTION("""COMPUTED_VALUE"""),"ELCHAMO")</f>
        <v>ELCHAMO</v>
      </c>
      <c r="W26" s="49">
        <f ca="1">IFERROR(__xludf.DUMMYFUNCTION("""COMPUTED_VALUE"""),1281411)</f>
        <v>1281411</v>
      </c>
      <c r="X26" s="31"/>
      <c r="Y26" s="48" t="str">
        <f ca="1">IFERROR(__xludf.DUMMYFUNCTION("""COMPUTED_VALUE"""),"Akaru")</f>
        <v>Akaru</v>
      </c>
      <c r="Z26" s="49">
        <f ca="1">IFERROR(__xludf.DUMMYFUNCTION("""COMPUTED_VALUE"""),1578147)</f>
        <v>1578147</v>
      </c>
      <c r="AA26" s="31"/>
      <c r="AB26" s="48"/>
      <c r="AC26" s="63"/>
      <c r="AD26" s="63"/>
    </row>
    <row r="27" spans="1:30" ht="22.5" customHeight="1">
      <c r="A27" s="32">
        <v>17</v>
      </c>
      <c r="B27" s="61" t="s">
        <v>25</v>
      </c>
      <c r="C27" s="34" t="str">
        <f>VLOOKUP(E27&amp;D27,Lists!C:E,3,FALSE)</f>
        <v>Staff/Orb</v>
      </c>
      <c r="D27" s="35" t="s">
        <v>34</v>
      </c>
      <c r="E27" s="36" t="s">
        <v>160</v>
      </c>
      <c r="F27" s="35" t="s">
        <v>483</v>
      </c>
      <c r="G27" s="32">
        <v>29</v>
      </c>
      <c r="H27" s="32">
        <v>35</v>
      </c>
      <c r="I27" s="84">
        <f t="shared" si="0"/>
        <v>64</v>
      </c>
      <c r="J27" s="37">
        <v>2811255</v>
      </c>
      <c r="K27" s="37">
        <v>1002820</v>
      </c>
      <c r="L27" s="37">
        <v>39515</v>
      </c>
      <c r="M27" s="38">
        <f>I27/(HLOOKUP(F27,Team_Composition_23[[#All],[Yellow]:[Red]],10,FALSE)+HLOOKUP(F27,Team_Composition_23[[#All],[Yellow]:[Red]],11,FALSE))</f>
        <v>7.7953714981729594E-2</v>
      </c>
      <c r="N27" s="38">
        <f>J27/HLOOKUP(F27,Team_Composition_23[[#All],[Yellow]:[Red]],6,FALSE)</f>
        <v>0.15931938088131159</v>
      </c>
      <c r="O27" s="38">
        <f>K27/HLOOKUP(F27,Team_Composition_23[[#All],[Yellow]:[Red]],8,FALSE)</f>
        <v>2.2783110972211928E-2</v>
      </c>
      <c r="P27" s="38">
        <f>L27/HLOOKUP(F27,Team_Composition_23[[#All],[Yellow]:[Red]],7,FALSE)</f>
        <v>1.6282484772693587E-3</v>
      </c>
      <c r="Q27" s="31"/>
      <c r="R27" s="31"/>
      <c r="S27" s="64"/>
      <c r="T27" s="64"/>
      <c r="U27" s="31"/>
      <c r="V27" s="31"/>
      <c r="W27" s="31"/>
      <c r="X27" s="31"/>
      <c r="Y27" s="31"/>
      <c r="Z27" s="31"/>
      <c r="AA27" s="31"/>
      <c r="AB27" s="31"/>
      <c r="AC27" s="64"/>
      <c r="AD27" s="64"/>
    </row>
    <row r="28" spans="1:30" ht="22.5" customHeight="1">
      <c r="A28" s="32">
        <v>29</v>
      </c>
      <c r="B28" s="55" t="str">
        <f>VLOOKUP(C28,Lists!I:J,2,FALSE)</f>
        <v>Ranged DPS</v>
      </c>
      <c r="C28" s="34" t="str">
        <f>VLOOKUP(E28&amp;D28,Lists!C:E,3,FALSE)</f>
        <v>Crossbow/SnS</v>
      </c>
      <c r="D28" s="35" t="s">
        <v>28</v>
      </c>
      <c r="E28" s="36" t="s">
        <v>374</v>
      </c>
      <c r="F28" s="35" t="s">
        <v>483</v>
      </c>
      <c r="G28" s="32">
        <v>13</v>
      </c>
      <c r="H28" s="32">
        <v>51</v>
      </c>
      <c r="I28" s="84">
        <f t="shared" si="0"/>
        <v>64</v>
      </c>
      <c r="J28" s="37">
        <v>1505832</v>
      </c>
      <c r="K28" s="37">
        <v>479950</v>
      </c>
      <c r="L28" s="37">
        <v>19228</v>
      </c>
      <c r="M28" s="38">
        <f>I28/(HLOOKUP(F28,Team_Composition_23[[#All],[Yellow]:[Red]],10,FALSE)+HLOOKUP(F28,Team_Composition_23[[#All],[Yellow]:[Red]],11,FALSE))</f>
        <v>7.7953714981729594E-2</v>
      </c>
      <c r="N28" s="38">
        <f>J28/HLOOKUP(F28,Team_Composition_23[[#All],[Yellow]:[Red]],6,FALSE)</f>
        <v>8.5338477637662613E-2</v>
      </c>
      <c r="O28" s="38">
        <f>K28/HLOOKUP(F28,Team_Composition_23[[#All],[Yellow]:[Red]],8,FALSE)</f>
        <v>1.0904004817527688E-2</v>
      </c>
      <c r="P28" s="38">
        <f>L28/HLOOKUP(F28,Team_Composition_23[[#All],[Yellow]:[Red]],7,FALSE)</f>
        <v>7.9230575024510257E-4</v>
      </c>
      <c r="Q28" s="31"/>
      <c r="R28" s="227" t="s">
        <v>39</v>
      </c>
      <c r="S28" s="228"/>
      <c r="T28" s="228"/>
      <c r="U28" s="31"/>
      <c r="V28" s="31"/>
      <c r="W28" s="31"/>
      <c r="X28" s="31"/>
      <c r="Y28" s="31"/>
      <c r="Z28" s="31"/>
      <c r="AA28" s="31"/>
      <c r="AB28" s="227" t="s">
        <v>39</v>
      </c>
      <c r="AC28" s="228"/>
      <c r="AD28" s="228"/>
    </row>
    <row r="29" spans="1:30" ht="22.5" customHeight="1">
      <c r="A29" s="32">
        <v>24</v>
      </c>
      <c r="B29" s="40" t="str">
        <f>VLOOKUP(C29,Lists!I:J,2,FALSE)</f>
        <v>Melee DPS</v>
      </c>
      <c r="C29" s="34" t="str">
        <f>VLOOKUP(E29&amp;D29,Lists!C:E,3,FALSE)</f>
        <v>Greatsword/Spear</v>
      </c>
      <c r="D29" s="35" t="s">
        <v>28</v>
      </c>
      <c r="E29" s="36" t="s">
        <v>511</v>
      </c>
      <c r="F29" s="35" t="s">
        <v>476</v>
      </c>
      <c r="G29" s="32">
        <v>16</v>
      </c>
      <c r="H29" s="32">
        <v>47</v>
      </c>
      <c r="I29" s="84">
        <f t="shared" si="0"/>
        <v>63</v>
      </c>
      <c r="J29" s="37">
        <v>967655</v>
      </c>
      <c r="K29" s="37">
        <v>1056264</v>
      </c>
      <c r="L29" s="37">
        <v>12076</v>
      </c>
      <c r="M29" s="38">
        <f>I29/(HLOOKUP(F29,Team_Composition_23[[#All],[Yellow]:[Red]],10,FALSE)+HLOOKUP(F29,Team_Composition_23[[#All],[Yellow]:[Red]],11,FALSE))</f>
        <v>1.5746063484128967E-2</v>
      </c>
      <c r="N29" s="38">
        <f>J29/HLOOKUP(F29,Team_Composition_23[[#All],[Yellow]:[Red]],6,FALSE)</f>
        <v>2.1811917795383155E-2</v>
      </c>
      <c r="O29" s="38">
        <f>K29/HLOOKUP(F29,Team_Composition_23[[#All],[Yellow]:[Red]],8,FALSE)</f>
        <v>6.0293298105579714E-2</v>
      </c>
      <c r="P29" s="38">
        <f>L29/HLOOKUP(F29,Team_Composition_23[[#All],[Yellow]:[Red]],7,FALSE)</f>
        <v>9.3288612068468714E-4</v>
      </c>
      <c r="Q29" s="31"/>
      <c r="R29" s="41" t="s">
        <v>482</v>
      </c>
      <c r="S29" s="42" t="s">
        <v>476</v>
      </c>
      <c r="T29" s="42" t="s">
        <v>483</v>
      </c>
      <c r="U29" s="31"/>
      <c r="V29" s="31"/>
      <c r="W29" s="31"/>
      <c r="X29" s="31"/>
      <c r="Y29" s="31"/>
      <c r="Z29" s="31"/>
      <c r="AA29" s="31"/>
      <c r="AB29" s="41" t="s">
        <v>482</v>
      </c>
      <c r="AC29" s="42" t="s">
        <v>485</v>
      </c>
      <c r="AD29" s="42" t="s">
        <v>28</v>
      </c>
    </row>
    <row r="30" spans="1:30" ht="22.5" customHeight="1">
      <c r="A30" s="32">
        <v>23</v>
      </c>
      <c r="B30" s="34" t="str">
        <f>VLOOKUP(C30,Lists!I:J,2,FALSE)</f>
        <v>Melee DPS</v>
      </c>
      <c r="C30" s="34" t="str">
        <f>VLOOKUP(E30&amp;D30,Lists!C:E,3,FALSE)</f>
        <v>Spear/Dagger</v>
      </c>
      <c r="D30" s="35" t="s">
        <v>34</v>
      </c>
      <c r="E30" s="36" t="s">
        <v>169</v>
      </c>
      <c r="F30" s="35" t="s">
        <v>483</v>
      </c>
      <c r="G30" s="32">
        <v>22</v>
      </c>
      <c r="H30" s="32">
        <v>40</v>
      </c>
      <c r="I30" s="84">
        <f t="shared" si="0"/>
        <v>62</v>
      </c>
      <c r="J30" s="37">
        <v>1520526</v>
      </c>
      <c r="K30" s="37">
        <v>1536207</v>
      </c>
      <c r="L30" s="37">
        <v>28286</v>
      </c>
      <c r="M30" s="38">
        <f>I30/(HLOOKUP(F30,Team_Composition_23[[#All],[Yellow]:[Red]],10,FALSE)+HLOOKUP(F30,Team_Composition_23[[#All],[Yellow]:[Red]],11,FALSE))</f>
        <v>7.5517661388550553E-2</v>
      </c>
      <c r="N30" s="38">
        <f>J30/HLOOKUP(F30,Team_Composition_23[[#All],[Yellow]:[Red]],6,FALSE)</f>
        <v>8.6171215679096053E-2</v>
      </c>
      <c r="O30" s="38">
        <f>K30/HLOOKUP(F30,Team_Composition_23[[#All],[Yellow]:[Red]],8,FALSE)</f>
        <v>3.4901153304968756E-2</v>
      </c>
      <c r="P30" s="38">
        <f>L30/HLOOKUP(F30,Team_Composition_23[[#All],[Yellow]:[Red]],7,FALSE)</f>
        <v>1.1655481824127819E-3</v>
      </c>
      <c r="Q30" s="31"/>
      <c r="R30" s="45" t="s">
        <v>468</v>
      </c>
      <c r="S30" s="46">
        <f>SUMIFS(Scoreboard_35[Damage Dealt],Scoreboard_35[Role],"Ranged DPS",Scoreboard_35[Team],"Yellow")</f>
        <v>16437403</v>
      </c>
      <c r="T30" s="47">
        <f>SUMIFS(Scoreboard_35[Damage Dealt],Scoreboard_35[Role],"Ranged DPS",Scoreboard_35[Team],"Red")</f>
        <v>8151181</v>
      </c>
      <c r="U30" s="31"/>
      <c r="V30" s="31"/>
      <c r="W30" s="31"/>
      <c r="X30" s="31"/>
      <c r="Y30" s="31"/>
      <c r="Z30" s="31"/>
      <c r="AA30" s="31"/>
      <c r="AB30" s="45" t="s">
        <v>468</v>
      </c>
      <c r="AC30" s="50">
        <f>SUMIFS(Scoreboard_35[Damage Dealt],Scoreboard_35[Role],"Ranged DPS",Scoreboard_35[Guild],"Best Regards")</f>
        <v>11530989</v>
      </c>
      <c r="AD30" s="51">
        <f>SUMIFS(Scoreboard_35[Damage Dealt],Scoreboard_35[Role],"Ranged DPS",Scoreboard_35[Guild],"Undercooked")</f>
        <v>13057595</v>
      </c>
    </row>
    <row r="31" spans="1:30" ht="22.5" customHeight="1">
      <c r="A31" s="32">
        <v>30</v>
      </c>
      <c r="B31" s="67" t="str">
        <f>VLOOKUP(C31,Lists!I:J,2,FALSE)</f>
        <v>Ranged DPS</v>
      </c>
      <c r="C31" s="34" t="str">
        <f>VLOOKUP(E31&amp;D31,Lists!C:E,3,FALSE)</f>
        <v>Staff/Dagger</v>
      </c>
      <c r="D31" s="35" t="s">
        <v>34</v>
      </c>
      <c r="E31" s="36" t="s">
        <v>172</v>
      </c>
      <c r="F31" s="35" t="s">
        <v>483</v>
      </c>
      <c r="G31" s="32">
        <v>12</v>
      </c>
      <c r="H31" s="32">
        <v>50</v>
      </c>
      <c r="I31" s="84">
        <f t="shared" si="0"/>
        <v>62</v>
      </c>
      <c r="J31" s="37">
        <v>1441732</v>
      </c>
      <c r="K31" s="37">
        <v>1281411</v>
      </c>
      <c r="L31" s="37">
        <v>0</v>
      </c>
      <c r="M31" s="38">
        <f>I31/(HLOOKUP(F31,Team_Composition_23[[#All],[Yellow]:[Red]],10,FALSE)+HLOOKUP(F31,Team_Composition_23[[#All],[Yellow]:[Red]],11,FALSE))</f>
        <v>7.5517661388550553E-2</v>
      </c>
      <c r="N31" s="38">
        <f>J31/HLOOKUP(F31,Team_Composition_23[[#All],[Yellow]:[Red]],6,FALSE)</f>
        <v>8.1705803862251958E-2</v>
      </c>
      <c r="O31" s="38">
        <f>K31/HLOOKUP(F31,Team_Composition_23[[#All],[Yellow]:[Red]],8,FALSE)</f>
        <v>2.9112431955897428E-2</v>
      </c>
      <c r="P31" s="38">
        <f>L31/HLOOKUP(F31,Team_Composition_23[[#All],[Yellow]:[Red]],7,FALSE)</f>
        <v>0</v>
      </c>
      <c r="Q31" s="31"/>
      <c r="R31" s="45" t="s">
        <v>469</v>
      </c>
      <c r="S31" s="46">
        <f>SUMIFS(Scoreboard_35[Damage Taken],Scoreboard_35[Role],"Ranged DPS",Scoreboard_35[Team],"Yellow")</f>
        <v>5095915</v>
      </c>
      <c r="T31" s="47">
        <f>SUMIFS(Scoreboard_35[Damage Taken],Scoreboard_35[Role],"Ranged DPS",Scoreboard_35[Team],"Red")</f>
        <v>3863931</v>
      </c>
      <c r="U31" s="31"/>
      <c r="V31" s="31"/>
      <c r="W31" s="31"/>
      <c r="X31" s="31"/>
      <c r="Y31" s="31"/>
      <c r="Z31" s="31"/>
      <c r="AA31" s="31"/>
      <c r="AB31" s="45" t="s">
        <v>469</v>
      </c>
      <c r="AC31" s="50">
        <f>SUMIFS(Scoreboard_35[Damage Taken],Scoreboard_35[Role],"Ranged DPS",Scoreboard_35[Guild],"Best Regards")</f>
        <v>3808885</v>
      </c>
      <c r="AD31" s="51">
        <f>SUMIFS(Scoreboard_35[Damage Taken],Scoreboard_35[Role],"Ranged DPS",Scoreboard_35[Guild],"Undercooked")</f>
        <v>5150961</v>
      </c>
    </row>
    <row r="32" spans="1:30" ht="22.5" customHeight="1">
      <c r="A32" s="32">
        <v>31</v>
      </c>
      <c r="B32" s="60" t="str">
        <f>VLOOKUP(C32,Lists!I:J,2,FALSE)</f>
        <v>Ranged DPS</v>
      </c>
      <c r="C32" s="34" t="str">
        <f>VLOOKUP(E32&amp;D32,Lists!C:E,3,FALSE)</f>
        <v>Staff/Dagger</v>
      </c>
      <c r="D32" s="35" t="s">
        <v>28</v>
      </c>
      <c r="E32" s="36" t="s">
        <v>351</v>
      </c>
      <c r="F32" s="35" t="s">
        <v>476</v>
      </c>
      <c r="G32" s="32">
        <v>9</v>
      </c>
      <c r="H32" s="32">
        <v>51</v>
      </c>
      <c r="I32" s="84">
        <f t="shared" si="0"/>
        <v>60</v>
      </c>
      <c r="J32" s="37">
        <v>1448013</v>
      </c>
      <c r="K32" s="37">
        <v>873698</v>
      </c>
      <c r="L32" s="37">
        <v>0</v>
      </c>
      <c r="M32" s="38">
        <f>I32/(HLOOKUP(F32,Team_Composition_23[[#All],[Yellow]:[Red]],10,FALSE)+HLOOKUP(F32,Team_Composition_23[[#All],[Yellow]:[Red]],11,FALSE))</f>
        <v>1.4996250937265684E-2</v>
      </c>
      <c r="N32" s="38">
        <f>J32/HLOOKUP(F32,Team_Composition_23[[#All],[Yellow]:[Red]],6,FALSE)</f>
        <v>3.2639670670482922E-2</v>
      </c>
      <c r="O32" s="38">
        <f>K32/HLOOKUP(F32,Team_Composition_23[[#All],[Yellow]:[Red]],8,FALSE)</f>
        <v>4.9872128528709474E-2</v>
      </c>
      <c r="P32" s="38">
        <f>L32/HLOOKUP(F32,Team_Composition_23[[#All],[Yellow]:[Red]],7,FALSE)</f>
        <v>0</v>
      </c>
      <c r="Q32" s="31"/>
      <c r="R32" s="45" t="s">
        <v>470</v>
      </c>
      <c r="S32" s="46">
        <f>SUMIFS(Scoreboard_35[Amount Healed],Scoreboard_35[Role],"Ranged DPS",Scoreboard_35[Team],"Yellow")</f>
        <v>138286</v>
      </c>
      <c r="T32" s="47">
        <f>SUMIFS(Scoreboard_35[Amount Healed],Scoreboard_35[Role],"Ranged DPS",Scoreboard_35[Team],"Red")</f>
        <v>428389</v>
      </c>
      <c r="U32" s="31"/>
      <c r="V32" s="31"/>
      <c r="W32" s="31"/>
      <c r="X32" s="31"/>
      <c r="Y32" s="31"/>
      <c r="Z32" s="31"/>
      <c r="AA32" s="31"/>
      <c r="AB32" s="45" t="s">
        <v>470</v>
      </c>
      <c r="AC32" s="50">
        <f>SUMIFS(Scoreboard_35[Amount Healed],Scoreboard_35[Role],"Ranged DPS",Scoreboard_35[Guild],"Best Regards")</f>
        <v>450855</v>
      </c>
      <c r="AD32" s="51">
        <f>SUMIFS(Scoreboard_35[Amount Healed],Scoreboard_35[Role],"Ranged DPS",Scoreboard_35[Guild],"Undercooked")</f>
        <v>115820</v>
      </c>
    </row>
    <row r="33" spans="1:30" ht="22.5" customHeight="1">
      <c r="A33" s="32">
        <v>19</v>
      </c>
      <c r="B33" s="56" t="str">
        <f>VLOOKUP(C33,Lists!I:J,2,FALSE)</f>
        <v>KS</v>
      </c>
      <c r="C33" s="34" t="str">
        <f>VLOOKUP(E33&amp;D33,Lists!C:E,3,FALSE)</f>
        <v>Crossbow/Dagger</v>
      </c>
      <c r="D33" s="35" t="s">
        <v>34</v>
      </c>
      <c r="E33" s="36" t="s">
        <v>152</v>
      </c>
      <c r="F33" s="35" t="s">
        <v>483</v>
      </c>
      <c r="G33" s="32">
        <v>26</v>
      </c>
      <c r="H33" s="32">
        <v>33</v>
      </c>
      <c r="I33" s="84">
        <f t="shared" si="0"/>
        <v>59</v>
      </c>
      <c r="J33" s="37">
        <v>1278875</v>
      </c>
      <c r="K33" s="37">
        <v>858001</v>
      </c>
      <c r="L33" s="37">
        <v>0</v>
      </c>
      <c r="M33" s="38">
        <f>I33/(HLOOKUP(F33,Team_Composition_23[[#All],[Yellow]:[Red]],10,FALSE)+HLOOKUP(F33,Team_Composition_23[[#All],[Yellow]:[Red]],11,FALSE))</f>
        <v>7.186358099878197E-2</v>
      </c>
      <c r="N33" s="38">
        <f>J33/HLOOKUP(F33,Team_Composition_23[[#All],[Yellow]:[Red]],6,FALSE)</f>
        <v>7.2476375577664551E-2</v>
      </c>
      <c r="O33" s="38">
        <f>K33/HLOOKUP(F33,Team_Composition_23[[#All],[Yellow]:[Red]],8,FALSE)</f>
        <v>1.9492961844866284E-2</v>
      </c>
      <c r="P33" s="38">
        <f>L33/HLOOKUP(F33,Team_Composition_23[[#All],[Yellow]:[Red]],7,FALSE)</f>
        <v>0</v>
      </c>
      <c r="Q33" s="31"/>
      <c r="R33" s="45" t="s">
        <v>465</v>
      </c>
      <c r="S33" s="46">
        <f>SUMIFS(Scoreboard_35[Kills],Scoreboard_35[Role],"Ranged DPS",Scoreboard_35[Team],"Yellow")</f>
        <v>165</v>
      </c>
      <c r="T33" s="47">
        <f>SUMIFS(Scoreboard_35[Kills],Scoreboard_35[Role],"Ranged DPS",Scoreboard_35[Team],"Red")</f>
        <v>78</v>
      </c>
      <c r="U33" s="31"/>
      <c r="V33" s="31"/>
      <c r="W33" s="31"/>
      <c r="X33" s="31"/>
      <c r="Y33" s="31"/>
      <c r="Z33" s="31"/>
      <c r="AA33" s="31"/>
      <c r="AB33" s="45" t="s">
        <v>465</v>
      </c>
      <c r="AC33" s="50">
        <f>SUMIFS(Scoreboard_35[Kills],Scoreboard_35[Role],"Ranged DPS",Scoreboard_35[Guild],"Best Regards")</f>
        <v>124</v>
      </c>
      <c r="AD33" s="51">
        <f>SUMIFS(Scoreboard_35[Kills],Scoreboard_35[Role],"Ranged DPS",Scoreboard_35[Guild],"Undercooked")</f>
        <v>119</v>
      </c>
    </row>
    <row r="34" spans="1:30" ht="22.5" customHeight="1">
      <c r="A34" s="32">
        <v>53</v>
      </c>
      <c r="B34" s="55" t="str">
        <f>VLOOKUP(C34,Lists!I:J,2,FALSE)</f>
        <v>Healer</v>
      </c>
      <c r="C34" s="34" t="str">
        <f>VLOOKUP(E34&amp;D34,Lists!C:E,3,FALSE)</f>
        <v>Wand/Orb</v>
      </c>
      <c r="D34" s="35" t="s">
        <v>28</v>
      </c>
      <c r="E34" s="36" t="s">
        <v>341</v>
      </c>
      <c r="F34" s="35" t="s">
        <v>483</v>
      </c>
      <c r="G34" s="32">
        <v>0</v>
      </c>
      <c r="H34" s="32">
        <v>59</v>
      </c>
      <c r="I34" s="84">
        <f t="shared" si="0"/>
        <v>59</v>
      </c>
      <c r="J34" s="37">
        <v>17657</v>
      </c>
      <c r="K34" s="37">
        <v>376125</v>
      </c>
      <c r="L34" s="37">
        <v>1315341</v>
      </c>
      <c r="M34" s="38">
        <f>I34/(HLOOKUP(F34,Team_Composition_23[[#All],[Yellow]:[Red]],10,FALSE)+HLOOKUP(F34,Team_Composition_23[[#All],[Yellow]:[Red]],11,FALSE))</f>
        <v>7.186358099878197E-2</v>
      </c>
      <c r="N34" s="38">
        <f>J34/HLOOKUP(F34,Team_Composition_23[[#All],[Yellow]:[Red]],6,FALSE)</f>
        <v>1.000657111582307E-3</v>
      </c>
      <c r="O34" s="38">
        <f>K34/HLOOKUP(F34,Team_Composition_23[[#All],[Yellow]:[Red]],8,FALSE)</f>
        <v>8.5452001500002112E-3</v>
      </c>
      <c r="P34" s="38">
        <f>L34/HLOOKUP(F34,Team_Composition_23[[#All],[Yellow]:[Red]],7,FALSE)</f>
        <v>5.419972112716577E-2</v>
      </c>
      <c r="Q34" s="31"/>
      <c r="R34" s="45" t="s">
        <v>466</v>
      </c>
      <c r="S34" s="46">
        <f>SUMIFS(Scoreboard_35[Assists],Scoreboard_35[Role],"Ranged DPS",Scoreboard_35[Team],"Yellow")</f>
        <v>388</v>
      </c>
      <c r="T34" s="47">
        <f>SUMIFS(Scoreboard_35[Assists],Scoreboard_35[Role],"Ranged DPS",Scoreboard_35[Team],"Red")</f>
        <v>202</v>
      </c>
      <c r="U34" s="31"/>
      <c r="V34" s="31"/>
      <c r="W34" s="31"/>
      <c r="X34" s="31"/>
      <c r="Y34" s="31"/>
      <c r="Z34" s="31"/>
      <c r="AA34" s="31"/>
      <c r="AB34" s="45" t="s">
        <v>466</v>
      </c>
      <c r="AC34" s="50">
        <f>SUMIFS(Scoreboard_35[Assists],Scoreboard_35[Role],"Ranged DPS",Scoreboard_35[Guild],"Best Regards")</f>
        <v>279</v>
      </c>
      <c r="AD34" s="51">
        <f>SUMIFS(Scoreboard_35[Assists],Scoreboard_35[Role],"Ranged DPS",Scoreboard_35[Guild],"Undercooked")</f>
        <v>311</v>
      </c>
    </row>
    <row r="35" spans="1:30" ht="22.5" customHeight="1">
      <c r="A35" s="32">
        <v>32</v>
      </c>
      <c r="B35" s="52" t="str">
        <f>VLOOKUP(C35,Lists!I:J,2,FALSE)</f>
        <v>Ranged DPS</v>
      </c>
      <c r="C35" s="34" t="str">
        <f>VLOOKUP(E35&amp;D35,Lists!C:E,3,FALSE)</f>
        <v>Staff/Dagger</v>
      </c>
      <c r="D35" s="35" t="s">
        <v>28</v>
      </c>
      <c r="E35" s="36" t="s">
        <v>371</v>
      </c>
      <c r="F35" s="35" t="s">
        <v>476</v>
      </c>
      <c r="G35" s="32">
        <v>9</v>
      </c>
      <c r="H35" s="32">
        <v>48</v>
      </c>
      <c r="I35" s="84">
        <f t="shared" si="0"/>
        <v>57</v>
      </c>
      <c r="J35" s="37">
        <v>1787300</v>
      </c>
      <c r="K35" s="37">
        <v>918475</v>
      </c>
      <c r="L35" s="37">
        <v>0</v>
      </c>
      <c r="M35" s="38">
        <f>I35/(HLOOKUP(F35,Team_Composition_23[[#All],[Yellow]:[Red]],10,FALSE)+HLOOKUP(F35,Team_Composition_23[[#All],[Yellow]:[Red]],11,FALSE))</f>
        <v>1.42464383904024E-2</v>
      </c>
      <c r="N35" s="38">
        <f>J35/HLOOKUP(F35,Team_Composition_23[[#All],[Yellow]:[Red]],6,FALSE)</f>
        <v>4.0287541195662004E-2</v>
      </c>
      <c r="O35" s="38">
        <f>K35/HLOOKUP(F35,Team_Composition_23[[#All],[Yellow]:[Red]],8,FALSE)</f>
        <v>5.242807383146858E-2</v>
      </c>
      <c r="P35" s="38">
        <f>L35/HLOOKUP(F35,Team_Composition_23[[#All],[Yellow]:[Red]],7,FALSE)</f>
        <v>0</v>
      </c>
      <c r="Q35" s="31"/>
      <c r="R35" s="45" t="s">
        <v>54</v>
      </c>
      <c r="S35" s="46">
        <f t="shared" ref="S35:S46" si="6">COUNTIFS(C:C,R35,F:F,"Yellow")</f>
        <v>4</v>
      </c>
      <c r="T35" s="47">
        <f t="shared" ref="T35:T46" si="7">COUNTIFS(C:C,R35,F:F,"Red")</f>
        <v>2</v>
      </c>
      <c r="U35" s="31"/>
      <c r="V35" s="31"/>
      <c r="W35" s="31"/>
      <c r="X35" s="31"/>
      <c r="Y35" s="31"/>
      <c r="Z35" s="31"/>
      <c r="AA35" s="31"/>
      <c r="AB35" s="45" t="s">
        <v>54</v>
      </c>
      <c r="AC35" s="50">
        <f t="shared" ref="AC35:AC46" si="8">COUNTIFS(C:C,AB35,D:D,"Best Regards")</f>
        <v>3</v>
      </c>
      <c r="AD35" s="51">
        <f t="shared" ref="AD35:AD46" si="9">COUNTIFS(C:C,AB35,D:D,"Undercooked")</f>
        <v>3</v>
      </c>
    </row>
    <row r="36" spans="1:30" ht="22.5" customHeight="1">
      <c r="A36" s="32">
        <v>54</v>
      </c>
      <c r="B36" s="57" t="str">
        <f>VLOOKUP(C36,Lists!I:J,2,FALSE)</f>
        <v>Healer</v>
      </c>
      <c r="C36" s="34" t="str">
        <f>VLOOKUP(E36&amp;D36,Lists!C:E,3,FALSE)</f>
        <v>Wand/Orb</v>
      </c>
      <c r="D36" s="35" t="s">
        <v>28</v>
      </c>
      <c r="E36" s="36" t="s">
        <v>377</v>
      </c>
      <c r="F36" s="35" t="s">
        <v>483</v>
      </c>
      <c r="G36" s="32">
        <v>0</v>
      </c>
      <c r="H36" s="32">
        <v>57</v>
      </c>
      <c r="I36" s="84">
        <f t="shared" si="0"/>
        <v>57</v>
      </c>
      <c r="J36" s="37">
        <v>8752</v>
      </c>
      <c r="K36" s="37">
        <v>460455</v>
      </c>
      <c r="L36" s="37">
        <v>966863</v>
      </c>
      <c r="M36" s="38">
        <f>I36/(HLOOKUP(F36,Team_Composition_23[[#All],[Yellow]:[Red]],10,FALSE)+HLOOKUP(F36,Team_Composition_23[[#All],[Yellow]:[Red]],11,FALSE))</f>
        <v>6.9427527405602929E-2</v>
      </c>
      <c r="N36" s="38">
        <f>J36/HLOOKUP(F36,Team_Composition_23[[#All],[Yellow]:[Red]],6,FALSE)</f>
        <v>4.9599314949132646E-4</v>
      </c>
      <c r="O36" s="38">
        <f>K36/HLOOKUP(F36,Team_Composition_23[[#All],[Yellow]:[Red]],8,FALSE)</f>
        <v>1.0461097068975333E-2</v>
      </c>
      <c r="P36" s="38">
        <f>L36/HLOOKUP(F36,Team_Composition_23[[#All],[Yellow]:[Red]],7,FALSE)</f>
        <v>3.9840394976036544E-2</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18</v>
      </c>
      <c r="B37" s="53" t="str">
        <f>VLOOKUP(C37,Lists!I:J,2,FALSE)</f>
        <v>KS</v>
      </c>
      <c r="C37" s="34" t="str">
        <f>VLOOKUP(E37&amp;D37,Lists!C:E,3,FALSE)</f>
        <v>Crossbow/Dagger</v>
      </c>
      <c r="D37" s="35" t="s">
        <v>28</v>
      </c>
      <c r="E37" s="36" t="s">
        <v>370</v>
      </c>
      <c r="F37" s="35" t="s">
        <v>483</v>
      </c>
      <c r="G37" s="32">
        <v>28</v>
      </c>
      <c r="H37" s="32">
        <v>28</v>
      </c>
      <c r="I37" s="84">
        <f t="shared" si="0"/>
        <v>56</v>
      </c>
      <c r="J37" s="37">
        <v>1182274</v>
      </c>
      <c r="K37" s="37">
        <v>833925</v>
      </c>
      <c r="L37" s="37">
        <v>32326</v>
      </c>
      <c r="M37" s="38">
        <f>I37/(HLOOKUP(F37,Team_Composition_23[[#All],[Yellow]:[Red]],10,FALSE)+HLOOKUP(F37,Team_Composition_23[[#All],[Yellow]:[Red]],11,FALSE))</f>
        <v>6.8209500609013402E-2</v>
      </c>
      <c r="N37" s="38">
        <f>J37/HLOOKUP(F37,Team_Composition_23[[#All],[Yellow]:[Red]],6,FALSE)</f>
        <v>6.7001805852571816E-2</v>
      </c>
      <c r="O37" s="38">
        <f>K37/HLOOKUP(F37,Team_Composition_23[[#All],[Yellow]:[Red]],8,FALSE)</f>
        <v>1.8945978159093189E-2</v>
      </c>
      <c r="P37" s="38">
        <f>L37/HLOOKUP(F37,Team_Composition_23[[#All],[Yellow]:[Red]],7,FALSE)</f>
        <v>1.3320197463294772E-3</v>
      </c>
      <c r="Q37" s="31"/>
      <c r="R37" s="45" t="s">
        <v>45</v>
      </c>
      <c r="S37" s="46">
        <f t="shared" si="6"/>
        <v>2</v>
      </c>
      <c r="T37" s="47">
        <f t="shared" si="7"/>
        <v>3</v>
      </c>
      <c r="U37" s="31"/>
      <c r="V37" s="31"/>
      <c r="W37" s="31"/>
      <c r="X37" s="31"/>
      <c r="Y37" s="31"/>
      <c r="Z37" s="31"/>
      <c r="AA37" s="31"/>
      <c r="AB37" s="45" t="s">
        <v>45</v>
      </c>
      <c r="AC37" s="50">
        <f t="shared" si="8"/>
        <v>3</v>
      </c>
      <c r="AD37" s="51">
        <f t="shared" si="9"/>
        <v>2</v>
      </c>
    </row>
    <row r="38" spans="1:30" ht="22.5" customHeight="1">
      <c r="A38" s="32">
        <v>27</v>
      </c>
      <c r="B38" s="60" t="str">
        <f>VLOOKUP(C38,Lists!I:J,2,FALSE)</f>
        <v>Ranged DPS</v>
      </c>
      <c r="C38" s="34" t="str">
        <f>VLOOKUP(E38&amp;D38,Lists!C:E,3,FALSE)</f>
        <v>Crossbow/SnS</v>
      </c>
      <c r="D38" s="35" t="s">
        <v>28</v>
      </c>
      <c r="E38" s="36" t="s">
        <v>369</v>
      </c>
      <c r="F38" s="35" t="s">
        <v>483</v>
      </c>
      <c r="G38" s="32">
        <v>14</v>
      </c>
      <c r="H38" s="32">
        <v>42</v>
      </c>
      <c r="I38" s="84">
        <f t="shared" si="0"/>
        <v>56</v>
      </c>
      <c r="J38" s="37">
        <v>1461429</v>
      </c>
      <c r="K38" s="37">
        <v>410007</v>
      </c>
      <c r="L38" s="37">
        <v>23420</v>
      </c>
      <c r="M38" s="38">
        <f>I38/(HLOOKUP(F38,Team_Composition_23[[#All],[Yellow]:[Red]],10,FALSE)+HLOOKUP(F38,Team_Composition_23[[#All],[Yellow]:[Red]],11,FALSE))</f>
        <v>6.8209500609013402E-2</v>
      </c>
      <c r="N38" s="38">
        <f>J38/HLOOKUP(F38,Team_Composition_23[[#All],[Yellow]:[Red]],6,FALSE)</f>
        <v>8.2822071808496323E-2</v>
      </c>
      <c r="O38" s="38">
        <f>K38/HLOOKUP(F38,Team_Composition_23[[#All],[Yellow]:[Red]],8,FALSE)</f>
        <v>9.3149667740807882E-3</v>
      </c>
      <c r="P38" s="38">
        <f>L38/HLOOKUP(F38,Team_Composition_23[[#All],[Yellow]:[Red]],7,FALSE)</f>
        <v>9.6504060072500014E-4</v>
      </c>
      <c r="Q38" s="31"/>
      <c r="R38" s="45" t="s">
        <v>81</v>
      </c>
      <c r="S38" s="46">
        <f t="shared" si="6"/>
        <v>0</v>
      </c>
      <c r="T38" s="47">
        <f t="shared" si="7"/>
        <v>0</v>
      </c>
      <c r="U38" s="31"/>
      <c r="V38" s="31"/>
      <c r="W38" s="31"/>
      <c r="X38" s="31"/>
      <c r="Y38" s="31"/>
      <c r="Z38" s="31"/>
      <c r="AA38" s="31"/>
      <c r="AB38" s="45" t="s">
        <v>81</v>
      </c>
      <c r="AC38" s="50">
        <f t="shared" si="8"/>
        <v>0</v>
      </c>
      <c r="AD38" s="51">
        <f t="shared" si="9"/>
        <v>0</v>
      </c>
    </row>
    <row r="39" spans="1:30" ht="22.5" customHeight="1">
      <c r="A39" s="32">
        <v>25</v>
      </c>
      <c r="B39" s="40" t="str">
        <f>VLOOKUP(C39,Lists!I:J,2,FALSE)</f>
        <v>KS</v>
      </c>
      <c r="C39" s="34" t="str">
        <f>VLOOKUP(E39&amp;D39,Lists!C:E,3,FALSE)</f>
        <v>Greatsword/Dagger</v>
      </c>
      <c r="D39" s="35" t="s">
        <v>28</v>
      </c>
      <c r="E39" s="36" t="s">
        <v>372</v>
      </c>
      <c r="F39" s="35" t="s">
        <v>483</v>
      </c>
      <c r="G39" s="32">
        <v>15</v>
      </c>
      <c r="H39" s="32">
        <v>39</v>
      </c>
      <c r="I39" s="84">
        <f t="shared" si="0"/>
        <v>54</v>
      </c>
      <c r="J39" s="37">
        <v>857801</v>
      </c>
      <c r="K39" s="37">
        <v>634917</v>
      </c>
      <c r="L39" s="37">
        <v>50472</v>
      </c>
      <c r="M39" s="38">
        <f>I39/(HLOOKUP(F39,Team_Composition_23[[#All],[Yellow]:[Red]],10,FALSE)+HLOOKUP(F39,Team_Composition_23[[#All],[Yellow]:[Red]],11,FALSE))</f>
        <v>6.5773447015834346E-2</v>
      </c>
      <c r="N39" s="38">
        <f>J39/HLOOKUP(F39,Team_Composition_23[[#All],[Yellow]:[Red]],6,FALSE)</f>
        <v>4.8613279207816426E-2</v>
      </c>
      <c r="O39" s="38">
        <f>K39/HLOOKUP(F39,Team_Composition_23[[#All],[Yellow]:[Red]],8,FALSE)</f>
        <v>1.4424706795979221E-2</v>
      </c>
      <c r="P39" s="38">
        <f>L39/HLOOKUP(F39,Team_Composition_23[[#All],[Yellow]:[Red]],7,FALSE)</f>
        <v>2.0797407856444155E-3</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32">
        <v>28</v>
      </c>
      <c r="B40" s="68" t="str">
        <f>VLOOKUP(C40,Lists!I:J,2,FALSE)</f>
        <v>Melee DPS</v>
      </c>
      <c r="C40" s="34" t="str">
        <f>VLOOKUP(E40&amp;D40,Lists!C:E,3,FALSE)</f>
        <v>Greatsword/Spear</v>
      </c>
      <c r="D40" s="35" t="s">
        <v>34</v>
      </c>
      <c r="E40" s="36" t="s">
        <v>179</v>
      </c>
      <c r="F40" s="35" t="s">
        <v>483</v>
      </c>
      <c r="G40" s="32">
        <v>14</v>
      </c>
      <c r="H40" s="32">
        <v>40</v>
      </c>
      <c r="I40" s="84">
        <f t="shared" si="0"/>
        <v>54</v>
      </c>
      <c r="J40" s="37">
        <v>1134811</v>
      </c>
      <c r="K40" s="37">
        <v>1009140</v>
      </c>
      <c r="L40" s="37">
        <v>24792</v>
      </c>
      <c r="M40" s="38">
        <f>I40/(HLOOKUP(F40,Team_Composition_23[[#All],[Yellow]:[Red]],10,FALSE)+HLOOKUP(F40,Team_Composition_23[[#All],[Yellow]:[Red]],11,FALSE))</f>
        <v>6.5773447015834346E-2</v>
      </c>
      <c r="N40" s="38">
        <f>J40/HLOOKUP(F40,Team_Composition_23[[#All],[Yellow]:[Red]],6,FALSE)</f>
        <v>6.4311983771412451E-2</v>
      </c>
      <c r="O40" s="38">
        <f>K40/HLOOKUP(F40,Team_Composition_23[[#All],[Yellow]:[Red]],8,FALSE)</f>
        <v>2.2926695325679529E-2</v>
      </c>
      <c r="P40" s="38">
        <f>L40/HLOOKUP(F40,Team_Composition_23[[#All],[Yellow]:[Red]],7,FALSE)</f>
        <v>1.0215750031244322E-3</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21</v>
      </c>
      <c r="B41" s="54" t="str">
        <f>VLOOKUP(C41,Lists!I:J,2,FALSE)</f>
        <v>KS</v>
      </c>
      <c r="C41" s="34" t="str">
        <f>VLOOKUP(E41&amp;D41,Lists!C:E,3,FALSE)</f>
        <v>Greatsword/Dagger</v>
      </c>
      <c r="D41" s="35" t="s">
        <v>28</v>
      </c>
      <c r="E41" s="36" t="s">
        <v>373</v>
      </c>
      <c r="F41" s="35" t="s">
        <v>483</v>
      </c>
      <c r="G41" s="32">
        <v>24</v>
      </c>
      <c r="H41" s="32">
        <v>28</v>
      </c>
      <c r="I41" s="84">
        <f t="shared" si="0"/>
        <v>52</v>
      </c>
      <c r="J41" s="37">
        <v>892374</v>
      </c>
      <c r="K41" s="37">
        <v>900282</v>
      </c>
      <c r="L41" s="37">
        <v>26944</v>
      </c>
      <c r="M41" s="38">
        <f>I41/(HLOOKUP(F41,Team_Composition_23[[#All],[Yellow]:[Red]],10,FALSE)+HLOOKUP(F41,Team_Composition_23[[#All],[Yellow]:[Red]],11,FALSE))</f>
        <v>6.3337393422655291E-2</v>
      </c>
      <c r="N41" s="38">
        <f>J41/HLOOKUP(F41,Team_Composition_23[[#All],[Yellow]:[Red]],6,FALSE)</f>
        <v>5.0572599495449379E-2</v>
      </c>
      <c r="O41" s="38">
        <f>K41/HLOOKUP(F41,Team_Composition_23[[#All],[Yellow]:[Red]],8,FALSE)</f>
        <v>2.0453545713373187E-2</v>
      </c>
      <c r="P41" s="38">
        <f>L41/HLOOKUP(F41,Team_Composition_23[[#All],[Yellow]:[Red]],7,FALSE)</f>
        <v>1.1102499549929294E-3</v>
      </c>
      <c r="Q41" s="31"/>
      <c r="R41" s="45" t="s">
        <v>52</v>
      </c>
      <c r="S41" s="46">
        <f t="shared" si="6"/>
        <v>0</v>
      </c>
      <c r="T41" s="47">
        <f t="shared" si="7"/>
        <v>0</v>
      </c>
      <c r="U41" s="31"/>
      <c r="V41" s="31"/>
      <c r="W41" s="31"/>
      <c r="X41" s="31"/>
      <c r="Y41" s="31"/>
      <c r="Z41" s="31"/>
      <c r="AA41" s="31"/>
      <c r="AB41" s="45" t="s">
        <v>52</v>
      </c>
      <c r="AC41" s="50">
        <f t="shared" si="8"/>
        <v>0</v>
      </c>
      <c r="AD41" s="51">
        <f t="shared" si="9"/>
        <v>0</v>
      </c>
    </row>
    <row r="42" spans="1:30" ht="22.5" customHeight="1">
      <c r="A42" s="32">
        <v>55</v>
      </c>
      <c r="B42" s="33" t="str">
        <f>VLOOKUP(C42,Lists!I:J,2,FALSE)</f>
        <v>Healer</v>
      </c>
      <c r="C42" s="34" t="str">
        <f>VLOOKUP(E42&amp;D42,Lists!C:E,3,FALSE)</f>
        <v>Wand/Orb</v>
      </c>
      <c r="D42" s="35" t="s">
        <v>28</v>
      </c>
      <c r="E42" s="36" t="s">
        <v>389</v>
      </c>
      <c r="F42" s="35" t="s">
        <v>476</v>
      </c>
      <c r="G42" s="32">
        <v>0</v>
      </c>
      <c r="H42" s="32">
        <v>52</v>
      </c>
      <c r="I42" s="84">
        <f t="shared" si="0"/>
        <v>52</v>
      </c>
      <c r="J42" s="37">
        <v>34657</v>
      </c>
      <c r="K42" s="37">
        <v>418385</v>
      </c>
      <c r="L42" s="37">
        <v>1830551</v>
      </c>
      <c r="M42" s="38">
        <f>I42/(HLOOKUP(F42,Team_Composition_23[[#All],[Yellow]:[Red]],10,FALSE)+HLOOKUP(F42,Team_Composition_23[[#All],[Yellow]:[Red]],11,FALSE))</f>
        <v>1.2996750812296926E-2</v>
      </c>
      <c r="N42" s="38">
        <f>J42/HLOOKUP(F42,Team_Composition_23[[#All],[Yellow]:[Red]],6,FALSE)</f>
        <v>7.8120366766522579E-4</v>
      </c>
      <c r="O42" s="38">
        <f>K42/HLOOKUP(F42,Team_Composition_23[[#All],[Yellow]:[Red]],8,FALSE)</f>
        <v>2.388210857125015E-2</v>
      </c>
      <c r="P42" s="38">
        <f>L42/HLOOKUP(F42,Team_Composition_23[[#All],[Yellow]:[Red]],7,FALSE)</f>
        <v>0.14141235683218573</v>
      </c>
      <c r="Q42" s="31"/>
      <c r="R42" s="45" t="s">
        <v>32</v>
      </c>
      <c r="S42" s="46">
        <f t="shared" si="6"/>
        <v>3</v>
      </c>
      <c r="T42" s="47">
        <f t="shared" si="7"/>
        <v>1</v>
      </c>
      <c r="U42" s="31"/>
      <c r="V42" s="31"/>
      <c r="W42" s="31"/>
      <c r="X42" s="31"/>
      <c r="Y42" s="31"/>
      <c r="Z42" s="31"/>
      <c r="AA42" s="31"/>
      <c r="AB42" s="45" t="s">
        <v>32</v>
      </c>
      <c r="AC42" s="50">
        <f t="shared" si="8"/>
        <v>2</v>
      </c>
      <c r="AD42" s="51">
        <f t="shared" si="9"/>
        <v>2</v>
      </c>
    </row>
    <row r="43" spans="1:30" ht="22.5" customHeight="1">
      <c r="A43" s="32">
        <v>56</v>
      </c>
      <c r="B43" s="56" t="str">
        <f>VLOOKUP(C43,Lists!I:J,2,FALSE)</f>
        <v>Tank</v>
      </c>
      <c r="C43" s="34" t="str">
        <f>VLOOKUP(E43&amp;D43,Lists!C:E,3,FALSE)</f>
        <v>SnS/Greatsword</v>
      </c>
      <c r="D43" s="35" t="s">
        <v>28</v>
      </c>
      <c r="E43" s="36" t="s">
        <v>344</v>
      </c>
      <c r="F43" s="35" t="s">
        <v>476</v>
      </c>
      <c r="G43" s="32">
        <v>0</v>
      </c>
      <c r="H43" s="32">
        <v>51</v>
      </c>
      <c r="I43" s="84">
        <f t="shared" si="0"/>
        <v>51</v>
      </c>
      <c r="J43" s="37">
        <v>62727</v>
      </c>
      <c r="K43" s="37">
        <v>576198</v>
      </c>
      <c r="L43" s="37">
        <v>37955</v>
      </c>
      <c r="M43" s="38">
        <f>I43/(HLOOKUP(F43,Team_Composition_23[[#All],[Yellow]:[Red]],10,FALSE)+HLOOKUP(F43,Team_Composition_23[[#All],[Yellow]:[Red]],11,FALSE))</f>
        <v>1.2746813296675831E-2</v>
      </c>
      <c r="N43" s="38">
        <f>J43/HLOOKUP(F43,Team_Composition_23[[#All],[Yellow]:[Red]],6,FALSE)</f>
        <v>1.4139297244896158E-3</v>
      </c>
      <c r="O43" s="38">
        <f>K43/HLOOKUP(F43,Team_Composition_23[[#All],[Yellow]:[Red]],8,FALSE)</f>
        <v>3.2890335921548802E-2</v>
      </c>
      <c r="P43" s="38">
        <f>L43/HLOOKUP(F43,Team_Composition_23[[#All],[Yellow]:[Red]],7,FALSE)</f>
        <v>2.9320712744772522E-3</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57</v>
      </c>
      <c r="B44" s="33" t="str">
        <f>VLOOKUP(C44,Lists!I:J,2,FALSE)</f>
        <v>Healer</v>
      </c>
      <c r="C44" s="34" t="str">
        <f>VLOOKUP(E44&amp;D44,Lists!C:E,3,FALSE)</f>
        <v>Wand/Orb</v>
      </c>
      <c r="D44" s="35" t="s">
        <v>34</v>
      </c>
      <c r="E44" s="36" t="s">
        <v>121</v>
      </c>
      <c r="F44" s="35" t="s">
        <v>483</v>
      </c>
      <c r="G44" s="32">
        <v>0</v>
      </c>
      <c r="H44" s="32">
        <v>51</v>
      </c>
      <c r="I44" s="84">
        <f t="shared" si="0"/>
        <v>51</v>
      </c>
      <c r="J44" s="37">
        <v>20721</v>
      </c>
      <c r="K44" s="37">
        <v>377717</v>
      </c>
      <c r="L44" s="37">
        <v>1217133</v>
      </c>
      <c r="M44" s="38">
        <f>I44/(HLOOKUP(F44,Team_Composition_23[[#All],[Yellow]:[Red]],10,FALSE)+HLOOKUP(F44,Team_Composition_23[[#All],[Yellow]:[Red]],11,FALSE))</f>
        <v>6.2119366626065771E-2</v>
      </c>
      <c r="N44" s="38">
        <f>J44/HLOOKUP(F44,Team_Composition_23[[#All],[Yellow]:[Red]],6,FALSE)</f>
        <v>1.1743000514864918E-3</v>
      </c>
      <c r="O44" s="38">
        <f>K44/HLOOKUP(F44,Team_Composition_23[[#All],[Yellow]:[Red]],8,FALSE)</f>
        <v>8.5813688668863533E-3</v>
      </c>
      <c r="P44" s="38">
        <f>L44/HLOOKUP(F44,Team_Composition_23[[#All],[Yellow]:[Red]],7,FALSE)</f>
        <v>5.0152978714014584E-2</v>
      </c>
      <c r="Q44" s="31"/>
      <c r="R44" s="45" t="s">
        <v>58</v>
      </c>
      <c r="S44" s="46">
        <f t="shared" si="6"/>
        <v>2</v>
      </c>
      <c r="T44" s="47">
        <f t="shared" si="7"/>
        <v>2</v>
      </c>
      <c r="U44" s="31"/>
      <c r="V44" s="31"/>
      <c r="W44" s="31"/>
      <c r="X44" s="31"/>
      <c r="Y44" s="31"/>
      <c r="Z44" s="31"/>
      <c r="AA44" s="31"/>
      <c r="AB44" s="45" t="s">
        <v>58</v>
      </c>
      <c r="AC44" s="50">
        <f t="shared" si="8"/>
        <v>2</v>
      </c>
      <c r="AD44" s="51">
        <f t="shared" si="9"/>
        <v>2</v>
      </c>
    </row>
    <row r="45" spans="1:30" ht="22.5" customHeight="1">
      <c r="A45" s="32">
        <v>58</v>
      </c>
      <c r="B45" s="52" t="str">
        <f>VLOOKUP(C45,Lists!I:J,2,FALSE)</f>
        <v>Healer</v>
      </c>
      <c r="C45" s="34" t="str">
        <f>VLOOKUP(E45&amp;D45,Lists!C:E,3,FALSE)</f>
        <v>Wand/Longbow</v>
      </c>
      <c r="D45" s="35" t="s">
        <v>28</v>
      </c>
      <c r="E45" s="36" t="s">
        <v>379</v>
      </c>
      <c r="F45" s="35" t="s">
        <v>483</v>
      </c>
      <c r="G45" s="32">
        <v>0</v>
      </c>
      <c r="H45" s="32">
        <v>49</v>
      </c>
      <c r="I45" s="84">
        <f t="shared" si="0"/>
        <v>49</v>
      </c>
      <c r="J45" s="37">
        <v>55161</v>
      </c>
      <c r="K45" s="37">
        <v>521717</v>
      </c>
      <c r="L45" s="37">
        <v>1133573</v>
      </c>
      <c r="M45" s="38">
        <f>I45/(HLOOKUP(F45,Team_Composition_23[[#All],[Yellow]:[Red]],10,FALSE)+HLOOKUP(F45,Team_Composition_23[[#All],[Yellow]:[Red]],11,FALSE))</f>
        <v>5.9683313032886723E-2</v>
      </c>
      <c r="N45" s="38">
        <f>J45/HLOOKUP(F45,Team_Composition_23[[#All],[Yellow]:[Red]],6,FALSE)</f>
        <v>3.126082966075304E-3</v>
      </c>
      <c r="O45" s="38">
        <f>K45/HLOOKUP(F45,Team_Composition_23[[#All],[Yellow]:[Red]],8,FALSE)</f>
        <v>1.1852911097793713E-2</v>
      </c>
      <c r="P45" s="38">
        <f>L45/HLOOKUP(F45,Team_Composition_23[[#All],[Yellow]:[Red]],7,FALSE)</f>
        <v>4.6709819337559376E-2</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59</v>
      </c>
      <c r="B46" s="55" t="str">
        <f>VLOOKUP(C46,Lists!I:J,2,FALSE)</f>
        <v>Healer</v>
      </c>
      <c r="C46" s="34" t="str">
        <f>VLOOKUP(E46&amp;D46,Lists!C:E,3,FALSE)</f>
        <v>Wand/Orb</v>
      </c>
      <c r="D46" s="35" t="s">
        <v>34</v>
      </c>
      <c r="E46" s="36" t="s">
        <v>144</v>
      </c>
      <c r="F46" s="35" t="s">
        <v>476</v>
      </c>
      <c r="G46" s="32">
        <v>0</v>
      </c>
      <c r="H46" s="32">
        <v>49</v>
      </c>
      <c r="I46" s="84">
        <f t="shared" si="0"/>
        <v>49</v>
      </c>
      <c r="J46" s="37">
        <v>26116</v>
      </c>
      <c r="K46" s="37">
        <v>329313</v>
      </c>
      <c r="L46" s="37">
        <v>757421</v>
      </c>
      <c r="M46" s="38">
        <f>I46/(HLOOKUP(F46,Team_Composition_23[[#All],[Yellow]:[Red]],10,FALSE)+HLOOKUP(F46,Team_Composition_23[[#All],[Yellow]:[Red]],11,FALSE))</f>
        <v>1.2246938265433641E-2</v>
      </c>
      <c r="N46" s="38">
        <f>J46/HLOOKUP(F46,Team_Composition_23[[#All],[Yellow]:[Red]],6,FALSE)</f>
        <v>5.8868092981922949E-4</v>
      </c>
      <c r="O46" s="38">
        <f>K46/HLOOKUP(F46,Team_Composition_23[[#All],[Yellow]:[Red]],8,FALSE)</f>
        <v>1.8797731323838333E-2</v>
      </c>
      <c r="P46" s="38">
        <f>L46/HLOOKUP(F46,Team_Composition_23[[#All],[Yellow]:[Red]],7,FALSE)</f>
        <v>5.851172063722395E-2</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26</v>
      </c>
      <c r="B47" s="59" t="str">
        <f>VLOOKUP(C47,Lists!I:J,2,FALSE)</f>
        <v>KS</v>
      </c>
      <c r="C47" s="34" t="str">
        <f>VLOOKUP(E47&amp;D47,Lists!C:E,3,FALSE)</f>
        <v>Greatsword/Dagger</v>
      </c>
      <c r="D47" s="35" t="s">
        <v>34</v>
      </c>
      <c r="E47" s="36" t="s">
        <v>182</v>
      </c>
      <c r="F47" s="35" t="s">
        <v>483</v>
      </c>
      <c r="G47" s="32">
        <v>15</v>
      </c>
      <c r="H47" s="32">
        <v>31</v>
      </c>
      <c r="I47" s="84">
        <f t="shared" si="0"/>
        <v>46</v>
      </c>
      <c r="J47" s="37">
        <v>899537</v>
      </c>
      <c r="K47" s="37">
        <v>1410256</v>
      </c>
      <c r="L47" s="37">
        <v>40586</v>
      </c>
      <c r="M47" s="38">
        <f>I47/(HLOOKUP(F47,Team_Composition_23[[#All],[Yellow]:[Red]],10,FALSE)+HLOOKUP(F47,Team_Composition_23[[#All],[Yellow]:[Red]],11,FALSE))</f>
        <v>5.6029232643118147E-2</v>
      </c>
      <c r="N47" s="38">
        <f>J47/HLOOKUP(F47,Team_Composition_23[[#All],[Yellow]:[Red]],6,FALSE)</f>
        <v>5.097854087225541E-2</v>
      </c>
      <c r="O47" s="38">
        <f>K47/HLOOKUP(F47,Team_Composition_23[[#All],[Yellow]:[Red]],8,FALSE)</f>
        <v>3.2039667086045061E-2</v>
      </c>
      <c r="P47" s="38">
        <f>L47/HLOOKUP(F47,Team_Composition_23[[#All],[Yellow]:[Red]],7,FALSE)</f>
        <v>1.6723799240403439E-3</v>
      </c>
      <c r="Q47" s="31"/>
      <c r="R47" s="48"/>
      <c r="S47" s="63"/>
      <c r="T47" s="63"/>
      <c r="U47" s="31"/>
      <c r="V47" s="31"/>
      <c r="W47" s="31"/>
      <c r="X47" s="31"/>
      <c r="Y47" s="31"/>
      <c r="Z47" s="31"/>
      <c r="AA47" s="31"/>
      <c r="AB47" s="48"/>
      <c r="AC47" s="63"/>
      <c r="AD47" s="63"/>
    </row>
    <row r="48" spans="1:30" ht="22.5" customHeight="1">
      <c r="A48" s="32">
        <v>60</v>
      </c>
      <c r="B48" s="33" t="str">
        <f>VLOOKUP(C48,Lists!I:J,2,FALSE)</f>
        <v>Healer</v>
      </c>
      <c r="C48" s="34" t="str">
        <f>VLOOKUP(E48&amp;D48,Lists!C:E,3,FALSE)</f>
        <v>Wand/Longbow</v>
      </c>
      <c r="D48" s="35" t="s">
        <v>28</v>
      </c>
      <c r="E48" s="36" t="s">
        <v>378</v>
      </c>
      <c r="F48" s="35" t="s">
        <v>476</v>
      </c>
      <c r="G48" s="32">
        <v>0</v>
      </c>
      <c r="H48" s="32">
        <v>46</v>
      </c>
      <c r="I48" s="84">
        <f t="shared" si="0"/>
        <v>46</v>
      </c>
      <c r="J48" s="37">
        <v>64730</v>
      </c>
      <c r="K48" s="37">
        <v>736071</v>
      </c>
      <c r="L48" s="37">
        <v>1659713</v>
      </c>
      <c r="M48" s="38">
        <f>I48/(HLOOKUP(F48,Team_Composition_23[[#All],[Yellow]:[Red]],10,FALSE)+HLOOKUP(F48,Team_Composition_23[[#All],[Yellow]:[Red]],11,FALSE))</f>
        <v>1.1497125718570358E-2</v>
      </c>
      <c r="N48" s="38">
        <f>J48/HLOOKUP(F48,Team_Composition_23[[#All],[Yellow]:[Red]],6,FALSE)</f>
        <v>1.4590793608209038E-3</v>
      </c>
      <c r="O48" s="38">
        <f>K48/HLOOKUP(F48,Team_Composition_23[[#All],[Yellow]:[Red]],8,FALSE)</f>
        <v>4.2016151482841567E-2</v>
      </c>
      <c r="P48" s="38">
        <f>L48/HLOOKUP(F48,Team_Composition_23[[#All],[Yellow]:[Red]],7,FALSE)</f>
        <v>0.12821490742132693</v>
      </c>
      <c r="Q48" s="31"/>
      <c r="R48" s="31"/>
      <c r="S48" s="64"/>
      <c r="T48" s="64"/>
      <c r="U48" s="31"/>
      <c r="V48" s="31"/>
      <c r="W48" s="31"/>
      <c r="X48" s="31"/>
      <c r="Y48" s="31"/>
      <c r="Z48" s="31"/>
      <c r="AA48" s="31"/>
      <c r="AB48" s="31"/>
      <c r="AC48" s="64"/>
      <c r="AD48" s="64"/>
    </row>
    <row r="49" spans="1:30" ht="22.5" customHeight="1">
      <c r="A49" s="32">
        <v>61</v>
      </c>
      <c r="B49" s="40" t="str">
        <f>VLOOKUP(C49,Lists!I:J,2,FALSE)</f>
        <v>Healer</v>
      </c>
      <c r="C49" s="34" t="str">
        <f>VLOOKUP(E49&amp;D49,Lists!C:E,3,FALSE)</f>
        <v>Wand/Longbow</v>
      </c>
      <c r="D49" s="35" t="s">
        <v>28</v>
      </c>
      <c r="E49" s="36" t="s">
        <v>339</v>
      </c>
      <c r="F49" s="35" t="s">
        <v>483</v>
      </c>
      <c r="G49" s="32">
        <v>0</v>
      </c>
      <c r="H49" s="32">
        <v>46</v>
      </c>
      <c r="I49" s="84">
        <f t="shared" si="0"/>
        <v>46</v>
      </c>
      <c r="J49" s="37">
        <v>38731</v>
      </c>
      <c r="K49" s="37">
        <v>559550</v>
      </c>
      <c r="L49" s="37">
        <v>2464142</v>
      </c>
      <c r="M49" s="38">
        <f>I49/(HLOOKUP(F49,Team_Composition_23[[#All],[Yellow]:[Red]],10,FALSE)+HLOOKUP(F49,Team_Composition_23[[#All],[Yellow]:[Red]],11,FALSE))</f>
        <v>5.6029232643118147E-2</v>
      </c>
      <c r="N49" s="38">
        <f>J49/HLOOKUP(F49,Team_Composition_23[[#All],[Yellow]:[Red]],6,FALSE)</f>
        <v>2.1949623712235566E-3</v>
      </c>
      <c r="O49" s="38">
        <f>K49/HLOOKUP(F49,Team_Composition_23[[#All],[Yellow]:[Red]],8,FALSE)</f>
        <v>1.2712440661834811E-2</v>
      </c>
      <c r="P49" s="38">
        <f>L49/HLOOKUP(F49,Team_Composition_23[[#All],[Yellow]:[Red]],7,FALSE)</f>
        <v>0.10153702288435966</v>
      </c>
      <c r="Q49" s="31"/>
      <c r="R49" s="227" t="s">
        <v>67</v>
      </c>
      <c r="S49" s="228"/>
      <c r="T49" s="228"/>
      <c r="U49" s="31"/>
      <c r="V49" s="31"/>
      <c r="W49" s="31"/>
      <c r="X49" s="31"/>
      <c r="Y49" s="31"/>
      <c r="Z49" s="31"/>
      <c r="AA49" s="31"/>
      <c r="AB49" s="227" t="s">
        <v>67</v>
      </c>
      <c r="AC49" s="228"/>
      <c r="AD49" s="228"/>
    </row>
    <row r="50" spans="1:30" ht="22.5" customHeight="1">
      <c r="A50" s="32">
        <v>62</v>
      </c>
      <c r="B50" s="60" t="str">
        <f>VLOOKUP(C50,Lists!I:J,2,FALSE)</f>
        <v>Healer</v>
      </c>
      <c r="C50" s="34" t="str">
        <f>VLOOKUP(E50&amp;D50,Lists!C:E,3,FALSE)</f>
        <v>Wand/Longbow</v>
      </c>
      <c r="D50" s="35" t="s">
        <v>34</v>
      </c>
      <c r="E50" s="36" t="s">
        <v>180</v>
      </c>
      <c r="F50" s="35" t="s">
        <v>476</v>
      </c>
      <c r="G50" s="32">
        <v>0</v>
      </c>
      <c r="H50" s="32">
        <v>46</v>
      </c>
      <c r="I50" s="84">
        <f t="shared" si="0"/>
        <v>46</v>
      </c>
      <c r="J50" s="37">
        <v>26509</v>
      </c>
      <c r="K50" s="37">
        <v>314943</v>
      </c>
      <c r="L50" s="37">
        <v>965395</v>
      </c>
      <c r="M50" s="38">
        <f>I50/(HLOOKUP(F50,Team_Composition_23[[#All],[Yellow]:[Red]],10,FALSE)+HLOOKUP(F50,Team_Composition_23[[#All],[Yellow]:[Red]],11,FALSE))</f>
        <v>1.1497125718570358E-2</v>
      </c>
      <c r="N50" s="38">
        <f>J50/HLOOKUP(F50,Team_Composition_23[[#All],[Yellow]:[Red]],6,FALSE)</f>
        <v>5.9753954543490407E-4</v>
      </c>
      <c r="O50" s="38">
        <f>K50/HLOOKUP(F50,Team_Composition_23[[#All],[Yellow]:[Red]],8,FALSE)</f>
        <v>1.7977467929670605E-2</v>
      </c>
      <c r="P50" s="38">
        <f>L50/HLOOKUP(F50,Team_Composition_23[[#All],[Yellow]:[Red]],7,FALSE)</f>
        <v>7.4577972547068036E-2</v>
      </c>
      <c r="Q50" s="31"/>
      <c r="R50" s="41" t="s">
        <v>482</v>
      </c>
      <c r="S50" s="42" t="s">
        <v>476</v>
      </c>
      <c r="T50" s="42" t="s">
        <v>483</v>
      </c>
      <c r="U50" s="31"/>
      <c r="V50" s="31"/>
      <c r="W50" s="31"/>
      <c r="X50" s="31"/>
      <c r="Y50" s="31"/>
      <c r="Z50" s="31"/>
      <c r="AA50" s="31"/>
      <c r="AB50" s="41" t="s">
        <v>482</v>
      </c>
      <c r="AC50" s="42" t="s">
        <v>485</v>
      </c>
      <c r="AD50" s="42" t="s">
        <v>28</v>
      </c>
    </row>
    <row r="51" spans="1:30" ht="22.5" customHeight="1">
      <c r="A51" s="32">
        <v>63</v>
      </c>
      <c r="B51" s="40" t="str">
        <f>VLOOKUP(C51,Lists!I:J,2,FALSE)</f>
        <v>Healer</v>
      </c>
      <c r="C51" s="34" t="str">
        <f>VLOOKUP(E51&amp;D51,Lists!C:E,3,FALSE)</f>
        <v>Wand/Orb</v>
      </c>
      <c r="D51" s="35" t="s">
        <v>34</v>
      </c>
      <c r="E51" s="36" t="s">
        <v>153</v>
      </c>
      <c r="F51" s="35" t="s">
        <v>483</v>
      </c>
      <c r="G51" s="32">
        <v>0</v>
      </c>
      <c r="H51" s="32">
        <v>45</v>
      </c>
      <c r="I51" s="84">
        <f t="shared" si="0"/>
        <v>45</v>
      </c>
      <c r="J51" s="37">
        <v>15123</v>
      </c>
      <c r="K51" s="37">
        <v>445856</v>
      </c>
      <c r="L51" s="37">
        <v>1145373</v>
      </c>
      <c r="M51" s="38">
        <f>I51/(HLOOKUP(F51,Team_Composition_23[[#All],[Yellow]:[Red]],10,FALSE)+HLOOKUP(F51,Team_Composition_23[[#All],[Yellow]:[Red]],11,FALSE))</f>
        <v>5.4811205846528627E-2</v>
      </c>
      <c r="N51" s="38">
        <f>J51/HLOOKUP(F51,Team_Composition_23[[#All],[Yellow]:[Red]],6,FALSE)</f>
        <v>8.5705031989914649E-4</v>
      </c>
      <c r="O51" s="38">
        <f>K51/HLOOKUP(F51,Team_Composition_23[[#All],[Yellow]:[Red]],8,FALSE)</f>
        <v>1.012942175627383E-2</v>
      </c>
      <c r="P51" s="38">
        <f>L51/HLOOKUP(F51,Team_Composition_23[[#All],[Yellow]:[Red]],7,FALSE)</f>
        <v>4.7196048162860611E-2</v>
      </c>
      <c r="Q51" s="31"/>
      <c r="R51" s="45" t="s">
        <v>468</v>
      </c>
      <c r="S51" s="46">
        <f>SUMIFS(Scoreboard_35[Damage Dealt],Scoreboard_35[Role],"Tank",Scoreboard_35[Team],"Yellow")</f>
        <v>875945</v>
      </c>
      <c r="T51" s="47">
        <f>SUMIFS(Scoreboard_35[Damage Dealt],Scoreboard_35[Role],"Tank",Scoreboard_35[Team],"Red")</f>
        <v>2333031</v>
      </c>
      <c r="U51" s="31"/>
      <c r="V51" s="31"/>
      <c r="W51" s="31"/>
      <c r="X51" s="31"/>
      <c r="Y51" s="31"/>
      <c r="Z51" s="31"/>
      <c r="AA51" s="31"/>
      <c r="AB51" s="45" t="s">
        <v>468</v>
      </c>
      <c r="AC51" s="50">
        <f>SUMIFS(Scoreboard_35[Damage Dealt],Scoreboard_35[Role],"Tank",Scoreboard_35[Guild],"Best Regards")</f>
        <v>2180185</v>
      </c>
      <c r="AD51" s="51">
        <f>SUMIFS(Scoreboard_35[Damage Dealt],Scoreboard_35[Role],"Tank",Scoreboard_35[Guild],"Undercooked")</f>
        <v>1028791</v>
      </c>
    </row>
    <row r="52" spans="1:30" ht="22.5" customHeight="1">
      <c r="A52" s="32">
        <v>40</v>
      </c>
      <c r="B52" s="60" t="str">
        <f>VLOOKUP(C52,Lists!I:J,2,FALSE)</f>
        <v>Tank</v>
      </c>
      <c r="C52" s="34" t="str">
        <f>VLOOKUP(E52&amp;D52,Lists!C:E,3,FALSE)</f>
        <v>SnS/Greatsword</v>
      </c>
      <c r="D52" s="35" t="s">
        <v>34</v>
      </c>
      <c r="E52" s="36" t="s">
        <v>55</v>
      </c>
      <c r="F52" s="35" t="s">
        <v>483</v>
      </c>
      <c r="G52" s="32">
        <v>1</v>
      </c>
      <c r="H52" s="32">
        <v>41</v>
      </c>
      <c r="I52" s="84">
        <f t="shared" si="0"/>
        <v>42</v>
      </c>
      <c r="J52" s="37">
        <v>294044</v>
      </c>
      <c r="K52" s="37">
        <v>1125287</v>
      </c>
      <c r="L52" s="37">
        <v>63332</v>
      </c>
      <c r="M52" s="38">
        <f>I52/(HLOOKUP(F52,Team_Composition_23[[#All],[Yellow]:[Red]],10,FALSE)+HLOOKUP(F52,Team_Composition_23[[#All],[Yellow]:[Red]],11,FALSE))</f>
        <v>5.1157125456760051E-2</v>
      </c>
      <c r="N52" s="38">
        <f>J52/HLOOKUP(F52,Team_Composition_23[[#All],[Yellow]:[Red]],6,FALSE)</f>
        <v>1.6664055033024178E-2</v>
      </c>
      <c r="O52" s="38">
        <f>K52/HLOOKUP(F52,Team_Composition_23[[#All],[Yellow]:[Red]],8,FALSE)</f>
        <v>2.5565444044382286E-2</v>
      </c>
      <c r="P52" s="38">
        <f>L52/HLOOKUP(F52,Team_Composition_23[[#All],[Yellow]:[Red]],7,FALSE)</f>
        <v>2.6096477935574599E-3</v>
      </c>
      <c r="Q52" s="31"/>
      <c r="R52" s="45" t="s">
        <v>469</v>
      </c>
      <c r="S52" s="46">
        <f>SUMIFS(Scoreboard_35[Damage Taken],Scoreboard_35[Role],"Tank",Scoreboard_35[Team],"Yellow")</f>
        <v>7402088</v>
      </c>
      <c r="T52" s="47">
        <f>SUMIFS(Scoreboard_35[Damage Taken],Scoreboard_35[Role],"Tank",Scoreboard_35[Team],"Red")</f>
        <v>10435298</v>
      </c>
      <c r="U52" s="31"/>
      <c r="V52" s="31"/>
      <c r="W52" s="31"/>
      <c r="X52" s="31"/>
      <c r="Y52" s="31"/>
      <c r="Z52" s="31"/>
      <c r="AA52" s="31"/>
      <c r="AB52" s="45" t="s">
        <v>469</v>
      </c>
      <c r="AC52" s="50">
        <f>SUMIFS(Scoreboard_35[Damage Taken],Scoreboard_35[Role],"Tank",Scoreboard_35[Guild],"Best Regards")</f>
        <v>9419682</v>
      </c>
      <c r="AD52" s="51">
        <f>SUMIFS(Scoreboard_35[Damage Taken],Scoreboard_35[Role],"Tank",Scoreboard_35[Guild],"Undercooked")</f>
        <v>8417704</v>
      </c>
    </row>
    <row r="53" spans="1:30" ht="22.5" customHeight="1">
      <c r="A53" s="32">
        <v>42</v>
      </c>
      <c r="B53" s="52" t="str">
        <f>VLOOKUP(C53,Lists!I:J,2,FALSE)</f>
        <v>Healer</v>
      </c>
      <c r="C53" s="34" t="str">
        <f>VLOOKUP(E53&amp;D53,Lists!C:E,3,FALSE)</f>
        <v>Wand/Orb</v>
      </c>
      <c r="D53" s="35" t="s">
        <v>28</v>
      </c>
      <c r="E53" s="36" t="s">
        <v>343</v>
      </c>
      <c r="F53" s="35" t="s">
        <v>483</v>
      </c>
      <c r="G53" s="32">
        <v>1</v>
      </c>
      <c r="H53" s="32">
        <v>39</v>
      </c>
      <c r="I53" s="84">
        <f t="shared" si="0"/>
        <v>40</v>
      </c>
      <c r="J53" s="37">
        <v>28734</v>
      </c>
      <c r="K53" s="37">
        <v>335209</v>
      </c>
      <c r="L53" s="37">
        <v>546009</v>
      </c>
      <c r="M53" s="38">
        <f>I53/(HLOOKUP(F53,Team_Composition_23[[#All],[Yellow]:[Red]],10,FALSE)+HLOOKUP(F53,Team_Composition_23[[#All],[Yellow]:[Red]],11,FALSE))</f>
        <v>4.8721071863580996E-2</v>
      </c>
      <c r="N53" s="38">
        <f>J53/HLOOKUP(F53,Team_Composition_23[[#All],[Yellow]:[Red]],6,FALSE)</f>
        <v>1.628412609401711E-3</v>
      </c>
      <c r="O53" s="38">
        <f>K53/HLOOKUP(F53,Team_Composition_23[[#All],[Yellow]:[Red]],8,FALSE)</f>
        <v>7.6156277755571175E-3</v>
      </c>
      <c r="P53" s="38">
        <f>L53/HLOOKUP(F53,Team_Composition_23[[#All],[Yellow]:[Red]],7,FALSE)</f>
        <v>2.2498755480839308E-2</v>
      </c>
      <c r="Q53" s="31"/>
      <c r="R53" s="45" t="s">
        <v>470</v>
      </c>
      <c r="S53" s="46">
        <f>SUMIFS(Scoreboard_35[Amount Healed],Scoreboard_35[Role],"Tank",Scoreboard_35[Team],"Yellow")</f>
        <v>491208</v>
      </c>
      <c r="T53" s="47">
        <f>SUMIFS(Scoreboard_35[Amount Healed],Scoreboard_35[Role],"Tank",Scoreboard_35[Team],"Red")</f>
        <v>947556</v>
      </c>
      <c r="U53" s="31"/>
      <c r="V53" s="31"/>
      <c r="W53" s="31"/>
      <c r="X53" s="31"/>
      <c r="Y53" s="31"/>
      <c r="Z53" s="31"/>
      <c r="AA53" s="31"/>
      <c r="AB53" s="45" t="s">
        <v>470</v>
      </c>
      <c r="AC53" s="50">
        <f>SUMIFS(Scoreboard_35[Amount Healed],Scoreboard_35[Role],"Tank",Scoreboard_35[Guild],"Best Regards")</f>
        <v>504186</v>
      </c>
      <c r="AD53" s="51">
        <f>SUMIFS(Scoreboard_35[Amount Healed],Scoreboard_35[Role],"Tank",Scoreboard_35[Guild],"Undercooked")</f>
        <v>934578</v>
      </c>
    </row>
    <row r="54" spans="1:30" ht="22.5" customHeight="1">
      <c r="A54" s="32">
        <v>41</v>
      </c>
      <c r="B54" s="34" t="str">
        <f>VLOOKUP(C54,Lists!I:J,2,FALSE)</f>
        <v>Healer</v>
      </c>
      <c r="C54" s="34" t="str">
        <f>VLOOKUP(E54&amp;D54,Lists!C:E,3,FALSE)</f>
        <v>Wand/Longbow</v>
      </c>
      <c r="D54" s="35" t="s">
        <v>34</v>
      </c>
      <c r="E54" s="36" t="s">
        <v>44</v>
      </c>
      <c r="F54" s="35" t="s">
        <v>483</v>
      </c>
      <c r="G54" s="32">
        <v>1</v>
      </c>
      <c r="H54" s="32">
        <v>39</v>
      </c>
      <c r="I54" s="84">
        <f t="shared" si="0"/>
        <v>40</v>
      </c>
      <c r="J54" s="37">
        <v>62391</v>
      </c>
      <c r="K54" s="37">
        <v>650329</v>
      </c>
      <c r="L54" s="37">
        <v>2962386</v>
      </c>
      <c r="M54" s="38">
        <f>I54/(HLOOKUP(F54,Team_Composition_23[[#All],[Yellow]:[Red]],10,FALSE)+HLOOKUP(F54,Team_Composition_23[[#All],[Yellow]:[Red]],11,FALSE))</f>
        <v>4.8721071863580996E-2</v>
      </c>
      <c r="N54" s="38">
        <f>J54/HLOOKUP(F54,Team_Composition_23[[#All],[Yellow]:[Red]],6,FALSE)</f>
        <v>3.5358213653922934E-3</v>
      </c>
      <c r="O54" s="38">
        <f>K54/HLOOKUP(F54,Team_Composition_23[[#All],[Yellow]:[Red]],8,FALSE)</f>
        <v>1.4774852690859389E-2</v>
      </c>
      <c r="P54" s="38">
        <f>L54/HLOOKUP(F54,Team_Composition_23[[#All],[Yellow]:[Red]],7,FALSE)</f>
        <v>0.12206758176854528</v>
      </c>
      <c r="Q54" s="31"/>
      <c r="R54" s="45" t="s">
        <v>465</v>
      </c>
      <c r="S54" s="46">
        <f>SUMIFS(Scoreboard_35[Kills],Scoreboard_35[Role],"Tank",Scoreboard_35[Team],"Yellow")</f>
        <v>3</v>
      </c>
      <c r="T54" s="47">
        <f>SUMIFS(Scoreboard_35[Kills],Scoreboard_35[Role],"Tank",Scoreboard_35[Team],"Red")</f>
        <v>15</v>
      </c>
      <c r="U54" s="31"/>
      <c r="V54" s="31"/>
      <c r="W54" s="31"/>
      <c r="X54" s="31"/>
      <c r="Y54" s="31"/>
      <c r="Z54" s="31"/>
      <c r="AA54" s="31"/>
      <c r="AB54" s="45" t="s">
        <v>465</v>
      </c>
      <c r="AC54" s="50">
        <f>SUMIFS(Scoreboard_35[Kills],Scoreboard_35[Role],"Tank",Scoreboard_35[Guild],"Best Regards")</f>
        <v>15</v>
      </c>
      <c r="AD54" s="51">
        <f>SUMIFS(Scoreboard_35[Kills],Scoreboard_35[Role],"Tank",Scoreboard_35[Guild],"Undercooked")</f>
        <v>3</v>
      </c>
    </row>
    <row r="55" spans="1:30" ht="22.5" customHeight="1">
      <c r="A55" s="32">
        <v>64</v>
      </c>
      <c r="B55" s="40" t="str">
        <f>VLOOKUP(C55,Lists!I:J,2,FALSE)</f>
        <v>Healer</v>
      </c>
      <c r="C55" s="34" t="str">
        <f>VLOOKUP(E55&amp;D55,Lists!C:E,3,FALSE)</f>
        <v>Wand/Orb</v>
      </c>
      <c r="D55" s="35" t="s">
        <v>34</v>
      </c>
      <c r="E55" s="36" t="s">
        <v>164</v>
      </c>
      <c r="F55" s="35" t="s">
        <v>476</v>
      </c>
      <c r="G55" s="32">
        <v>0</v>
      </c>
      <c r="H55" s="32">
        <v>39</v>
      </c>
      <c r="I55" s="84">
        <f t="shared" si="0"/>
        <v>39</v>
      </c>
      <c r="J55" s="37">
        <v>15046</v>
      </c>
      <c r="K55" s="37">
        <v>129301</v>
      </c>
      <c r="L55" s="37">
        <v>532354</v>
      </c>
      <c r="M55" s="38">
        <f>I55/(HLOOKUP(F55,Team_Composition_23[[#All],[Yellow]:[Red]],10,FALSE)+HLOOKUP(F55,Team_Composition_23[[#All],[Yellow]:[Red]],11,FALSE))</f>
        <v>9.7475631092226941E-3</v>
      </c>
      <c r="N55" s="38">
        <f>J55/HLOOKUP(F55,Team_Composition_23[[#All],[Yellow]:[Red]],6,FALSE)</f>
        <v>3.3915198614106778E-4</v>
      </c>
      <c r="O55" s="38">
        <f>K55/HLOOKUP(F55,Team_Composition_23[[#All],[Yellow]:[Red]],8,FALSE)</f>
        <v>7.3807151794906978E-3</v>
      </c>
      <c r="P55" s="38">
        <f>L55/HLOOKUP(F55,Team_Composition_23[[#All],[Yellow]:[Red]],7,FALSE)</f>
        <v>4.1125013074774425E-2</v>
      </c>
      <c r="Q55" s="31"/>
      <c r="R55" s="45" t="s">
        <v>466</v>
      </c>
      <c r="S55" s="46">
        <f>SUMIFS(Scoreboard_35[Assists],Scoreboard_35[Role],"Tank",Scoreboard_35[Team],"Yellow")</f>
        <v>299</v>
      </c>
      <c r="T55" s="47">
        <f>SUMIFS(Scoreboard_35[Assists],Scoreboard_35[Role],"Tank",Scoreboard_35[Team],"Red")</f>
        <v>279</v>
      </c>
      <c r="U55" s="31"/>
      <c r="V55" s="31"/>
      <c r="W55" s="31"/>
      <c r="X55" s="31"/>
      <c r="Y55" s="31"/>
      <c r="Z55" s="31"/>
      <c r="AA55" s="31"/>
      <c r="AB55" s="45" t="s">
        <v>466</v>
      </c>
      <c r="AC55" s="50">
        <f>SUMIFS(Scoreboard_35[Assists],Scoreboard_35[Role],"Tank",Scoreboard_35[Guild],"Best Regards")</f>
        <v>293</v>
      </c>
      <c r="AD55" s="51">
        <f>SUMIFS(Scoreboard_35[Assists],Scoreboard_35[Role],"Tank",Scoreboard_35[Guild],"Undercooked")</f>
        <v>285</v>
      </c>
    </row>
    <row r="56" spans="1:30" ht="22.5" customHeight="1">
      <c r="A56" s="32">
        <v>65</v>
      </c>
      <c r="B56" s="62" t="str">
        <f>VLOOKUP(C56,Lists!I:J,2,FALSE)</f>
        <v>Healer</v>
      </c>
      <c r="C56" s="34" t="str">
        <f>VLOOKUP(E56&amp;D56,Lists!C:E,3,FALSE)</f>
        <v>Wand/Orb</v>
      </c>
      <c r="D56" s="35" t="s">
        <v>34</v>
      </c>
      <c r="E56" s="36" t="s">
        <v>134</v>
      </c>
      <c r="F56" s="35" t="s">
        <v>483</v>
      </c>
      <c r="G56" s="32">
        <v>0</v>
      </c>
      <c r="H56" s="32">
        <v>38</v>
      </c>
      <c r="I56" s="84">
        <f t="shared" si="0"/>
        <v>38</v>
      </c>
      <c r="J56" s="37">
        <v>25524</v>
      </c>
      <c r="K56" s="37">
        <v>445949</v>
      </c>
      <c r="L56" s="37">
        <v>935596</v>
      </c>
      <c r="M56" s="38">
        <f>I56/(HLOOKUP(F56,Team_Composition_23[[#All],[Yellow]:[Red]],10,FALSE)+HLOOKUP(F56,Team_Composition_23[[#All],[Yellow]:[Red]],11,FALSE))</f>
        <v>4.6285018270401948E-2</v>
      </c>
      <c r="N56" s="38">
        <f>J56/HLOOKUP(F56,Team_Composition_23[[#All],[Yellow]:[Red]],6,FALSE)</f>
        <v>1.4464955607423008E-3</v>
      </c>
      <c r="O56" s="38">
        <f>K56/HLOOKUP(F56,Team_Composition_23[[#All],[Yellow]:[Red]],8,FALSE)</f>
        <v>1.0131534627297958E-2</v>
      </c>
      <c r="P56" s="38">
        <f>L56/HLOOKUP(F56,Team_Composition_23[[#All],[Yellow]:[Red]],7,FALSE)</f>
        <v>3.8552012206486221E-2</v>
      </c>
      <c r="Q56" s="31"/>
      <c r="R56" s="45" t="s">
        <v>62</v>
      </c>
      <c r="S56" s="46">
        <f t="shared" ref="S56:S60" si="10">COUNTIFS(C:C,R56,F:F,"Yellow")</f>
        <v>3</v>
      </c>
      <c r="T56" s="47">
        <f t="shared" ref="T56:T60" si="11">COUNTIFS(C:C,R56,F:F,"Red")</f>
        <v>2</v>
      </c>
      <c r="U56" s="31"/>
      <c r="V56" s="31"/>
      <c r="W56" s="31"/>
      <c r="X56" s="31"/>
      <c r="Y56" s="31"/>
      <c r="Z56" s="31"/>
      <c r="AA56" s="31"/>
      <c r="AB56" s="45" t="s">
        <v>62</v>
      </c>
      <c r="AC56" s="50">
        <f t="shared" ref="AC56:AC60" si="12">COUNTIFS(C:C,AB56,D:D,"Best Regards")</f>
        <v>3</v>
      </c>
      <c r="AD56" s="51">
        <f t="shared" ref="AD56:AD60" si="13">COUNTIFS(C:C,AB56,D:D,"Undercooked")</f>
        <v>2</v>
      </c>
    </row>
    <row r="57" spans="1:30" ht="22.5" customHeight="1">
      <c r="A57" s="32">
        <v>36</v>
      </c>
      <c r="B57" s="40" t="s">
        <v>11</v>
      </c>
      <c r="C57" s="34" t="str">
        <f>VLOOKUP(E57&amp;D57,Lists!C:E,3,FALSE)</f>
        <v>SnS/Greatsword</v>
      </c>
      <c r="D57" s="35" t="s">
        <v>34</v>
      </c>
      <c r="E57" s="36" t="s">
        <v>93</v>
      </c>
      <c r="F57" s="35" t="s">
        <v>476</v>
      </c>
      <c r="G57" s="32">
        <v>2</v>
      </c>
      <c r="H57" s="32">
        <v>35</v>
      </c>
      <c r="I57" s="84">
        <f t="shared" si="0"/>
        <v>37</v>
      </c>
      <c r="J57" s="37">
        <v>93729</v>
      </c>
      <c r="K57" s="37">
        <v>412645</v>
      </c>
      <c r="L57" s="37">
        <v>30310</v>
      </c>
      <c r="M57" s="38">
        <f>I57/(HLOOKUP(F57,Team_Composition_23[[#All],[Yellow]:[Red]],10,FALSE)+HLOOKUP(F57,Team_Composition_23[[#All],[Yellow]:[Red]],11,FALSE))</f>
        <v>9.2476880779805044E-3</v>
      </c>
      <c r="N57" s="38">
        <f>J57/HLOOKUP(F57,Team_Composition_23[[#All],[Yellow]:[Red]],6,FALSE)</f>
        <v>2.1127460128284024E-3</v>
      </c>
      <c r="O57" s="38">
        <f>K57/HLOOKUP(F57,Team_Composition_23[[#All],[Yellow]:[Red]],8,FALSE)</f>
        <v>2.3554459866829639E-2</v>
      </c>
      <c r="P57" s="38">
        <f>L57/HLOOKUP(F57,Team_Composition_23[[#All],[Yellow]:[Red]],7,FALSE)</f>
        <v>2.3414854519669482E-3</v>
      </c>
      <c r="Q57" s="31"/>
      <c r="R57" s="45" t="s">
        <v>70</v>
      </c>
      <c r="S57" s="46">
        <f t="shared" si="10"/>
        <v>1</v>
      </c>
      <c r="T57" s="47">
        <f t="shared" si="11"/>
        <v>0</v>
      </c>
      <c r="U57" s="31"/>
      <c r="V57" s="31"/>
      <c r="W57" s="31"/>
      <c r="X57" s="31"/>
      <c r="Y57" s="31"/>
      <c r="Z57" s="31"/>
      <c r="AA57" s="31"/>
      <c r="AB57" s="45" t="s">
        <v>70</v>
      </c>
      <c r="AC57" s="50">
        <f t="shared" si="12"/>
        <v>1</v>
      </c>
      <c r="AD57" s="51">
        <f t="shared" si="13"/>
        <v>0</v>
      </c>
    </row>
    <row r="58" spans="1:30" ht="22.5" customHeight="1">
      <c r="A58" s="32">
        <v>66</v>
      </c>
      <c r="B58" s="33" t="str">
        <f>VLOOKUP(C58,Lists!I:J,2,FALSE)</f>
        <v>Healer</v>
      </c>
      <c r="C58" s="34" t="str">
        <f>VLOOKUP(E58&amp;D58,Lists!C:E,3,FALSE)</f>
        <v>Wand/Longbow</v>
      </c>
      <c r="D58" s="35" t="s">
        <v>28</v>
      </c>
      <c r="E58" s="36" t="s">
        <v>342</v>
      </c>
      <c r="F58" s="35" t="s">
        <v>483</v>
      </c>
      <c r="G58" s="32">
        <v>0</v>
      </c>
      <c r="H58" s="32">
        <v>36</v>
      </c>
      <c r="I58" s="84">
        <f t="shared" si="0"/>
        <v>36</v>
      </c>
      <c r="J58" s="37">
        <v>46007</v>
      </c>
      <c r="K58" s="37">
        <v>591852</v>
      </c>
      <c r="L58" s="37">
        <v>1567082</v>
      </c>
      <c r="M58" s="38">
        <f>I58/(HLOOKUP(F58,Team_Composition_23[[#All],[Yellow]:[Red]],10,FALSE)+HLOOKUP(F58,Team_Composition_23[[#All],[Yellow]:[Red]],11,FALSE))</f>
        <v>4.38489646772229E-2</v>
      </c>
      <c r="N58" s="38">
        <f>J58/HLOOKUP(F58,Team_Composition_23[[#All],[Yellow]:[Red]],6,FALSE)</f>
        <v>2.6073076815182196E-3</v>
      </c>
      <c r="O58" s="38">
        <f>K58/HLOOKUP(F58,Team_Composition_23[[#All],[Yellow]:[Red]],8,FALSE)</f>
        <v>1.3446311197548489E-2</v>
      </c>
      <c r="P58" s="38">
        <f>L58/HLOOKUP(F58,Team_Composition_23[[#All],[Yellow]:[Red]],7,FALSE)</f>
        <v>6.4572918644975857E-2</v>
      </c>
      <c r="Q58" s="31"/>
      <c r="R58" s="45" t="s">
        <v>14</v>
      </c>
      <c r="S58" s="46">
        <f t="shared" si="10"/>
        <v>10</v>
      </c>
      <c r="T58" s="47">
        <f t="shared" si="11"/>
        <v>10</v>
      </c>
      <c r="U58" s="31"/>
      <c r="V58" s="31"/>
      <c r="W58" s="31"/>
      <c r="X58" s="31"/>
      <c r="Y58" s="31"/>
      <c r="Z58" s="31"/>
      <c r="AA58" s="31"/>
      <c r="AB58" s="45" t="s">
        <v>14</v>
      </c>
      <c r="AC58" s="50">
        <f t="shared" si="12"/>
        <v>12</v>
      </c>
      <c r="AD58" s="51">
        <f t="shared" si="13"/>
        <v>8</v>
      </c>
    </row>
    <row r="59" spans="1:30" ht="22.5" customHeight="1">
      <c r="A59" s="32">
        <v>67</v>
      </c>
      <c r="B59" s="56" t="str">
        <f>VLOOKUP(C59,Lists!I:J,2,FALSE)</f>
        <v>Healer</v>
      </c>
      <c r="C59" s="34" t="str">
        <f>VLOOKUP(E59&amp;D59,Lists!C:E,3,FALSE)</f>
        <v>Wand/Longbow</v>
      </c>
      <c r="D59" s="35" t="s">
        <v>28</v>
      </c>
      <c r="E59" s="36" t="s">
        <v>381</v>
      </c>
      <c r="F59" s="35" t="s">
        <v>476</v>
      </c>
      <c r="G59" s="32">
        <v>0</v>
      </c>
      <c r="H59" s="32">
        <v>36</v>
      </c>
      <c r="I59" s="84">
        <f t="shared" si="0"/>
        <v>36</v>
      </c>
      <c r="J59" s="37">
        <v>29880</v>
      </c>
      <c r="K59" s="37">
        <v>590575</v>
      </c>
      <c r="L59" s="37">
        <v>2000989</v>
      </c>
      <c r="M59" s="38">
        <f>I59/(HLOOKUP(F59,Team_Composition_23[[#All],[Yellow]:[Red]],10,FALSE)+HLOOKUP(F59,Team_Composition_23[[#All],[Yellow]:[Red]],11,FALSE))</f>
        <v>8.9977505623594096E-3</v>
      </c>
      <c r="N59" s="38">
        <f>J59/HLOOKUP(F59,Team_Composition_23[[#All],[Yellow]:[Red]],6,FALSE)</f>
        <v>6.7352527887113562E-4</v>
      </c>
      <c r="O59" s="38">
        <f>K59/HLOOKUP(F59,Team_Composition_23[[#All],[Yellow]:[Red]],8,FALSE)</f>
        <v>3.3710998887307282E-2</v>
      </c>
      <c r="P59" s="38">
        <f>L59/HLOOKUP(F59,Team_Composition_23[[#All],[Yellow]:[Red]],7,FALSE)</f>
        <v>0.15457890574219371</v>
      </c>
      <c r="Q59" s="31"/>
      <c r="R59" s="45" t="s">
        <v>73</v>
      </c>
      <c r="S59" s="46">
        <f t="shared" si="10"/>
        <v>1</v>
      </c>
      <c r="T59" s="47">
        <f t="shared" si="11"/>
        <v>2</v>
      </c>
      <c r="U59" s="31"/>
      <c r="V59" s="31"/>
      <c r="W59" s="31"/>
      <c r="X59" s="31"/>
      <c r="Y59" s="31"/>
      <c r="Z59" s="31"/>
      <c r="AA59" s="31"/>
      <c r="AB59" s="45" t="s">
        <v>73</v>
      </c>
      <c r="AC59" s="50">
        <f t="shared" si="12"/>
        <v>0</v>
      </c>
      <c r="AD59" s="51">
        <f t="shared" si="13"/>
        <v>3</v>
      </c>
    </row>
    <row r="60" spans="1:30" ht="22.5" customHeight="1">
      <c r="A60" s="32">
        <v>33</v>
      </c>
      <c r="B60" s="55" t="str">
        <f>VLOOKUP(C60,Lists!I:J,2,FALSE)</f>
        <v>Tank</v>
      </c>
      <c r="C60" s="34" t="str">
        <f>VLOOKUP(E60&amp;D60,Lists!C:E,3,FALSE)</f>
        <v>SnS/Spear</v>
      </c>
      <c r="D60" s="35" t="s">
        <v>34</v>
      </c>
      <c r="E60" s="36" t="s">
        <v>79</v>
      </c>
      <c r="F60" s="35" t="s">
        <v>483</v>
      </c>
      <c r="G60" s="32">
        <v>4</v>
      </c>
      <c r="H60" s="32">
        <v>31</v>
      </c>
      <c r="I60" s="84">
        <f t="shared" si="0"/>
        <v>35</v>
      </c>
      <c r="J60" s="37">
        <v>442545</v>
      </c>
      <c r="K60" s="37">
        <v>1031994</v>
      </c>
      <c r="L60" s="37">
        <v>76189</v>
      </c>
      <c r="M60" s="38">
        <f>I60/(HLOOKUP(F60,Team_Composition_23[[#All],[Yellow]:[Red]],10,FALSE)+HLOOKUP(F60,Team_Composition_23[[#All],[Yellow]:[Red]],11,FALSE))</f>
        <v>4.2630937880633372E-2</v>
      </c>
      <c r="N60" s="38">
        <f>J60/HLOOKUP(F60,Team_Composition_23[[#All],[Yellow]:[Red]],6,FALSE)</f>
        <v>2.5079900404666258E-2</v>
      </c>
      <c r="O60" s="38">
        <f>K60/HLOOKUP(F60,Team_Composition_23[[#All],[Yellow]:[Red]],8,FALSE)</f>
        <v>2.3445916340576453E-2</v>
      </c>
      <c r="P60" s="38">
        <f>L60/HLOOKUP(F60,Team_Composition_23[[#All],[Yellow]:[Red]],7,FALSE)</f>
        <v>3.1394311839725462E-3</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35</v>
      </c>
      <c r="B61" s="40" t="str">
        <f>VLOOKUP(C61,Lists!I:J,2,FALSE)</f>
        <v>Tank</v>
      </c>
      <c r="C61" s="34" t="str">
        <f>VLOOKUP(E61&amp;D61,Lists!C:E,3,FALSE)</f>
        <v>SnS/Spear</v>
      </c>
      <c r="D61" s="35" t="s">
        <v>34</v>
      </c>
      <c r="E61" s="36" t="s">
        <v>61</v>
      </c>
      <c r="F61" s="35" t="s">
        <v>483</v>
      </c>
      <c r="G61" s="32">
        <v>3</v>
      </c>
      <c r="H61" s="32">
        <v>31</v>
      </c>
      <c r="I61" s="84">
        <f t="shared" si="0"/>
        <v>34</v>
      </c>
      <c r="J61" s="37">
        <v>357046</v>
      </c>
      <c r="K61" s="37">
        <v>740348</v>
      </c>
      <c r="L61" s="37">
        <v>43132</v>
      </c>
      <c r="M61" s="38">
        <f>I61/(HLOOKUP(F61,Team_Composition_23[[#All],[Yellow]:[Red]],10,FALSE)+HLOOKUP(F61,Team_Composition_23[[#All],[Yellow]:[Red]],11,FALSE))</f>
        <v>4.1412911084043852E-2</v>
      </c>
      <c r="N61" s="38">
        <f>J61/HLOOKUP(F61,Team_Composition_23[[#All],[Yellow]:[Red]],6,FALSE)</f>
        <v>2.0234502976837314E-2</v>
      </c>
      <c r="O61" s="38">
        <f>K61/HLOOKUP(F61,Team_Composition_23[[#All],[Yellow]:[Red]],8,FALSE)</f>
        <v>1.6819998246998622E-2</v>
      </c>
      <c r="P61" s="38">
        <f>L61/HLOOKUP(F61,Team_Composition_23[[#All],[Yellow]:[Red]],7,FALSE)</f>
        <v>1.777289973973984E-3</v>
      </c>
      <c r="Q61" s="31"/>
      <c r="R61" s="48"/>
      <c r="S61" s="63"/>
      <c r="T61" s="63"/>
      <c r="U61" s="31"/>
      <c r="V61" s="31"/>
      <c r="W61" s="31"/>
      <c r="X61" s="31"/>
      <c r="Y61" s="31"/>
      <c r="Z61" s="31"/>
      <c r="AA61" s="31"/>
      <c r="AB61" s="48"/>
      <c r="AC61" s="63"/>
      <c r="AD61" s="63"/>
    </row>
    <row r="62" spans="1:30" ht="22.5" customHeight="1">
      <c r="A62" s="32">
        <v>68</v>
      </c>
      <c r="B62" s="60" t="str">
        <f>VLOOKUP(C62,Lists!I:J,2,FALSE)</f>
        <v>Tank</v>
      </c>
      <c r="C62" s="34" t="str">
        <f>VLOOKUP(E62&amp;D62,Lists!C:E,3,FALSE)</f>
        <v>SnS/Longbow</v>
      </c>
      <c r="D62" s="35" t="s">
        <v>28</v>
      </c>
      <c r="E62" s="36" t="s">
        <v>380</v>
      </c>
      <c r="F62" s="35" t="s">
        <v>483</v>
      </c>
      <c r="G62" s="32">
        <v>0</v>
      </c>
      <c r="H62" s="32">
        <v>34</v>
      </c>
      <c r="I62" s="84">
        <f t="shared" si="0"/>
        <v>34</v>
      </c>
      <c r="J62" s="37">
        <v>91191</v>
      </c>
      <c r="K62" s="37">
        <v>647267</v>
      </c>
      <c r="L62" s="37">
        <v>170600</v>
      </c>
      <c r="M62" s="38">
        <f>I62/(HLOOKUP(F62,Team_Composition_23[[#All],[Yellow]:[Red]],10,FALSE)+HLOOKUP(F62,Team_Composition_23[[#All],[Yellow]:[Red]],11,FALSE))</f>
        <v>4.1412911084043852E-2</v>
      </c>
      <c r="N62" s="38">
        <f>J62/HLOOKUP(F62,Team_Composition_23[[#All],[Yellow]:[Red]],6,FALSE)</f>
        <v>5.1679743253271885E-3</v>
      </c>
      <c r="O62" s="38">
        <f>K62/HLOOKUP(F62,Team_Composition_23[[#All],[Yellow]:[Red]],8,FALSE)</f>
        <v>1.4705286980366066E-2</v>
      </c>
      <c r="P62" s="38">
        <f>L62/HLOOKUP(F62,Team_Composition_23[[#All],[Yellow]:[Red]],7,FALSE)</f>
        <v>7.0297150505416323E-3</v>
      </c>
      <c r="Q62" s="31"/>
      <c r="R62" s="31"/>
      <c r="S62" s="64"/>
      <c r="T62" s="64"/>
      <c r="U62" s="31"/>
      <c r="V62" s="31"/>
      <c r="W62" s="31"/>
      <c r="X62" s="31"/>
      <c r="Y62" s="31"/>
      <c r="Z62" s="31"/>
      <c r="AA62" s="31"/>
      <c r="AB62" s="31"/>
      <c r="AC62" s="64"/>
      <c r="AD62" s="64"/>
    </row>
    <row r="63" spans="1:30" ht="22.5" customHeight="1">
      <c r="A63" s="32">
        <v>69</v>
      </c>
      <c r="B63" s="52" t="str">
        <f>VLOOKUP(C63,Lists!I:J,2,FALSE)</f>
        <v>Tank</v>
      </c>
      <c r="C63" s="34" t="str">
        <f>VLOOKUP(E63&amp;D63,Lists!C:E,3,FALSE)</f>
        <v>SnS/Dagger</v>
      </c>
      <c r="D63" s="35" t="s">
        <v>34</v>
      </c>
      <c r="E63" s="36" t="s">
        <v>177</v>
      </c>
      <c r="F63" s="35" t="s">
        <v>476</v>
      </c>
      <c r="G63" s="32">
        <v>0</v>
      </c>
      <c r="H63" s="32">
        <v>33</v>
      </c>
      <c r="I63" s="84">
        <f t="shared" si="0"/>
        <v>33</v>
      </c>
      <c r="J63" s="37">
        <v>47117</v>
      </c>
      <c r="K63" s="37">
        <v>101834</v>
      </c>
      <c r="L63" s="37">
        <v>7533</v>
      </c>
      <c r="M63" s="38">
        <f>I63/(HLOOKUP(F63,Team_Composition_23[[#All],[Yellow]:[Red]],10,FALSE)+HLOOKUP(F63,Team_Composition_23[[#All],[Yellow]:[Red]],11,FALSE))</f>
        <v>8.2479380154961267E-3</v>
      </c>
      <c r="N63" s="38">
        <f>J63/HLOOKUP(F63,Team_Composition_23[[#All],[Yellow]:[Red]],6,FALSE)</f>
        <v>1.0620646105947555E-3</v>
      </c>
      <c r="O63" s="38">
        <f>K63/HLOOKUP(F63,Team_Composition_23[[#All],[Yellow]:[Red]],8,FALSE)</f>
        <v>5.812853339017144E-3</v>
      </c>
      <c r="P63" s="38">
        <f>L63/HLOOKUP(F63,Team_Composition_23[[#All],[Yellow]:[Red]],7,FALSE)</f>
        <v>5.8193368227208906E-4</v>
      </c>
      <c r="Q63" s="31"/>
      <c r="R63" s="227" t="s">
        <v>11</v>
      </c>
      <c r="S63" s="228"/>
      <c r="T63" s="228"/>
      <c r="U63" s="31"/>
      <c r="V63" s="31"/>
      <c r="W63" s="31"/>
      <c r="X63" s="31"/>
      <c r="Y63" s="31"/>
      <c r="Z63" s="31"/>
      <c r="AA63" s="31"/>
      <c r="AB63" s="227" t="s">
        <v>11</v>
      </c>
      <c r="AC63" s="228"/>
      <c r="AD63" s="228"/>
    </row>
    <row r="64" spans="1:30" ht="22.5" customHeight="1">
      <c r="A64" s="32">
        <v>43</v>
      </c>
      <c r="B64" s="57" t="str">
        <f>VLOOKUP(C64,Lists!I:J,2,FALSE)</f>
        <v>Tank</v>
      </c>
      <c r="C64" s="34" t="str">
        <f>VLOOKUP(E64&amp;D64,Lists!C:E,3,FALSE)</f>
        <v>SnS/Greatsword</v>
      </c>
      <c r="D64" s="35" t="s">
        <v>28</v>
      </c>
      <c r="E64" s="36" t="s">
        <v>376</v>
      </c>
      <c r="F64" s="35" t="s">
        <v>483</v>
      </c>
      <c r="G64" s="32">
        <v>1</v>
      </c>
      <c r="H64" s="32">
        <v>31</v>
      </c>
      <c r="I64" s="84">
        <f t="shared" si="0"/>
        <v>32</v>
      </c>
      <c r="J64" s="37">
        <v>112608</v>
      </c>
      <c r="K64" s="37">
        <v>1074530</v>
      </c>
      <c r="L64" s="37">
        <v>56011</v>
      </c>
      <c r="M64" s="38">
        <f>I64/(HLOOKUP(F64,Team_Composition_23[[#All],[Yellow]:[Red]],10,FALSE)+HLOOKUP(F64,Team_Composition_23[[#All],[Yellow]:[Red]],11,FALSE))</f>
        <v>3.8976857490864797E-2</v>
      </c>
      <c r="N64" s="38">
        <f>J64/HLOOKUP(F64,Team_Composition_23[[#All],[Yellow]:[Red]],6,FALSE)</f>
        <v>6.3817180733454406E-3</v>
      </c>
      <c r="O64" s="38">
        <f>K64/HLOOKUP(F64,Team_Composition_23[[#All],[Yellow]:[Red]],8,FALSE)</f>
        <v>2.4412293565117253E-2</v>
      </c>
      <c r="P64" s="38">
        <f>L64/HLOOKUP(F64,Team_Composition_23[[#All],[Yellow]:[Red]],7,FALSE)</f>
        <v>2.3079798927074287E-3</v>
      </c>
      <c r="Q64" s="31"/>
      <c r="R64" s="41" t="s">
        <v>482</v>
      </c>
      <c r="S64" s="42" t="s">
        <v>476</v>
      </c>
      <c r="T64" s="42" t="s">
        <v>483</v>
      </c>
      <c r="U64" s="31"/>
      <c r="V64" s="31"/>
      <c r="W64" s="31"/>
      <c r="X64" s="31"/>
      <c r="Y64" s="31"/>
      <c r="Z64" s="31"/>
      <c r="AA64" s="31"/>
      <c r="AB64" s="41" t="s">
        <v>482</v>
      </c>
      <c r="AC64" s="42" t="s">
        <v>485</v>
      </c>
      <c r="AD64" s="42" t="s">
        <v>28</v>
      </c>
    </row>
    <row r="65" spans="1:30" ht="22.5" customHeight="1">
      <c r="A65" s="32">
        <v>70</v>
      </c>
      <c r="B65" s="56" t="str">
        <f>VLOOKUP(C65,Lists!I:J,2,FALSE)</f>
        <v>Tank</v>
      </c>
      <c r="C65" s="34" t="str">
        <f>VLOOKUP(E65&amp;D65,Lists!C:E,3,FALSE)</f>
        <v>SnS/Spear</v>
      </c>
      <c r="D65" s="35" t="s">
        <v>28</v>
      </c>
      <c r="E65" s="36" t="s">
        <v>512</v>
      </c>
      <c r="F65" s="35" t="s">
        <v>476</v>
      </c>
      <c r="G65" s="32">
        <v>0</v>
      </c>
      <c r="H65" s="32">
        <v>32</v>
      </c>
      <c r="I65" s="84">
        <f t="shared" si="0"/>
        <v>32</v>
      </c>
      <c r="J65" s="37">
        <v>81464</v>
      </c>
      <c r="K65" s="37">
        <v>739470</v>
      </c>
      <c r="L65" s="37">
        <v>22948</v>
      </c>
      <c r="M65" s="38">
        <f>I65/(HLOOKUP(F65,Team_Composition_23[[#All],[Yellow]:[Red]],10,FALSE)+HLOOKUP(F65,Team_Composition_23[[#All],[Yellow]:[Red]],11,FALSE))</f>
        <v>7.9980004998750319E-3</v>
      </c>
      <c r="N65" s="38">
        <f>J65/HLOOKUP(F65,Team_Composition_23[[#All],[Yellow]:[Red]],6,FALSE)</f>
        <v>1.8362805661967265E-3</v>
      </c>
      <c r="O65" s="38">
        <f>K65/HLOOKUP(F65,Team_Composition_23[[#All],[Yellow]:[Red]],8,FALSE)</f>
        <v>4.2210172030981867E-2</v>
      </c>
      <c r="P65" s="38">
        <f>L65/HLOOKUP(F65,Team_Composition_23[[#All],[Yellow]:[Red]],7,FALSE)</f>
        <v>1.7727617338085624E-3</v>
      </c>
      <c r="Q65" s="31"/>
      <c r="R65" s="45" t="s">
        <v>468</v>
      </c>
      <c r="S65" s="46">
        <f>SUMIFS(Scoreboard_35[Damage Dealt],Scoreboard_35[Role],"Healer",Scoreboard_35[Team],"Yellow")</f>
        <v>564136</v>
      </c>
      <c r="T65" s="47">
        <f>SUMIFS(Scoreboard_35[Damage Dealt],Scoreboard_35[Role],"Healer",Scoreboard_35[Team],"Red")</f>
        <v>562599</v>
      </c>
      <c r="U65" s="31"/>
      <c r="V65" s="31"/>
      <c r="W65" s="31"/>
      <c r="X65" s="31"/>
      <c r="Y65" s="31"/>
      <c r="Z65" s="31"/>
      <c r="AA65" s="31"/>
      <c r="AB65" s="45" t="s">
        <v>468</v>
      </c>
      <c r="AC65" s="50">
        <f>SUMIFS(Scoreboard_35[Damage Dealt],Scoreboard_35[Role],"Healer",Scoreboard_35[Guild],"Best Regards")</f>
        <v>556390</v>
      </c>
      <c r="AD65" s="51">
        <f>SUMIFS(Scoreboard_35[Damage Dealt],Scoreboard_35[Role],"Healer",Scoreboard_35[Guild],"Undercooked")</f>
        <v>570345</v>
      </c>
    </row>
    <row r="66" spans="1:30" ht="22.5" customHeight="1">
      <c r="A66" s="32">
        <v>71</v>
      </c>
      <c r="B66" s="60" t="str">
        <f>VLOOKUP(C66,Lists!I:J,2,FALSE)</f>
        <v>Healer</v>
      </c>
      <c r="C66" s="34" t="str">
        <f>VLOOKUP(E66&amp;D66,Lists!C:E,3,FALSE)</f>
        <v>Wand/Orb</v>
      </c>
      <c r="D66" s="35" t="s">
        <v>34</v>
      </c>
      <c r="E66" s="36" t="s">
        <v>168</v>
      </c>
      <c r="F66" s="35" t="s">
        <v>483</v>
      </c>
      <c r="G66" s="32">
        <v>0</v>
      </c>
      <c r="H66" s="32">
        <v>31</v>
      </c>
      <c r="I66" s="84">
        <f t="shared" si="0"/>
        <v>31</v>
      </c>
      <c r="J66" s="37">
        <v>7925</v>
      </c>
      <c r="K66" s="37">
        <v>341823</v>
      </c>
      <c r="L66" s="37">
        <v>553814</v>
      </c>
      <c r="M66" s="38">
        <f>I66/(HLOOKUP(F66,Team_Composition_23[[#All],[Yellow]:[Red]],10,FALSE)+HLOOKUP(F66,Team_Composition_23[[#All],[Yellow]:[Red]],11,FALSE))</f>
        <v>3.7758830694275276E-2</v>
      </c>
      <c r="N66" s="38">
        <f>J66/HLOOKUP(F66,Team_Composition_23[[#All],[Yellow]:[Red]],6,FALSE)</f>
        <v>4.4912542387097378E-4</v>
      </c>
      <c r="O66" s="38">
        <f>K66/HLOOKUP(F66,Team_Composition_23[[#All],[Yellow]:[Red]],8,FALSE)</f>
        <v>7.7658915277461545E-3</v>
      </c>
      <c r="P66" s="38">
        <f>L66/HLOOKUP(F66,Team_Composition_23[[#All],[Yellow]:[Red]],7,FALSE)</f>
        <v>2.2820367004693219E-2</v>
      </c>
      <c r="Q66" s="31"/>
      <c r="R66" s="45" t="s">
        <v>469</v>
      </c>
      <c r="S66" s="46">
        <f>SUMIFS(Scoreboard_35[Damage Taken],Scoreboard_35[Role],"Healer",Scoreboard_35[Team],"Yellow")</f>
        <v>7795235</v>
      </c>
      <c r="T66" s="47">
        <f>SUMIFS(Scoreboard_35[Damage Taken],Scoreboard_35[Role],"Healer",Scoreboard_35[Team],"Red")</f>
        <v>7623520</v>
      </c>
      <c r="U66" s="31"/>
      <c r="V66" s="31"/>
      <c r="W66" s="31"/>
      <c r="X66" s="31"/>
      <c r="Y66" s="31"/>
      <c r="Z66" s="31"/>
      <c r="AA66" s="31"/>
      <c r="AB66" s="45" t="s">
        <v>469</v>
      </c>
      <c r="AC66" s="50">
        <f>SUMIFS(Scoreboard_35[Damage Taken],Scoreboard_35[Role],"Healer",Scoreboard_35[Guild],"Best Regards")</f>
        <v>6936769</v>
      </c>
      <c r="AD66" s="51">
        <f>SUMIFS(Scoreboard_35[Damage Taken],Scoreboard_35[Role],"Healer",Scoreboard_35[Guild],"Undercooked")</f>
        <v>8481986</v>
      </c>
    </row>
    <row r="67" spans="1:30" ht="22.5" customHeight="1">
      <c r="A67" s="32">
        <v>34</v>
      </c>
      <c r="B67" s="59" t="str">
        <f>VLOOKUP(C67,Lists!I:J,2,FALSE)</f>
        <v>Tank</v>
      </c>
      <c r="C67" s="34" t="str">
        <f>VLOOKUP(E67&amp;D67,Lists!C:E,3,FALSE)</f>
        <v>SnS/Greatsword</v>
      </c>
      <c r="D67" s="35" t="s">
        <v>34</v>
      </c>
      <c r="E67" s="36" t="s">
        <v>173</v>
      </c>
      <c r="F67" s="35" t="s">
        <v>483</v>
      </c>
      <c r="G67" s="32">
        <v>4</v>
      </c>
      <c r="H67" s="32">
        <v>26</v>
      </c>
      <c r="I67" s="84">
        <f t="shared" si="0"/>
        <v>30</v>
      </c>
      <c r="J67" s="37">
        <v>462422</v>
      </c>
      <c r="K67" s="37">
        <v>613731</v>
      </c>
      <c r="L67" s="37">
        <v>32281</v>
      </c>
      <c r="M67" s="38">
        <f>I67/(HLOOKUP(F67,Team_Composition_23[[#All],[Yellow]:[Red]],10,FALSE)+HLOOKUP(F67,Team_Composition_23[[#All],[Yellow]:[Red]],11,FALSE))</f>
        <v>3.6540803897685749E-2</v>
      </c>
      <c r="N67" s="38">
        <f>J67/HLOOKUP(F67,Team_Composition_23[[#All],[Yellow]:[Red]],6,FALSE)</f>
        <v>2.6206369306910213E-2</v>
      </c>
      <c r="O67" s="38">
        <f>K67/HLOOKUP(F67,Team_Composition_23[[#All],[Yellow]:[Red]],8,FALSE)</f>
        <v>1.3943381145256974E-2</v>
      </c>
      <c r="P67" s="38">
        <f>L67/HLOOKUP(F67,Team_Composition_23[[#All],[Yellow]:[Red]],7,FALSE)</f>
        <v>1.3301654838601079E-3</v>
      </c>
      <c r="Q67" s="31"/>
      <c r="R67" s="45" t="s">
        <v>470</v>
      </c>
      <c r="S67" s="46">
        <f>SUMIFS(Scoreboard_35[Amount Healed],Scoreboard_35[Role],"Healer",Scoreboard_35[Team],"Yellow")</f>
        <v>21829730</v>
      </c>
      <c r="T67" s="47">
        <f>SUMIFS(Scoreboard_35[Amount Healed],Scoreboard_35[Role],"Healer",Scoreboard_35[Team],"Red")</f>
        <v>20667005</v>
      </c>
      <c r="U67" s="31"/>
      <c r="V67" s="31"/>
      <c r="W67" s="31"/>
      <c r="X67" s="31"/>
      <c r="Y67" s="31"/>
      <c r="Z67" s="31"/>
      <c r="AA67" s="31"/>
      <c r="AB67" s="45" t="s">
        <v>470</v>
      </c>
      <c r="AC67" s="50">
        <f>SUMIFS(Scoreboard_35[Amount Healed],Scoreboard_35[Role],"Healer",Scoreboard_35[Guild],"Best Regards")</f>
        <v>21091128</v>
      </c>
      <c r="AD67" s="51">
        <f>SUMIFS(Scoreboard_35[Amount Healed],Scoreboard_35[Role],"Healer",Scoreboard_35[Guild],"Undercooked")</f>
        <v>21405607</v>
      </c>
    </row>
    <row r="68" spans="1:30" ht="22.5" customHeight="1">
      <c r="A68" s="32">
        <v>72</v>
      </c>
      <c r="B68" s="55" t="str">
        <f>VLOOKUP(C68,Lists!I:J,2,FALSE)</f>
        <v>Healer</v>
      </c>
      <c r="C68" s="34" t="str">
        <f>VLOOKUP(E68&amp;D68,Lists!C:E,3,FALSE)</f>
        <v>Wand/Longbow</v>
      </c>
      <c r="D68" s="35" t="s">
        <v>34</v>
      </c>
      <c r="E68" s="36" t="s">
        <v>157</v>
      </c>
      <c r="F68" s="35" t="s">
        <v>483</v>
      </c>
      <c r="G68" s="32">
        <v>0</v>
      </c>
      <c r="H68" s="32">
        <v>30</v>
      </c>
      <c r="I68" s="84">
        <f t="shared" si="0"/>
        <v>30</v>
      </c>
      <c r="J68" s="37">
        <v>40124</v>
      </c>
      <c r="K68" s="37">
        <v>335372</v>
      </c>
      <c r="L68" s="37">
        <v>1642850</v>
      </c>
      <c r="M68" s="38">
        <f>I68/(HLOOKUP(F68,Team_Composition_23[[#All],[Yellow]:[Red]],10,FALSE)+HLOOKUP(F68,Team_Composition_23[[#All],[Yellow]:[Red]],11,FALSE))</f>
        <v>3.6540803897685749E-2</v>
      </c>
      <c r="N68" s="38">
        <f>J68/HLOOKUP(F68,Team_Composition_23[[#All],[Yellow]:[Red]],6,FALSE)</f>
        <v>2.273906436264852E-3</v>
      </c>
      <c r="O68" s="38">
        <f>K68/HLOOKUP(F68,Team_Composition_23[[#All],[Yellow]:[Red]],8,FALSE)</f>
        <v>7.6193309796101583E-3</v>
      </c>
      <c r="P68" s="38">
        <f>L68/HLOOKUP(F68,Team_Composition_23[[#All],[Yellow]:[Red]],7,FALSE)</f>
        <v>6.7695002173401644E-2</v>
      </c>
      <c r="Q68" s="31"/>
      <c r="R68" s="45" t="s">
        <v>465</v>
      </c>
      <c r="S68" s="46">
        <f>SUMIFS(Scoreboard_35[Kills],Scoreboard_35[Role],"Healer",Scoreboard_35[Team],"Yellow")</f>
        <v>4</v>
      </c>
      <c r="T68" s="47">
        <f>SUMIFS(Scoreboard_35[Kills],Scoreboard_35[Role],"Healer",Scoreboard_35[Team],"Red")</f>
        <v>3</v>
      </c>
      <c r="U68" s="31"/>
      <c r="V68" s="31"/>
      <c r="W68" s="31"/>
      <c r="X68" s="31"/>
      <c r="Y68" s="31"/>
      <c r="Z68" s="31"/>
      <c r="AA68" s="31"/>
      <c r="AB68" s="45" t="s">
        <v>465</v>
      </c>
      <c r="AC68" s="50">
        <f>SUMIFS(Scoreboard_35[Kills],Scoreboard_35[Role],"Healer",Scoreboard_35[Guild],"Best Regards")</f>
        <v>4</v>
      </c>
      <c r="AD68" s="51">
        <f>SUMIFS(Scoreboard_35[Kills],Scoreboard_35[Role],"Healer",Scoreboard_35[Guild],"Undercooked")</f>
        <v>3</v>
      </c>
    </row>
    <row r="69" spans="1:30" ht="22.5" customHeight="1">
      <c r="A69" s="32">
        <v>44</v>
      </c>
      <c r="B69" s="40" t="str">
        <f>VLOOKUP(C69,Lists!I:J,2,FALSE)</f>
        <v>Healer</v>
      </c>
      <c r="C69" s="34" t="str">
        <f>VLOOKUP(E69&amp;D69,Lists!C:E,3,FALSE)</f>
        <v>Wand/Orb</v>
      </c>
      <c r="D69" s="35" t="s">
        <v>28</v>
      </c>
      <c r="E69" s="36" t="s">
        <v>382</v>
      </c>
      <c r="F69" s="35" t="s">
        <v>476</v>
      </c>
      <c r="G69" s="32">
        <v>1</v>
      </c>
      <c r="H69" s="32">
        <v>28</v>
      </c>
      <c r="I69" s="84">
        <f t="shared" si="0"/>
        <v>29</v>
      </c>
      <c r="J69" s="37">
        <v>8155</v>
      </c>
      <c r="K69" s="37">
        <v>503223</v>
      </c>
      <c r="L69" s="37">
        <v>427872</v>
      </c>
      <c r="M69" s="38">
        <f>I69/(HLOOKUP(F69,Team_Composition_23[[#All],[Yellow]:[Red]],10,FALSE)+HLOOKUP(F69,Team_Composition_23[[#All],[Yellow]:[Red]],11,FALSE))</f>
        <v>7.2481879530117473E-3</v>
      </c>
      <c r="N69" s="38">
        <f>J69/HLOOKUP(F69,Team_Composition_23[[#All],[Yellow]:[Red]],6,FALSE)</f>
        <v>1.8382190927691133E-4</v>
      </c>
      <c r="O69" s="38">
        <f>K69/HLOOKUP(F69,Team_Composition_23[[#All],[Yellow]:[Red]],8,FALSE)</f>
        <v>2.8724802087909975E-2</v>
      </c>
      <c r="P69" s="38">
        <f>L69/HLOOKUP(F69,Team_Composition_23[[#All],[Yellow]:[Red]],7,FALSE)</f>
        <v>3.3053647750049556E-2</v>
      </c>
      <c r="Q69" s="31"/>
      <c r="R69" s="45" t="s">
        <v>466</v>
      </c>
      <c r="S69" s="46">
        <f>SUMIFS(Scoreboard_35[Assists],Scoreboard_35[Role],"Healer",Scoreboard_35[Team],"Yellow")</f>
        <v>927</v>
      </c>
      <c r="T69" s="47">
        <f>SUMIFS(Scoreboard_35[Assists],Scoreboard_35[Role],"Healer",Scoreboard_35[Team],"Red")</f>
        <v>599</v>
      </c>
      <c r="U69" s="31"/>
      <c r="V69" s="31"/>
      <c r="W69" s="31"/>
      <c r="X69" s="31"/>
      <c r="Y69" s="31"/>
      <c r="Z69" s="31"/>
      <c r="AA69" s="31"/>
      <c r="AB69" s="45" t="s">
        <v>466</v>
      </c>
      <c r="AC69" s="50">
        <f>SUMIFS(Scoreboard_35[Assists],Scoreboard_35[Role],"Healer",Scoreboard_35[Guild],"Best Regards")</f>
        <v>867</v>
      </c>
      <c r="AD69" s="51">
        <f>SUMIFS(Scoreboard_35[Kills],Scoreboard_35[Role],"Healer",Scoreboard_35[Guild],"Undercooked")</f>
        <v>3</v>
      </c>
    </row>
    <row r="70" spans="1:30" ht="22.5" customHeight="1">
      <c r="A70" s="32">
        <v>73</v>
      </c>
      <c r="B70" s="55" t="str">
        <f>VLOOKUP(C70,Lists!I:J,2,FALSE)</f>
        <v>Tank</v>
      </c>
      <c r="C70" s="34" t="str">
        <f>VLOOKUP(E70&amp;D70,Lists!C:E,3,FALSE)</f>
        <v>SnS/Greatsword</v>
      </c>
      <c r="D70" s="35" t="s">
        <v>34</v>
      </c>
      <c r="E70" s="114" t="s">
        <v>176</v>
      </c>
      <c r="F70" s="35" t="s">
        <v>476</v>
      </c>
      <c r="G70" s="32">
        <v>0</v>
      </c>
      <c r="H70" s="32">
        <v>29</v>
      </c>
      <c r="I70" s="84">
        <f t="shared" si="0"/>
        <v>29</v>
      </c>
      <c r="J70" s="37">
        <v>49784</v>
      </c>
      <c r="K70" s="37">
        <v>398855</v>
      </c>
      <c r="L70" s="37">
        <v>41851</v>
      </c>
      <c r="M70" s="38">
        <f>I70/(HLOOKUP(F70,Team_Composition_23[[#All],[Yellow]:[Red]],10,FALSE)+HLOOKUP(F70,Team_Composition_23[[#All],[Yellow]:[Red]],11,FALSE))</f>
        <v>7.2481879530117473E-3</v>
      </c>
      <c r="N70" s="38">
        <f>J70/HLOOKUP(F70,Team_Composition_23[[#All],[Yellow]:[Red]],6,FALSE)</f>
        <v>1.122181475345402E-3</v>
      </c>
      <c r="O70" s="38">
        <f>K70/HLOOKUP(F70,Team_Composition_23[[#All],[Yellow]:[Red]],8,FALSE)</f>
        <v>2.2767303833038897E-2</v>
      </c>
      <c r="P70" s="38">
        <f>L70/HLOOKUP(F70,Team_Composition_23[[#All],[Yellow]:[Red]],7,FALSE)</f>
        <v>3.2330421527637329E-3</v>
      </c>
      <c r="Q70" s="31"/>
      <c r="R70" s="45" t="s">
        <v>10</v>
      </c>
      <c r="S70" s="46">
        <f t="shared" ref="S70:S72" si="14">COUNTIFS(C:C,R70,F:F,"Yellow")</f>
        <v>7</v>
      </c>
      <c r="T70" s="47">
        <f t="shared" ref="T70:T72" si="15">COUNTIFS(C:C,R70,F:F,"Red")</f>
        <v>8</v>
      </c>
      <c r="U70" s="31"/>
      <c r="V70" s="31"/>
      <c r="W70" s="31"/>
      <c r="X70" s="31"/>
      <c r="Y70" s="31"/>
      <c r="Z70" s="31"/>
      <c r="AA70" s="31"/>
      <c r="AB70" s="45" t="s">
        <v>10</v>
      </c>
      <c r="AC70" s="50">
        <f t="shared" ref="AC70:AC72" si="16">COUNTIFS(C:C,AB70,D:D,"Best Regards")</f>
        <v>7</v>
      </c>
      <c r="AD70" s="70">
        <f t="shared" ref="AD70:AD72" si="17">COUNTIFS(D:D,AC70,D:D,"Undercooked")</f>
        <v>0</v>
      </c>
    </row>
    <row r="71" spans="1:30" ht="22.5" customHeight="1">
      <c r="A71" s="32">
        <v>74</v>
      </c>
      <c r="B71" s="40" t="str">
        <f>VLOOKUP(C71,Lists!I:J,2,FALSE)</f>
        <v>Healer</v>
      </c>
      <c r="C71" s="34" t="str">
        <f>VLOOKUP(E71&amp;D71,Lists!C:E,3,FALSE)</f>
        <v>Wand/Longbow</v>
      </c>
      <c r="D71" s="35" t="s">
        <v>28</v>
      </c>
      <c r="E71" s="36" t="s">
        <v>384</v>
      </c>
      <c r="F71" s="35" t="s">
        <v>483</v>
      </c>
      <c r="G71" s="32">
        <v>0</v>
      </c>
      <c r="H71" s="32">
        <v>22</v>
      </c>
      <c r="I71" s="84">
        <f t="shared" si="0"/>
        <v>22</v>
      </c>
      <c r="J71" s="37">
        <v>76928</v>
      </c>
      <c r="K71" s="37">
        <v>478082</v>
      </c>
      <c r="L71" s="37">
        <v>137610</v>
      </c>
      <c r="M71" s="38">
        <f>I71/(HLOOKUP(F71,Team_Composition_23[[#All],[Yellow]:[Red]],10,FALSE)+HLOOKUP(F71,Team_Composition_23[[#All],[Yellow]:[Red]],11,FALSE))</f>
        <v>2.679658952496955E-2</v>
      </c>
      <c r="N71" s="38">
        <f>J71/HLOOKUP(F71,Team_Composition_23[[#All],[Yellow]:[Red]],6,FALSE)</f>
        <v>4.3596619063149865E-3</v>
      </c>
      <c r="O71" s="38">
        <f>K71/HLOOKUP(F71,Team_Composition_23[[#All],[Yellow]:[Red]],8,FALSE)</f>
        <v>1.0861565644698973E-2</v>
      </c>
      <c r="P71" s="38">
        <f>L71/HLOOKUP(F71,Team_Composition_23[[#All],[Yellow]:[Red]],7,FALSE)</f>
        <v>5.6703346313307975E-3</v>
      </c>
      <c r="Q71" s="31"/>
      <c r="R71" s="45" t="s">
        <v>9</v>
      </c>
      <c r="S71" s="46">
        <f t="shared" si="14"/>
        <v>10</v>
      </c>
      <c r="T71" s="47">
        <f t="shared" si="15"/>
        <v>9</v>
      </c>
      <c r="U71" s="31"/>
      <c r="V71" s="31"/>
      <c r="W71" s="31"/>
      <c r="X71" s="31"/>
      <c r="Y71" s="31"/>
      <c r="Z71" s="31"/>
      <c r="AA71" s="31"/>
      <c r="AB71" s="45" t="s">
        <v>9</v>
      </c>
      <c r="AC71" s="50">
        <f t="shared" si="16"/>
        <v>10</v>
      </c>
      <c r="AD71" s="70">
        <f t="shared" si="17"/>
        <v>0</v>
      </c>
    </row>
    <row r="72" spans="1:30" ht="22.5" customHeight="1">
      <c r="A72" s="32">
        <v>45</v>
      </c>
      <c r="B72" s="66" t="str">
        <f>VLOOKUP(C72,Lists!I:J,2,FALSE)</f>
        <v>Healer</v>
      </c>
      <c r="C72" s="34" t="str">
        <f>VLOOKUP(E72&amp;D72,Lists!C:E,3,FALSE)</f>
        <v>Wand/Orb</v>
      </c>
      <c r="D72" s="35" t="s">
        <v>28</v>
      </c>
      <c r="E72" s="36" t="s">
        <v>357</v>
      </c>
      <c r="F72" s="35" t="s">
        <v>483</v>
      </c>
      <c r="G72" s="32">
        <v>1</v>
      </c>
      <c r="H72" s="32">
        <v>20</v>
      </c>
      <c r="I72" s="84">
        <f t="shared" si="0"/>
        <v>21</v>
      </c>
      <c r="J72" s="37">
        <v>14762</v>
      </c>
      <c r="K72" s="37">
        <v>306810</v>
      </c>
      <c r="L72" s="37">
        <v>891158</v>
      </c>
      <c r="M72" s="38">
        <f>I72/(HLOOKUP(F72,Team_Composition_23[[#All],[Yellow]:[Red]],10,FALSE)+HLOOKUP(F72,Team_Composition_23[[#All],[Yellow]:[Red]],11,FALSE))</f>
        <v>2.5578562728380026E-2</v>
      </c>
      <c r="N72" s="38">
        <f>J72/HLOOKUP(F72,Team_Composition_23[[#All],[Yellow]:[Red]],6,FALSE)</f>
        <v>8.3659173592218487E-4</v>
      </c>
      <c r="O72" s="38">
        <f>K72/HLOOKUP(F72,Team_Composition_23[[#All],[Yellow]:[Red]],8,FALSE)</f>
        <v>6.970429665726992E-3</v>
      </c>
      <c r="P72" s="38">
        <f>L72/HLOOKUP(F72,Team_Composition_23[[#All],[Yellow]:[Red]],7,FALSE)</f>
        <v>3.672090741506788E-2</v>
      </c>
      <c r="Q72" s="31"/>
      <c r="R72" s="45" t="s">
        <v>18</v>
      </c>
      <c r="S72" s="46">
        <f t="shared" si="14"/>
        <v>0</v>
      </c>
      <c r="T72" s="47">
        <f t="shared" si="15"/>
        <v>0</v>
      </c>
      <c r="U72" s="31"/>
      <c r="V72" s="31"/>
      <c r="W72" s="31"/>
      <c r="X72" s="31"/>
      <c r="Y72" s="31"/>
      <c r="Z72" s="31"/>
      <c r="AA72" s="31"/>
      <c r="AB72" s="45" t="s">
        <v>18</v>
      </c>
      <c r="AC72" s="50">
        <f t="shared" si="16"/>
        <v>0</v>
      </c>
      <c r="AD72" s="70">
        <f t="shared" si="17"/>
        <v>0</v>
      </c>
    </row>
    <row r="73" spans="1:30" ht="22.5" customHeight="1">
      <c r="A73" s="32">
        <v>76</v>
      </c>
      <c r="B73" s="52" t="str">
        <f>VLOOKUP(C73,Lists!I:J,2,FALSE)</f>
        <v>Tank</v>
      </c>
      <c r="C73" s="34" t="str">
        <f>VLOOKUP(E73&amp;D73,Lists!C:E,3,FALSE)</f>
        <v>SnS/Greatsword</v>
      </c>
      <c r="D73" s="35" t="s">
        <v>28</v>
      </c>
      <c r="E73" s="36" t="s">
        <v>385</v>
      </c>
      <c r="F73" s="35" t="s">
        <v>483</v>
      </c>
      <c r="G73" s="32">
        <v>0</v>
      </c>
      <c r="H73" s="32">
        <v>21</v>
      </c>
      <c r="I73" s="84">
        <f t="shared" si="0"/>
        <v>21</v>
      </c>
      <c r="J73" s="37">
        <v>67172</v>
      </c>
      <c r="K73" s="37">
        <v>370096</v>
      </c>
      <c r="L73" s="37">
        <v>35384</v>
      </c>
      <c r="M73" s="38">
        <f>I73/(HLOOKUP(F73,Team_Composition_23[[#All],[Yellow]:[Red]],10,FALSE)+HLOOKUP(F73,Team_Composition_23[[#All],[Yellow]:[Red]],11,FALSE))</f>
        <v>2.5578562728380026E-2</v>
      </c>
      <c r="N73" s="38">
        <f>J73/HLOOKUP(F73,Team_Composition_23[[#All],[Yellow]:[Red]],6,FALSE)</f>
        <v>3.8067700911370412E-3</v>
      </c>
      <c r="O73" s="38">
        <f>K73/HLOOKUP(F73,Team_Composition_23[[#All],[Yellow]:[Red]],8,FALSE)</f>
        <v>8.4082270381242354E-3</v>
      </c>
      <c r="P73" s="38">
        <f>L73/HLOOKUP(F73,Team_Composition_23[[#All],[Yellow]:[Red]],7,FALSE)</f>
        <v>1.4580271825812726E-3</v>
      </c>
      <c r="Q73" s="31"/>
      <c r="R73" s="31"/>
      <c r="S73" s="31"/>
      <c r="T73" s="31"/>
      <c r="U73" s="31"/>
      <c r="V73" s="31"/>
      <c r="W73" s="31"/>
      <c r="X73" s="31"/>
      <c r="Y73" s="31"/>
      <c r="Z73" s="31"/>
      <c r="AA73" s="31"/>
      <c r="AB73" s="31"/>
      <c r="AC73" s="31"/>
      <c r="AD73" s="31"/>
    </row>
    <row r="74" spans="1:30" ht="22.5" customHeight="1">
      <c r="A74" s="32">
        <v>77</v>
      </c>
      <c r="B74" s="33" t="str">
        <f>VLOOKUP(C74,Lists!I:J,2,FALSE)</f>
        <v>Healer</v>
      </c>
      <c r="C74" s="34" t="str">
        <f>VLOOKUP(E74&amp;D74,Lists!C:E,3,FALSE)</f>
        <v>Wand/Orb</v>
      </c>
      <c r="D74" s="35" t="s">
        <v>28</v>
      </c>
      <c r="E74" s="36" t="s">
        <v>386</v>
      </c>
      <c r="F74" s="35" t="s">
        <v>476</v>
      </c>
      <c r="G74" s="32">
        <v>0</v>
      </c>
      <c r="H74" s="32">
        <v>21</v>
      </c>
      <c r="I74" s="84">
        <f t="shared" si="0"/>
        <v>21</v>
      </c>
      <c r="J74" s="37">
        <v>2807</v>
      </c>
      <c r="K74" s="37">
        <v>409866</v>
      </c>
      <c r="L74" s="37">
        <v>480480</v>
      </c>
      <c r="M74" s="38">
        <f>I74/(HLOOKUP(F74,Team_Composition_23[[#All],[Yellow]:[Red]],10,FALSE)+HLOOKUP(F74,Team_Composition_23[[#All],[Yellow]:[Red]],11,FALSE))</f>
        <v>5.2486878280429894E-3</v>
      </c>
      <c r="N74" s="38">
        <f>J74/HLOOKUP(F74,Team_Composition_23[[#All],[Yellow]:[Red]],6,FALSE)</f>
        <v>6.3272605682439004E-5</v>
      </c>
      <c r="O74" s="38">
        <f>K74/HLOOKUP(F74,Team_Composition_23[[#All],[Yellow]:[Red]],8,FALSE)</f>
        <v>2.3395829945299221E-2</v>
      </c>
      <c r="P74" s="38">
        <f>L74/HLOOKUP(F74,Team_Composition_23[[#All],[Yellow]:[Red]],7,FALSE)</f>
        <v>3.7117681621942566E-2</v>
      </c>
      <c r="Q74" s="31"/>
    </row>
    <row r="75" spans="1:30" ht="22.5" customHeight="1">
      <c r="A75" s="32">
        <v>75</v>
      </c>
      <c r="B75" s="56" t="str">
        <f>VLOOKUP(C75,Lists!I:J,2,FALSE)</f>
        <v>Tank</v>
      </c>
      <c r="C75" s="34" t="str">
        <f>VLOOKUP(E75&amp;D75,Lists!C:E,3,FALSE)</f>
        <v>SnS/Greatsword</v>
      </c>
      <c r="D75" s="35" t="s">
        <v>34</v>
      </c>
      <c r="E75" s="36" t="s">
        <v>123</v>
      </c>
      <c r="F75" s="35" t="s">
        <v>476</v>
      </c>
      <c r="G75" s="32">
        <v>0</v>
      </c>
      <c r="H75" s="32">
        <v>21</v>
      </c>
      <c r="I75" s="84">
        <f t="shared" si="0"/>
        <v>21</v>
      </c>
      <c r="J75" s="37">
        <v>98516</v>
      </c>
      <c r="K75" s="37">
        <v>835124</v>
      </c>
      <c r="L75" s="37">
        <v>15651</v>
      </c>
      <c r="M75" s="38">
        <f>I75/(HLOOKUP(F75,Team_Composition_23[[#All],[Yellow]:[Red]],10,FALSE)+HLOOKUP(F75,Team_Composition_23[[#All],[Yellow]:[Red]],11,FALSE))</f>
        <v>5.2486878280429894E-3</v>
      </c>
      <c r="N75" s="38">
        <f>J75/HLOOKUP(F75,Team_Composition_23[[#All],[Yellow]:[Red]],6,FALSE)</f>
        <v>2.2206498116890492E-3</v>
      </c>
      <c r="O75" s="38">
        <f>K75/HLOOKUP(F75,Team_Composition_23[[#All],[Yellow]:[Red]],8,FALSE)</f>
        <v>4.7670260737016648E-2</v>
      </c>
      <c r="P75" s="38">
        <f>L75/HLOOKUP(F75,Team_Composition_23[[#All],[Yellow]:[Red]],7,FALSE)</f>
        <v>1.2090593470384264E-3</v>
      </c>
      <c r="Q75" s="31"/>
      <c r="R75" s="227" t="s">
        <v>78</v>
      </c>
      <c r="S75" s="228"/>
      <c r="T75" s="228"/>
      <c r="U75" s="31"/>
      <c r="V75" s="31"/>
      <c r="W75" s="31"/>
      <c r="X75" s="31"/>
      <c r="Y75" s="31"/>
      <c r="Z75" s="31"/>
      <c r="AA75" s="31"/>
      <c r="AB75" s="227" t="s">
        <v>78</v>
      </c>
      <c r="AC75" s="228"/>
      <c r="AD75" s="228"/>
    </row>
    <row r="76" spans="1:30" ht="22.5" customHeight="1">
      <c r="A76" s="32">
        <v>78</v>
      </c>
      <c r="B76" s="57" t="str">
        <f>VLOOKUP(C76,Lists!I:J,2,FALSE)</f>
        <v>Healer</v>
      </c>
      <c r="C76" s="34" t="str">
        <f>VLOOKUP(E76&amp;D76,Lists!C:E,3,FALSE)</f>
        <v>Wand/Longbow</v>
      </c>
      <c r="D76" s="35" t="s">
        <v>28</v>
      </c>
      <c r="E76" s="36" t="s">
        <v>383</v>
      </c>
      <c r="F76" s="35" t="s">
        <v>476</v>
      </c>
      <c r="G76" s="32">
        <v>0</v>
      </c>
      <c r="H76" s="32">
        <v>20</v>
      </c>
      <c r="I76" s="84">
        <f t="shared" si="0"/>
        <v>20</v>
      </c>
      <c r="J76" s="37">
        <v>78399</v>
      </c>
      <c r="K76" s="37">
        <v>996378</v>
      </c>
      <c r="L76" s="37">
        <v>1610830</v>
      </c>
      <c r="M76" s="38">
        <f>I76/(HLOOKUP(F76,Team_Composition_23[[#All],[Yellow]:[Red]],10,FALSE)+HLOOKUP(F76,Team_Composition_23[[#All],[Yellow]:[Red]],11,FALSE))</f>
        <v>4.9987503124218945E-3</v>
      </c>
      <c r="N76" s="38">
        <f>J76/HLOOKUP(F76,Team_Composition_23[[#All],[Yellow]:[Red]],6,FALSE)</f>
        <v>1.767192380797127E-3</v>
      </c>
      <c r="O76" s="38">
        <f>K76/HLOOKUP(F76,Team_Composition_23[[#All],[Yellow]:[Red]],8,FALSE)</f>
        <v>5.687490606500014E-2</v>
      </c>
      <c r="P76" s="38">
        <f>L76/HLOOKUP(F76,Team_Composition_23[[#All],[Yellow]:[Red]],7,FALSE)</f>
        <v>0.1244386344636067</v>
      </c>
      <c r="Q76" s="31"/>
      <c r="R76" s="27" t="s">
        <v>482</v>
      </c>
      <c r="S76" s="72" t="s">
        <v>476</v>
      </c>
      <c r="T76" s="72" t="s">
        <v>483</v>
      </c>
      <c r="U76" s="31"/>
      <c r="V76" s="31"/>
      <c r="W76" s="31"/>
      <c r="X76" s="31"/>
      <c r="Y76" s="31"/>
      <c r="Z76" s="31"/>
      <c r="AA76" s="31"/>
      <c r="AB76" s="27" t="s">
        <v>482</v>
      </c>
      <c r="AC76" s="72" t="s">
        <v>485</v>
      </c>
      <c r="AD76" s="72" t="s">
        <v>28</v>
      </c>
    </row>
    <row r="77" spans="1:30" ht="22.5" customHeight="1">
      <c r="A77" s="32">
        <v>46</v>
      </c>
      <c r="B77" s="67" t="str">
        <f>VLOOKUP(C77,Lists!I:J,2,FALSE)</f>
        <v>Tank</v>
      </c>
      <c r="C77" s="34" t="str">
        <f>VLOOKUP(E77&amp;D77,Lists!C:E,3,FALSE)</f>
        <v>SnS/Spear</v>
      </c>
      <c r="D77" s="35" t="s">
        <v>34</v>
      </c>
      <c r="E77" s="36" t="s">
        <v>175</v>
      </c>
      <c r="F77" s="35" t="s">
        <v>476</v>
      </c>
      <c r="G77" s="32">
        <v>1</v>
      </c>
      <c r="H77" s="32">
        <v>18</v>
      </c>
      <c r="I77" s="84">
        <f t="shared" si="0"/>
        <v>19</v>
      </c>
      <c r="J77" s="37">
        <v>58638</v>
      </c>
      <c r="K77" s="37">
        <v>312992</v>
      </c>
      <c r="L77" s="37">
        <v>6585</v>
      </c>
      <c r="M77" s="38">
        <f>I77/(HLOOKUP(F77,Team_Composition_23[[#All],[Yellow]:[Red]],10,FALSE)+HLOOKUP(F77,Team_Composition_23[[#All],[Yellow]:[Red]],11,FALSE))</f>
        <v>4.7488127968007996E-3</v>
      </c>
      <c r="N77" s="38">
        <f>J77/HLOOKUP(F77,Team_Composition_23[[#All],[Yellow]:[Red]],6,FALSE)</f>
        <v>1.32175954827462E-3</v>
      </c>
      <c r="O77" s="38">
        <f>K77/HLOOKUP(F77,Team_Composition_23[[#All],[Yellow]:[Red]],8,FALSE)</f>
        <v>1.7866101619161124E-2</v>
      </c>
      <c r="P77" s="38">
        <f>L77/HLOOKUP(F77,Team_Composition_23[[#All],[Yellow]:[Red]],7,FALSE)</f>
        <v>5.0869949525576884E-4</v>
      </c>
      <c r="Q77" s="31"/>
      <c r="R77" s="74" t="s">
        <v>468</v>
      </c>
      <c r="S77" s="75">
        <f>SUMIFS('BR m Undercooked Aden 2 2112026'!$J$2:$J$163,'BR m Undercooked Aden 2 2112026'!$B$2:$B$163,"KS",'BR m Undercooked Aden 2 2112026'!$F$2:$F$163,"Yellow")</f>
        <v>7786695</v>
      </c>
      <c r="T77" s="76">
        <f>SUMIFS('BR m Undercooked Aden 2 2112026'!$J$2:$J$163,'BR m Undercooked Aden 2 2112026'!$B$2:$B$163,"KS",'BR m Undercooked Aden 2 2112026'!$F$2:$F$163,"Red")</f>
        <v>5110861</v>
      </c>
      <c r="U77" s="31"/>
      <c r="V77" s="31"/>
      <c r="W77" s="31"/>
      <c r="X77" s="31"/>
      <c r="Y77" s="31"/>
      <c r="Z77" s="31"/>
      <c r="AA77" s="31"/>
      <c r="AB77" s="74" t="s">
        <v>468</v>
      </c>
      <c r="AC77" s="75">
        <f>SUMIFS('BR m Undercooked Aden 2 2112026'!$J$2:$J$163,'BR m Undercooked Aden 2 2112026'!$B$2:$B$163,"KS",'BR m Undercooked Aden 2 2112026'!$D$2:$D$163,"Best Regards")</f>
        <v>4626544</v>
      </c>
      <c r="AD77" s="76">
        <f>SUMIFS('BR m Undercooked Aden 2 2112026'!$J$2:$J$163,'BR m Undercooked Aden 2 2112026'!$B$2:$B$163,"KS",'BR m Undercooked Aden 2 2112026'!$D$2:$D$163,"Undercooked")</f>
        <v>8271012</v>
      </c>
    </row>
    <row r="78" spans="1:30" ht="22.5" customHeight="1">
      <c r="A78" s="32">
        <v>79</v>
      </c>
      <c r="B78" s="55" t="str">
        <f>VLOOKUP(C78,Lists!I:J,2,FALSE)</f>
        <v>Tank</v>
      </c>
      <c r="C78" s="34" t="str">
        <f>VLOOKUP(E78&amp;D78,Lists!C:E,3,FALSE)</f>
        <v>SnS/Longbow</v>
      </c>
      <c r="D78" s="35" t="s">
        <v>28</v>
      </c>
      <c r="E78" s="36" t="s">
        <v>363</v>
      </c>
      <c r="F78" s="35" t="s">
        <v>476</v>
      </c>
      <c r="G78" s="32">
        <v>0</v>
      </c>
      <c r="H78" s="32">
        <v>18</v>
      </c>
      <c r="I78" s="84">
        <f t="shared" si="0"/>
        <v>18</v>
      </c>
      <c r="J78" s="37">
        <v>59969</v>
      </c>
      <c r="K78" s="37">
        <v>365206</v>
      </c>
      <c r="L78" s="37">
        <v>109354</v>
      </c>
      <c r="M78" s="38">
        <f>I78/(HLOOKUP(F78,Team_Composition_23[[#All],[Yellow]:[Red]],10,FALSE)+HLOOKUP(F78,Team_Composition_23[[#All],[Yellow]:[Red]],11,FALSE))</f>
        <v>4.4988752811797048E-3</v>
      </c>
      <c r="N78" s="38">
        <f>J78/HLOOKUP(F78,Team_Composition_23[[#All],[Yellow]:[Red]],6,FALSE)</f>
        <v>1.3517616281333042E-3</v>
      </c>
      <c r="O78" s="38">
        <f>K78/HLOOKUP(F78,Team_Composition_23[[#All],[Yellow]:[Red]],8,FALSE)</f>
        <v>2.0846563196271335E-2</v>
      </c>
      <c r="P78" s="38">
        <f>L78/HLOOKUP(F78,Team_Composition_23[[#All],[Yellow]:[Red]],7,FALSE)</f>
        <v>8.4477334250872213E-3</v>
      </c>
      <c r="Q78" s="31"/>
      <c r="R78" s="78" t="s">
        <v>469</v>
      </c>
      <c r="S78" s="75">
        <f>SUMIFS('BR m Undercooked Aden 2 2112026'!$K$2:$K$163,'BR m Undercooked Aden 2 2112026'!$B$2:$B$163,"KS",'BR m Undercooked Aden 2 2112026'!$F$2:$F$163,"Yellow")</f>
        <v>4967159</v>
      </c>
      <c r="T78" s="76">
        <f>SUMIFS('BR m Undercooked Aden 2 2112026'!$K$2:$K$163,'BR m Undercooked Aden 2 2112026'!$B$2:$B$163,"KS",'BR m Undercooked Aden 2 2112026'!$F$2:$F$163,"Red")</f>
        <v>4637381</v>
      </c>
      <c r="U78" s="31"/>
      <c r="V78" s="31"/>
      <c r="W78" s="31"/>
      <c r="X78" s="31"/>
      <c r="Y78" s="31"/>
      <c r="Z78" s="31"/>
      <c r="AA78" s="31"/>
      <c r="AB78" s="78" t="s">
        <v>469</v>
      </c>
      <c r="AC78" s="75">
        <f>SUMIFS('BR m Undercooked Aden 2 2112026'!$K$2:$K$163,'BR m Undercooked Aden 2 2112026'!$B$2:$B$163,"KS",'BR m Undercooked Aden 2 2112026'!$D$2:$D$163,"Best Regards")</f>
        <v>3268610</v>
      </c>
      <c r="AD78" s="76">
        <f>SUMIFS('BR m Undercooked Aden 2 2112026'!$K$2:$K$163,'BR m Undercooked Aden 2 2112026'!$B$2:$B$163,"KS",'BR m Undercooked Aden 2 2112026'!$D$2:$D$163,"Undercooked")</f>
        <v>6335930</v>
      </c>
    </row>
    <row r="79" spans="1:30" ht="22.5" customHeight="1">
      <c r="A79" s="32">
        <v>80</v>
      </c>
      <c r="B79" s="59" t="str">
        <f>VLOOKUP(C79,Lists!I:J,2,FALSE)</f>
        <v>Tank</v>
      </c>
      <c r="C79" s="34" t="str">
        <f>VLOOKUP(E79&amp;D79,Lists!C:E,3,FALSE)</f>
        <v>SnS/Greatsword</v>
      </c>
      <c r="D79" s="35" t="s">
        <v>28</v>
      </c>
      <c r="E79" s="36" t="s">
        <v>302</v>
      </c>
      <c r="F79" s="35" t="s">
        <v>483</v>
      </c>
      <c r="G79" s="32">
        <v>0</v>
      </c>
      <c r="H79" s="32">
        <v>17</v>
      </c>
      <c r="I79" s="84">
        <f t="shared" si="0"/>
        <v>17</v>
      </c>
      <c r="J79" s="37">
        <v>239598</v>
      </c>
      <c r="K79" s="37">
        <v>752763</v>
      </c>
      <c r="L79" s="37">
        <v>58444</v>
      </c>
      <c r="M79" s="38">
        <f>I79/(HLOOKUP(F79,Team_Composition_23[[#All],[Yellow]:[Red]],10,FALSE)+HLOOKUP(F79,Team_Composition_23[[#All],[Yellow]:[Red]],11,FALSE))</f>
        <v>2.0706455542021926E-2</v>
      </c>
      <c r="N79" s="38">
        <f>J79/HLOOKUP(F79,Team_Composition_23[[#All],[Yellow]:[Red]],6,FALSE)</f>
        <v>1.3578492531058368E-2</v>
      </c>
      <c r="O79" s="38">
        <f>K79/HLOOKUP(F79,Team_Composition_23[[#All],[Yellow]:[Red]],8,FALSE)</f>
        <v>1.7102055169198029E-2</v>
      </c>
      <c r="P79" s="38">
        <f>L79/HLOOKUP(F79,Team_Composition_23[[#All],[Yellow]:[Red]],7,FALSE)</f>
        <v>2.4082336835513198E-3</v>
      </c>
      <c r="Q79" s="31"/>
      <c r="R79" s="74" t="s">
        <v>470</v>
      </c>
      <c r="S79" s="75">
        <f>SUMIFS('BR m Undercooked Aden 2 2112026'!$L$2:$L$163,'BR m Undercooked Aden 2 2112026'!$B$2:$B$163,"KS",'BR m Undercooked Aden 2 2112026'!$F$2:$F$163,"Yellow")</f>
        <v>122279</v>
      </c>
      <c r="T79" s="76">
        <f>SUMIFS('BR m Undercooked Aden 2 2112026'!$L$2:$L$163,'BR m Undercooked Aden 2 2112026'!$B$2:$B$163,"KS",'BR m Undercooked Aden 2 2112026'!$F$2:$F$163,"Red")</f>
        <v>150328</v>
      </c>
      <c r="U79" s="31"/>
      <c r="V79" s="31"/>
      <c r="W79" s="31"/>
      <c r="X79" s="31"/>
      <c r="Y79" s="31"/>
      <c r="Z79" s="31"/>
      <c r="AA79" s="31"/>
      <c r="AB79" s="74" t="s">
        <v>470</v>
      </c>
      <c r="AC79" s="75">
        <f>SUMIFS('BR m Undercooked Aden 2 2112026'!$L$2:$L$163,'BR m Undercooked Aden 2 2112026'!$B$2:$B$163,"KS",'BR m Undercooked Aden 2 2112026'!$D$2:$D$163,"Best Regards")</f>
        <v>58601</v>
      </c>
      <c r="AD79" s="76">
        <f>SUMIFS('BR m Undercooked Aden 2 2112026'!$L$2:$L$163,'BR m Undercooked Aden 2 2112026'!$B$2:$B$163,"KS",'BR m Undercooked Aden 2 2112026'!$D$2:$D$163,"Undercooked")</f>
        <v>214006</v>
      </c>
    </row>
    <row r="80" spans="1:30" ht="22.5" customHeight="1">
      <c r="A80" s="32">
        <v>81</v>
      </c>
      <c r="B80" s="34" t="str">
        <f>VLOOKUP(C80,Lists!I:J,2,FALSE)</f>
        <v>Tank</v>
      </c>
      <c r="C80" s="34" t="s">
        <v>14</v>
      </c>
      <c r="D80" s="35" t="s">
        <v>28</v>
      </c>
      <c r="E80" s="36" t="s">
        <v>513</v>
      </c>
      <c r="F80" s="35" t="s">
        <v>476</v>
      </c>
      <c r="G80" s="32">
        <v>0</v>
      </c>
      <c r="H80" s="32">
        <v>17</v>
      </c>
      <c r="I80" s="84">
        <f t="shared" si="0"/>
        <v>17</v>
      </c>
      <c r="J80" s="37">
        <v>50444</v>
      </c>
      <c r="K80" s="37">
        <v>348558</v>
      </c>
      <c r="L80" s="37">
        <v>15840</v>
      </c>
      <c r="M80" s="38">
        <f>I80/(HLOOKUP(F80,Team_Composition_23[[#All],[Yellow]:[Red]],10,FALSE)+HLOOKUP(F80,Team_Composition_23[[#All],[Yellow]:[Red]],11,FALSE))</f>
        <v>4.2489377655586099E-3</v>
      </c>
      <c r="N80" s="38">
        <f>J80/HLOOKUP(F80,Team_Composition_23[[#All],[Yellow]:[Red]],6,FALSE)</f>
        <v>1.1370585397381379E-3</v>
      </c>
      <c r="O80" s="38">
        <f>K80/HLOOKUP(F80,Team_Composition_23[[#All],[Yellow]:[Red]],8,FALSE)</f>
        <v>1.9896267790140205E-2</v>
      </c>
      <c r="P80" s="38">
        <f>L80/HLOOKUP(F80,Team_Composition_23[[#All],[Yellow]:[Red]],7,FALSE)</f>
        <v>1.2236598336904144E-3</v>
      </c>
      <c r="Q80" s="31"/>
      <c r="R80" s="78" t="s">
        <v>465</v>
      </c>
      <c r="S80" s="75">
        <f>SUMIFS('BR m Undercooked Aden 2 2112026'!$G$2:$G$163,'BR m Undercooked Aden 2 2112026'!$B$2:$B$163,"KS",'BR m Undercooked Aden 2 2112026'!$F$2:$F$163,"Yellow")</f>
        <v>179</v>
      </c>
      <c r="T80" s="76">
        <f>SUMIFS('BR m Undercooked Aden 2 2112026'!$G$2:$G$163,'BR m Undercooked Aden 2 2112026'!$B$2:$B$163,"KS",'BR m Undercooked Aden 2 2112026'!$F$2:$F$163,"Red")</f>
        <v>108</v>
      </c>
      <c r="U80" s="31"/>
      <c r="V80" s="31"/>
      <c r="W80" s="31"/>
      <c r="X80" s="31"/>
      <c r="Y80" s="31"/>
      <c r="Z80" s="31"/>
      <c r="AA80" s="31"/>
      <c r="AB80" s="78" t="s">
        <v>465</v>
      </c>
      <c r="AC80" s="75">
        <f>SUMIFS('BR m Undercooked Aden 2 2112026'!$G$2:$G$163,'BR m Undercooked Aden 2 2112026'!$B$2:$B$163,"KS",'BR m Undercooked Aden 2 2112026'!$D$2:$D$163,"Best Regards")</f>
        <v>109</v>
      </c>
      <c r="AD80" s="76">
        <f>SUMIFS('BR m Undercooked Aden 2 2112026'!$G$2:$G$163,'BR m Undercooked Aden 2 2112026'!$B$2:$B$163,"KS",'BR m Undercooked Aden 2 2112026'!$D$2:$D$163,"Undercooked")</f>
        <v>178</v>
      </c>
    </row>
    <row r="81" spans="1:30" ht="22.5" customHeight="1">
      <c r="A81" s="32">
        <v>83</v>
      </c>
      <c r="B81" s="56" t="str">
        <f>VLOOKUP(C81,Lists!I:J,2,FALSE)</f>
        <v>Tank</v>
      </c>
      <c r="C81" s="34" t="str">
        <f>VLOOKUP(E81&amp;D81,Lists!C:E,3,FALSE)</f>
        <v>SnS/Greatsword</v>
      </c>
      <c r="D81" s="35" t="s">
        <v>28</v>
      </c>
      <c r="E81" s="36" t="s">
        <v>388</v>
      </c>
      <c r="F81" s="35" t="s">
        <v>476</v>
      </c>
      <c r="G81" s="32">
        <v>0</v>
      </c>
      <c r="H81" s="32">
        <v>16</v>
      </c>
      <c r="I81" s="84">
        <f t="shared" si="0"/>
        <v>16</v>
      </c>
      <c r="J81" s="37">
        <v>19445</v>
      </c>
      <c r="K81" s="37">
        <v>995446</v>
      </c>
      <c r="L81" s="37">
        <v>39517</v>
      </c>
      <c r="M81" s="38">
        <f>I81/(HLOOKUP(F81,Team_Composition_23[[#All],[Yellow]:[Red]],10,FALSE)+HLOOKUP(F81,Team_Composition_23[[#All],[Yellow]:[Red]],11,FALSE))</f>
        <v>3.9990002499375159E-3</v>
      </c>
      <c r="N81" s="38">
        <f>J81/HLOOKUP(F81,Team_Composition_23[[#All],[Yellow]:[Red]],6,FALSE)</f>
        <v>4.3830987441931832E-4</v>
      </c>
      <c r="O81" s="38">
        <f>K81/HLOOKUP(F81,Team_Composition_23[[#All],[Yellow]:[Red]],8,FALSE)</f>
        <v>5.6821705961773668E-2</v>
      </c>
      <c r="P81" s="38">
        <f>L81/HLOOKUP(F81,Team_Composition_23[[#All],[Yellow]:[Red]],7,FALSE)</f>
        <v>3.0527377302995017E-3</v>
      </c>
      <c r="Q81" s="31"/>
      <c r="R81" s="79" t="s">
        <v>466</v>
      </c>
      <c r="S81" s="80">
        <f>SUMIFS('BR m Undercooked Aden 2 2112026'!$H$2:$H$163,'BR m Undercooked Aden 2 2112026'!$B$2:$B$163,"KS",'BR m Undercooked Aden 2 2112026'!$F$2:$F$163,"Yellow")</f>
        <v>279</v>
      </c>
      <c r="T81" s="81">
        <f>SUMIFS('BR m Undercooked Aden 2 2112026'!$H$2:$H$163,'BR m Undercooked Aden 2 2112026'!$B$2:$B$163,"KS",'BR m Undercooked Aden 2 2112026'!$F$2:$F$163,"Red")</f>
        <v>159</v>
      </c>
      <c r="U81" s="31"/>
      <c r="V81" s="31"/>
      <c r="W81" s="31"/>
      <c r="X81" s="31"/>
      <c r="Y81" s="31"/>
      <c r="Z81" s="31"/>
      <c r="AA81" s="31"/>
      <c r="AB81" s="79" t="s">
        <v>466</v>
      </c>
      <c r="AC81" s="80">
        <f>SUMIFS('BR m Undercooked Aden 2 2112026'!$H$2:$H$163,'BR m Undercooked Aden 2 2112026'!$B$2:$B$163,"KS",'BR m Undercooked Aden 2 2112026'!$D$2:$D$163,"Best Regards")</f>
        <v>167</v>
      </c>
      <c r="AD81" s="81">
        <f>SUMIFS('BR m Undercooked Aden 2 2112026'!$H$2:$H$163,'BR m Undercooked Aden 2 2112026'!$B$2:$B$163,"KS",'BR m Undercooked Aden 2 2112026'!$D$2:$D$163,"Undercooked")</f>
        <v>271</v>
      </c>
    </row>
    <row r="82" spans="1:30" ht="22.5" customHeight="1">
      <c r="A82" s="32">
        <v>84</v>
      </c>
      <c r="B82" s="60" t="str">
        <f>VLOOKUP(C82,Lists!I:J,2,FALSE)</f>
        <v>Healer</v>
      </c>
      <c r="C82" s="34" t="str">
        <f>VLOOKUP(E82&amp;D82,Lists!C:E,3,FALSE)</f>
        <v>Wand/Orb</v>
      </c>
      <c r="D82" s="35" t="s">
        <v>28</v>
      </c>
      <c r="E82" s="36" t="s">
        <v>387</v>
      </c>
      <c r="F82" s="35" t="s">
        <v>483</v>
      </c>
      <c r="G82" s="32">
        <v>0</v>
      </c>
      <c r="H82" s="32">
        <v>16</v>
      </c>
      <c r="I82" s="84">
        <f t="shared" si="0"/>
        <v>16</v>
      </c>
      <c r="J82" s="37">
        <v>6804</v>
      </c>
      <c r="K82" s="37">
        <v>442738</v>
      </c>
      <c r="L82" s="37">
        <v>883350</v>
      </c>
      <c r="M82" s="38">
        <f>I82/(HLOOKUP(F82,Team_Composition_23[[#All],[Yellow]:[Red]],10,FALSE)+HLOOKUP(F82,Team_Composition_23[[#All],[Yellow]:[Red]],11,FALSE))</f>
        <v>1.9488428745432398E-2</v>
      </c>
      <c r="N82" s="38">
        <f>J82/HLOOKUP(F82,Team_Composition_23[[#All],[Yellow]:[Red]],6,FALSE)</f>
        <v>3.8559613678461899E-4</v>
      </c>
      <c r="O82" s="38">
        <f>K82/HLOOKUP(F82,Team_Composition_23[[#All],[Yellow]:[Red]],8,FALSE)</f>
        <v>1.0058583779357377E-2</v>
      </c>
      <c r="P82" s="38">
        <f>L82/HLOOKUP(F82,Team_Composition_23[[#All],[Yellow]:[Red]],7,FALSE)</f>
        <v>3.6399172273716009E-2</v>
      </c>
      <c r="Q82" s="31"/>
      <c r="R82" s="78" t="s">
        <v>54</v>
      </c>
      <c r="S82" s="75">
        <f t="shared" ref="S82:S84" si="18">COUNTIFS(C:C,R82,F:F,"Yellow")</f>
        <v>4</v>
      </c>
      <c r="T82" s="76">
        <f t="shared" ref="T82:T84" si="19">COUNTIFS(C:C,R82,F:F,"Red")</f>
        <v>2</v>
      </c>
      <c r="U82" s="31"/>
      <c r="V82" s="31"/>
      <c r="W82" s="31"/>
      <c r="X82" s="31"/>
      <c r="Y82" s="31"/>
      <c r="Z82" s="31"/>
      <c r="AA82" s="31"/>
      <c r="AB82" s="78" t="s">
        <v>54</v>
      </c>
      <c r="AC82" s="75">
        <f t="shared" ref="AC82:AC84" si="20">COUNTIFS(C:C,AB82,D:D,"Best Regards")</f>
        <v>3</v>
      </c>
      <c r="AD82" s="76">
        <f t="shared" ref="AD82:AD84" si="21">COUNTIFS(C:C,AB82,D:D,"Undercooked")</f>
        <v>3</v>
      </c>
    </row>
    <row r="83" spans="1:30" ht="22.5" customHeight="1">
      <c r="A83" s="32">
        <v>82</v>
      </c>
      <c r="B83" s="59" t="str">
        <f>VLOOKUP(C83,Lists!I:J,2,FALSE)</f>
        <v>Tank</v>
      </c>
      <c r="C83" s="34" t="str">
        <f>VLOOKUP(E83&amp;D83,Lists!C:E,3,FALSE)</f>
        <v>SnS/Greatsword</v>
      </c>
      <c r="D83" s="35" t="s">
        <v>34</v>
      </c>
      <c r="E83" s="36" t="s">
        <v>155</v>
      </c>
      <c r="F83" s="35" t="s">
        <v>476</v>
      </c>
      <c r="G83" s="32">
        <v>0</v>
      </c>
      <c r="H83" s="32">
        <v>16</v>
      </c>
      <c r="I83" s="84">
        <f t="shared" si="0"/>
        <v>16</v>
      </c>
      <c r="J83" s="37">
        <v>90266</v>
      </c>
      <c r="K83" s="37">
        <v>488986</v>
      </c>
      <c r="L83" s="37">
        <v>20650</v>
      </c>
      <c r="M83" s="38">
        <f>I83/(HLOOKUP(F83,Team_Composition_23[[#All],[Yellow]:[Red]],10,FALSE)+HLOOKUP(F83,Team_Composition_23[[#All],[Yellow]:[Red]],11,FALSE))</f>
        <v>3.9990002499375159E-3</v>
      </c>
      <c r="N83" s="38">
        <f>J83/HLOOKUP(F83,Team_Composition_23[[#All],[Yellow]:[Red]],6,FALSE)</f>
        <v>2.0346865067798502E-3</v>
      </c>
      <c r="O83" s="38">
        <f>K83/HLOOKUP(F83,Team_Composition_23[[#All],[Yellow]:[Red]],8,FALSE)</f>
        <v>2.7912130553966623E-2</v>
      </c>
      <c r="P83" s="38">
        <f>L83/HLOOKUP(F83,Team_Composition_23[[#All],[Yellow]:[Red]],7,FALSE)</f>
        <v>1.5952383564209001E-3</v>
      </c>
      <c r="Q83" s="31"/>
      <c r="R83" s="74" t="s">
        <v>69</v>
      </c>
      <c r="S83" s="75">
        <f t="shared" si="18"/>
        <v>2</v>
      </c>
      <c r="T83" s="76">
        <f t="shared" si="19"/>
        <v>3</v>
      </c>
      <c r="U83" s="31"/>
      <c r="V83" s="31"/>
      <c r="W83" s="31"/>
      <c r="X83" s="31"/>
      <c r="Y83" s="31"/>
      <c r="Z83" s="31"/>
      <c r="AA83" s="31"/>
      <c r="AB83" s="74" t="s">
        <v>69</v>
      </c>
      <c r="AC83" s="75">
        <f t="shared" si="20"/>
        <v>2</v>
      </c>
      <c r="AD83" s="76">
        <f t="shared" si="21"/>
        <v>3</v>
      </c>
    </row>
    <row r="84" spans="1:30" ht="22.5" customHeight="1">
      <c r="A84" s="32">
        <v>85</v>
      </c>
      <c r="B84" s="33" t="str">
        <f>VLOOKUP(C84,Lists!I:J,2,FALSE)</f>
        <v>Ranged DPS</v>
      </c>
      <c r="C84" s="34" t="str">
        <f>VLOOKUP(E84&amp;D84,Lists!C:E,3,FALSE)</f>
        <v>Crossbow/SnS</v>
      </c>
      <c r="D84" s="35" t="s">
        <v>34</v>
      </c>
      <c r="E84" s="36" t="s">
        <v>83</v>
      </c>
      <c r="F84" s="35" t="s">
        <v>483</v>
      </c>
      <c r="G84" s="32">
        <v>0</v>
      </c>
      <c r="H84" s="32">
        <v>15</v>
      </c>
      <c r="I84" s="84">
        <f t="shared" si="0"/>
        <v>15</v>
      </c>
      <c r="J84" s="37">
        <v>101529</v>
      </c>
      <c r="K84" s="37">
        <v>427879</v>
      </c>
      <c r="L84" s="37">
        <v>385741</v>
      </c>
      <c r="M84" s="38">
        <f>I84/(HLOOKUP(F84,Team_Composition_23[[#All],[Yellow]:[Red]],10,FALSE)+HLOOKUP(F84,Team_Composition_23[[#All],[Yellow]:[Red]],11,FALSE))</f>
        <v>1.8270401948842874E-2</v>
      </c>
      <c r="N84" s="38">
        <f>J84/HLOOKUP(F84,Team_Composition_23[[#All],[Yellow]:[Red]],6,FALSE)</f>
        <v>5.7538492315704851E-3</v>
      </c>
      <c r="O84" s="38">
        <f>K84/HLOOKUP(F84,Team_Composition_23[[#All],[Yellow]:[Red]],8,FALSE)</f>
        <v>9.7210015154056244E-3</v>
      </c>
      <c r="P84" s="38">
        <f>L84/HLOOKUP(F84,Team_Composition_23[[#All],[Yellow]:[Red]],7,FALSE)</f>
        <v>1.5894779093264828E-2</v>
      </c>
      <c r="Q84" s="31"/>
      <c r="R84" s="78" t="s">
        <v>81</v>
      </c>
      <c r="S84" s="75">
        <f t="shared" si="18"/>
        <v>0</v>
      </c>
      <c r="T84" s="76">
        <f t="shared" si="19"/>
        <v>0</v>
      </c>
      <c r="U84" s="31"/>
      <c r="V84" s="31"/>
      <c r="W84" s="31"/>
      <c r="X84" s="31"/>
      <c r="Y84" s="31"/>
      <c r="Z84" s="31"/>
      <c r="AA84" s="31"/>
      <c r="AB84" s="78" t="s">
        <v>81</v>
      </c>
      <c r="AC84" s="75">
        <f t="shared" si="20"/>
        <v>0</v>
      </c>
      <c r="AD84" s="76">
        <f t="shared" si="21"/>
        <v>0</v>
      </c>
    </row>
    <row r="85" spans="1:30" ht="22.5" customHeight="1">
      <c r="A85" s="32">
        <v>37</v>
      </c>
      <c r="B85" s="40" t="str">
        <f>VLOOKUP(C85,Lists!I:J,2,FALSE)</f>
        <v>Tank</v>
      </c>
      <c r="C85" s="34" t="str">
        <f>VLOOKUP(E85&amp;D85,Lists!C:E,3,FALSE)</f>
        <v>SnS/Greatsword</v>
      </c>
      <c r="D85" s="35" t="s">
        <v>28</v>
      </c>
      <c r="E85" s="36" t="s">
        <v>360</v>
      </c>
      <c r="F85" s="35" t="s">
        <v>476</v>
      </c>
      <c r="G85" s="32">
        <v>2</v>
      </c>
      <c r="H85" s="32">
        <v>12</v>
      </c>
      <c r="I85" s="84">
        <f t="shared" si="0"/>
        <v>14</v>
      </c>
      <c r="J85" s="37">
        <v>42967</v>
      </c>
      <c r="K85" s="37">
        <v>809796</v>
      </c>
      <c r="L85" s="37">
        <v>92178</v>
      </c>
      <c r="M85" s="38">
        <f>I85/(HLOOKUP(F85,Team_Composition_23[[#All],[Yellow]:[Red]],10,FALSE)+HLOOKUP(F85,Team_Composition_23[[#All],[Yellow]:[Red]],11,FALSE))</f>
        <v>3.4991252186953262E-3</v>
      </c>
      <c r="N85" s="38">
        <f>J85/HLOOKUP(F85,Team_Composition_23[[#All],[Yellow]:[Red]],6,FALSE)</f>
        <v>9.6851943297376441E-4</v>
      </c>
      <c r="O85" s="38">
        <f>K85/HLOOKUP(F85,Team_Composition_23[[#All],[Yellow]:[Red]],8,FALSE)</f>
        <v>4.6224496558347185E-2</v>
      </c>
      <c r="P85" s="38">
        <f>L85/HLOOKUP(F85,Team_Composition_23[[#All],[Yellow]:[Red]],7,FALSE)</f>
        <v>7.1208659185552411E-3</v>
      </c>
      <c r="Q85" s="31"/>
      <c r="R85" s="31"/>
      <c r="S85" s="31"/>
      <c r="T85" s="31"/>
      <c r="U85" s="31"/>
      <c r="V85" s="31"/>
      <c r="W85" s="31"/>
      <c r="X85" s="31"/>
      <c r="Y85" s="31"/>
      <c r="Z85" s="31"/>
      <c r="AA85" s="31"/>
      <c r="AB85" s="31"/>
      <c r="AC85" s="31"/>
      <c r="AD85" s="31"/>
    </row>
    <row r="86" spans="1:30" ht="22.5" customHeight="1">
      <c r="A86" s="32">
        <v>86</v>
      </c>
      <c r="B86" s="57" t="str">
        <f>VLOOKUP(C86,Lists!I:J,2,FALSE)</f>
        <v>Tank</v>
      </c>
      <c r="C86" s="34" t="str">
        <f>VLOOKUP(E86&amp;D86,Lists!C:E,3,FALSE)</f>
        <v>SnS/Longbow</v>
      </c>
      <c r="D86" s="35" t="s">
        <v>28</v>
      </c>
      <c r="E86" s="36" t="s">
        <v>390</v>
      </c>
      <c r="F86" s="35" t="s">
        <v>483</v>
      </c>
      <c r="G86" s="32">
        <v>0</v>
      </c>
      <c r="H86" s="32">
        <v>14</v>
      </c>
      <c r="I86" s="84">
        <f t="shared" si="0"/>
        <v>14</v>
      </c>
      <c r="J86" s="37">
        <v>28797</v>
      </c>
      <c r="K86" s="37">
        <v>626359</v>
      </c>
      <c r="L86" s="37">
        <v>250374</v>
      </c>
      <c r="M86" s="38">
        <f>I86/(HLOOKUP(F86,Team_Composition_23[[#All],[Yellow]:[Red]],10,FALSE)+HLOOKUP(F86,Team_Composition_23[[#All],[Yellow]:[Red]],11,FALSE))</f>
        <v>1.705237515225335E-2</v>
      </c>
      <c r="N86" s="38">
        <f>J86/HLOOKUP(F86,Team_Composition_23[[#All],[Yellow]:[Red]],6,FALSE)</f>
        <v>1.6319829440015687E-3</v>
      </c>
      <c r="O86" s="38">
        <f>K86/HLOOKUP(F86,Team_Composition_23[[#All],[Yellow]:[Red]],8,FALSE)</f>
        <v>1.4230277223672934E-2</v>
      </c>
      <c r="P86" s="38">
        <f>L86/HLOOKUP(F86,Team_Composition_23[[#All],[Yellow]:[Red]],7,FALSE)</f>
        <v>1.031686914457392E-2</v>
      </c>
      <c r="Q86" s="31"/>
      <c r="R86" s="31"/>
      <c r="S86" s="31"/>
      <c r="T86" s="31"/>
      <c r="U86" s="31"/>
      <c r="V86" s="31"/>
      <c r="W86" s="31"/>
      <c r="X86" s="31"/>
      <c r="Y86" s="31"/>
      <c r="Z86" s="31"/>
      <c r="AA86" s="31"/>
      <c r="AB86" s="31"/>
      <c r="AC86" s="31"/>
      <c r="AD86" s="31"/>
    </row>
    <row r="87" spans="1:30" ht="22.5" customHeight="1">
      <c r="A87" s="32">
        <v>38</v>
      </c>
      <c r="B87" s="53" t="str">
        <f>VLOOKUP(C87,Lists!I:J,2,FALSE)</f>
        <v>Tank</v>
      </c>
      <c r="C87" s="34" t="str">
        <f>VLOOKUP(E87&amp;D87,Lists!C:E,3,FALSE)</f>
        <v>SnS/Greatsword</v>
      </c>
      <c r="D87" s="35" t="s">
        <v>34</v>
      </c>
      <c r="E87" s="36" t="s">
        <v>57</v>
      </c>
      <c r="F87" s="35" t="s">
        <v>483</v>
      </c>
      <c r="G87" s="32">
        <v>2</v>
      </c>
      <c r="H87" s="32">
        <v>11</v>
      </c>
      <c r="I87" s="84">
        <f t="shared" si="0"/>
        <v>13</v>
      </c>
      <c r="J87" s="37">
        <v>58492</v>
      </c>
      <c r="K87" s="37">
        <v>424344</v>
      </c>
      <c r="L87" s="37">
        <v>21553</v>
      </c>
      <c r="M87" s="38">
        <f>I87/(HLOOKUP(F87,Team_Composition_23[[#All],[Yellow]:[Red]],10,FALSE)+HLOOKUP(F87,Team_Composition_23[[#All],[Yellow]:[Red]],11,FALSE))</f>
        <v>1.5834348355663823E-2</v>
      </c>
      <c r="N87" s="38">
        <f>J87/HLOOKUP(F87,Team_Composition_23[[#All],[Yellow]:[Red]],6,FALSE)</f>
        <v>3.3148573240455517E-3</v>
      </c>
      <c r="O87" s="38">
        <f>K87/HLOOKUP(F87,Team_Composition_23[[#All],[Yellow]:[Red]],8,FALSE)</f>
        <v>9.6406896974455033E-3</v>
      </c>
      <c r="P87" s="38">
        <f>L87/HLOOKUP(F87,Team_Composition_23[[#All],[Yellow]:[Red]],7,FALSE)</f>
        <v>8.8810931116250764E-4</v>
      </c>
      <c r="Q87" s="31"/>
      <c r="R87" s="31"/>
      <c r="S87" s="31"/>
      <c r="T87" s="31"/>
      <c r="U87" s="31"/>
      <c r="V87" s="31"/>
      <c r="W87" s="31"/>
      <c r="X87" s="31"/>
      <c r="Y87" s="31"/>
      <c r="Z87" s="31"/>
      <c r="AA87" s="31"/>
      <c r="AB87" s="31"/>
      <c r="AC87" s="31"/>
      <c r="AD87" s="31"/>
    </row>
    <row r="88" spans="1:30" ht="22.5" customHeight="1">
      <c r="A88" s="32">
        <v>87</v>
      </c>
      <c r="B88" s="33" t="str">
        <f>VLOOKUP(C88,Lists!I:J,2,FALSE)</f>
        <v>Tank</v>
      </c>
      <c r="C88" s="34" t="str">
        <f>VLOOKUP(E88&amp;D88,Lists!C:E,3,FALSE)</f>
        <v>SnS/Greatsword</v>
      </c>
      <c r="D88" s="35" t="s">
        <v>34</v>
      </c>
      <c r="E88" s="36" t="s">
        <v>148</v>
      </c>
      <c r="F88" s="35" t="s">
        <v>476</v>
      </c>
      <c r="G88" s="32">
        <v>0</v>
      </c>
      <c r="H88" s="32">
        <v>13</v>
      </c>
      <c r="I88" s="84">
        <f t="shared" si="0"/>
        <v>13</v>
      </c>
      <c r="J88" s="37">
        <v>53367</v>
      </c>
      <c r="K88" s="37">
        <v>561936</v>
      </c>
      <c r="L88" s="37">
        <v>19257</v>
      </c>
      <c r="M88" s="38">
        <f>I88/(HLOOKUP(F88,Team_Composition_23[[#All],[Yellow]:[Red]],10,FALSE)+HLOOKUP(F88,Team_Composition_23[[#All],[Yellow]:[Red]],11,FALSE))</f>
        <v>3.2491877030742314E-3</v>
      </c>
      <c r="N88" s="38">
        <f>J88/HLOOKUP(F88,Team_Composition_23[[#All],[Yellow]:[Red]],6,FALSE)</f>
        <v>1.2029459021926335E-3</v>
      </c>
      <c r="O88" s="38">
        <f>K88/HLOOKUP(F88,Team_Composition_23[[#All],[Yellow]:[Red]],8,FALSE)</f>
        <v>3.2076237346209888E-2</v>
      </c>
      <c r="P88" s="38">
        <f>L88/HLOOKUP(F88,Team_Composition_23[[#All],[Yellow]:[Red]],7,FALSE)</f>
        <v>1.4876273622081004E-3</v>
      </c>
      <c r="Q88" s="31"/>
      <c r="R88" s="31"/>
      <c r="S88" s="31"/>
      <c r="T88" s="31"/>
      <c r="U88" s="31"/>
      <c r="V88" s="31"/>
      <c r="W88" s="31"/>
      <c r="X88" s="31"/>
      <c r="Y88" s="31"/>
      <c r="Z88" s="31"/>
      <c r="AA88" s="31"/>
      <c r="AB88" s="31"/>
      <c r="AC88" s="31"/>
      <c r="AD88" s="31"/>
    </row>
    <row r="89" spans="1:30" ht="22.5" customHeight="1">
      <c r="A89" s="32">
        <v>88</v>
      </c>
      <c r="B89" s="56" t="str">
        <f>VLOOKUP(C89,Lists!I:J,2,FALSE)</f>
        <v>Tank</v>
      </c>
      <c r="C89" s="34" t="str">
        <f>VLOOKUP(E89&amp;D89,Lists!C:E,3,FALSE)</f>
        <v>SnS/Spear</v>
      </c>
      <c r="D89" s="35" t="s">
        <v>28</v>
      </c>
      <c r="E89" s="36" t="s">
        <v>375</v>
      </c>
      <c r="F89" s="35" t="s">
        <v>476</v>
      </c>
      <c r="G89" s="32">
        <v>0</v>
      </c>
      <c r="H89" s="32">
        <v>12</v>
      </c>
      <c r="I89" s="84">
        <f t="shared" si="0"/>
        <v>12</v>
      </c>
      <c r="J89" s="37">
        <v>106907</v>
      </c>
      <c r="K89" s="37">
        <v>581721</v>
      </c>
      <c r="L89" s="37">
        <v>11536</v>
      </c>
      <c r="M89" s="38">
        <f>I89/(HLOOKUP(F89,Team_Composition_23[[#All],[Yellow]:[Red]],10,FALSE)+HLOOKUP(F89,Team_Composition_23[[#All],[Yellow]:[Red]],11,FALSE))</f>
        <v>2.9992501874531365E-3</v>
      </c>
      <c r="N89" s="38">
        <f>J89/HLOOKUP(F89,Team_Composition_23[[#All],[Yellow]:[Red]],6,FALSE)</f>
        <v>2.4097913985366964E-3</v>
      </c>
      <c r="O89" s="38">
        <f>K89/HLOOKUP(F89,Team_Composition_23[[#All],[Yellow]:[Red]],8,FALSE)</f>
        <v>3.3205597906655851E-2</v>
      </c>
      <c r="P89" s="38">
        <f>L89/HLOOKUP(F89,Team_Composition_23[[#All],[Yellow]:[Red]],7,FALSE)</f>
        <v>8.9117044453615023E-4</v>
      </c>
      <c r="Q89" s="31"/>
      <c r="R89" s="31"/>
      <c r="S89" s="31"/>
      <c r="T89" s="31"/>
      <c r="U89" s="31"/>
      <c r="V89" s="31"/>
      <c r="W89" s="31"/>
      <c r="X89" s="31"/>
      <c r="Y89" s="31"/>
      <c r="Z89" s="31"/>
      <c r="AA89" s="31"/>
      <c r="AB89" s="31"/>
      <c r="AC89" s="31"/>
      <c r="AD89" s="31"/>
    </row>
    <row r="90" spans="1:30" ht="22.5" customHeight="1">
      <c r="A90" s="32">
        <v>89</v>
      </c>
      <c r="B90" s="33" t="str">
        <f>VLOOKUP(C90,Lists!I:J,2,FALSE)</f>
        <v>Tank</v>
      </c>
      <c r="C90" s="34" t="str">
        <f>VLOOKUP(E90&amp;D90,Lists!C:E,3,FALSE)</f>
        <v>SnS/Greatsword</v>
      </c>
      <c r="D90" s="35" t="s">
        <v>34</v>
      </c>
      <c r="E90" s="36" t="s">
        <v>178</v>
      </c>
      <c r="F90" s="35" t="s">
        <v>476</v>
      </c>
      <c r="G90" s="32">
        <v>0</v>
      </c>
      <c r="H90" s="32">
        <v>11</v>
      </c>
      <c r="I90" s="84">
        <f t="shared" si="0"/>
        <v>11</v>
      </c>
      <c r="J90" s="37">
        <v>54334</v>
      </c>
      <c r="K90" s="37">
        <v>285966</v>
      </c>
      <c r="L90" s="37">
        <v>50353</v>
      </c>
      <c r="M90" s="38">
        <f>I90/(HLOOKUP(F90,Team_Composition_23[[#All],[Yellow]:[Red]],10,FALSE)+HLOOKUP(F90,Team_Composition_23[[#All],[Yellow]:[Red]],11,FALSE))</f>
        <v>2.7493126718320421E-3</v>
      </c>
      <c r="N90" s="38">
        <f>J90/HLOOKUP(F90,Team_Composition_23[[#All],[Yellow]:[Red]],6,FALSE)</f>
        <v>1.2247430556286572E-3</v>
      </c>
      <c r="O90" s="38">
        <f>K90/HLOOKUP(F90,Team_Composition_23[[#All],[Yellow]:[Red]],8,FALSE)</f>
        <v>1.6323412788905246E-2</v>
      </c>
      <c r="P90" s="38">
        <f>L90/HLOOKUP(F90,Team_Composition_23[[#All],[Yellow]:[Red]],7,FALSE)</f>
        <v>3.8898322983468079E-3</v>
      </c>
      <c r="Q90" s="31"/>
      <c r="R90" s="31"/>
      <c r="S90" s="31"/>
      <c r="T90" s="31"/>
      <c r="U90" s="31"/>
      <c r="V90" s="31"/>
      <c r="W90" s="31"/>
      <c r="X90" s="31"/>
      <c r="Y90" s="31"/>
      <c r="Z90" s="31"/>
      <c r="AA90" s="31"/>
      <c r="AB90" s="31"/>
      <c r="AC90" s="31"/>
      <c r="AD90" s="31"/>
    </row>
    <row r="91" spans="1:30" ht="22.5" customHeight="1">
      <c r="A91" s="32">
        <v>90</v>
      </c>
      <c r="B91" s="40" t="str">
        <f>VLOOKUP(C91,Lists!I:J,2,FALSE)</f>
        <v>Healer</v>
      </c>
      <c r="C91" s="34" t="str">
        <f>VLOOKUP(E91&amp;D91,Lists!C:E,3,FALSE)</f>
        <v>Wand/Longbow</v>
      </c>
      <c r="D91" s="35" t="s">
        <v>34</v>
      </c>
      <c r="E91" s="36" t="s">
        <v>135</v>
      </c>
      <c r="F91" s="35" t="s">
        <v>483</v>
      </c>
      <c r="G91" s="32">
        <v>0</v>
      </c>
      <c r="H91" s="32">
        <v>11</v>
      </c>
      <c r="I91" s="84">
        <f t="shared" si="0"/>
        <v>11</v>
      </c>
      <c r="J91" s="37">
        <v>34578</v>
      </c>
      <c r="K91" s="37">
        <v>206344</v>
      </c>
      <c r="L91" s="37">
        <v>726578</v>
      </c>
      <c r="M91" s="38">
        <f>I91/(HLOOKUP(F91,Team_Composition_23[[#All],[Yellow]:[Red]],10,FALSE)+HLOOKUP(F91,Team_Composition_23[[#All],[Yellow]:[Red]],11,FALSE))</f>
        <v>1.3398294762484775E-2</v>
      </c>
      <c r="N91" s="38">
        <f>J91/HLOOKUP(F91,Team_Composition_23[[#All],[Yellow]:[Red]],6,FALSE)</f>
        <v>1.9596036475218338E-3</v>
      </c>
      <c r="O91" s="38">
        <f>K91/HLOOKUP(F91,Team_Composition_23[[#All],[Yellow]:[Red]],8,FALSE)</f>
        <v>4.6879382645440837E-3</v>
      </c>
      <c r="P91" s="38">
        <f>L91/HLOOKUP(F91,Team_Composition_23[[#All],[Yellow]:[Red]],7,FALSE)</f>
        <v>2.9939251477095183E-2</v>
      </c>
      <c r="Q91" s="31"/>
      <c r="R91" s="31"/>
      <c r="S91" s="31"/>
      <c r="T91" s="31"/>
      <c r="U91" s="31"/>
      <c r="V91" s="31"/>
      <c r="W91" s="31"/>
      <c r="X91" s="31"/>
      <c r="Y91" s="31"/>
      <c r="Z91" s="31"/>
      <c r="AA91" s="31"/>
      <c r="AB91" s="31"/>
      <c r="AC91" s="31"/>
      <c r="AD91" s="31"/>
    </row>
    <row r="92" spans="1:30" ht="22.5" customHeight="1">
      <c r="A92" s="32">
        <v>91</v>
      </c>
      <c r="B92" s="62" t="str">
        <f>VLOOKUP(C92,Lists!I:J,2,FALSE)</f>
        <v>Tank</v>
      </c>
      <c r="C92" s="34" t="str">
        <f>VLOOKUP(E92&amp;D92,Lists!C:E,3,FALSE)</f>
        <v>SnS/Greatsword</v>
      </c>
      <c r="D92" s="35" t="s">
        <v>28</v>
      </c>
      <c r="E92" s="36" t="s">
        <v>345</v>
      </c>
      <c r="F92" s="35" t="s">
        <v>483</v>
      </c>
      <c r="G92" s="32">
        <v>0</v>
      </c>
      <c r="H92" s="32">
        <v>10</v>
      </c>
      <c r="I92" s="84">
        <f t="shared" si="0"/>
        <v>10</v>
      </c>
      <c r="J92" s="37">
        <v>65502</v>
      </c>
      <c r="K92" s="37">
        <v>530294</v>
      </c>
      <c r="L92" s="37">
        <v>34437</v>
      </c>
      <c r="M92" s="38">
        <f>I92/(HLOOKUP(F92,Team_Composition_23[[#All],[Yellow]:[Red]],10,FALSE)+HLOOKUP(F92,Team_Composition_23[[#All],[Yellow]:[Red]],11,FALSE))</f>
        <v>1.2180267965895249E-2</v>
      </c>
      <c r="N92" s="38">
        <f>J92/HLOOKUP(F92,Team_Composition_23[[#All],[Yellow]:[Red]],6,FALSE)</f>
        <v>3.7121278882519273E-3</v>
      </c>
      <c r="O92" s="38">
        <f>K92/HLOOKUP(F92,Team_Composition_23[[#All],[Yellow]:[Red]],8,FALSE)</f>
        <v>1.2047772331922132E-2</v>
      </c>
      <c r="P92" s="38">
        <f>L92/HLOOKUP(F92,Team_Composition_23[[#All],[Yellow]:[Red]],7,FALSE)</f>
        <v>1.4190052590592156E-3</v>
      </c>
      <c r="Q92" s="31"/>
      <c r="R92" s="31"/>
      <c r="S92" s="31"/>
      <c r="T92" s="31"/>
      <c r="U92" s="31"/>
      <c r="V92" s="31"/>
      <c r="W92" s="31"/>
      <c r="X92" s="31"/>
      <c r="Y92" s="31"/>
      <c r="Z92" s="31"/>
      <c r="AA92" s="31"/>
      <c r="AB92" s="31"/>
      <c r="AC92" s="31"/>
      <c r="AD92" s="31"/>
    </row>
    <row r="93" spans="1:30" ht="22.5" customHeight="1">
      <c r="A93" s="32">
        <v>92</v>
      </c>
      <c r="B93" s="73" t="str">
        <f>VLOOKUP(C93,Lists!I:J,2,FALSE)</f>
        <v>Healer</v>
      </c>
      <c r="C93" s="34" t="str">
        <f>VLOOKUP(E93&amp;D93,Lists!C:E,3,FALSE)</f>
        <v>Wand/Longbow</v>
      </c>
      <c r="D93" s="35" t="s">
        <v>34</v>
      </c>
      <c r="E93" s="36" t="s">
        <v>136</v>
      </c>
      <c r="F93" s="35" t="s">
        <v>483</v>
      </c>
      <c r="G93" s="32">
        <v>0</v>
      </c>
      <c r="H93" s="32">
        <v>10</v>
      </c>
      <c r="I93" s="84">
        <f t="shared" si="0"/>
        <v>10</v>
      </c>
      <c r="J93" s="37">
        <v>62677</v>
      </c>
      <c r="K93" s="37">
        <v>747592</v>
      </c>
      <c r="L93" s="37">
        <v>1578147</v>
      </c>
      <c r="M93" s="38">
        <f>I93/(HLOOKUP(F93,Team_Composition_23[[#All],[Yellow]:[Red]],10,FALSE)+HLOOKUP(F93,Team_Composition_23[[#All],[Yellow]:[Red]],11,FALSE))</f>
        <v>1.2180267965895249E-2</v>
      </c>
      <c r="N93" s="38">
        <f>J93/HLOOKUP(F93,Team_Composition_23[[#All],[Yellow]:[Red]],6,FALSE)</f>
        <v>3.5520295510360913E-3</v>
      </c>
      <c r="O93" s="38">
        <f>K93/HLOOKUP(F93,Team_Composition_23[[#All],[Yellow]:[Red]],8,FALSE)</f>
        <v>1.6984574996447878E-2</v>
      </c>
      <c r="P93" s="38">
        <f>L93/HLOOKUP(F93,Team_Composition_23[[#All],[Yellow]:[Red]],7,FALSE)</f>
        <v>6.5028861183277401E-2</v>
      </c>
      <c r="Q93" s="31"/>
      <c r="R93" s="31"/>
      <c r="S93" s="31"/>
      <c r="T93" s="31"/>
      <c r="U93" s="31"/>
      <c r="V93" s="31"/>
      <c r="W93" s="31"/>
      <c r="X93" s="31"/>
      <c r="Y93" s="31"/>
      <c r="Z93" s="31"/>
      <c r="AA93" s="31"/>
      <c r="AB93" s="31"/>
      <c r="AC93" s="31"/>
      <c r="AD93" s="31"/>
    </row>
    <row r="94" spans="1:30" ht="22.5" customHeight="1">
      <c r="A94" s="32">
        <v>93</v>
      </c>
      <c r="B94" s="60" t="str">
        <f>VLOOKUP(C94,Lists!I:J,2,FALSE)</f>
        <v>Tank</v>
      </c>
      <c r="C94" s="34" t="str">
        <f>VLOOKUP(E94&amp;D94,Lists!C:E,3,FALSE)</f>
        <v>SnS/Greatsword</v>
      </c>
      <c r="D94" s="35" t="s">
        <v>34</v>
      </c>
      <c r="E94" s="36" t="s">
        <v>118</v>
      </c>
      <c r="F94" s="35" t="s">
        <v>483</v>
      </c>
      <c r="G94" s="32">
        <v>0</v>
      </c>
      <c r="H94" s="32">
        <v>7</v>
      </c>
      <c r="I94" s="84">
        <f t="shared" si="0"/>
        <v>7</v>
      </c>
      <c r="J94" s="37">
        <v>51525</v>
      </c>
      <c r="K94" s="37">
        <v>882131</v>
      </c>
      <c r="L94" s="37">
        <v>29548</v>
      </c>
      <c r="M94" s="38">
        <f>I94/(HLOOKUP(F94,Team_Composition_23[[#All],[Yellow]:[Red]],10,FALSE)+HLOOKUP(F94,Team_Composition_23[[#All],[Yellow]:[Red]],11,FALSE))</f>
        <v>8.5261875761266752E-3</v>
      </c>
      <c r="N94" s="38">
        <f>J94/HLOOKUP(F94,Team_Composition_23[[#All],[Yellow]:[Red]],6,FALSE)</f>
        <v>2.9200236548835236E-3</v>
      </c>
      <c r="O94" s="38">
        <f>K94/HLOOKUP(F94,Team_Composition_23[[#All],[Yellow]:[Red]],8,FALSE)</f>
        <v>2.004117235897597E-2</v>
      </c>
      <c r="P94" s="38">
        <f>L94/HLOOKUP(F94,Team_Composition_23[[#All],[Yellow]:[Red]],7,FALSE)</f>
        <v>1.2175499432204228E-3</v>
      </c>
      <c r="Q94" s="31"/>
      <c r="R94" s="31"/>
      <c r="S94" s="31"/>
      <c r="T94" s="31"/>
      <c r="U94" s="31"/>
      <c r="V94" s="31"/>
      <c r="W94" s="31"/>
      <c r="X94" s="31"/>
      <c r="Y94" s="31"/>
      <c r="Z94" s="31"/>
      <c r="AA94" s="31"/>
      <c r="AB94" s="31"/>
      <c r="AC94" s="31"/>
      <c r="AD94" s="31"/>
    </row>
    <row r="95" spans="1:30" ht="22.5" customHeight="1">
      <c r="A95" s="32">
        <v>94</v>
      </c>
      <c r="B95" s="56" t="str">
        <f>VLOOKUP(C95,Lists!I:J,2,FALSE)</f>
        <v>Healer</v>
      </c>
      <c r="C95" s="34" t="str">
        <f>VLOOKUP(E95&amp;D95,Lists!C:E,3,FALSE)</f>
        <v>Wand/Orb</v>
      </c>
      <c r="D95" s="35" t="s">
        <v>28</v>
      </c>
      <c r="E95" s="36" t="s">
        <v>365</v>
      </c>
      <c r="F95" s="35" t="s">
        <v>476</v>
      </c>
      <c r="G95" s="32">
        <v>0</v>
      </c>
      <c r="H95" s="32">
        <v>6</v>
      </c>
      <c r="I95" s="84">
        <f t="shared" si="0"/>
        <v>6</v>
      </c>
      <c r="J95" s="37">
        <v>12210</v>
      </c>
      <c r="K95" s="37">
        <v>289242</v>
      </c>
      <c r="L95" s="37">
        <v>721491</v>
      </c>
      <c r="M95" s="38">
        <f>I95/(HLOOKUP(F95,Team_Composition_23[[#All],[Yellow]:[Red]],10,FALSE)+HLOOKUP(F95,Team_Composition_23[[#All],[Yellow]:[Red]],11,FALSE))</f>
        <v>1.4996250937265683E-3</v>
      </c>
      <c r="N95" s="38">
        <f>J95/HLOOKUP(F95,Team_Composition_23[[#All],[Yellow]:[Red]],6,FALSE)</f>
        <v>2.7522569126561461E-4</v>
      </c>
      <c r="O95" s="38">
        <f>K95/HLOOKUP(F95,Team_Composition_23[[#All],[Yellow]:[Red]],8,FALSE)</f>
        <v>1.6510412293379389E-2</v>
      </c>
      <c r="P95" s="38">
        <f>L95/HLOOKUP(F95,Team_Composition_23[[#All],[Yellow]:[Red]],7,FALSE)</f>
        <v>5.5736083148303708E-2</v>
      </c>
      <c r="Q95" s="31"/>
      <c r="R95" s="31"/>
      <c r="S95" s="31"/>
      <c r="T95" s="31"/>
      <c r="U95" s="31"/>
      <c r="V95" s="31"/>
      <c r="W95" s="31"/>
      <c r="X95" s="31"/>
      <c r="Y95" s="31"/>
      <c r="Z95" s="31"/>
      <c r="AA95" s="31"/>
      <c r="AB95" s="31"/>
      <c r="AC95" s="31"/>
      <c r="AD95" s="31"/>
    </row>
    <row r="96" spans="1:30" ht="22.5" customHeight="1">
      <c r="A96" s="32">
        <v>95</v>
      </c>
      <c r="B96" s="57" t="str">
        <f>VLOOKUP(C96,Lists!I:J,2,FALSE)</f>
        <v>Tank</v>
      </c>
      <c r="C96" s="34" t="str">
        <f>VLOOKUP(E96&amp;D96,Lists!C:E,3,FALSE)</f>
        <v>SnS/Greatsword</v>
      </c>
      <c r="D96" s="35" t="s">
        <v>34</v>
      </c>
      <c r="E96" s="36" t="s">
        <v>109</v>
      </c>
      <c r="F96" s="35" t="s">
        <v>483</v>
      </c>
      <c r="G96" s="32">
        <v>0</v>
      </c>
      <c r="H96" s="32">
        <v>3</v>
      </c>
      <c r="I96" s="84">
        <f t="shared" si="0"/>
        <v>3</v>
      </c>
      <c r="J96" s="37">
        <v>22915</v>
      </c>
      <c r="K96" s="37">
        <v>713943</v>
      </c>
      <c r="L96" s="37">
        <v>4846</v>
      </c>
      <c r="M96" s="38">
        <f>I96/(HLOOKUP(F96,Team_Composition_23[[#All],[Yellow]:[Red]],10,FALSE)+HLOOKUP(F96,Team_Composition_23[[#All],[Yellow]:[Red]],11,FALSE))</f>
        <v>3.6540803897685747E-3</v>
      </c>
      <c r="N96" s="38">
        <f>J96/HLOOKUP(F96,Team_Composition_23[[#All],[Yellow]:[Red]],6,FALSE)</f>
        <v>1.2986383707259766E-3</v>
      </c>
      <c r="O96" s="38">
        <f>K96/HLOOKUP(F96,Team_Composition_23[[#All],[Yellow]:[Red]],8,FALSE)</f>
        <v>1.6220101909449256E-2</v>
      </c>
      <c r="P96" s="38">
        <f>L96/HLOOKUP(F96,Team_Composition_23[[#All],[Yellow]:[Red]],7,FALSE)</f>
        <v>1.9968346503472888E-4</v>
      </c>
      <c r="Q96" s="31"/>
      <c r="R96" s="31"/>
      <c r="S96" s="31"/>
      <c r="T96" s="31"/>
      <c r="U96" s="31"/>
      <c r="V96" s="31"/>
      <c r="W96" s="31"/>
      <c r="X96" s="31"/>
      <c r="Y96" s="31"/>
      <c r="Z96" s="31"/>
      <c r="AA96" s="31"/>
      <c r="AB96" s="31"/>
      <c r="AC96" s="31"/>
      <c r="AD96" s="31"/>
    </row>
    <row r="97" spans="1:30" ht="22.5" customHeight="1">
      <c r="A97" s="32">
        <v>96</v>
      </c>
      <c r="B97" s="65" t="str">
        <f>VLOOKUP(C97,Lists!I:J,2,FALSE)</f>
        <v>Tank</v>
      </c>
      <c r="C97" s="34" t="str">
        <f>VLOOKUP(E97&amp;D97,Lists!C:E,3,FALSE)</f>
        <v>SnS/Greatsword</v>
      </c>
      <c r="D97" s="35" t="s">
        <v>34</v>
      </c>
      <c r="E97" s="36" t="s">
        <v>166</v>
      </c>
      <c r="F97" s="35" t="s">
        <v>483</v>
      </c>
      <c r="G97" s="32">
        <v>0</v>
      </c>
      <c r="H97" s="32">
        <v>2</v>
      </c>
      <c r="I97" s="84">
        <f t="shared" si="0"/>
        <v>2</v>
      </c>
      <c r="J97" s="37">
        <v>39174</v>
      </c>
      <c r="K97" s="37">
        <v>902211</v>
      </c>
      <c r="L97" s="37">
        <v>71425</v>
      </c>
      <c r="M97" s="38">
        <f>I97/(HLOOKUP(F97,Team_Composition_23[[#All],[Yellow]:[Red]],10,FALSE)+HLOOKUP(F97,Team_Composition_23[[#All],[Yellow]:[Red]],11,FALSE))</f>
        <v>2.4360535931790498E-3</v>
      </c>
      <c r="N97" s="38">
        <f>J97/HLOOKUP(F97,Team_Composition_23[[#All],[Yellow]:[Red]],6,FALSE)</f>
        <v>2.2200680573781105E-3</v>
      </c>
      <c r="O97" s="38">
        <f>K97/HLOOKUP(F97,Team_Composition_23[[#All],[Yellow]:[Red]],8,FALSE)</f>
        <v>2.0497370747841383E-2</v>
      </c>
      <c r="P97" s="38">
        <f>L97/HLOOKUP(F97,Team_Composition_23[[#All],[Yellow]:[Red]],7,FALSE)</f>
        <v>2.9431265972153344E-3</v>
      </c>
      <c r="Q97" s="31"/>
      <c r="R97" s="31"/>
      <c r="S97" s="31"/>
      <c r="T97" s="31"/>
      <c r="U97" s="31"/>
      <c r="V97" s="31"/>
      <c r="W97" s="31"/>
      <c r="X97" s="31"/>
      <c r="Y97" s="31"/>
      <c r="Z97" s="31"/>
      <c r="AA97" s="31"/>
      <c r="AB97" s="31"/>
      <c r="AC97" s="31"/>
      <c r="AD97" s="31"/>
    </row>
    <row r="98" spans="1:30" ht="22.5" customHeight="1">
      <c r="A98" s="82"/>
      <c r="B98" s="57"/>
      <c r="C98" s="34"/>
      <c r="D98" s="13"/>
      <c r="E98" s="83"/>
      <c r="F98" s="13"/>
      <c r="G98" s="82"/>
      <c r="H98" s="82"/>
      <c r="I98" s="84"/>
      <c r="J98" s="85"/>
      <c r="K98" s="85"/>
      <c r="L98" s="85"/>
      <c r="M98" s="38"/>
      <c r="N98" s="38"/>
      <c r="O98" s="38"/>
      <c r="P98" s="38"/>
      <c r="Q98" s="31"/>
      <c r="R98" s="31"/>
      <c r="S98" s="31"/>
      <c r="T98" s="31"/>
      <c r="U98" s="31"/>
      <c r="V98" s="31"/>
      <c r="W98" s="31"/>
      <c r="X98" s="31"/>
      <c r="Y98" s="31"/>
      <c r="Z98" s="31"/>
      <c r="AA98" s="31"/>
      <c r="AB98" s="31"/>
      <c r="AC98" s="31"/>
      <c r="AD98" s="31"/>
    </row>
    <row r="99" spans="1:30" ht="22.5" customHeight="1">
      <c r="A99" s="82"/>
      <c r="B99" s="53"/>
      <c r="C99" s="34"/>
      <c r="D99" s="13"/>
      <c r="E99" s="83"/>
      <c r="F99" s="13"/>
      <c r="G99" s="82"/>
      <c r="H99" s="82"/>
      <c r="I99" s="84"/>
      <c r="J99" s="85"/>
      <c r="K99" s="85"/>
      <c r="L99" s="85"/>
      <c r="M99" s="38"/>
      <c r="N99" s="38"/>
      <c r="O99" s="38"/>
      <c r="P99" s="38"/>
      <c r="Q99" s="31"/>
      <c r="R99" s="31"/>
      <c r="S99" s="31"/>
      <c r="T99" s="31"/>
      <c r="U99" s="31"/>
      <c r="V99" s="31"/>
      <c r="W99" s="31"/>
      <c r="X99" s="31"/>
      <c r="Y99" s="31"/>
      <c r="Z99" s="31"/>
      <c r="AA99" s="31"/>
      <c r="AB99" s="31"/>
      <c r="AC99" s="31"/>
      <c r="AD99" s="31"/>
    </row>
    <row r="100" spans="1:30" ht="22.5" customHeight="1">
      <c r="A100" s="82"/>
      <c r="B100" s="34"/>
      <c r="C100" s="34"/>
      <c r="D100" s="13"/>
      <c r="E100" s="83"/>
      <c r="F100" s="13"/>
      <c r="G100" s="82"/>
      <c r="H100" s="82"/>
      <c r="I100" s="84"/>
      <c r="J100" s="85"/>
      <c r="K100" s="85"/>
      <c r="L100" s="85"/>
      <c r="M100" s="38"/>
      <c r="N100" s="38"/>
      <c r="O100" s="38"/>
      <c r="P100" s="38"/>
      <c r="Q100" s="31"/>
      <c r="R100" s="31"/>
      <c r="S100" s="31"/>
      <c r="T100" s="31"/>
      <c r="U100" s="31"/>
      <c r="V100" s="31"/>
      <c r="W100" s="31"/>
      <c r="X100" s="31"/>
      <c r="Y100" s="31"/>
      <c r="Z100" s="31"/>
      <c r="AA100" s="31"/>
      <c r="AB100" s="31"/>
      <c r="AC100" s="31"/>
      <c r="AD100" s="31"/>
    </row>
    <row r="101" spans="1:30" ht="22.5" customHeight="1">
      <c r="A101" s="82"/>
      <c r="B101" s="65"/>
      <c r="C101" s="34"/>
      <c r="D101" s="13"/>
      <c r="E101" s="83"/>
      <c r="F101" s="13"/>
      <c r="G101" s="82"/>
      <c r="H101" s="82"/>
      <c r="I101" s="84"/>
      <c r="J101" s="85"/>
      <c r="K101" s="85"/>
      <c r="L101" s="85"/>
      <c r="M101" s="38"/>
      <c r="N101" s="38"/>
      <c r="O101" s="38"/>
      <c r="P101" s="38"/>
      <c r="Q101" s="31"/>
      <c r="R101" s="31"/>
      <c r="S101" s="31"/>
      <c r="T101" s="31"/>
      <c r="U101" s="31"/>
      <c r="V101" s="31"/>
      <c r="W101" s="31"/>
      <c r="X101" s="31"/>
      <c r="Y101" s="31"/>
      <c r="Z101" s="31"/>
      <c r="AA101" s="31"/>
      <c r="AB101" s="31"/>
      <c r="AC101" s="31"/>
      <c r="AD101" s="31"/>
    </row>
    <row r="102" spans="1:30" ht="22.5" customHeight="1">
      <c r="A102" s="82"/>
      <c r="B102" s="34"/>
      <c r="C102" s="34"/>
      <c r="D102" s="13"/>
      <c r="E102" s="83"/>
      <c r="F102" s="13"/>
      <c r="G102" s="82"/>
      <c r="H102" s="82"/>
      <c r="I102" s="84"/>
      <c r="J102" s="85"/>
      <c r="K102" s="85"/>
      <c r="L102" s="85"/>
      <c r="M102" s="38"/>
      <c r="N102" s="38"/>
      <c r="O102" s="38"/>
      <c r="P102" s="38"/>
      <c r="Q102" s="31"/>
      <c r="R102" s="31"/>
      <c r="S102" s="31"/>
      <c r="T102" s="31"/>
      <c r="U102" s="31"/>
      <c r="V102" s="31"/>
      <c r="W102" s="31"/>
      <c r="X102" s="31"/>
      <c r="Y102" s="31"/>
      <c r="Z102" s="31"/>
      <c r="AA102" s="31"/>
      <c r="AB102" s="31"/>
      <c r="AC102" s="31"/>
      <c r="AD102" s="31"/>
    </row>
    <row r="103" spans="1:30" ht="22.5" customHeight="1">
      <c r="A103" s="82"/>
      <c r="B103" s="53"/>
      <c r="C103" s="34"/>
      <c r="D103" s="13"/>
      <c r="E103" s="83"/>
      <c r="F103" s="13"/>
      <c r="G103" s="82"/>
      <c r="H103" s="82"/>
      <c r="I103" s="84"/>
      <c r="J103" s="85"/>
      <c r="K103" s="85"/>
      <c r="L103" s="85"/>
      <c r="M103" s="38"/>
      <c r="N103" s="38"/>
      <c r="O103" s="38"/>
      <c r="P103" s="38"/>
      <c r="Q103" s="31"/>
      <c r="R103" s="31"/>
      <c r="S103" s="31"/>
      <c r="T103" s="31"/>
      <c r="U103" s="31"/>
      <c r="V103" s="31"/>
      <c r="W103" s="31"/>
      <c r="X103" s="31"/>
      <c r="Y103" s="31"/>
      <c r="Z103" s="31"/>
      <c r="AA103" s="31"/>
      <c r="AB103" s="31"/>
      <c r="AC103" s="31"/>
      <c r="AD103" s="31"/>
    </row>
    <row r="104" spans="1:30" ht="22.5" customHeight="1">
      <c r="A104" s="82"/>
      <c r="B104" s="66"/>
      <c r="C104" s="34"/>
      <c r="D104" s="13"/>
      <c r="E104" s="83"/>
      <c r="F104" s="13"/>
      <c r="G104" s="82"/>
      <c r="H104" s="82"/>
      <c r="I104" s="84"/>
      <c r="J104" s="85"/>
      <c r="K104" s="85"/>
      <c r="L104" s="85"/>
      <c r="M104" s="38"/>
      <c r="N104" s="38"/>
      <c r="O104" s="38"/>
      <c r="P104" s="38"/>
      <c r="Q104" s="31"/>
      <c r="R104" s="31"/>
      <c r="S104" s="31"/>
      <c r="T104" s="31"/>
      <c r="U104" s="31"/>
      <c r="V104" s="31"/>
      <c r="W104" s="31"/>
      <c r="X104" s="31"/>
      <c r="Y104" s="31"/>
      <c r="Z104" s="31"/>
      <c r="AA104" s="31"/>
      <c r="AB104" s="31"/>
      <c r="AC104" s="31"/>
      <c r="AD104" s="31"/>
    </row>
    <row r="105" spans="1:30" ht="22.5" customHeight="1">
      <c r="A105" s="82"/>
      <c r="B105" s="53"/>
      <c r="C105" s="34"/>
      <c r="D105" s="13"/>
      <c r="E105" s="83"/>
      <c r="F105" s="13"/>
      <c r="G105" s="82"/>
      <c r="H105" s="82"/>
      <c r="I105" s="84"/>
      <c r="J105" s="85"/>
      <c r="K105" s="85"/>
      <c r="L105" s="85"/>
      <c r="M105" s="38"/>
      <c r="N105" s="38"/>
      <c r="O105" s="38"/>
      <c r="P105" s="38"/>
      <c r="Q105" s="31"/>
      <c r="R105" s="31"/>
      <c r="S105" s="31"/>
      <c r="T105" s="31"/>
      <c r="U105" s="31"/>
      <c r="V105" s="31"/>
      <c r="W105" s="31"/>
      <c r="X105" s="31"/>
      <c r="Y105" s="31"/>
      <c r="Z105" s="31"/>
      <c r="AA105" s="31"/>
      <c r="AB105" s="31"/>
      <c r="AC105" s="31"/>
      <c r="AD105" s="31"/>
    </row>
    <row r="106" spans="1:30" ht="22.5" customHeight="1">
      <c r="A106" s="82"/>
      <c r="B106" s="34"/>
      <c r="C106" s="34"/>
      <c r="D106" s="13"/>
      <c r="E106" s="83"/>
      <c r="F106" s="13"/>
      <c r="G106" s="82"/>
      <c r="H106" s="82"/>
      <c r="I106" s="84"/>
      <c r="J106" s="85"/>
      <c r="K106" s="85"/>
      <c r="L106" s="85"/>
      <c r="M106" s="38"/>
      <c r="N106" s="38"/>
      <c r="O106" s="38"/>
      <c r="P106" s="38"/>
      <c r="Q106" s="31"/>
      <c r="R106" s="31"/>
      <c r="S106" s="31"/>
      <c r="T106" s="31"/>
      <c r="U106" s="31"/>
      <c r="V106" s="31"/>
      <c r="W106" s="31"/>
      <c r="X106" s="31"/>
      <c r="Y106" s="31"/>
      <c r="Z106" s="31"/>
      <c r="AA106" s="31"/>
      <c r="AB106" s="31"/>
      <c r="AC106" s="31"/>
      <c r="AD106" s="31"/>
    </row>
    <row r="107" spans="1:30" ht="22.5" customHeight="1">
      <c r="A107" s="82"/>
      <c r="B107" s="53"/>
      <c r="C107" s="34"/>
      <c r="D107" s="13"/>
      <c r="E107" s="83"/>
      <c r="F107" s="13"/>
      <c r="G107" s="82"/>
      <c r="H107" s="82"/>
      <c r="I107" s="84"/>
      <c r="J107" s="85"/>
      <c r="K107" s="85"/>
      <c r="L107" s="85"/>
      <c r="M107" s="38"/>
      <c r="N107" s="38"/>
      <c r="O107" s="38"/>
      <c r="P107" s="38"/>
      <c r="Q107" s="31"/>
      <c r="R107" s="31"/>
      <c r="S107" s="31"/>
      <c r="T107" s="31"/>
      <c r="U107" s="31"/>
      <c r="V107" s="31"/>
      <c r="W107" s="31"/>
      <c r="X107" s="31"/>
      <c r="Y107" s="31"/>
      <c r="Z107" s="31"/>
      <c r="AA107" s="31"/>
      <c r="AB107" s="31"/>
      <c r="AC107" s="31"/>
      <c r="AD107" s="31"/>
    </row>
    <row r="108" spans="1:30" ht="22.5" customHeight="1">
      <c r="A108" s="82"/>
      <c r="B108" s="34"/>
      <c r="C108" s="34"/>
      <c r="D108" s="13"/>
      <c r="E108" s="83"/>
      <c r="F108" s="13"/>
      <c r="G108" s="82"/>
      <c r="H108" s="82"/>
      <c r="I108" s="84"/>
      <c r="J108" s="85"/>
      <c r="K108" s="85"/>
      <c r="L108" s="85"/>
      <c r="M108" s="38"/>
      <c r="N108" s="38"/>
      <c r="O108" s="38"/>
      <c r="P108" s="38"/>
      <c r="Q108" s="31"/>
      <c r="R108" s="31"/>
      <c r="S108" s="31"/>
      <c r="T108" s="31"/>
      <c r="U108" s="31"/>
      <c r="V108" s="31"/>
      <c r="W108" s="31"/>
      <c r="X108" s="31"/>
      <c r="Y108" s="31"/>
      <c r="Z108" s="31"/>
      <c r="AA108" s="31"/>
      <c r="AB108" s="31"/>
      <c r="AC108" s="31"/>
      <c r="AD108" s="31"/>
    </row>
    <row r="109" spans="1:30" ht="22.5" customHeight="1">
      <c r="A109" s="82"/>
      <c r="B109" s="53" t="e">
        <f>VLOOKUP(C109,Lists!I:J,2,FALSE)</f>
        <v>#N/A</v>
      </c>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900-000000000000}">
      <formula1>#REF!</formula1>
    </dataValidation>
    <dataValidation type="list" allowBlank="1" sqref="F2:F163" xr:uid="{00000000-0002-0000-0900-000002000000}">
      <formula1>"Yellow,Red"</formula1>
    </dataValidation>
    <dataValidation type="custom" allowBlank="1" showDropDown="1" sqref="AC4:AD14 S4:T14 AC17:AD25 S17:T25 AC30:AD46 S30:T46 S51:T60 AC51:AD60 S65:T72 AC65:AD72 S77:T84 AC77:AD84 A2:A163 G2:L163" xr:uid="{00000000-0002-0000-0900-000003000000}">
      <formula1>AND(ISNUMBER(A2),(NOT(OR(NOT(ISERROR(DATEVALUE(A2))), AND(ISNUMBER(A2), LEFT(CELL("format", A2))="D")))))</formula1>
    </dataValidation>
    <dataValidation allowBlank="1" showDropDown="1" sqref="E2:E163" xr:uid="{00000000-0002-0000-09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4</v>
      </c>
      <c r="B2" s="60" t="str">
        <f>VLOOKUP(C2,Lists!I:J,2,FALSE)</f>
        <v>Melee DPS</v>
      </c>
      <c r="C2" s="34" t="str">
        <f>VLOOKUP(E2&amp;D2,Lists!C:E,3,FALSE)</f>
        <v>Greatsword/Spear</v>
      </c>
      <c r="D2" s="35" t="s">
        <v>28</v>
      </c>
      <c r="E2" s="36" t="s">
        <v>331</v>
      </c>
      <c r="F2" s="35" t="s">
        <v>483</v>
      </c>
      <c r="G2" s="32">
        <v>40</v>
      </c>
      <c r="H2" s="32">
        <v>71</v>
      </c>
      <c r="I2" s="84">
        <f t="shared" ref="I2:I97" si="0">SUM(G2:H2)</f>
        <v>111</v>
      </c>
      <c r="J2" s="37">
        <v>2507171</v>
      </c>
      <c r="K2" s="37">
        <v>1337256</v>
      </c>
      <c r="L2" s="37">
        <v>15413</v>
      </c>
      <c r="M2" s="38">
        <f>I2/(HLOOKUP(F2,Team_Composition_23[[#All],[Yellow]:[Red]],10,FALSE)+HLOOKUP(F2,Team_Composition_23[[#All],[Yellow]:[Red]],11,FALSE))</f>
        <v>0.13520097442143728</v>
      </c>
      <c r="N2" s="38">
        <f>J2/HLOOKUP(F2,Team_Composition_23[[#All],[Yellow]:[Red]],6,FALSE)</f>
        <v>0.14208633919142122</v>
      </c>
      <c r="O2" s="38">
        <f>K2/HLOOKUP(F2,Team_Composition_23[[#All],[Yellow]:[Red]],8,FALSE)</f>
        <v>3.0381176927321191E-2</v>
      </c>
      <c r="P2" s="38">
        <f>L2/HLOOKUP(F2,Team_Composition_23[[#All],[Yellow]:[Red]],7,FALSE)</f>
        <v>6.3510549867525307E-4</v>
      </c>
      <c r="Q2" s="31"/>
      <c r="R2" s="227" t="s">
        <v>477</v>
      </c>
      <c r="S2" s="228"/>
      <c r="T2" s="228"/>
      <c r="U2" s="31"/>
      <c r="V2" s="229" t="s">
        <v>478</v>
      </c>
      <c r="W2" s="228"/>
      <c r="X2" s="39"/>
      <c r="Y2" s="229" t="s">
        <v>479</v>
      </c>
      <c r="Z2" s="228"/>
      <c r="AA2" s="31"/>
      <c r="AB2" s="227" t="s">
        <v>480</v>
      </c>
      <c r="AC2" s="228"/>
      <c r="AD2" s="228"/>
    </row>
    <row r="3" spans="1:30" ht="22.5" customHeight="1">
      <c r="A3" s="32">
        <v>14</v>
      </c>
      <c r="B3" s="67" t="str">
        <f>VLOOKUP(C3,Lists!I:J,2,FALSE)</f>
        <v>Melee DPS</v>
      </c>
      <c r="C3" s="34" t="str">
        <f>VLOOKUP(E3&amp;D3,Lists!C:E,3,FALSE)</f>
        <v>Greatsword/Spear</v>
      </c>
      <c r="D3" s="35" t="s">
        <v>28</v>
      </c>
      <c r="E3" s="36" t="s">
        <v>347</v>
      </c>
      <c r="F3" s="35" t="s">
        <v>476</v>
      </c>
      <c r="G3" s="32">
        <v>30</v>
      </c>
      <c r="H3" s="32">
        <v>80</v>
      </c>
      <c r="I3" s="84">
        <f t="shared" si="0"/>
        <v>110</v>
      </c>
      <c r="J3" s="37">
        <v>2381901</v>
      </c>
      <c r="K3" s="37">
        <v>1349138</v>
      </c>
      <c r="L3" s="37">
        <v>36548</v>
      </c>
      <c r="M3" s="38">
        <f>I3/(HLOOKUP(F3,Team_Composition_23[[#All],[Yellow]:[Red]],10,FALSE)+HLOOKUP(F3,Team_Composition_23[[#All],[Yellow]:[Red]],11,FALSE))</f>
        <v>2.749312671832042E-2</v>
      </c>
      <c r="N3" s="38">
        <f>J3/HLOOKUP(F3,Team_Composition_23[[#All],[Yellow]:[Red]],6,FALSE)</f>
        <v>5.3690446294124387E-2</v>
      </c>
      <c r="O3" s="38">
        <f>K3/HLOOKUP(F3,Team_Composition_23[[#All],[Yellow]:[Red]],8,FALSE)</f>
        <v>7.7011030972906028E-2</v>
      </c>
      <c r="P3" s="38">
        <f>L3/HLOOKUP(F3,Team_Composition_23[[#All],[Yellow]:[Red]],7,FALSE)</f>
        <v>2.8233787627346759E-3</v>
      </c>
      <c r="Q3" s="31"/>
      <c r="R3" s="41" t="s">
        <v>482</v>
      </c>
      <c r="S3" s="42" t="s">
        <v>476</v>
      </c>
      <c r="T3" s="42" t="s">
        <v>483</v>
      </c>
      <c r="U3" s="31"/>
      <c r="V3" s="43" t="s">
        <v>1</v>
      </c>
      <c r="W3" s="44" t="s">
        <v>467</v>
      </c>
      <c r="X3" s="31"/>
      <c r="Y3" s="43" t="s">
        <v>1</v>
      </c>
      <c r="Z3" s="44" t="s">
        <v>484</v>
      </c>
      <c r="AA3" s="31"/>
      <c r="AB3" s="41" t="s">
        <v>482</v>
      </c>
      <c r="AC3" s="42" t="s">
        <v>485</v>
      </c>
      <c r="AD3" s="42" t="s">
        <v>28</v>
      </c>
    </row>
    <row r="4" spans="1:30" ht="22.5" customHeight="1">
      <c r="A4" s="32">
        <v>5</v>
      </c>
      <c r="B4" s="62" t="str">
        <f>VLOOKUP(C4,Lists!I:J,2,FALSE)</f>
        <v>Melee DPS</v>
      </c>
      <c r="C4" s="34" t="str">
        <f>VLOOKUP(E4&amp;D4,Lists!C:E,3,FALSE)</f>
        <v>Spear/Dagger</v>
      </c>
      <c r="D4" s="35" t="s">
        <v>34</v>
      </c>
      <c r="E4" s="36" t="s">
        <v>104</v>
      </c>
      <c r="F4" s="35" t="s">
        <v>483</v>
      </c>
      <c r="G4" s="32">
        <v>37</v>
      </c>
      <c r="H4" s="32">
        <v>73</v>
      </c>
      <c r="I4" s="84">
        <f t="shared" si="0"/>
        <v>110</v>
      </c>
      <c r="J4" s="37">
        <v>2804263</v>
      </c>
      <c r="K4" s="37">
        <v>1264428</v>
      </c>
      <c r="L4" s="37">
        <v>28898</v>
      </c>
      <c r="M4" s="38">
        <f>I4/(HLOOKUP(F4,Team_Composition_23[[#All],[Yellow]:[Red]],10,FALSE)+HLOOKUP(F4,Team_Composition_23[[#All],[Yellow]:[Red]],11,FALSE))</f>
        <v>0.13398294762484775</v>
      </c>
      <c r="N4" s="38">
        <f>J4/HLOOKUP(F4,Team_Composition_23[[#All],[Yellow]:[Red]],6,FALSE)</f>
        <v>0.15892313041270517</v>
      </c>
      <c r="O4" s="38">
        <f>K4/HLOOKUP(F4,Team_Composition_23[[#All],[Yellow]:[Red]],8,FALSE)</f>
        <v>2.8726594444039792E-2</v>
      </c>
      <c r="P4" s="38">
        <f>L4/HLOOKUP(F4,Team_Composition_23[[#All],[Yellow]:[Red]],7,FALSE)</f>
        <v>1.1907661519962021E-3</v>
      </c>
      <c r="Q4" s="31"/>
      <c r="R4" s="45" t="s">
        <v>25</v>
      </c>
      <c r="S4" s="46">
        <f>COUNTIFS(Scoreboard_26[Role],R4,Scoreboard_26[Team],"Yellow")</f>
        <v>6</v>
      </c>
      <c r="T4" s="47">
        <f>COUNTIFS(Scoreboard_26[Role],R4,Scoreboard_26[Team],"Red")</f>
        <v>5</v>
      </c>
      <c r="U4" s="31"/>
      <c r="V4" s="48" t="str">
        <f ca="1">IFERROR(__xludf.DUMMYFUNCTION("query(A1:P238, ""Select E,I where B!='Healer' Order by I Desc Limit 10"", 0)"),"Paella")</f>
        <v>Paella</v>
      </c>
      <c r="W4" s="49">
        <f ca="1">IFERROR(__xludf.DUMMYFUNCTION("""COMPUTED_VALUE"""),111)</f>
        <v>111</v>
      </c>
      <c r="X4" s="31"/>
      <c r="Y4" s="48" t="str">
        <f ca="1">IFERROR(__xludf.DUMMYFUNCTION("query(A1:P238, ""Select E,J Order by J Desc Limit 10"", 0)"),"CLEM")</f>
        <v>CLEM</v>
      </c>
      <c r="Z4" s="49">
        <f ca="1">IFERROR(__xludf.DUMMYFUNCTION("""COMPUTED_VALUE"""),4095570)</f>
        <v>4095570</v>
      </c>
      <c r="AA4" s="31"/>
      <c r="AB4" s="45" t="s">
        <v>25</v>
      </c>
      <c r="AC4" s="50">
        <f>COUNTIFS(Scoreboard_26[Role],AB4,Scoreboard_26[Guild],"Best Regards")</f>
        <v>5</v>
      </c>
      <c r="AD4" s="51">
        <f>COUNTIFS(Scoreboard_26[Role],AB4,Scoreboard_26[Guild],"Undercooked")</f>
        <v>6</v>
      </c>
    </row>
    <row r="5" spans="1:30" ht="22.5" customHeight="1">
      <c r="A5" s="32">
        <v>1</v>
      </c>
      <c r="B5" s="61" t="str">
        <f>VLOOKUP(C5,Lists!I:J,2,FALSE)</f>
        <v>Melee DPS</v>
      </c>
      <c r="C5" s="34" t="str">
        <f>VLOOKUP(E5&amp;D5,Lists!C:E,3,FALSE)</f>
        <v>Greatsword/Spear</v>
      </c>
      <c r="D5" s="35" t="s">
        <v>34</v>
      </c>
      <c r="E5" s="36" t="s">
        <v>147</v>
      </c>
      <c r="F5" s="35" t="s">
        <v>476</v>
      </c>
      <c r="G5" s="32">
        <v>44</v>
      </c>
      <c r="H5" s="32">
        <v>63</v>
      </c>
      <c r="I5" s="84">
        <f t="shared" si="0"/>
        <v>107</v>
      </c>
      <c r="J5" s="37">
        <v>2150835</v>
      </c>
      <c r="K5" s="37">
        <v>2202074</v>
      </c>
      <c r="L5" s="37">
        <v>66143</v>
      </c>
      <c r="M5" s="38">
        <f>I5/(HLOOKUP(F5,Team_Composition_23[[#All],[Yellow]:[Red]],10,FALSE)+HLOOKUP(F5,Team_Composition_23[[#All],[Yellow]:[Red]],11,FALSE))</f>
        <v>2.6743314171457137E-2</v>
      </c>
      <c r="N5" s="38">
        <f>J5/HLOOKUP(F5,Team_Composition_23[[#All],[Yellow]:[Red]],6,FALSE)</f>
        <v>4.8481986050227542E-2</v>
      </c>
      <c r="O5" s="38">
        <f>K5/HLOOKUP(F5,Team_Composition_23[[#All],[Yellow]:[Red]],8,FALSE)</f>
        <v>0.12569803016343106</v>
      </c>
      <c r="P5" s="38">
        <f>L5/HLOOKUP(F5,Team_Composition_23[[#All],[Yellow]:[Red]],7,FALSE)</f>
        <v>5.1096295694308758E-3</v>
      </c>
      <c r="Q5" s="31"/>
      <c r="R5" s="45" t="s">
        <v>39</v>
      </c>
      <c r="S5" s="46">
        <f>COUNTIFS(Scoreboard_26[Role],R5,Scoreboard_26[Team],"Yellow")</f>
        <v>6</v>
      </c>
      <c r="T5" s="47">
        <f>COUNTIFS(Scoreboard_26[Role],R5,Scoreboard_26[Team],"Red")</f>
        <v>8</v>
      </c>
      <c r="U5" s="31"/>
      <c r="V5" s="48" t="str">
        <f ca="1">IFERROR(__xludf.DUMMYFUNCTION("""COMPUTED_VALUE"""),"Margheritaa")</f>
        <v>Margheritaa</v>
      </c>
      <c r="W5" s="49">
        <f ca="1">IFERROR(__xludf.DUMMYFUNCTION("""COMPUTED_VALUE"""),110)</f>
        <v>110</v>
      </c>
      <c r="X5" s="31"/>
      <c r="Y5" s="48" t="str">
        <f ca="1">IFERROR(__xludf.DUMMYFUNCTION("""COMPUTED_VALUE"""),"Ryujin")</f>
        <v>Ryujin</v>
      </c>
      <c r="Z5" s="49">
        <f ca="1">IFERROR(__xludf.DUMMYFUNCTION("""COMPUTED_VALUE"""),3262740)</f>
        <v>3262740</v>
      </c>
      <c r="AA5" s="31"/>
      <c r="AB5" s="45" t="s">
        <v>39</v>
      </c>
      <c r="AC5" s="50">
        <f>COUNTIFS(Scoreboard_26[Role],AB5,Scoreboard_26[Guild],"Best Regards")</f>
        <v>8</v>
      </c>
      <c r="AD5" s="51">
        <f>COUNTIFS(Scoreboard_26[Role],AB5,Scoreboard_26[Guild],"Undercooked")</f>
        <v>6</v>
      </c>
    </row>
    <row r="6" spans="1:30" ht="22.5" customHeight="1">
      <c r="A6" s="32">
        <v>10</v>
      </c>
      <c r="B6" s="33" t="str">
        <f>VLOOKUP(C6,Lists!I:J,2,FALSE)</f>
        <v>Ranged DPS</v>
      </c>
      <c r="C6" s="34" t="str">
        <f>VLOOKUP(E6&amp;D6,Lists!C:E,3,FALSE)</f>
        <v>Staff/Dagger</v>
      </c>
      <c r="D6" s="35" t="s">
        <v>34</v>
      </c>
      <c r="E6" s="36" t="s">
        <v>31</v>
      </c>
      <c r="F6" s="35" t="s">
        <v>483</v>
      </c>
      <c r="G6" s="32">
        <v>32</v>
      </c>
      <c r="H6" s="32">
        <v>75</v>
      </c>
      <c r="I6" s="84">
        <f t="shared" si="0"/>
        <v>107</v>
      </c>
      <c r="J6" s="37">
        <v>4095570</v>
      </c>
      <c r="K6" s="37">
        <v>1360163</v>
      </c>
      <c r="L6" s="37">
        <v>0</v>
      </c>
      <c r="M6" s="38">
        <f>I6/(HLOOKUP(F6,Team_Composition_23[[#All],[Yellow]:[Red]],10,FALSE)+HLOOKUP(F6,Team_Composition_23[[#All],[Yellow]:[Red]],11,FALSE))</f>
        <v>0.13032886723507917</v>
      </c>
      <c r="N6" s="38">
        <f>J6/HLOOKUP(F6,Team_Composition_23[[#All],[Yellow]:[Red]],6,FALSE)</f>
        <v>0.23210405201807496</v>
      </c>
      <c r="O6" s="38">
        <f>K6/HLOOKUP(F6,Team_Composition_23[[#All],[Yellow]:[Red]],8,FALSE)</f>
        <v>3.0901602051511431E-2</v>
      </c>
      <c r="P6" s="38">
        <f>L6/HLOOKUP(F6,Team_Composition_23[[#All],[Yellow]:[Red]],7,FALSE)</f>
        <v>0</v>
      </c>
      <c r="Q6" s="31"/>
      <c r="R6" s="45" t="s">
        <v>67</v>
      </c>
      <c r="S6" s="46">
        <f>COUNTIFS(Scoreboard_26[Role],R6,Scoreboard_26[Team],"Yellow")</f>
        <v>14</v>
      </c>
      <c r="T6" s="47">
        <f>COUNTIFS(Scoreboard_26[Role],R6,Scoreboard_26[Team],"Red")</f>
        <v>13</v>
      </c>
      <c r="U6" s="31"/>
      <c r="V6" s="48" t="str">
        <f ca="1">IFERROR(__xludf.DUMMYFUNCTION("""COMPUTED_VALUE"""),"Superluigi")</f>
        <v>Superluigi</v>
      </c>
      <c r="W6" s="49">
        <f ca="1">IFERROR(__xludf.DUMMYFUNCTION("""COMPUTED_VALUE"""),110)</f>
        <v>110</v>
      </c>
      <c r="X6" s="31"/>
      <c r="Y6" s="48" t="str">
        <f ca="1">IFERROR(__xludf.DUMMYFUNCTION("""COMPUTED_VALUE"""),"EnoughCrazy")</f>
        <v>EnoughCrazy</v>
      </c>
      <c r="Z6" s="49">
        <f ca="1">IFERROR(__xludf.DUMMYFUNCTION("""COMPUTED_VALUE"""),2963899)</f>
        <v>2963899</v>
      </c>
      <c r="AA6" s="31"/>
      <c r="AB6" s="45" t="s">
        <v>67</v>
      </c>
      <c r="AC6" s="50">
        <f>COUNTIFS(Scoreboard_26[Role],AB6,Scoreboard_26[Guild],"Best Regards")</f>
        <v>14</v>
      </c>
      <c r="AD6" s="51">
        <f>COUNTIFS(Scoreboard_26[Role],AB6,Scoreboard_26[Guild],"Undercooked")</f>
        <v>12</v>
      </c>
    </row>
    <row r="7" spans="1:30" ht="22.5" customHeight="1">
      <c r="A7" s="32">
        <v>7</v>
      </c>
      <c r="B7" s="67" t="str">
        <f>VLOOKUP(C7,Lists!I:J,2,FALSE)</f>
        <v>Melee DPS</v>
      </c>
      <c r="C7" s="34" t="str">
        <f>VLOOKUP(E7&amp;D7,Lists!C:E,3,FALSE)</f>
        <v>Greatsword/Spear</v>
      </c>
      <c r="D7" s="35" t="s">
        <v>28</v>
      </c>
      <c r="E7" s="36" t="s">
        <v>333</v>
      </c>
      <c r="F7" s="35" t="s">
        <v>483</v>
      </c>
      <c r="G7" s="32">
        <v>35</v>
      </c>
      <c r="H7" s="32">
        <v>65</v>
      </c>
      <c r="I7" s="84">
        <f t="shared" si="0"/>
        <v>100</v>
      </c>
      <c r="J7" s="37">
        <v>2143193</v>
      </c>
      <c r="K7" s="37">
        <v>1396297</v>
      </c>
      <c r="L7" s="37">
        <v>34185</v>
      </c>
      <c r="M7" s="38">
        <f>I7/(HLOOKUP(F7,Team_Composition_23[[#All],[Yellow]:[Red]],10,FALSE)+HLOOKUP(F7,Team_Composition_23[[#All],[Yellow]:[Red]],11,FALSE))</f>
        <v>0.1218026796589525</v>
      </c>
      <c r="N7" s="38">
        <f>J7/HLOOKUP(F7,Team_Composition_23[[#All],[Yellow]:[Red]],6,FALSE)</f>
        <v>0.12145898606464403</v>
      </c>
      <c r="O7" s="38">
        <f>K7/HLOOKUP(F7,Team_Composition_23[[#All],[Yellow]:[Red]],8,FALSE)</f>
        <v>3.1722531961036478E-2</v>
      </c>
      <c r="P7" s="38">
        <f>L7/HLOOKUP(F7,Team_Composition_23[[#All],[Yellow]:[Red]],7,FALSE)</f>
        <v>1.4086213892307484E-3</v>
      </c>
      <c r="Q7" s="31"/>
      <c r="R7" s="45" t="s">
        <v>11</v>
      </c>
      <c r="S7" s="46">
        <f>COUNTIFS(Scoreboard_26[Role],R7,Scoreboard_26[Team],"Yellow")</f>
        <v>18</v>
      </c>
      <c r="T7" s="47">
        <f>COUNTIFS(Scoreboard_26[Role],R7,Scoreboard_26[Team],"Red")</f>
        <v>17</v>
      </c>
      <c r="U7" s="31"/>
      <c r="V7" s="48" t="str">
        <f ca="1">IFERROR(__xludf.DUMMYFUNCTION("""COMPUTED_VALUE"""),"K")</f>
        <v>K</v>
      </c>
      <c r="W7" s="49">
        <f ca="1">IFERROR(__xludf.DUMMYFUNCTION("""COMPUTED_VALUE"""),107)</f>
        <v>107</v>
      </c>
      <c r="X7" s="31"/>
      <c r="Y7" s="48" t="str">
        <f ca="1">IFERROR(__xludf.DUMMYFUNCTION("""COMPUTED_VALUE"""),"cappuccino")</f>
        <v>cappuccino</v>
      </c>
      <c r="Z7" s="49">
        <f ca="1">IFERROR(__xludf.DUMMYFUNCTION("""COMPUTED_VALUE"""),2913784)</f>
        <v>2913784</v>
      </c>
      <c r="AA7" s="31"/>
      <c r="AB7" s="45" t="s">
        <v>11</v>
      </c>
      <c r="AC7" s="50">
        <f>COUNTIFS(Scoreboard_26[Role],AB7,Scoreboard_26[Guild],"Best Regards")</f>
        <v>18</v>
      </c>
      <c r="AD7" s="51">
        <f>COUNTIFS(Scoreboard_26[Role],AB7,Scoreboard_26[Guild],"Undercooked")</f>
        <v>17</v>
      </c>
    </row>
    <row r="8" spans="1:30" ht="22.5" customHeight="1">
      <c r="A8" s="32">
        <v>18</v>
      </c>
      <c r="B8" s="66" t="str">
        <f>VLOOKUP(C8,Lists!I:J,2,FALSE)</f>
        <v>Ranged DPS</v>
      </c>
      <c r="C8" s="34" t="str">
        <f>VLOOKUP(E8&amp;D8,Lists!C:E,3,FALSE)</f>
        <v>Staff/Dagger</v>
      </c>
      <c r="D8" s="35" t="s">
        <v>34</v>
      </c>
      <c r="E8" s="36" t="s">
        <v>158</v>
      </c>
      <c r="F8" s="35" t="s">
        <v>476</v>
      </c>
      <c r="G8" s="32">
        <v>24</v>
      </c>
      <c r="H8" s="32">
        <v>76</v>
      </c>
      <c r="I8" s="84">
        <f t="shared" si="0"/>
        <v>100</v>
      </c>
      <c r="J8" s="37">
        <v>2736550</v>
      </c>
      <c r="K8" s="37">
        <v>1023034</v>
      </c>
      <c r="L8" s="37">
        <v>29178</v>
      </c>
      <c r="M8" s="38">
        <f>I8/(HLOOKUP(F8,Team_Composition_23[[#All],[Yellow]:[Red]],10,FALSE)+HLOOKUP(F8,Team_Composition_23[[#All],[Yellow]:[Red]],11,FALSE))</f>
        <v>2.4993751562109472E-2</v>
      </c>
      <c r="N8" s="38">
        <f>J8/HLOOKUP(F8,Team_Composition_23[[#All],[Yellow]:[Red]],6,FALSE)</f>
        <v>6.1684591763547722E-2</v>
      </c>
      <c r="O8" s="38">
        <f>K8/HLOOKUP(F8,Team_Composition_23[[#All],[Yellow]:[Red]],8,FALSE)</f>
        <v>5.8396474682601736E-2</v>
      </c>
      <c r="P8" s="38">
        <f>L8/HLOOKUP(F8,Team_Composition_23[[#All],[Yellow]:[Red]],7,FALSE)</f>
        <v>2.2540370345592747E-3</v>
      </c>
      <c r="Q8" s="31"/>
      <c r="R8" s="45" t="s">
        <v>468</v>
      </c>
      <c r="S8" s="46">
        <f>SUMIFS(Scoreboard_26[Damage Dealt],Scoreboard_26[Team],"Yellow")</f>
        <v>31887455</v>
      </c>
      <c r="T8" s="47">
        <f>SUMIFS(Scoreboard_26[Damage Dealt],Scoreboard_26[Team],"Red")</f>
        <v>34463337</v>
      </c>
      <c r="U8" s="31"/>
      <c r="V8" s="48" t="str">
        <f ca="1">IFERROR(__xludf.DUMMYFUNCTION("""COMPUTED_VALUE"""),"CLEM")</f>
        <v>CLEM</v>
      </c>
      <c r="W8" s="49">
        <f ca="1">IFERROR(__xludf.DUMMYFUNCTION("""COMPUTED_VALUE"""),107)</f>
        <v>107</v>
      </c>
      <c r="X8" s="31"/>
      <c r="Y8" s="48" t="str">
        <f ca="1">IFERROR(__xludf.DUMMYFUNCTION("""COMPUTED_VALUE"""),"Superluigi")</f>
        <v>Superluigi</v>
      </c>
      <c r="Z8" s="49">
        <f ca="1">IFERROR(__xludf.DUMMYFUNCTION("""COMPUTED_VALUE"""),2804263)</f>
        <v>2804263</v>
      </c>
      <c r="AA8" s="31"/>
      <c r="AB8" s="45" t="s">
        <v>468</v>
      </c>
      <c r="AC8" s="50">
        <f>SUMIFS(Scoreboard_26[Damage Dealt],Scoreboard_26[Guild],"Best Regards")</f>
        <v>38072734</v>
      </c>
      <c r="AD8" s="51">
        <f>SUMIFS(Scoreboard_26[Damage Dealt],Scoreboard_26[Guild],"Undercooked")</f>
        <v>28058997</v>
      </c>
    </row>
    <row r="9" spans="1:30" ht="22.5" customHeight="1">
      <c r="A9" s="32">
        <v>11</v>
      </c>
      <c r="B9" s="73" t="str">
        <f>VLOOKUP(C9,Lists!I:J,2,FALSE)</f>
        <v>Ranged DPS</v>
      </c>
      <c r="C9" s="34" t="str">
        <f>VLOOKUP(E9&amp;D9,Lists!C:E,3,FALSE)</f>
        <v>Staff/Orb</v>
      </c>
      <c r="D9" s="35" t="s">
        <v>34</v>
      </c>
      <c r="E9" s="36" t="s">
        <v>160</v>
      </c>
      <c r="F9" s="35" t="s">
        <v>483</v>
      </c>
      <c r="G9" s="32">
        <v>32</v>
      </c>
      <c r="H9" s="32">
        <v>66</v>
      </c>
      <c r="I9" s="84">
        <f t="shared" si="0"/>
        <v>98</v>
      </c>
      <c r="J9" s="37">
        <v>2963899</v>
      </c>
      <c r="K9" s="37">
        <v>1335290</v>
      </c>
      <c r="L9" s="37">
        <v>22369</v>
      </c>
      <c r="M9" s="38">
        <f>I9/(HLOOKUP(F9,Team_Composition_23[[#All],[Yellow]:[Red]],10,FALSE)+HLOOKUP(F9,Team_Composition_23[[#All],[Yellow]:[Red]],11,FALSE))</f>
        <v>0.11936662606577345</v>
      </c>
      <c r="N9" s="38">
        <f>J9/HLOOKUP(F9,Team_Composition_23[[#All],[Yellow]:[Red]],6,FALSE)</f>
        <v>0.16797001825687763</v>
      </c>
      <c r="O9" s="38">
        <f>K9/HLOOKUP(F9,Team_Composition_23[[#All],[Yellow]:[Red]],8,FALSE)</f>
        <v>3.0336511288251995E-2</v>
      </c>
      <c r="P9" s="38">
        <f>L9/HLOOKUP(F9,Team_Composition_23[[#All],[Yellow]:[Red]],7,FALSE)</f>
        <v>9.2173327060706778E-4</v>
      </c>
      <c r="Q9" s="31"/>
      <c r="R9" s="45" t="s">
        <v>470</v>
      </c>
      <c r="S9" s="46">
        <f>SUMIFS(Scoreboard_26[Amount Healed],Scoreboard_26[Team],"Yellow")</f>
        <v>23610767</v>
      </c>
      <c r="T9" s="47">
        <f>SUMIFS(Scoreboard_26[Amount Healed],Scoreboard_26[Team],"Red")</f>
        <v>20778147</v>
      </c>
      <c r="U9" s="31"/>
      <c r="V9" s="48" t="str">
        <f ca="1">IFERROR(__xludf.DUMMYFUNCTION("""COMPUTED_VALUE"""),"Prosciutto")</f>
        <v>Prosciutto</v>
      </c>
      <c r="W9" s="49">
        <f ca="1">IFERROR(__xludf.DUMMYFUNCTION("""COMPUTED_VALUE"""),100)</f>
        <v>100</v>
      </c>
      <c r="X9" s="31"/>
      <c r="Y9" s="48" t="str">
        <f ca="1">IFERROR(__xludf.DUMMYFUNCTION("""COMPUTED_VALUE"""),"Ceviche")</f>
        <v>Ceviche</v>
      </c>
      <c r="Z9" s="49">
        <f ca="1">IFERROR(__xludf.DUMMYFUNCTION("""COMPUTED_VALUE"""),2736550)</f>
        <v>2736550</v>
      </c>
      <c r="AA9" s="31"/>
      <c r="AB9" s="45" t="s">
        <v>470</v>
      </c>
      <c r="AC9" s="50">
        <f>SUMIFS(Scoreboard_26[Amount Healed],Scoreboard_26[Guild],"Best Regards")</f>
        <v>20860955</v>
      </c>
      <c r="AD9" s="51">
        <f>SUMIFS(Scoreboard_26[Amount Healed],Scoreboard_26[Guild],"Undercooked")</f>
        <v>23494005</v>
      </c>
    </row>
    <row r="10" spans="1:30" ht="22.5" customHeight="1">
      <c r="A10" s="32">
        <v>3</v>
      </c>
      <c r="B10" s="60" t="str">
        <f>VLOOKUP(C10,Lists!I:J,2,FALSE)</f>
        <v>Ranged DPS</v>
      </c>
      <c r="C10" s="34" t="str">
        <f>VLOOKUP(E10&amp;D10,Lists!C:E,3,FALSE)</f>
        <v>Crossbow/SnS</v>
      </c>
      <c r="D10" s="35" t="s">
        <v>34</v>
      </c>
      <c r="E10" s="36" t="s">
        <v>141</v>
      </c>
      <c r="F10" s="35" t="s">
        <v>476</v>
      </c>
      <c r="G10" s="32">
        <v>42</v>
      </c>
      <c r="H10" s="32">
        <v>54</v>
      </c>
      <c r="I10" s="84">
        <f t="shared" si="0"/>
        <v>96</v>
      </c>
      <c r="J10" s="37">
        <v>2461648</v>
      </c>
      <c r="K10" s="37">
        <v>435839</v>
      </c>
      <c r="L10" s="37">
        <v>30340</v>
      </c>
      <c r="M10" s="38">
        <f>I10/(HLOOKUP(F10,Team_Composition_23[[#All],[Yellow]:[Red]],10,FALSE)+HLOOKUP(F10,Team_Composition_23[[#All],[Yellow]:[Red]],11,FALSE))</f>
        <v>2.3994001499625092E-2</v>
      </c>
      <c r="N10" s="38">
        <f>J10/HLOOKUP(F10,Team_Composition_23[[#All],[Yellow]:[Red]],6,FALSE)</f>
        <v>5.5488023951893346E-2</v>
      </c>
      <c r="O10" s="38">
        <f>K10/HLOOKUP(F10,Team_Composition_23[[#All],[Yellow]:[Red]],8,FALSE)</f>
        <v>2.4878411791974125E-2</v>
      </c>
      <c r="P10" s="38">
        <f>L10/HLOOKUP(F10,Team_Composition_23[[#All],[Yellow]:[Red]],7,FALSE)</f>
        <v>2.3438029895307558E-3</v>
      </c>
      <c r="Q10" s="31"/>
      <c r="R10" s="45" t="s">
        <v>469</v>
      </c>
      <c r="S10" s="46">
        <f>SUMIFS(Scoreboard_26[Damage Taken],Scoreboard_26[Team],"Yellow")</f>
        <v>34463122</v>
      </c>
      <c r="T10" s="47">
        <f>SUMIFS(Scoreboard_26[Damage Taken],Scoreboard_26[Team],"Red")</f>
        <v>31887890</v>
      </c>
      <c r="U10" s="31"/>
      <c r="V10" s="48" t="str">
        <f ca="1">IFERROR(__xludf.DUMMYFUNCTION("""COMPUTED_VALUE"""),"Ceviche")</f>
        <v>Ceviche</v>
      </c>
      <c r="W10" s="49">
        <f ca="1">IFERROR(__xludf.DUMMYFUNCTION("""COMPUTED_VALUE"""),100)</f>
        <v>100</v>
      </c>
      <c r="X10" s="31"/>
      <c r="Y10" s="48" t="str">
        <f ca="1">IFERROR(__xludf.DUMMYFUNCTION("""COMPUTED_VALUE"""),"Paella")</f>
        <v>Paella</v>
      </c>
      <c r="Z10" s="49">
        <f ca="1">IFERROR(__xludf.DUMMYFUNCTION("""COMPUTED_VALUE"""),2507171)</f>
        <v>2507171</v>
      </c>
      <c r="AA10" s="31"/>
      <c r="AB10" s="45" t="s">
        <v>469</v>
      </c>
      <c r="AC10" s="50">
        <f>SUMIFS(Scoreboard_26[Damage Taken],Scoreboard_26[Guild],"Best Regards")</f>
        <v>31301401</v>
      </c>
      <c r="AD10" s="51">
        <f>SUMIFS(Scoreboard_26[Damage Taken],Scoreboard_26[Guild],"Undercooked")</f>
        <v>34082210</v>
      </c>
    </row>
    <row r="11" spans="1:30" ht="22.5" customHeight="1">
      <c r="A11" s="32">
        <v>12</v>
      </c>
      <c r="B11" s="67" t="str">
        <f>VLOOKUP(C11,Lists!I:J,2,FALSE)</f>
        <v>Ranged DPS</v>
      </c>
      <c r="C11" s="34" t="str">
        <f>VLOOKUP(E11&amp;D11,Lists!C:E,3,FALSE)</f>
        <v>Crossbow/SnS</v>
      </c>
      <c r="D11" s="35" t="s">
        <v>34</v>
      </c>
      <c r="E11" s="36" t="s">
        <v>167</v>
      </c>
      <c r="F11" s="35" t="s">
        <v>476</v>
      </c>
      <c r="G11" s="32">
        <v>32</v>
      </c>
      <c r="H11" s="32">
        <v>62</v>
      </c>
      <c r="I11" s="84">
        <f t="shared" si="0"/>
        <v>94</v>
      </c>
      <c r="J11" s="37">
        <v>2286565</v>
      </c>
      <c r="K11" s="37">
        <v>508325</v>
      </c>
      <c r="L11" s="37">
        <v>0</v>
      </c>
      <c r="M11" s="38">
        <f>I11/(HLOOKUP(F11,Team_Composition_23[[#All],[Yellow]:[Red]],10,FALSE)+HLOOKUP(F11,Team_Composition_23[[#All],[Yellow]:[Red]],11,FALSE))</f>
        <v>2.3494126468382906E-2</v>
      </c>
      <c r="N11" s="38">
        <f>J11/HLOOKUP(F11,Team_Composition_23[[#All],[Yellow]:[Red]],6,FALSE)</f>
        <v>5.1541476883600335E-2</v>
      </c>
      <c r="O11" s="38">
        <f>K11/HLOOKUP(F11,Team_Composition_23[[#All],[Yellow]:[Red]],8,FALSE)</f>
        <v>2.9016032695915801E-2</v>
      </c>
      <c r="P11" s="38">
        <f>L11/HLOOKUP(F11,Team_Composition_23[[#All],[Yellow]:[Red]],7,FALSE)</f>
        <v>0</v>
      </c>
      <c r="Q11" s="31"/>
      <c r="R11" s="45" t="s">
        <v>495</v>
      </c>
      <c r="S11" s="46">
        <f ca="1">IFERROR(DIVIDE(SUMIFS(Scoreboard_26[Amount Healed],Scoreboard_26[Team],"Yellow"), SUMIFS(Scoreboard_26[Damage Taken],Scoreboard_26[Team],"Yellow"))*(100),0)</f>
        <v>0</v>
      </c>
      <c r="T11" s="47">
        <f ca="1">IFERROR(DIVIDE(SUMIFS(Scoreboard_26[Amount Healed],Scoreboard_26[Team],"Red"), SUMIFS(Scoreboard_26[Damage Taken],Scoreboard_26[Team],"Red"))*(100),0)</f>
        <v>0</v>
      </c>
      <c r="U11" s="31"/>
      <c r="V11" s="48" t="str">
        <f ca="1">IFERROR(__xludf.DUMMYFUNCTION("""COMPUTED_VALUE"""),"EnoughCrazy")</f>
        <v>EnoughCrazy</v>
      </c>
      <c r="W11" s="49">
        <f ca="1">IFERROR(__xludf.DUMMYFUNCTION("""COMPUTED_VALUE"""),98)</f>
        <v>98</v>
      </c>
      <c r="X11" s="31"/>
      <c r="Y11" s="48" t="str">
        <f ca="1">IFERROR(__xludf.DUMMYFUNCTION("""COMPUTED_VALUE"""),"Thundercats")</f>
        <v>Thundercats</v>
      </c>
      <c r="Z11" s="49">
        <f ca="1">IFERROR(__xludf.DUMMYFUNCTION("""COMPUTED_VALUE"""),2461648)</f>
        <v>2461648</v>
      </c>
      <c r="AA11" s="31"/>
      <c r="AB11" s="45" t="s">
        <v>495</v>
      </c>
      <c r="AC11" s="50">
        <f ca="1">IFERROR(DIVIDE(SUMIFS(Scoreboard_26[Amount Healed],Scoreboard_26[Guild],"Best Regards"), SUMIFS(Scoreboard_26[Damage Taken],Scoreboard_26[Guild],"Best Regards"))*(100),0)</f>
        <v>0</v>
      </c>
      <c r="AD11" s="51">
        <f ca="1">IFERROR(DIVIDE(SUMIFS(Scoreboard_26[Amount Healed],Scoreboard_26[Guild],"Undercooked"), SUMIFS(Scoreboard_26[Damage Taken],Scoreboard_26[Guild],"Undercooked"))*(100),0)</f>
        <v>0</v>
      </c>
    </row>
    <row r="12" spans="1:30" ht="22.5" customHeight="1">
      <c r="A12" s="32">
        <v>2</v>
      </c>
      <c r="B12" s="71" t="s">
        <v>25</v>
      </c>
      <c r="C12" s="34" t="str">
        <f>VLOOKUP(E12&amp;D12,Lists!C:E,3,FALSE)</f>
        <v>Crossbow/Dagger</v>
      </c>
      <c r="D12" s="35" t="s">
        <v>28</v>
      </c>
      <c r="E12" s="36" t="s">
        <v>330</v>
      </c>
      <c r="F12" s="35" t="s">
        <v>476</v>
      </c>
      <c r="G12" s="32">
        <v>43</v>
      </c>
      <c r="H12" s="32">
        <v>47</v>
      </c>
      <c r="I12" s="84">
        <f t="shared" si="0"/>
        <v>90</v>
      </c>
      <c r="J12" s="37">
        <v>1909031</v>
      </c>
      <c r="K12" s="37">
        <v>1289661</v>
      </c>
      <c r="L12" s="37">
        <v>0</v>
      </c>
      <c r="M12" s="38">
        <f>I12/(HLOOKUP(F12,Team_Composition_23[[#All],[Yellow]:[Red]],10,FALSE)+HLOOKUP(F12,Team_Composition_23[[#All],[Yellow]:[Red]],11,FALSE))</f>
        <v>2.2494376405898527E-2</v>
      </c>
      <c r="N12" s="38">
        <f>J12/HLOOKUP(F12,Team_Composition_23[[#All],[Yellow]:[Red]],6,FALSE)</f>
        <v>4.3031480476862206E-2</v>
      </c>
      <c r="O12" s="38">
        <f>K12/HLOOKUP(F12,Team_Composition_23[[#All],[Yellow]:[Red]],8,FALSE)</f>
        <v>7.3615985329557806E-2</v>
      </c>
      <c r="P12" s="38">
        <f>L12/HLOOKUP(F12,Team_Composition_23[[#All],[Yellow]:[Red]],7,FALSE)</f>
        <v>0</v>
      </c>
      <c r="Q12" s="31"/>
      <c r="R12" s="45" t="s">
        <v>465</v>
      </c>
      <c r="S12" s="46">
        <f>SUMIFS(Scoreboard_26[Kills],Scoreboard_26[Team],"Yellow")</f>
        <v>450</v>
      </c>
      <c r="T12" s="47">
        <f>SUMIFS(Scoreboard_26[Kills],Scoreboard_26[Team],"Red")</f>
        <v>425</v>
      </c>
      <c r="U12" s="31"/>
      <c r="V12" s="48" t="str">
        <f ca="1">IFERROR(__xludf.DUMMYFUNCTION("""COMPUTED_VALUE"""),"Thundercats")</f>
        <v>Thundercats</v>
      </c>
      <c r="W12" s="49">
        <f ca="1">IFERROR(__xludf.DUMMYFUNCTION("""COMPUTED_VALUE"""),96)</f>
        <v>96</v>
      </c>
      <c r="X12" s="31"/>
      <c r="Y12" s="48" t="str">
        <f ca="1">IFERROR(__xludf.DUMMYFUNCTION("""COMPUTED_VALUE"""),"Margheritaa")</f>
        <v>Margheritaa</v>
      </c>
      <c r="Z12" s="49">
        <f ca="1">IFERROR(__xludf.DUMMYFUNCTION("""COMPUTED_VALUE"""),2381901)</f>
        <v>2381901</v>
      </c>
      <c r="AA12" s="31"/>
      <c r="AB12" s="45" t="s">
        <v>465</v>
      </c>
      <c r="AC12" s="50">
        <f>SUMIFS(Scoreboard_26[Kills],Scoreboard_26[Guild],"Best Regards")</f>
        <v>500</v>
      </c>
      <c r="AD12" s="51">
        <f>SUMIFS(Scoreboard_26[Kills],Scoreboard_26[Guild],"Undercooked")</f>
        <v>373</v>
      </c>
    </row>
    <row r="13" spans="1:30" ht="22.5" customHeight="1">
      <c r="A13" s="32">
        <v>8</v>
      </c>
      <c r="B13" s="52" t="str">
        <f>VLOOKUP(C13,Lists!I:J,2,FALSE)</f>
        <v>Ranged DPS</v>
      </c>
      <c r="C13" s="34" t="str">
        <f>VLOOKUP(E13&amp;D13,Lists!C:E,3,FALSE)</f>
        <v>Staff/Orb</v>
      </c>
      <c r="D13" s="35" t="s">
        <v>34</v>
      </c>
      <c r="E13" s="36" t="s">
        <v>156</v>
      </c>
      <c r="F13" s="35" t="s">
        <v>476</v>
      </c>
      <c r="G13" s="32">
        <v>35</v>
      </c>
      <c r="H13" s="32">
        <v>54</v>
      </c>
      <c r="I13" s="84">
        <f t="shared" si="0"/>
        <v>89</v>
      </c>
      <c r="J13" s="37">
        <v>3262740</v>
      </c>
      <c r="K13" s="37">
        <v>1132479</v>
      </c>
      <c r="L13" s="37">
        <v>18184</v>
      </c>
      <c r="M13" s="38">
        <f>I13/(HLOOKUP(F13,Team_Composition_23[[#All],[Yellow]:[Red]],10,FALSE)+HLOOKUP(F13,Team_Composition_23[[#All],[Yellow]:[Red]],11,FALSE))</f>
        <v>2.224443889027743E-2</v>
      </c>
      <c r="N13" s="38">
        <f>J13/HLOOKUP(F13,Team_Composition_23[[#All],[Yellow]:[Red]],6,FALSE)</f>
        <v>7.3545444055689718E-2</v>
      </c>
      <c r="O13" s="38">
        <f>K13/HLOOKUP(F13,Team_Composition_23[[#All],[Yellow]:[Red]],8,FALSE)</f>
        <v>6.4643776504083081E-2</v>
      </c>
      <c r="P13" s="38">
        <f>L13/HLOOKUP(F13,Team_Composition_23[[#All],[Yellow]:[Red]],7,FALSE)</f>
        <v>1.404736768675915E-3</v>
      </c>
      <c r="Q13" s="31"/>
      <c r="R13" s="45" t="s">
        <v>466</v>
      </c>
      <c r="S13" s="46">
        <f>SUMIFS(Scoreboard_26[Assists],Scoreboard_26[Team],"Yellow")</f>
        <v>1957</v>
      </c>
      <c r="T13" s="47">
        <f>SUMIFS(Scoreboard_26[Assists],Scoreboard_26[Team],"Red")</f>
        <v>1834</v>
      </c>
      <c r="U13" s="31"/>
      <c r="V13" s="48" t="str">
        <f ca="1">IFERROR(__xludf.DUMMYFUNCTION("""COMPUTED_VALUE"""),"charigueya")</f>
        <v>charigueya</v>
      </c>
      <c r="W13" s="49">
        <f ca="1">IFERROR(__xludf.DUMMYFUNCTION("""COMPUTED_VALUE"""),94)</f>
        <v>94</v>
      </c>
      <c r="X13" s="31"/>
      <c r="Y13" s="48" t="str">
        <f ca="1">IFERROR(__xludf.DUMMYFUNCTION("""COMPUTED_VALUE"""),"charigueya")</f>
        <v>charigueya</v>
      </c>
      <c r="Z13" s="49">
        <f ca="1">IFERROR(__xludf.DUMMYFUNCTION("""COMPUTED_VALUE"""),2286565)</f>
        <v>2286565</v>
      </c>
      <c r="AA13" s="31"/>
      <c r="AB13" s="45" t="s">
        <v>466</v>
      </c>
      <c r="AC13" s="50">
        <f>SUMIFS(Scoreboard_26[Assists],Scoreboard_26[Guild],"Best Regards")</f>
        <v>2169</v>
      </c>
      <c r="AD13" s="51">
        <f>SUMIFS(Scoreboard_26[Assists],Scoreboard_26[Guild],"Undercooked")</f>
        <v>1604</v>
      </c>
    </row>
    <row r="14" spans="1:30" ht="22.5" customHeight="1">
      <c r="A14" s="32">
        <v>21</v>
      </c>
      <c r="B14" s="55" t="str">
        <f>VLOOKUP(C14,Lists!I:J,2,FALSE)</f>
        <v>Melee DPS</v>
      </c>
      <c r="C14" s="34" t="str">
        <f>VLOOKUP(E14&amp;D14,Lists!C:E,3,FALSE)</f>
        <v>Greatsword/Spear</v>
      </c>
      <c r="D14" s="35" t="s">
        <v>34</v>
      </c>
      <c r="E14" s="36" t="s">
        <v>145</v>
      </c>
      <c r="F14" s="35" t="s">
        <v>476</v>
      </c>
      <c r="G14" s="32">
        <v>21</v>
      </c>
      <c r="H14" s="32">
        <v>65</v>
      </c>
      <c r="I14" s="84">
        <f t="shared" si="0"/>
        <v>86</v>
      </c>
      <c r="J14" s="37">
        <v>1682628</v>
      </c>
      <c r="K14" s="37">
        <v>1914283</v>
      </c>
      <c r="L14" s="37">
        <v>28069</v>
      </c>
      <c r="M14" s="38">
        <f>I14/(HLOOKUP(F14,Team_Composition_23[[#All],[Yellow]:[Red]],10,FALSE)+HLOOKUP(F14,Team_Composition_23[[#All],[Yellow]:[Red]],11,FALSE))</f>
        <v>2.1494626343414147E-2</v>
      </c>
      <c r="N14" s="38">
        <f>J14/HLOOKUP(F14,Team_Composition_23[[#All],[Yellow]:[Red]],6,FALSE)</f>
        <v>3.7928128947000705E-2</v>
      </c>
      <c r="O14" s="38">
        <f>K14/HLOOKUP(F14,Team_Composition_23[[#All],[Yellow]:[Red]],8,FALSE)</f>
        <v>0.10927044335264996</v>
      </c>
      <c r="P14" s="38">
        <f>L14/HLOOKUP(F14,Team_Composition_23[[#All],[Yellow]:[Red]],7,FALSE)</f>
        <v>2.1683653959505204E-3</v>
      </c>
      <c r="Q14" s="31"/>
      <c r="R14" s="48"/>
      <c r="S14" s="58">
        <f t="shared" ref="S14:T14" si="1">SUM(S4:S7)</f>
        <v>44</v>
      </c>
      <c r="T14" s="58">
        <f t="shared" si="1"/>
        <v>43</v>
      </c>
      <c r="U14" s="31"/>
      <c r="V14" s="31"/>
      <c r="W14" s="31"/>
      <c r="X14" s="31"/>
      <c r="Y14" s="31"/>
      <c r="Z14" s="31"/>
      <c r="AA14" s="31"/>
      <c r="AB14" s="48"/>
      <c r="AC14" s="58"/>
      <c r="AD14" s="58"/>
    </row>
    <row r="15" spans="1:30" ht="22.5" customHeight="1">
      <c r="A15" s="32">
        <v>13</v>
      </c>
      <c r="B15" s="54" t="str">
        <f>VLOOKUP(C15,Lists!I:J,2,FALSE)</f>
        <v>KS</v>
      </c>
      <c r="C15" s="34" t="str">
        <f>VLOOKUP(E15&amp;D15,Lists!C:E,3,FALSE)</f>
        <v>Greatsword/Dagger</v>
      </c>
      <c r="D15" s="35" t="s">
        <v>34</v>
      </c>
      <c r="E15" s="36" t="s">
        <v>98</v>
      </c>
      <c r="F15" s="35" t="s">
        <v>483</v>
      </c>
      <c r="G15" s="32">
        <v>31</v>
      </c>
      <c r="H15" s="32">
        <v>53</v>
      </c>
      <c r="I15" s="84">
        <f t="shared" si="0"/>
        <v>84</v>
      </c>
      <c r="J15" s="37">
        <v>1747036</v>
      </c>
      <c r="K15" s="37">
        <v>877793</v>
      </c>
      <c r="L15" s="37">
        <v>57145</v>
      </c>
      <c r="M15" s="38">
        <f>I15/(HLOOKUP(F15,Team_Composition_23[[#All],[Yellow]:[Red]],10,FALSE)+HLOOKUP(F15,Team_Composition_23[[#All],[Yellow]:[Red]],11,FALSE))</f>
        <v>0.1023142509135201</v>
      </c>
      <c r="N15" s="38">
        <f>J15/HLOOKUP(F15,Team_Composition_23[[#All],[Yellow]:[Red]],6,FALSE)</f>
        <v>9.9007985365028459E-2</v>
      </c>
      <c r="O15" s="38">
        <f>K15/HLOOKUP(F15,Team_Composition_23[[#All],[Yellow]:[Red]],8,FALSE)</f>
        <v>1.9942617149269884E-2</v>
      </c>
      <c r="P15" s="38">
        <f>L15/HLOOKUP(F15,Team_Composition_23[[#All],[Yellow]:[Red]],7,FALSE)</f>
        <v>2.354707306935531E-3</v>
      </c>
      <c r="Q15" s="31"/>
      <c r="R15" s="227" t="s">
        <v>25</v>
      </c>
      <c r="S15" s="228"/>
      <c r="T15" s="228"/>
      <c r="U15" s="31"/>
      <c r="V15" s="229" t="s">
        <v>496</v>
      </c>
      <c r="W15" s="228"/>
      <c r="X15" s="31"/>
      <c r="Y15" s="229" t="s">
        <v>497</v>
      </c>
      <c r="Z15" s="228"/>
      <c r="AA15" s="31"/>
      <c r="AB15" s="227" t="s">
        <v>25</v>
      </c>
      <c r="AC15" s="228"/>
      <c r="AD15" s="228"/>
    </row>
    <row r="16" spans="1:30" ht="22.5" customHeight="1">
      <c r="A16" s="32">
        <v>15</v>
      </c>
      <c r="B16" s="68" t="s">
        <v>25</v>
      </c>
      <c r="C16" s="34" t="str">
        <f>VLOOKUP(E16&amp;D16,Lists!C:E,3,FALSE)</f>
        <v>Greatsword/Dagger</v>
      </c>
      <c r="D16" s="35" t="s">
        <v>28</v>
      </c>
      <c r="E16" s="36" t="s">
        <v>334</v>
      </c>
      <c r="F16" s="35" t="s">
        <v>476</v>
      </c>
      <c r="G16" s="32">
        <v>28</v>
      </c>
      <c r="H16" s="32">
        <v>55</v>
      </c>
      <c r="I16" s="84">
        <f t="shared" si="0"/>
        <v>83</v>
      </c>
      <c r="J16" s="37">
        <v>1615699</v>
      </c>
      <c r="K16" s="37">
        <v>1714297</v>
      </c>
      <c r="L16" s="37">
        <v>108513</v>
      </c>
      <c r="M16" s="38">
        <f>I16/(HLOOKUP(F16,Team_Composition_23[[#All],[Yellow]:[Red]],10,FALSE)+HLOOKUP(F16,Team_Composition_23[[#All],[Yellow]:[Red]],11,FALSE))</f>
        <v>2.0744813796550861E-2</v>
      </c>
      <c r="N16" s="38">
        <f>J16/HLOOKUP(F16,Team_Composition_23[[#All],[Yellow]:[Red]],6,FALSE)</f>
        <v>3.6419481912544002E-2</v>
      </c>
      <c r="O16" s="38">
        <f>K16/HLOOKUP(F16,Team_Composition_23[[#All],[Yellow]:[Red]],8,FALSE)</f>
        <v>9.7854911331353697E-2</v>
      </c>
      <c r="P16" s="38">
        <f>L16/HLOOKUP(F16,Team_Composition_23[[#All],[Yellow]:[Red]],7,FALSE)</f>
        <v>8.3827651220484811E-3</v>
      </c>
      <c r="Q16" s="31"/>
      <c r="R16" s="41" t="s">
        <v>482</v>
      </c>
      <c r="S16" s="42" t="s">
        <v>476</v>
      </c>
      <c r="T16" s="42" t="s">
        <v>483</v>
      </c>
      <c r="U16" s="31"/>
      <c r="V16" s="43" t="s">
        <v>1</v>
      </c>
      <c r="W16" s="44" t="s">
        <v>498</v>
      </c>
      <c r="X16" s="31"/>
      <c r="Y16" s="43" t="s">
        <v>1</v>
      </c>
      <c r="Z16" s="44" t="s">
        <v>499</v>
      </c>
      <c r="AA16" s="31"/>
      <c r="AB16" s="41" t="s">
        <v>482</v>
      </c>
      <c r="AC16" s="42" t="s">
        <v>485</v>
      </c>
      <c r="AD16" s="42" t="s">
        <v>28</v>
      </c>
    </row>
    <row r="17" spans="1:30" ht="22.5" customHeight="1">
      <c r="A17" s="32">
        <v>26</v>
      </c>
      <c r="B17" s="59" t="str">
        <f>VLOOKUP(C17,Lists!I:J,2,FALSE)</f>
        <v>Ranged DPS</v>
      </c>
      <c r="C17" s="34" t="str">
        <f>VLOOKUP(E17&amp;D17,Lists!C:E,3,FALSE)</f>
        <v>Staff/Dagger</v>
      </c>
      <c r="D17" s="35" t="s">
        <v>28</v>
      </c>
      <c r="E17" s="36" t="s">
        <v>371</v>
      </c>
      <c r="F17" s="35" t="s">
        <v>483</v>
      </c>
      <c r="G17" s="32">
        <v>17</v>
      </c>
      <c r="H17" s="32">
        <v>66</v>
      </c>
      <c r="I17" s="84">
        <f t="shared" si="0"/>
        <v>83</v>
      </c>
      <c r="J17" s="37">
        <v>1963585</v>
      </c>
      <c r="K17" s="37">
        <v>1149081</v>
      </c>
      <c r="L17" s="37">
        <v>8442</v>
      </c>
      <c r="M17" s="38">
        <f>I17/(HLOOKUP(F17,Team_Composition_23[[#All],[Yellow]:[Red]],10,FALSE)+HLOOKUP(F17,Team_Composition_23[[#All],[Yellow]:[Red]],11,FALSE))</f>
        <v>0.10109622411693057</v>
      </c>
      <c r="N17" s="38">
        <f>J17/HLOOKUP(F17,Team_Composition_23[[#All],[Yellow]:[Red]],6,FALSE)</f>
        <v>0.11128024548033894</v>
      </c>
      <c r="O17" s="38">
        <f>K17/HLOOKUP(F17,Team_Composition_23[[#All],[Yellow]:[Red]],8,FALSE)</f>
        <v>2.6106020959953187E-2</v>
      </c>
      <c r="P17" s="38">
        <f>L17/HLOOKUP(F17,Team_Composition_23[[#All],[Yellow]:[Red]],7,FALSE)</f>
        <v>3.4785963925364866E-4</v>
      </c>
      <c r="Q17" s="31"/>
      <c r="R17" s="45" t="s">
        <v>468</v>
      </c>
      <c r="S17" s="46">
        <f>SUMIFS(Scoreboard_26[Damage Dealt],Scoreboard_26[Role],"Melee DPS",Scoreboard_26[Team],"Yellow")</f>
        <v>10903916</v>
      </c>
      <c r="T17" s="47">
        <f>SUMIFS(Scoreboard_26[Damage Dealt],Scoreboard_26[Role],"Melee DPS",Scoreboard_26[Team],"Red")</f>
        <v>10408175</v>
      </c>
      <c r="U17" s="31"/>
      <c r="V17" s="48" t="str">
        <f ca="1">IFERROR(__xludf.DUMMYFUNCTION("query(A1:P238, ""Select E,K Order by K Desc Limit 10"", 0)"),"K")</f>
        <v>K</v>
      </c>
      <c r="W17" s="49">
        <f ca="1">IFERROR(__xludf.DUMMYFUNCTION("""COMPUTED_VALUE"""),2202074)</f>
        <v>2202074</v>
      </c>
      <c r="X17" s="31"/>
      <c r="Y17" s="48" t="str">
        <f ca="1">IFERROR(__xludf.DUMMYFUNCTION("query(A1:P238, ""Select E,L Order by L Desc Limit 10"", 0)"),"Z")</f>
        <v>Z</v>
      </c>
      <c r="Z17" s="49">
        <f ca="1">IFERROR(__xludf.DUMMYFUNCTION("""COMPUTED_VALUE"""),3236639)</f>
        <v>3236639</v>
      </c>
      <c r="AA17" s="31"/>
      <c r="AB17" s="45" t="s">
        <v>468</v>
      </c>
      <c r="AC17" s="50">
        <f>SUMIFS(Scoreboard_26[Damage Dealt],Scoreboard_26[Role],"Melee DPS",Scoreboard_26[Guild],"Best Regards")</f>
        <v>9591274</v>
      </c>
      <c r="AD17" s="51">
        <f>SUMIFS(Scoreboard_26[Damage Dealt],Scoreboard_26[Role],"Melee DPS",Scoreboard_26[Guild],"Undercooked")</f>
        <v>11720817</v>
      </c>
    </row>
    <row r="18" spans="1:30" ht="22.5" customHeight="1">
      <c r="A18" s="32">
        <v>45</v>
      </c>
      <c r="B18" s="66" t="str">
        <f>VLOOKUP(C18,Lists!I:J,2,FALSE)</f>
        <v>Healer</v>
      </c>
      <c r="C18" s="34" t="str">
        <f>VLOOKUP(E18&amp;D18,Lists!C:E,3,FALSE)</f>
        <v>Wand/Longbow</v>
      </c>
      <c r="D18" s="35" t="s">
        <v>28</v>
      </c>
      <c r="E18" s="36" t="s">
        <v>338</v>
      </c>
      <c r="F18" s="35" t="s">
        <v>476</v>
      </c>
      <c r="G18" s="32">
        <v>0</v>
      </c>
      <c r="H18" s="32">
        <v>82</v>
      </c>
      <c r="I18" s="84">
        <f t="shared" si="0"/>
        <v>82</v>
      </c>
      <c r="J18" s="37">
        <v>44063</v>
      </c>
      <c r="K18" s="37">
        <v>336221</v>
      </c>
      <c r="L18" s="37">
        <v>2691484</v>
      </c>
      <c r="M18" s="38">
        <f>I18/(HLOOKUP(F18,Team_Composition_23[[#All],[Yellow]:[Red]],10,FALSE)+HLOOKUP(F18,Team_Composition_23[[#All],[Yellow]:[Red]],11,FALSE))</f>
        <v>2.0494876280929768E-2</v>
      </c>
      <c r="N18" s="38">
        <f>J18/HLOOKUP(F18,Team_Composition_23[[#All],[Yellow]:[Red]],6,FALSE)</f>
        <v>9.9322437626836826E-4</v>
      </c>
      <c r="O18" s="38">
        <f>K18/HLOOKUP(F18,Team_Composition_23[[#All],[Yellow]:[Red]],8,FALSE)</f>
        <v>1.9192051402259394E-2</v>
      </c>
      <c r="P18" s="38">
        <f>L18/HLOOKUP(F18,Team_Composition_23[[#All],[Yellow]:[Red]],7,FALSE)</f>
        <v>0.20792050907957141</v>
      </c>
      <c r="Q18" s="31"/>
      <c r="R18" s="45" t="s">
        <v>469</v>
      </c>
      <c r="S18" s="46">
        <f>SUMIFS(Scoreboard_26[Damage Taken],Scoreboard_26[Role],"Melee DPS",Scoreboard_26[Team],"Yellow")</f>
        <v>9765467</v>
      </c>
      <c r="T18" s="47">
        <f>SUMIFS(Scoreboard_26[Damage Taken],Scoreboard_26[Role],"Melee DPS",Scoreboard_26[Team],"Red")</f>
        <v>5933571</v>
      </c>
      <c r="U18" s="31"/>
      <c r="V18" s="48" t="str">
        <f ca="1">IFERROR(__xludf.DUMMYFUNCTION("""COMPUTED_VALUE"""),"B")</f>
        <v>B</v>
      </c>
      <c r="W18" s="49">
        <f ca="1">IFERROR(__xludf.DUMMYFUNCTION("""COMPUTED_VALUE"""),1914283)</f>
        <v>1914283</v>
      </c>
      <c r="X18" s="31"/>
      <c r="Y18" s="48" t="str">
        <f ca="1">IFERROR(__xludf.DUMMYFUNCTION("""COMPUTED_VALUE"""),"ShiFood")</f>
        <v>ShiFood</v>
      </c>
      <c r="Z18" s="49">
        <f ca="1">IFERROR(__xludf.DUMMYFUNCTION("""COMPUTED_VALUE"""),2873826)</f>
        <v>2873826</v>
      </c>
      <c r="AA18" s="31"/>
      <c r="AB18" s="45" t="s">
        <v>469</v>
      </c>
      <c r="AC18" s="50">
        <f>SUMIFS(Scoreboard_26[Damage Taken],Scoreboard_26[Role],"Melee DPS",Scoreboard_26[Guild],"Best Regards")</f>
        <v>7316375</v>
      </c>
      <c r="AD18" s="51">
        <f>SUMIFS(Scoreboard_26[Damage Taken],Scoreboard_26[Role],"Melee DPS",Scoreboard_26[Guild],"Undercooked")</f>
        <v>8382663</v>
      </c>
    </row>
    <row r="19" spans="1:30" ht="22.5" customHeight="1">
      <c r="A19" s="32">
        <v>9</v>
      </c>
      <c r="B19" s="65" t="str">
        <f>VLOOKUP(C19,Lists!I:J,2,FALSE)</f>
        <v>Ranged DPS</v>
      </c>
      <c r="C19" s="34" t="str">
        <f>VLOOKUP(E19&amp;D19,Lists!C:E,3,FALSE)</f>
        <v>Staff/Orb</v>
      </c>
      <c r="D19" s="35" t="s">
        <v>28</v>
      </c>
      <c r="E19" s="36" t="s">
        <v>368</v>
      </c>
      <c r="F19" s="35" t="s">
        <v>476</v>
      </c>
      <c r="G19" s="32">
        <v>33</v>
      </c>
      <c r="H19" s="32">
        <v>49</v>
      </c>
      <c r="I19" s="84">
        <f t="shared" si="0"/>
        <v>82</v>
      </c>
      <c r="J19" s="37">
        <v>2913784</v>
      </c>
      <c r="K19" s="37">
        <v>1387844</v>
      </c>
      <c r="L19" s="37">
        <v>116291</v>
      </c>
      <c r="M19" s="38">
        <f>I19/(HLOOKUP(F19,Team_Composition_23[[#All],[Yellow]:[Red]],10,FALSE)+HLOOKUP(F19,Team_Composition_23[[#All],[Yellow]:[Red]],11,FALSE))</f>
        <v>2.0494876280929768E-2</v>
      </c>
      <c r="N19" s="38">
        <f>J19/HLOOKUP(F19,Team_Composition_23[[#All],[Yellow]:[Red]],6,FALSE)</f>
        <v>6.5679624537157061E-2</v>
      </c>
      <c r="O19" s="38">
        <f>K19/HLOOKUP(F19,Team_Composition_23[[#All],[Yellow]:[Red]],8,FALSE)</f>
        <v>7.9220433543167407E-2</v>
      </c>
      <c r="P19" s="38">
        <f>L19/HLOOKUP(F19,Team_Composition_23[[#All],[Yellow]:[Red]],7,FALSE)</f>
        <v>8.9836253610916655E-3</v>
      </c>
      <c r="Q19" s="31"/>
      <c r="R19" s="45" t="s">
        <v>470</v>
      </c>
      <c r="S19" s="46">
        <f>SUMIFS(Scoreboard_26[Amount Healed],Scoreboard_26[Role],"Melee DPS",Scoreboard_26[Team],"Yellow")</f>
        <v>283406</v>
      </c>
      <c r="T19" s="47">
        <f>SUMIFS(Scoreboard_26[Amount Healed],Scoreboard_26[Role],"Melee DPS",Scoreboard_26[Team],"Red")</f>
        <v>84904</v>
      </c>
      <c r="U19" s="31"/>
      <c r="V19" s="48" t="str">
        <f ca="1">IFERROR(__xludf.DUMMYFUNCTION("""COMPUTED_VALUE"""),"ALilSnakes")</f>
        <v>ALilSnakes</v>
      </c>
      <c r="W19" s="49">
        <f ca="1">IFERROR(__xludf.DUMMYFUNCTION("""COMPUTED_VALUE"""),1714297)</f>
        <v>1714297</v>
      </c>
      <c r="X19" s="31"/>
      <c r="Y19" s="48" t="str">
        <f ca="1">IFERROR(__xludf.DUMMYFUNCTION("""COMPUTED_VALUE"""),"Biscuit")</f>
        <v>Biscuit</v>
      </c>
      <c r="Z19" s="49">
        <f ca="1">IFERROR(__xludf.DUMMYFUNCTION("""COMPUTED_VALUE"""),2691484)</f>
        <v>2691484</v>
      </c>
      <c r="AA19" s="31"/>
      <c r="AB19" s="45" t="s">
        <v>470</v>
      </c>
      <c r="AC19" s="50">
        <f>SUMIFS(Scoreboard_26[Amount Healed],Scoreboard_26[Role],"Melee DPS",Scoreboard_26[Guild],"Best Regards")</f>
        <v>129518</v>
      </c>
      <c r="AD19" s="51">
        <f>SUMIFS(Scoreboard_26[Amount Healed],Scoreboard_26[Role],"Melee DPS",Scoreboard_26[Guild],"Undercooked")</f>
        <v>238792</v>
      </c>
    </row>
    <row r="20" spans="1:30" ht="22.5" customHeight="1">
      <c r="A20" s="32">
        <v>46</v>
      </c>
      <c r="B20" s="69" t="str">
        <f>VLOOKUP(C20,Lists!I:J,2,FALSE)</f>
        <v>Healer</v>
      </c>
      <c r="C20" s="34" t="str">
        <f>VLOOKUP(E20&amp;D20,Lists!C:E,3,FALSE)</f>
        <v>Wand/Orb</v>
      </c>
      <c r="D20" s="35" t="s">
        <v>34</v>
      </c>
      <c r="E20" s="36" t="s">
        <v>139</v>
      </c>
      <c r="F20" s="35" t="s">
        <v>483</v>
      </c>
      <c r="G20" s="32">
        <v>0</v>
      </c>
      <c r="H20" s="32">
        <v>78</v>
      </c>
      <c r="I20" s="84">
        <f t="shared" si="0"/>
        <v>78</v>
      </c>
      <c r="J20" s="37">
        <v>6233</v>
      </c>
      <c r="K20" s="37">
        <v>158471</v>
      </c>
      <c r="L20" s="37">
        <v>723278</v>
      </c>
      <c r="M20" s="38">
        <f>I20/(HLOOKUP(F20,Team_Composition_23[[#All],[Yellow]:[Red]],10,FALSE)+HLOOKUP(F20,Team_Composition_23[[#All],[Yellow]:[Red]],11,FALSE))</f>
        <v>9.5006090133982951E-2</v>
      </c>
      <c r="N20" s="38">
        <f>J20/HLOOKUP(F20,Team_Composition_23[[#All],[Yellow]:[Red]],6,FALSE)</f>
        <v>3.5323643747479867E-4</v>
      </c>
      <c r="O20" s="38">
        <f>K20/HLOOKUP(F20,Team_Composition_23[[#All],[Yellow]:[Red]],8,FALSE)</f>
        <v>3.6003095060702785E-3</v>
      </c>
      <c r="P20" s="38">
        <f>L20/HLOOKUP(F20,Team_Composition_23[[#All],[Yellow]:[Red]],7,FALSE)</f>
        <v>2.9803272229341444E-2</v>
      </c>
      <c r="Q20" s="31"/>
      <c r="R20" s="45" t="s">
        <v>465</v>
      </c>
      <c r="S20" s="46">
        <f>SUMIFS(Scoreboard_26[Kills],Scoreboard_26[Role],"Melee DPS",Scoreboard_26[Team],"Yellow")</f>
        <v>177</v>
      </c>
      <c r="T20" s="47">
        <f>SUMIFS(Scoreboard_26[Kills],Scoreboard_26[Role],"Melee DPS",Scoreboard_26[Team],"Red")</f>
        <v>152</v>
      </c>
      <c r="U20" s="31"/>
      <c r="V20" s="48" t="str">
        <f ca="1">IFERROR(__xludf.DUMMYFUNCTION("""COMPUTED_VALUE"""),"Prosciutto")</f>
        <v>Prosciutto</v>
      </c>
      <c r="W20" s="49">
        <f ca="1">IFERROR(__xludf.DUMMYFUNCTION("""COMPUTED_VALUE"""),1396297)</f>
        <v>1396297</v>
      </c>
      <c r="X20" s="31"/>
      <c r="Y20" s="48" t="str">
        <f ca="1">IFERROR(__xludf.DUMMYFUNCTION("""COMPUTED_VALUE"""),"EgirlWaifu")</f>
        <v>EgirlWaifu</v>
      </c>
      <c r="Z20" s="49">
        <f ca="1">IFERROR(__xludf.DUMMYFUNCTION("""COMPUTED_VALUE"""),2579326)</f>
        <v>2579326</v>
      </c>
      <c r="AA20" s="31"/>
      <c r="AB20" s="45" t="s">
        <v>465</v>
      </c>
      <c r="AC20" s="50">
        <f>SUMIFS(Scoreboard_26[Kills],Scoreboard_26[Role],"Melee DPS",Scoreboard_26[Guild],"Best Regards")</f>
        <v>142</v>
      </c>
      <c r="AD20" s="51">
        <f>SUMIFS(Scoreboard_26[Kills],Scoreboard_26[Role],"Melee DPS",Scoreboard_26[Guild],"Undercooked")</f>
        <v>187</v>
      </c>
    </row>
    <row r="21" spans="1:30" ht="22.5" customHeight="1">
      <c r="A21" s="32">
        <v>47</v>
      </c>
      <c r="B21" s="65" t="str">
        <f>VLOOKUP(C21,Lists!I:J,2,FALSE)</f>
        <v>Healer</v>
      </c>
      <c r="C21" s="34" t="str">
        <f>VLOOKUP(E21&amp;D21,Lists!C:E,3,FALSE)</f>
        <v>Wand/Orb</v>
      </c>
      <c r="D21" s="35" t="s">
        <v>34</v>
      </c>
      <c r="E21" s="36" t="s">
        <v>183</v>
      </c>
      <c r="F21" s="35" t="s">
        <v>476</v>
      </c>
      <c r="G21" s="32">
        <v>0</v>
      </c>
      <c r="H21" s="32">
        <v>74</v>
      </c>
      <c r="I21" s="84">
        <f t="shared" si="0"/>
        <v>74</v>
      </c>
      <c r="J21" s="37">
        <v>6723</v>
      </c>
      <c r="K21" s="37">
        <v>478884</v>
      </c>
      <c r="L21" s="37">
        <v>706620</v>
      </c>
      <c r="M21" s="38">
        <f>I21/(HLOOKUP(F21,Team_Composition_23[[#All],[Yellow]:[Red]],10,FALSE)+HLOOKUP(F21,Team_Composition_23[[#All],[Yellow]:[Red]],11,FALSE))</f>
        <v>1.8495376155961009E-2</v>
      </c>
      <c r="N21" s="38">
        <f>J21/HLOOKUP(F21,Team_Composition_23[[#All],[Yellow]:[Red]],6,FALSE)</f>
        <v>1.5154318774600551E-4</v>
      </c>
      <c r="O21" s="38">
        <f>K21/HLOOKUP(F21,Team_Composition_23[[#All],[Yellow]:[Red]],8,FALSE)</f>
        <v>2.7335491666848854E-2</v>
      </c>
      <c r="P21" s="38">
        <f>L21/HLOOKUP(F21,Team_Composition_23[[#All],[Yellow]:[Red]],7,FALSE)</f>
        <v>5.4587279777924283E-2</v>
      </c>
      <c r="Q21" s="31"/>
      <c r="R21" s="45" t="s">
        <v>466</v>
      </c>
      <c r="S21" s="46">
        <f>SUMIFS(Scoreboard_26[Assists],Scoreboard_26[Role],"Melee DPS",Scoreboard_26[Team],"Yellow")</f>
        <v>355</v>
      </c>
      <c r="T21" s="47">
        <f>SUMIFS(Scoreboard_26[Assists],Scoreboard_26[Role],"Melee DPS",Scoreboard_26[Team],"Red")</f>
        <v>300</v>
      </c>
      <c r="U21" s="31"/>
      <c r="V21" s="48" t="str">
        <f ca="1">IFERROR(__xludf.DUMMYFUNCTION("""COMPUTED_VALUE"""),"cappuccino")</f>
        <v>cappuccino</v>
      </c>
      <c r="W21" s="49">
        <f ca="1">IFERROR(__xludf.DUMMYFUNCTION("""COMPUTED_VALUE"""),1387844)</f>
        <v>1387844</v>
      </c>
      <c r="X21" s="31"/>
      <c r="Y21" s="48" t="str">
        <f ca="1">IFERROR(__xludf.DUMMYFUNCTION("""COMPUTED_VALUE"""),"apgonzo")</f>
        <v>apgonzo</v>
      </c>
      <c r="Z21" s="49">
        <f ca="1">IFERROR(__xludf.DUMMYFUNCTION("""COMPUTED_VALUE"""),2565762)</f>
        <v>2565762</v>
      </c>
      <c r="AA21" s="31"/>
      <c r="AB21" s="45" t="s">
        <v>466</v>
      </c>
      <c r="AC21" s="50">
        <f>SUMIFS(Scoreboard_26[Assists],Scoreboard_26[Role],"Melee DPS",Scoreboard_26[Guild],"Best Regards")</f>
        <v>292</v>
      </c>
      <c r="AD21" s="51">
        <f>SUMIFS(Scoreboard_26[Assists],Scoreboard_26[Role],"Melee DPS",Scoreboard_26[Guild],"Undercooked")</f>
        <v>363</v>
      </c>
    </row>
    <row r="22" spans="1:30" ht="22.5" customHeight="1">
      <c r="A22" s="32">
        <v>16</v>
      </c>
      <c r="B22" s="60" t="str">
        <f>VLOOKUP(C22,Lists!I:J,2,FALSE)</f>
        <v>KS</v>
      </c>
      <c r="C22" s="34" t="str">
        <f>VLOOKUP(E22&amp;D22,Lists!C:E,3,FALSE)</f>
        <v>Crossbow/Dagger</v>
      </c>
      <c r="D22" s="35" t="s">
        <v>34</v>
      </c>
      <c r="E22" s="36" t="s">
        <v>504</v>
      </c>
      <c r="F22" s="35" t="s">
        <v>483</v>
      </c>
      <c r="G22" s="32">
        <v>27</v>
      </c>
      <c r="H22" s="32">
        <v>46</v>
      </c>
      <c r="I22" s="84">
        <f t="shared" si="0"/>
        <v>73</v>
      </c>
      <c r="J22" s="37">
        <v>1515395</v>
      </c>
      <c r="K22" s="37">
        <v>748703</v>
      </c>
      <c r="L22" s="37">
        <v>0</v>
      </c>
      <c r="M22" s="38">
        <f>I22/(HLOOKUP(F22,Team_Composition_23[[#All],[Yellow]:[Red]],10,FALSE)+HLOOKUP(F22,Team_Composition_23[[#All],[Yellow]:[Red]],11,FALSE))</f>
        <v>8.8915956151035327E-2</v>
      </c>
      <c r="N22" s="38">
        <f>J22/HLOOKUP(F22,Team_Composition_23[[#All],[Yellow]:[Red]],6,FALSE)</f>
        <v>8.5880431761129875E-2</v>
      </c>
      <c r="O22" s="38">
        <f>K22/HLOOKUP(F22,Team_Composition_23[[#All],[Yellow]:[Red]],8,FALSE)</f>
        <v>1.7009815853521057E-2</v>
      </c>
      <c r="P22" s="38">
        <f>L22/HLOOKUP(F22,Team_Composition_23[[#All],[Yellow]:[Red]],7,FALSE)</f>
        <v>0</v>
      </c>
      <c r="Q22" s="31"/>
      <c r="R22" s="45" t="s">
        <v>24</v>
      </c>
      <c r="S22" s="46">
        <f t="shared" ref="S22:S25" si="2">COUNTIFS(C:C,R22,F:F,"Yellow")</f>
        <v>0</v>
      </c>
      <c r="T22" s="47">
        <f t="shared" ref="T22:T25" si="3">COUNTIFS(C:C,R22,F:F,"Red")</f>
        <v>2</v>
      </c>
      <c r="U22" s="31"/>
      <c r="V22" s="48" t="str">
        <f ca="1">IFERROR(__xludf.DUMMYFUNCTION("""COMPUTED_VALUE"""),"CLEM")</f>
        <v>CLEM</v>
      </c>
      <c r="W22" s="49">
        <f ca="1">IFERROR(__xludf.DUMMYFUNCTION("""COMPUTED_VALUE"""),1360163)</f>
        <v>1360163</v>
      </c>
      <c r="X22" s="31"/>
      <c r="Y22" s="48" t="str">
        <f ca="1">IFERROR(__xludf.DUMMYFUNCTION("""COMPUTED_VALUE"""),"SazonxSofrito")</f>
        <v>SazonxSofrito</v>
      </c>
      <c r="Z22" s="49">
        <f ca="1">IFERROR(__xludf.DUMMYFUNCTION("""COMPUTED_VALUE"""),2186510)</f>
        <v>2186510</v>
      </c>
      <c r="AA22" s="31"/>
      <c r="AB22" s="45" t="s">
        <v>24</v>
      </c>
      <c r="AC22" s="50">
        <f t="shared" ref="AC22:AC25" si="4">COUNTIFS(C:C,AB22,D:D,"Best Regards")</f>
        <v>2</v>
      </c>
      <c r="AD22" s="51">
        <f t="shared" ref="AD22:AD25" si="5">COUNTIFS(C:C,AB22,D:D,"Undercooked")</f>
        <v>0</v>
      </c>
    </row>
    <row r="23" spans="1:30" ht="22.5" customHeight="1">
      <c r="A23" s="32">
        <v>6</v>
      </c>
      <c r="B23" s="67" t="str">
        <f>VLOOKUP(C23,Lists!I:J,2,FALSE)</f>
        <v>KS</v>
      </c>
      <c r="C23" s="34" t="str">
        <f>VLOOKUP(E23&amp;D23,Lists!C:E,3,FALSE)</f>
        <v>Crossbow/Dagger</v>
      </c>
      <c r="D23" s="35" t="s">
        <v>34</v>
      </c>
      <c r="E23" s="36" t="s">
        <v>159</v>
      </c>
      <c r="F23" s="35" t="s">
        <v>476</v>
      </c>
      <c r="G23" s="32">
        <v>36</v>
      </c>
      <c r="H23" s="32">
        <v>33</v>
      </c>
      <c r="I23" s="84">
        <f t="shared" si="0"/>
        <v>69</v>
      </c>
      <c r="J23" s="37">
        <v>1441996</v>
      </c>
      <c r="K23" s="37">
        <v>431288</v>
      </c>
      <c r="L23" s="37">
        <v>1930</v>
      </c>
      <c r="M23" s="38">
        <f>I23/(HLOOKUP(F23,Team_Composition_23[[#All],[Yellow]:[Red]],10,FALSE)+HLOOKUP(F23,Team_Composition_23[[#All],[Yellow]:[Red]],11,FALSE))</f>
        <v>1.7245688577855536E-2</v>
      </c>
      <c r="N23" s="38">
        <f>J23/HLOOKUP(F23,Team_Composition_23[[#All],[Yellow]:[Red]],6,FALSE)</f>
        <v>3.2504041433435812E-2</v>
      </c>
      <c r="O23" s="38">
        <f>K23/HLOOKUP(F23,Team_Composition_23[[#All],[Yellow]:[Red]],8,FALSE)</f>
        <v>2.4618633176326433E-2</v>
      </c>
      <c r="P23" s="38">
        <f>L23/HLOOKUP(F23,Team_Composition_23[[#All],[Yellow]:[Red]],7,FALSE)</f>
        <v>1.4909491660495579E-4</v>
      </c>
      <c r="Q23" s="31"/>
      <c r="R23" s="45" t="s">
        <v>69</v>
      </c>
      <c r="S23" s="46">
        <f t="shared" si="2"/>
        <v>2</v>
      </c>
      <c r="T23" s="47">
        <f t="shared" si="3"/>
        <v>3</v>
      </c>
      <c r="U23" s="31"/>
      <c r="V23" s="48" t="str">
        <f ca="1">IFERROR(__xludf.DUMMYFUNCTION("""COMPUTED_VALUE"""),"Margheritaa")</f>
        <v>Margheritaa</v>
      </c>
      <c r="W23" s="49">
        <f ca="1">IFERROR(__xludf.DUMMYFUNCTION("""COMPUTED_VALUE"""),1349138)</f>
        <v>1349138</v>
      </c>
      <c r="X23" s="31"/>
      <c r="Y23" s="48" t="str">
        <f ca="1">IFERROR(__xludf.DUMMYFUNCTION("""COMPUTED_VALUE"""),"bunnie")</f>
        <v>bunnie</v>
      </c>
      <c r="Z23" s="49">
        <f ca="1">IFERROR(__xludf.DUMMYFUNCTION("""COMPUTED_VALUE"""),2019678)</f>
        <v>2019678</v>
      </c>
      <c r="AA23" s="31"/>
      <c r="AB23" s="45" t="s">
        <v>69</v>
      </c>
      <c r="AC23" s="50">
        <f t="shared" si="4"/>
        <v>2</v>
      </c>
      <c r="AD23" s="51">
        <f t="shared" si="5"/>
        <v>3</v>
      </c>
    </row>
    <row r="24" spans="1:30" ht="22.5" customHeight="1">
      <c r="A24" s="32">
        <v>48</v>
      </c>
      <c r="B24" s="68" t="str">
        <f>VLOOKUP(C24,Lists!I:J,2,FALSE)</f>
        <v>Healer</v>
      </c>
      <c r="C24" s="34" t="str">
        <f>VLOOKUP(E24&amp;D24,Lists!C:E,3,FALSE)</f>
        <v>Wand/Orb</v>
      </c>
      <c r="D24" s="35" t="s">
        <v>34</v>
      </c>
      <c r="E24" s="36" t="s">
        <v>121</v>
      </c>
      <c r="F24" s="35" t="s">
        <v>483</v>
      </c>
      <c r="G24" s="32">
        <v>0</v>
      </c>
      <c r="H24" s="32">
        <v>69</v>
      </c>
      <c r="I24" s="84">
        <f t="shared" si="0"/>
        <v>69</v>
      </c>
      <c r="J24" s="37">
        <v>16280</v>
      </c>
      <c r="K24" s="37">
        <v>331755</v>
      </c>
      <c r="L24" s="37">
        <v>634576</v>
      </c>
      <c r="M24" s="38">
        <f>I24/(HLOOKUP(F24,Team_Composition_23[[#All],[Yellow]:[Red]],10,FALSE)+HLOOKUP(F24,Team_Composition_23[[#All],[Yellow]:[Red]],11,FALSE))</f>
        <v>8.4043848964677217E-2</v>
      </c>
      <c r="N24" s="38">
        <f>J24/HLOOKUP(F24,Team_Composition_23[[#All],[Yellow]:[Red]],6,FALSE)</f>
        <v>9.2261979818541995E-4</v>
      </c>
      <c r="O24" s="38">
        <f>K24/HLOOKUP(F24,Team_Composition_23[[#All],[Yellow]:[Red]],8,FALSE)</f>
        <v>7.537156200101881E-3</v>
      </c>
      <c r="P24" s="38">
        <f>L24/HLOOKUP(F24,Team_Composition_23[[#All],[Yellow]:[Red]],7,FALSE)</f>
        <v>2.6148232461386322E-2</v>
      </c>
      <c r="Q24" s="31"/>
      <c r="R24" s="45" t="s">
        <v>23</v>
      </c>
      <c r="S24" s="46">
        <f t="shared" si="2"/>
        <v>4</v>
      </c>
      <c r="T24" s="47">
        <f t="shared" si="3"/>
        <v>2</v>
      </c>
      <c r="U24" s="31"/>
      <c r="V24" s="48" t="str">
        <f ca="1">IFERROR(__xludf.DUMMYFUNCTION("""COMPUTED_VALUE"""),"Paella")</f>
        <v>Paella</v>
      </c>
      <c r="W24" s="49">
        <f ca="1">IFERROR(__xludf.DUMMYFUNCTION("""COMPUTED_VALUE"""),1337256)</f>
        <v>1337256</v>
      </c>
      <c r="X24" s="31"/>
      <c r="Y24" s="48" t="str">
        <f ca="1">IFERROR(__xludf.DUMMYFUNCTION("""COMPUTED_VALUE"""),"Danimals")</f>
        <v>Danimals</v>
      </c>
      <c r="Z24" s="49">
        <f ca="1">IFERROR(__xludf.DUMMYFUNCTION("""COMPUTED_VALUE"""),1832308)</f>
        <v>1832308</v>
      </c>
      <c r="AA24" s="31"/>
      <c r="AB24" s="45" t="s">
        <v>23</v>
      </c>
      <c r="AC24" s="50">
        <f t="shared" si="4"/>
        <v>2</v>
      </c>
      <c r="AD24" s="51">
        <f t="shared" si="5"/>
        <v>4</v>
      </c>
    </row>
    <row r="25" spans="1:30" ht="22.5" customHeight="1">
      <c r="A25" s="32">
        <v>23</v>
      </c>
      <c r="B25" s="65" t="str">
        <f>VLOOKUP(C25,Lists!I:J,2,FALSE)</f>
        <v>KS</v>
      </c>
      <c r="C25" s="34" t="str">
        <f>VLOOKUP(E25&amp;D25,Lists!C:E,3,FALSE)</f>
        <v>Crossbow/Dagger</v>
      </c>
      <c r="D25" s="35" t="s">
        <v>34</v>
      </c>
      <c r="E25" s="36" t="s">
        <v>161</v>
      </c>
      <c r="F25" s="35" t="s">
        <v>476</v>
      </c>
      <c r="G25" s="32">
        <v>19</v>
      </c>
      <c r="H25" s="32">
        <v>50</v>
      </c>
      <c r="I25" s="84">
        <f t="shared" si="0"/>
        <v>69</v>
      </c>
      <c r="J25" s="37">
        <v>1013693</v>
      </c>
      <c r="K25" s="37">
        <v>451161</v>
      </c>
      <c r="L25" s="37">
        <v>27001</v>
      </c>
      <c r="M25" s="38">
        <f>I25/(HLOOKUP(F25,Team_Composition_23[[#All],[Yellow]:[Red]],10,FALSE)+HLOOKUP(F25,Team_Composition_23[[#All],[Yellow]:[Red]],11,FALSE))</f>
        <v>1.7245688577855536E-2</v>
      </c>
      <c r="N25" s="38">
        <f>J25/HLOOKUP(F25,Team_Composition_23[[#All],[Yellow]:[Red]],6,FALSE)</f>
        <v>2.2849660659796454E-2</v>
      </c>
      <c r="O25" s="38">
        <f>K25/HLOOKUP(F25,Team_Composition_23[[#All],[Yellow]:[Red]],8,FALSE)</f>
        <v>2.5753016922484766E-2</v>
      </c>
      <c r="P25" s="38">
        <f>L25/HLOOKUP(F25,Team_Composition_23[[#All],[Yellow]:[Red]],7,FALSE)</f>
        <v>2.0858610586789697E-3</v>
      </c>
      <c r="Q25" s="31"/>
      <c r="R25" s="45" t="s">
        <v>33</v>
      </c>
      <c r="S25" s="46">
        <f t="shared" si="2"/>
        <v>0</v>
      </c>
      <c r="T25" s="47">
        <f t="shared" si="3"/>
        <v>0</v>
      </c>
      <c r="U25" s="31"/>
      <c r="V25" s="48" t="str">
        <f ca="1">IFERROR(__xludf.DUMMYFUNCTION("""COMPUTED_VALUE"""),"EnoughCrazy")</f>
        <v>EnoughCrazy</v>
      </c>
      <c r="W25" s="49">
        <f ca="1">IFERROR(__xludf.DUMMYFUNCTION("""COMPUTED_VALUE"""),1335290)</f>
        <v>1335290</v>
      </c>
      <c r="X25" s="31"/>
      <c r="Y25" s="48" t="str">
        <f ca="1">IFERROR(__xludf.DUMMYFUNCTION("""COMPUTED_VALUE"""),"psi")</f>
        <v>psi</v>
      </c>
      <c r="Z25" s="49">
        <f ca="1">IFERROR(__xludf.DUMMYFUNCTION("""COMPUTED_VALUE"""),1762406)</f>
        <v>1762406</v>
      </c>
      <c r="AA25" s="31"/>
      <c r="AB25" s="45" t="s">
        <v>33</v>
      </c>
      <c r="AC25" s="50">
        <f t="shared" si="4"/>
        <v>0</v>
      </c>
      <c r="AD25" s="51">
        <f t="shared" si="5"/>
        <v>0</v>
      </c>
    </row>
    <row r="26" spans="1:30" ht="22.5" customHeight="1">
      <c r="A26" s="32">
        <v>49</v>
      </c>
      <c r="B26" s="69" t="str">
        <f>VLOOKUP(C26,Lists!I:J,2,FALSE)</f>
        <v>Healer</v>
      </c>
      <c r="C26" s="34" t="str">
        <f>VLOOKUP(E26&amp;D26,Lists!C:E,3,FALSE)</f>
        <v>Wand/Orb</v>
      </c>
      <c r="D26" s="35" t="s">
        <v>34</v>
      </c>
      <c r="E26" s="36" t="s">
        <v>153</v>
      </c>
      <c r="F26" s="35" t="s">
        <v>476</v>
      </c>
      <c r="G26" s="32">
        <v>0</v>
      </c>
      <c r="H26" s="32">
        <v>67</v>
      </c>
      <c r="I26" s="84">
        <f t="shared" si="0"/>
        <v>67</v>
      </c>
      <c r="J26" s="37">
        <v>11004</v>
      </c>
      <c r="K26" s="37">
        <v>171929</v>
      </c>
      <c r="L26" s="37">
        <v>467240</v>
      </c>
      <c r="M26" s="38">
        <f>I26/(HLOOKUP(F26,Team_Composition_23[[#All],[Yellow]:[Red]],10,FALSE)+HLOOKUP(F26,Team_Composition_23[[#All],[Yellow]:[Red]],11,FALSE))</f>
        <v>1.6745813546613347E-2</v>
      </c>
      <c r="N26" s="38">
        <f>J26/HLOOKUP(F26,Team_Composition_23[[#All],[Yellow]:[Red]],6,FALSE)</f>
        <v>2.480412372388881E-4</v>
      </c>
      <c r="O26" s="38">
        <f>K26/HLOOKUP(F26,Team_Composition_23[[#All],[Yellow]:[Red]],8,FALSE)</f>
        <v>9.8139920038874898E-3</v>
      </c>
      <c r="P26" s="38">
        <f>L26/HLOOKUP(F26,Team_Composition_23[[#All],[Yellow]:[Red]],7,FALSE)</f>
        <v>3.609487504378215E-2</v>
      </c>
      <c r="Q26" s="31"/>
      <c r="R26" s="48"/>
      <c r="S26" s="63"/>
      <c r="T26" s="63"/>
      <c r="U26" s="31"/>
      <c r="V26" s="48" t="str">
        <f ca="1">IFERROR(__xludf.DUMMYFUNCTION("""COMPUTED_VALUE"""),"H612")</f>
        <v>H612</v>
      </c>
      <c r="W26" s="49">
        <f ca="1">IFERROR(__xludf.DUMMYFUNCTION("""COMPUTED_VALUE"""),1311961)</f>
        <v>1311961</v>
      </c>
      <c r="X26" s="31"/>
      <c r="Y26" s="48" t="str">
        <f ca="1">IFERROR(__xludf.DUMMYFUNCTION("""COMPUTED_VALUE"""),"Dusk")</f>
        <v>Dusk</v>
      </c>
      <c r="Z26" s="49">
        <f ca="1">IFERROR(__xludf.DUMMYFUNCTION("""COMPUTED_VALUE"""),1725389)</f>
        <v>1725389</v>
      </c>
      <c r="AA26" s="31"/>
      <c r="AB26" s="48"/>
      <c r="AC26" s="63"/>
      <c r="AD26" s="63"/>
    </row>
    <row r="27" spans="1:30" ht="22.5" customHeight="1">
      <c r="A27" s="32">
        <v>17</v>
      </c>
      <c r="B27" s="61" t="s">
        <v>25</v>
      </c>
      <c r="C27" s="34" t="str">
        <f>VLOOKUP(E27&amp;D27,Lists!C:E,3,FALSE)</f>
        <v>Longbow/Dagger</v>
      </c>
      <c r="D27" s="35" t="s">
        <v>34</v>
      </c>
      <c r="E27" s="36" t="s">
        <v>51</v>
      </c>
      <c r="F27" s="35" t="s">
        <v>483</v>
      </c>
      <c r="G27" s="32">
        <v>27</v>
      </c>
      <c r="H27" s="32">
        <v>39</v>
      </c>
      <c r="I27" s="84">
        <f t="shared" si="0"/>
        <v>66</v>
      </c>
      <c r="J27" s="37">
        <v>1239239</v>
      </c>
      <c r="K27" s="37">
        <v>623629</v>
      </c>
      <c r="L27" s="37">
        <v>0</v>
      </c>
      <c r="M27" s="38">
        <f>I27/(HLOOKUP(F27,Team_Composition_23[[#All],[Yellow]:[Red]],10,FALSE)+HLOOKUP(F27,Team_Composition_23[[#All],[Yellow]:[Red]],11,FALSE))</f>
        <v>8.0389768574908649E-2</v>
      </c>
      <c r="N27" s="38">
        <f>J27/HLOOKUP(F27,Team_Composition_23[[#All],[Yellow]:[Red]],6,FALSE)</f>
        <v>7.0230125066554155E-2</v>
      </c>
      <c r="O27" s="38">
        <f>K27/HLOOKUP(F27,Team_Composition_23[[#All],[Yellow]:[Red]],8,FALSE)</f>
        <v>1.4168254235545316E-2</v>
      </c>
      <c r="P27" s="38">
        <f>L27/HLOOKUP(F27,Team_Composition_23[[#All],[Yellow]:[Red]],7,FALSE)</f>
        <v>0</v>
      </c>
      <c r="Q27" s="31"/>
      <c r="R27" s="31"/>
      <c r="S27" s="64"/>
      <c r="T27" s="64"/>
      <c r="U27" s="31"/>
      <c r="V27" s="31"/>
      <c r="W27" s="31"/>
      <c r="X27" s="31"/>
      <c r="Y27" s="31"/>
      <c r="Z27" s="31"/>
      <c r="AA27" s="31"/>
      <c r="AB27" s="31"/>
      <c r="AC27" s="64"/>
      <c r="AD27" s="64"/>
    </row>
    <row r="28" spans="1:30" ht="22.5" customHeight="1">
      <c r="A28" s="32">
        <v>39</v>
      </c>
      <c r="B28" s="33" t="str">
        <f>VLOOKUP(C28,Lists!I:J,2,FALSE)</f>
        <v>Healer</v>
      </c>
      <c r="C28" s="34" t="str">
        <f>VLOOKUP(E28&amp;D28,Lists!C:E,3,FALSE)</f>
        <v>Wand/Longbow</v>
      </c>
      <c r="D28" s="35" t="s">
        <v>34</v>
      </c>
      <c r="E28" s="36" t="s">
        <v>17</v>
      </c>
      <c r="F28" s="35" t="s">
        <v>483</v>
      </c>
      <c r="G28" s="32">
        <v>1</v>
      </c>
      <c r="H28" s="32">
        <v>65</v>
      </c>
      <c r="I28" s="84">
        <f t="shared" si="0"/>
        <v>66</v>
      </c>
      <c r="J28" s="37">
        <v>66672</v>
      </c>
      <c r="K28" s="37">
        <v>398457</v>
      </c>
      <c r="L28" s="37">
        <v>2565762</v>
      </c>
      <c r="M28" s="38">
        <f>I28/(HLOOKUP(F28,Team_Composition_23[[#All],[Yellow]:[Red]],10,FALSE)+HLOOKUP(F28,Team_Composition_23[[#All],[Yellow]:[Red]],11,FALSE))</f>
        <v>8.0389768574908649E-2</v>
      </c>
      <c r="N28" s="38">
        <f>J28/HLOOKUP(F28,Team_Composition_23[[#All],[Yellow]:[Red]],6,FALSE)</f>
        <v>3.7784341022492826E-3</v>
      </c>
      <c r="O28" s="38">
        <f>K28/HLOOKUP(F28,Team_Composition_23[[#All],[Yellow]:[Red]],8,FALSE)</f>
        <v>9.0525618243100948E-3</v>
      </c>
      <c r="P28" s="38">
        <f>L28/HLOOKUP(F28,Team_Composition_23[[#All],[Yellow]:[Red]],7,FALSE)</f>
        <v>0.10572435959852168</v>
      </c>
      <c r="Q28" s="31"/>
      <c r="R28" s="227" t="s">
        <v>39</v>
      </c>
      <c r="S28" s="228"/>
      <c r="T28" s="228"/>
      <c r="U28" s="31"/>
      <c r="V28" s="31"/>
      <c r="W28" s="31"/>
      <c r="X28" s="31"/>
      <c r="Y28" s="31"/>
      <c r="Z28" s="31"/>
      <c r="AA28" s="31"/>
      <c r="AB28" s="227" t="s">
        <v>39</v>
      </c>
      <c r="AC28" s="228"/>
      <c r="AD28" s="228"/>
    </row>
    <row r="29" spans="1:30" ht="22.5" customHeight="1">
      <c r="A29" s="32">
        <v>50</v>
      </c>
      <c r="B29" s="40" t="str">
        <f>VLOOKUP(C29,Lists!I:J,2,FALSE)</f>
        <v>Healer</v>
      </c>
      <c r="C29" s="34" t="str">
        <f>VLOOKUP(E29&amp;D29,Lists!C:E,3,FALSE)</f>
        <v>Wand/Orb</v>
      </c>
      <c r="D29" s="35" t="s">
        <v>34</v>
      </c>
      <c r="E29" s="36" t="s">
        <v>151</v>
      </c>
      <c r="F29" s="35" t="s">
        <v>483</v>
      </c>
      <c r="G29" s="32">
        <v>0</v>
      </c>
      <c r="H29" s="32">
        <v>66</v>
      </c>
      <c r="I29" s="84">
        <f t="shared" si="0"/>
        <v>66</v>
      </c>
      <c r="J29" s="37">
        <v>4558</v>
      </c>
      <c r="K29" s="37">
        <v>318146</v>
      </c>
      <c r="L29" s="37">
        <v>730024</v>
      </c>
      <c r="M29" s="38">
        <f>I29/(HLOOKUP(F29,Team_Composition_23[[#All],[Yellow]:[Red]],10,FALSE)+HLOOKUP(F29,Team_Composition_23[[#All],[Yellow]:[Red]],11,FALSE))</f>
        <v>8.0389768574908649E-2</v>
      </c>
      <c r="N29" s="38">
        <f>J29/HLOOKUP(F29,Team_Composition_23[[#All],[Yellow]:[Red]],6,FALSE)</f>
        <v>2.5831087470080738E-4</v>
      </c>
      <c r="O29" s="38">
        <f>K29/HLOOKUP(F29,Team_Composition_23[[#All],[Yellow]:[Red]],8,FALSE)</f>
        <v>7.2279727402378658E-3</v>
      </c>
      <c r="P29" s="38">
        <f>L29/HLOOKUP(F29,Team_Composition_23[[#All],[Yellow]:[Red]],7,FALSE)</f>
        <v>3.0081246776416205E-2</v>
      </c>
      <c r="Q29" s="31"/>
      <c r="R29" s="41" t="s">
        <v>482</v>
      </c>
      <c r="S29" s="42" t="s">
        <v>476</v>
      </c>
      <c r="T29" s="42" t="s">
        <v>483</v>
      </c>
      <c r="U29" s="31"/>
      <c r="V29" s="31"/>
      <c r="W29" s="31"/>
      <c r="X29" s="31"/>
      <c r="Y29" s="31"/>
      <c r="Z29" s="31"/>
      <c r="AA29" s="31"/>
      <c r="AB29" s="41" t="s">
        <v>482</v>
      </c>
      <c r="AC29" s="42" t="s">
        <v>485</v>
      </c>
      <c r="AD29" s="42" t="s">
        <v>28</v>
      </c>
    </row>
    <row r="30" spans="1:30" ht="22.5" customHeight="1">
      <c r="A30" s="32">
        <v>25</v>
      </c>
      <c r="B30" s="62" t="str">
        <f>VLOOKUP(C30,Lists!I:J,2,FALSE)</f>
        <v>KS</v>
      </c>
      <c r="C30" s="34" t="str">
        <f>VLOOKUP(E30&amp;D30,Lists!C:E,3,FALSE)</f>
        <v>Crossbow/Dagger</v>
      </c>
      <c r="D30" s="35" t="s">
        <v>28</v>
      </c>
      <c r="E30" s="36" t="s">
        <v>335</v>
      </c>
      <c r="F30" s="35" t="s">
        <v>476</v>
      </c>
      <c r="G30" s="32">
        <v>18</v>
      </c>
      <c r="H30" s="32">
        <v>47</v>
      </c>
      <c r="I30" s="84">
        <f t="shared" si="0"/>
        <v>65</v>
      </c>
      <c r="J30" s="37">
        <v>1048900</v>
      </c>
      <c r="K30" s="37">
        <v>948192</v>
      </c>
      <c r="L30" s="37">
        <v>0</v>
      </c>
      <c r="M30" s="38">
        <f>I30/(HLOOKUP(F30,Team_Composition_23[[#All],[Yellow]:[Red]],10,FALSE)+HLOOKUP(F30,Team_Composition_23[[#All],[Yellow]:[Red]],11,FALSE))</f>
        <v>1.6245938515371157E-2</v>
      </c>
      <c r="N30" s="38">
        <f>J30/HLOOKUP(F30,Team_Composition_23[[#All],[Yellow]:[Red]],6,FALSE)</f>
        <v>2.3643261881122292E-2</v>
      </c>
      <c r="O30" s="38">
        <f>K30/HLOOKUP(F30,Team_Composition_23[[#All],[Yellow]:[Red]],8,FALSE)</f>
        <v>5.4124369397542511E-2</v>
      </c>
      <c r="P30" s="38">
        <f>L30/HLOOKUP(F30,Team_Composition_23[[#All],[Yellow]:[Red]],7,FALSE)</f>
        <v>0</v>
      </c>
      <c r="Q30" s="31"/>
      <c r="R30" s="45" t="s">
        <v>468</v>
      </c>
      <c r="S30" s="46">
        <f>SUMIFS(Scoreboard_26[Damage Dealt],Scoreboard_26[Role],"Ranged DPS",Scoreboard_26[Team],"Yellow")</f>
        <v>15011384</v>
      </c>
      <c r="T30" s="47">
        <f>SUMIFS(Scoreboard_26[Damage Dealt],Scoreboard_26[Role],"Ranged DPS",Scoreboard_26[Team],"Red")</f>
        <v>15555045</v>
      </c>
      <c r="U30" s="31"/>
      <c r="V30" s="31"/>
      <c r="W30" s="31"/>
      <c r="X30" s="31"/>
      <c r="Y30" s="31"/>
      <c r="Z30" s="31"/>
      <c r="AA30" s="31"/>
      <c r="AB30" s="45" t="s">
        <v>468</v>
      </c>
      <c r="AC30" s="50">
        <f>SUMIFS(Scoreboard_26[Damage Dealt],Scoreboard_26[Role],"Ranged DPS",Scoreboard_26[Guild],"Best Regards")</f>
        <v>19399439</v>
      </c>
      <c r="AD30" s="51">
        <f>SUMIFS(Scoreboard_26[Damage Dealt],Scoreboard_26[Role],"Ranged DPS",Scoreboard_26[Guild],"Undercooked")</f>
        <v>11166990</v>
      </c>
    </row>
    <row r="31" spans="1:30" ht="22.5" customHeight="1">
      <c r="A31" s="32">
        <v>29</v>
      </c>
      <c r="B31" s="54" t="str">
        <f>VLOOKUP(C31,Lists!I:J,2,FALSE)</f>
        <v>Melee DPS</v>
      </c>
      <c r="C31" s="34" t="str">
        <f>VLOOKUP(E31&amp;D31,Lists!C:E,3,FALSE)</f>
        <v>Spear/Dagger</v>
      </c>
      <c r="D31" s="35" t="s">
        <v>34</v>
      </c>
      <c r="E31" s="36" t="s">
        <v>169</v>
      </c>
      <c r="F31" s="35" t="s">
        <v>483</v>
      </c>
      <c r="G31" s="32">
        <v>13</v>
      </c>
      <c r="H31" s="32">
        <v>52</v>
      </c>
      <c r="I31" s="84">
        <f t="shared" si="0"/>
        <v>65</v>
      </c>
      <c r="J31" s="37">
        <v>1714309</v>
      </c>
      <c r="K31" s="37">
        <v>1311961</v>
      </c>
      <c r="L31" s="37">
        <v>6408</v>
      </c>
      <c r="M31" s="38">
        <f>I31/(HLOOKUP(F31,Team_Composition_23[[#All],[Yellow]:[Red]],10,FALSE)+HLOOKUP(F31,Team_Composition_23[[#All],[Yellow]:[Red]],11,FALSE))</f>
        <v>7.9171741778319121E-2</v>
      </c>
      <c r="N31" s="38">
        <f>J31/HLOOKUP(F31,Team_Composition_23[[#All],[Yellow]:[Red]],6,FALSE)</f>
        <v>9.7153281548369108E-2</v>
      </c>
      <c r="O31" s="38">
        <f>K31/HLOOKUP(F31,Team_Composition_23[[#All],[Yellow]:[Red]],8,FALSE)</f>
        <v>2.9806498727801733E-2</v>
      </c>
      <c r="P31" s="38">
        <f>L31/HLOOKUP(F31,Team_Composition_23[[#All],[Yellow]:[Red]],7,FALSE)</f>
        <v>2.6404697563816399E-4</v>
      </c>
      <c r="Q31" s="31"/>
      <c r="R31" s="45" t="s">
        <v>469</v>
      </c>
      <c r="S31" s="46">
        <f>SUMIFS(Scoreboard_26[Damage Taken],Scoreboard_26[Role],"Ranged DPS",Scoreboard_26[Team],"Yellow")</f>
        <v>5708649</v>
      </c>
      <c r="T31" s="47">
        <f>SUMIFS(Scoreboard_26[Damage Taken],Scoreboard_26[Role],"Ranged DPS",Scoreboard_26[Team],"Red")</f>
        <v>6887622</v>
      </c>
      <c r="U31" s="31"/>
      <c r="V31" s="31"/>
      <c r="W31" s="31"/>
      <c r="X31" s="31"/>
      <c r="Y31" s="31"/>
      <c r="Z31" s="31"/>
      <c r="AA31" s="31"/>
      <c r="AB31" s="45" t="s">
        <v>469</v>
      </c>
      <c r="AC31" s="50">
        <f>SUMIFS(Scoreboard_26[Damage Taken],Scoreboard_26[Role],"Ranged DPS",Scoreboard_26[Guild],"Best Regards")</f>
        <v>6650089</v>
      </c>
      <c r="AD31" s="51">
        <f>SUMIFS(Scoreboard_26[Damage Taken],Scoreboard_26[Role],"Ranged DPS",Scoreboard_26[Guild],"Undercooked")</f>
        <v>5946182</v>
      </c>
    </row>
    <row r="32" spans="1:30" ht="22.5" customHeight="1">
      <c r="A32" s="32">
        <v>24</v>
      </c>
      <c r="B32" s="62" t="str">
        <f>VLOOKUP(C32,Lists!I:J,2,FALSE)</f>
        <v>KS</v>
      </c>
      <c r="C32" s="34" t="str">
        <f>VLOOKUP(E32&amp;D32,Lists!C:E,3,FALSE)</f>
        <v>Greatsword/Dagger</v>
      </c>
      <c r="D32" s="35" t="s">
        <v>34</v>
      </c>
      <c r="E32" s="36" t="s">
        <v>502</v>
      </c>
      <c r="F32" s="35" t="s">
        <v>476</v>
      </c>
      <c r="G32" s="32">
        <v>19</v>
      </c>
      <c r="H32" s="32">
        <v>45</v>
      </c>
      <c r="I32" s="84">
        <f t="shared" si="0"/>
        <v>64</v>
      </c>
      <c r="J32" s="37">
        <v>972225</v>
      </c>
      <c r="K32" s="37">
        <v>448212</v>
      </c>
      <c r="L32" s="37">
        <v>14636</v>
      </c>
      <c r="M32" s="38">
        <f>I32/(HLOOKUP(F32,Team_Composition_23[[#All],[Yellow]:[Red]],10,FALSE)+HLOOKUP(F32,Team_Composition_23[[#All],[Yellow]:[Red]],11,FALSE))</f>
        <v>1.5996000999750064E-2</v>
      </c>
      <c r="N32" s="38">
        <f>J32/HLOOKUP(F32,Team_Composition_23[[#All],[Yellow]:[Red]],6,FALSE)</f>
        <v>2.1914930195799525E-2</v>
      </c>
      <c r="O32" s="38">
        <f>K32/HLOOKUP(F32,Team_Composition_23[[#All],[Yellow]:[Red]],8,FALSE)</f>
        <v>2.5584683119464543E-2</v>
      </c>
      <c r="P32" s="38">
        <f>L32/HLOOKUP(F32,Team_Composition_23[[#All],[Yellow]:[Red]],7,FALSE)</f>
        <v>1.1306493261296026E-3</v>
      </c>
      <c r="Q32" s="31"/>
      <c r="R32" s="45" t="s">
        <v>470</v>
      </c>
      <c r="S32" s="46">
        <f>SUMIFS(Scoreboard_26[Amount Healed],Scoreboard_26[Role],"Ranged DPS",Scoreboard_26[Team],"Yellow")</f>
        <v>193993</v>
      </c>
      <c r="T32" s="47">
        <f>SUMIFS(Scoreboard_26[Amount Healed],Scoreboard_26[Role],"Ranged DPS",Scoreboard_26[Team],"Red")</f>
        <v>570387</v>
      </c>
      <c r="U32" s="31"/>
      <c r="V32" s="31"/>
      <c r="W32" s="31"/>
      <c r="X32" s="31"/>
      <c r="Y32" s="31"/>
      <c r="Z32" s="31"/>
      <c r="AA32" s="31"/>
      <c r="AB32" s="45" t="s">
        <v>470</v>
      </c>
      <c r="AC32" s="50">
        <f>SUMIFS(Scoreboard_26[Amount Healed],Scoreboard_26[Role],"Ranged DPS",Scoreboard_26[Guild],"Best Regards")</f>
        <v>582180</v>
      </c>
      <c r="AD32" s="51">
        <f>SUMIFS(Scoreboard_26[Amount Healed],Scoreboard_26[Role],"Ranged DPS",Scoreboard_26[Guild],"Undercooked")</f>
        <v>182200</v>
      </c>
    </row>
    <row r="33" spans="1:30" ht="22.5" customHeight="1">
      <c r="A33" s="32">
        <v>51</v>
      </c>
      <c r="B33" s="67" t="str">
        <f>VLOOKUP(C33,Lists!I:J,2,FALSE)</f>
        <v>Healer</v>
      </c>
      <c r="C33" s="34" t="str">
        <f>VLOOKUP(E33&amp;D33,Lists!C:E,3,FALSE)</f>
        <v>Wand/Longbow</v>
      </c>
      <c r="D33" s="35" t="s">
        <v>28</v>
      </c>
      <c r="E33" s="36" t="s">
        <v>339</v>
      </c>
      <c r="F33" s="35" t="s">
        <v>483</v>
      </c>
      <c r="G33" s="32">
        <v>0</v>
      </c>
      <c r="H33" s="32">
        <v>63</v>
      </c>
      <c r="I33" s="84">
        <f t="shared" si="0"/>
        <v>63</v>
      </c>
      <c r="J33" s="37">
        <v>24944</v>
      </c>
      <c r="K33" s="37">
        <v>681904</v>
      </c>
      <c r="L33" s="37">
        <v>2873826</v>
      </c>
      <c r="M33" s="38">
        <f>I33/(HLOOKUP(F33,Team_Composition_23[[#All],[Yellow]:[Red]],10,FALSE)+HLOOKUP(F33,Team_Composition_23[[#All],[Yellow]:[Red]],11,FALSE))</f>
        <v>7.6735688185140066E-2</v>
      </c>
      <c r="N33" s="38">
        <f>J33/HLOOKUP(F33,Team_Composition_23[[#All],[Yellow]:[Red]],6,FALSE)</f>
        <v>1.413625813632501E-3</v>
      </c>
      <c r="O33" s="38">
        <f>K33/HLOOKUP(F33,Team_Composition_23[[#All],[Yellow]:[Red]],8,FALSE)</f>
        <v>1.5492206482115637E-2</v>
      </c>
      <c r="P33" s="38">
        <f>L33/HLOOKUP(F33,Team_Composition_23[[#All],[Yellow]:[Red]],7,FALSE)</f>
        <v>0.11841839322882683</v>
      </c>
      <c r="Q33" s="31"/>
      <c r="R33" s="45" t="s">
        <v>465</v>
      </c>
      <c r="S33" s="46">
        <f>SUMIFS(Scoreboard_26[Kills],Scoreboard_26[Role],"Ranged DPS",Scoreboard_26[Team],"Yellow")</f>
        <v>173</v>
      </c>
      <c r="T33" s="47">
        <f>SUMIFS(Scoreboard_26[Kills],Scoreboard_26[Role],"Ranged DPS",Scoreboard_26[Team],"Red")</f>
        <v>151</v>
      </c>
      <c r="U33" s="31"/>
      <c r="V33" s="31"/>
      <c r="W33" s="31"/>
      <c r="X33" s="31"/>
      <c r="Y33" s="31"/>
      <c r="Z33" s="31"/>
      <c r="AA33" s="31"/>
      <c r="AB33" s="45" t="s">
        <v>465</v>
      </c>
      <c r="AC33" s="50">
        <f>SUMIFS(Scoreboard_26[Kills],Scoreboard_26[Role],"Ranged DPS",Scoreboard_26[Guild],"Best Regards")</f>
        <v>210</v>
      </c>
      <c r="AD33" s="51">
        <f>SUMIFS(Scoreboard_26[Kills],Scoreboard_26[Role],"Ranged DPS",Scoreboard_26[Guild],"Undercooked")</f>
        <v>114</v>
      </c>
    </row>
    <row r="34" spans="1:30" ht="22.5" customHeight="1">
      <c r="A34" s="32">
        <v>40</v>
      </c>
      <c r="B34" s="60" t="str">
        <f>VLOOKUP(C34,Lists!I:J,2,FALSE)</f>
        <v>Healer</v>
      </c>
      <c r="C34" s="34" t="str">
        <f>VLOOKUP(E34&amp;D34,Lists!C:E,3,FALSE)</f>
        <v>Wand/Longbow</v>
      </c>
      <c r="D34" s="35" t="s">
        <v>34</v>
      </c>
      <c r="E34" s="36" t="s">
        <v>106</v>
      </c>
      <c r="F34" s="35" t="s">
        <v>476</v>
      </c>
      <c r="G34" s="32">
        <v>1</v>
      </c>
      <c r="H34" s="32">
        <v>61</v>
      </c>
      <c r="I34" s="84">
        <f t="shared" si="0"/>
        <v>62</v>
      </c>
      <c r="J34" s="37">
        <v>8308</v>
      </c>
      <c r="K34" s="37">
        <v>208373</v>
      </c>
      <c r="L34" s="37">
        <v>723653</v>
      </c>
      <c r="M34" s="38">
        <f>I34/(HLOOKUP(F34,Team_Composition_23[[#All],[Yellow]:[Red]],10,FALSE)+HLOOKUP(F34,Team_Composition_23[[#All],[Yellow]:[Red]],11,FALSE))</f>
        <v>1.5496125968507872E-2</v>
      </c>
      <c r="N34" s="38">
        <f>J34/HLOOKUP(F34,Team_Composition_23[[#All],[Yellow]:[Red]],6,FALSE)</f>
        <v>1.8727068329522738E-4</v>
      </c>
      <c r="O34" s="38">
        <f>K34/HLOOKUP(F34,Team_Composition_23[[#All],[Yellow]:[Red]],8,FALSE)</f>
        <v>1.1894275868678628E-2</v>
      </c>
      <c r="P34" s="38">
        <f>L34/HLOOKUP(F34,Team_Composition_23[[#All],[Yellow]:[Red]],7,FALSE)</f>
        <v>5.5903100355402108E-2</v>
      </c>
      <c r="Q34" s="31"/>
      <c r="R34" s="45" t="s">
        <v>466</v>
      </c>
      <c r="S34" s="46">
        <f>SUMIFS(Scoreboard_26[Assists],Scoreboard_26[Role],"Ranged DPS",Scoreboard_26[Team],"Yellow")</f>
        <v>348</v>
      </c>
      <c r="T34" s="47">
        <f>SUMIFS(Scoreboard_26[Assists],Scoreboard_26[Role],"Ranged DPS",Scoreboard_26[Team],"Red")</f>
        <v>354</v>
      </c>
      <c r="U34" s="31"/>
      <c r="V34" s="31"/>
      <c r="W34" s="31"/>
      <c r="X34" s="31"/>
      <c r="Y34" s="31"/>
      <c r="Z34" s="31"/>
      <c r="AA34" s="31"/>
      <c r="AB34" s="45" t="s">
        <v>466</v>
      </c>
      <c r="AC34" s="50">
        <f>SUMIFS(Scoreboard_26[Assists],Scoreboard_26[Role],"Ranged DPS",Scoreboard_26[Guild],"Best Regards")</f>
        <v>440</v>
      </c>
      <c r="AD34" s="51">
        <f>SUMIFS(Scoreboard_26[Assists],Scoreboard_26[Role],"Ranged DPS",Scoreboard_26[Guild],"Undercooked")</f>
        <v>262</v>
      </c>
    </row>
    <row r="35" spans="1:30" ht="22.5" customHeight="1">
      <c r="A35" s="32">
        <v>52</v>
      </c>
      <c r="B35" s="53" t="str">
        <f>VLOOKUP(C35,Lists!I:J,2,FALSE)</f>
        <v>Healer</v>
      </c>
      <c r="C35" s="34" t="str">
        <f>VLOOKUP(E35&amp;D35,Lists!C:E,3,FALSE)</f>
        <v>Wand/Longbow</v>
      </c>
      <c r="D35" s="35" t="s">
        <v>34</v>
      </c>
      <c r="E35" s="36" t="s">
        <v>149</v>
      </c>
      <c r="F35" s="35" t="s">
        <v>476</v>
      </c>
      <c r="G35" s="32">
        <v>0</v>
      </c>
      <c r="H35" s="32">
        <v>62</v>
      </c>
      <c r="I35" s="84">
        <f t="shared" si="0"/>
        <v>62</v>
      </c>
      <c r="J35" s="37">
        <v>52707</v>
      </c>
      <c r="K35" s="37">
        <v>739992</v>
      </c>
      <c r="L35" s="37">
        <v>3236639</v>
      </c>
      <c r="M35" s="38">
        <f>I35/(HLOOKUP(F35,Team_Composition_23[[#All],[Yellow]:[Red]],10,FALSE)+HLOOKUP(F35,Team_Composition_23[[#All],[Yellow]:[Red]],11,FALSE))</f>
        <v>1.5496125968507872E-2</v>
      </c>
      <c r="N35" s="38">
        <f>J35/HLOOKUP(F35,Team_Composition_23[[#All],[Yellow]:[Red]],6,FALSE)</f>
        <v>1.1880688377998976E-3</v>
      </c>
      <c r="O35" s="38">
        <f>K35/HLOOKUP(F35,Team_Composition_23[[#All],[Yellow]:[Red]],8,FALSE)</f>
        <v>4.2239968655321154E-2</v>
      </c>
      <c r="P35" s="38">
        <f>L35/HLOOKUP(F35,Team_Composition_23[[#All],[Yellow]:[Red]],7,FALSE)</f>
        <v>0.25003441543282257</v>
      </c>
      <c r="Q35" s="31"/>
      <c r="R35" s="45" t="s">
        <v>54</v>
      </c>
      <c r="S35" s="46">
        <f t="shared" ref="S35:S46" si="6">COUNTIFS(C:C,R35,F:F,"Yellow")</f>
        <v>4</v>
      </c>
      <c r="T35" s="47">
        <f t="shared" ref="T35:T46" si="7">COUNTIFS(C:C,R35,F:F,"Red")</f>
        <v>2</v>
      </c>
      <c r="U35" s="31"/>
      <c r="V35" s="31"/>
      <c r="W35" s="31"/>
      <c r="X35" s="31"/>
      <c r="Y35" s="31"/>
      <c r="Z35" s="31"/>
      <c r="AA35" s="31"/>
      <c r="AB35" s="45" t="s">
        <v>54</v>
      </c>
      <c r="AC35" s="50">
        <f t="shared" ref="AC35:AC46" si="8">COUNTIFS(C:C,AB35,D:D,"Best Regards")</f>
        <v>3</v>
      </c>
      <c r="AD35" s="51">
        <f t="shared" ref="AD35:AD46" si="9">COUNTIFS(C:C,AB35,D:D,"Undercooked")</f>
        <v>3</v>
      </c>
    </row>
    <row r="36" spans="1:30" ht="22.5" customHeight="1">
      <c r="A36" s="32">
        <v>19</v>
      </c>
      <c r="B36" s="57" t="str">
        <f>VLOOKUP(C36,Lists!I:J,2,FALSE)</f>
        <v>Ranged DPS</v>
      </c>
      <c r="C36" s="34" t="str">
        <f>VLOOKUP(E36&amp;D36,Lists!C:E,3,FALSE)</f>
        <v>Crossbow/SnS</v>
      </c>
      <c r="D36" s="35" t="s">
        <v>28</v>
      </c>
      <c r="E36" s="36" t="s">
        <v>369</v>
      </c>
      <c r="F36" s="35" t="s">
        <v>483</v>
      </c>
      <c r="G36" s="32">
        <v>24</v>
      </c>
      <c r="H36" s="32">
        <v>37</v>
      </c>
      <c r="I36" s="84">
        <f t="shared" si="0"/>
        <v>61</v>
      </c>
      <c r="J36" s="37">
        <v>1691929</v>
      </c>
      <c r="K36" s="37">
        <v>394072</v>
      </c>
      <c r="L36" s="37">
        <v>32933</v>
      </c>
      <c r="M36" s="38">
        <f>I36/(HLOOKUP(F36,Team_Composition_23[[#All],[Yellow]:[Red]],10,FALSE)+HLOOKUP(F36,Team_Composition_23[[#All],[Yellow]:[Red]],11,FALSE))</f>
        <v>7.4299634591961025E-2</v>
      </c>
      <c r="N36" s="38">
        <f>J36/HLOOKUP(F36,Team_Composition_23[[#All],[Yellow]:[Red]],6,FALSE)</f>
        <v>9.5884962685753028E-2</v>
      </c>
      <c r="O36" s="38">
        <f>K36/HLOOKUP(F36,Team_Composition_23[[#All],[Yellow]:[Red]],8,FALSE)</f>
        <v>8.9529388195703115E-3</v>
      </c>
      <c r="P36" s="38">
        <f>L36/HLOOKUP(F36,Team_Composition_23[[#All],[Yellow]:[Red]],7,FALSE)</f>
        <v>1.357031686749634E-3</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32">
        <v>53</v>
      </c>
      <c r="B37" s="54" t="str">
        <f>VLOOKUP(C37,Lists!I:J,2,FALSE)</f>
        <v>Healer</v>
      </c>
      <c r="C37" s="34" t="str">
        <f>VLOOKUP(E37&amp;D37,Lists!C:E,3,FALSE)</f>
        <v>Wand/Orb</v>
      </c>
      <c r="D37" s="35" t="s">
        <v>34</v>
      </c>
      <c r="E37" s="36" t="s">
        <v>181</v>
      </c>
      <c r="F37" s="35" t="s">
        <v>476</v>
      </c>
      <c r="G37" s="32">
        <v>0</v>
      </c>
      <c r="H37" s="32">
        <v>61</v>
      </c>
      <c r="I37" s="84">
        <f t="shared" si="0"/>
        <v>61</v>
      </c>
      <c r="J37" s="37">
        <v>4960</v>
      </c>
      <c r="K37" s="37">
        <v>240186</v>
      </c>
      <c r="L37" s="37">
        <v>699790</v>
      </c>
      <c r="M37" s="38">
        <f>I37/(HLOOKUP(F37,Team_Composition_23[[#All],[Yellow]:[Red]],10,FALSE)+HLOOKUP(F37,Team_Composition_23[[#All],[Yellow]:[Red]],11,FALSE))</f>
        <v>1.5246188452886777E-2</v>
      </c>
      <c r="N37" s="38">
        <f>J37/HLOOKUP(F37,Team_Composition_23[[#All],[Yellow]:[Red]],6,FALSE)</f>
        <v>1.1180339301207605E-4</v>
      </c>
      <c r="O37" s="38">
        <f>K37/HLOOKUP(F37,Team_Composition_23[[#All],[Yellow]:[Red]],8,FALSE)</f>
        <v>1.3710214585356283E-2</v>
      </c>
      <c r="P37" s="38">
        <f>L37/HLOOKUP(F37,Team_Composition_23[[#All],[Yellow]:[Red]],7,FALSE)</f>
        <v>5.4059653725897418E-2</v>
      </c>
      <c r="Q37" s="31"/>
      <c r="R37" s="45" t="s">
        <v>45</v>
      </c>
      <c r="S37" s="46">
        <f t="shared" si="6"/>
        <v>2</v>
      </c>
      <c r="T37" s="47">
        <f t="shared" si="7"/>
        <v>3</v>
      </c>
      <c r="U37" s="31"/>
      <c r="V37" s="31"/>
      <c r="W37" s="31"/>
      <c r="X37" s="31"/>
      <c r="Y37" s="31"/>
      <c r="Z37" s="31"/>
      <c r="AA37" s="31"/>
      <c r="AB37" s="45" t="s">
        <v>45</v>
      </c>
      <c r="AC37" s="50">
        <f t="shared" si="8"/>
        <v>3</v>
      </c>
      <c r="AD37" s="51">
        <f t="shared" si="9"/>
        <v>2</v>
      </c>
    </row>
    <row r="38" spans="1:30" ht="22.5" customHeight="1">
      <c r="A38" s="32">
        <v>33</v>
      </c>
      <c r="B38" s="55" t="str">
        <f>VLOOKUP(C38,Lists!I:J,2,FALSE)</f>
        <v>Ranged DPS</v>
      </c>
      <c r="C38" s="34" t="str">
        <f>VLOOKUP(E38&amp;D38,Lists!C:E,3,FALSE)</f>
        <v>Staff/Dagger</v>
      </c>
      <c r="D38" s="35" t="s">
        <v>28</v>
      </c>
      <c r="E38" s="36" t="s">
        <v>351</v>
      </c>
      <c r="F38" s="35" t="s">
        <v>476</v>
      </c>
      <c r="G38" s="32">
        <v>7</v>
      </c>
      <c r="H38" s="32">
        <v>53</v>
      </c>
      <c r="I38" s="84">
        <f t="shared" si="0"/>
        <v>60</v>
      </c>
      <c r="J38" s="37">
        <v>1350097</v>
      </c>
      <c r="K38" s="37">
        <v>1221128</v>
      </c>
      <c r="L38" s="37">
        <v>0</v>
      </c>
      <c r="M38" s="38">
        <f>I38/(HLOOKUP(F38,Team_Composition_23[[#All],[Yellow]:[Red]],10,FALSE)+HLOOKUP(F38,Team_Composition_23[[#All],[Yellow]:[Red]],11,FALSE))</f>
        <v>1.4996250937265684E-2</v>
      </c>
      <c r="N38" s="38">
        <f>J38/HLOOKUP(F38,Team_Composition_23[[#All],[Yellow]:[Red]],6,FALSE)</f>
        <v>3.0432545462787265E-2</v>
      </c>
      <c r="O38" s="38">
        <f>K38/HLOOKUP(F38,Team_Composition_23[[#All],[Yellow]:[Red]],8,FALSE)</f>
        <v>6.9704008211082025E-2</v>
      </c>
      <c r="P38" s="38">
        <f>L38/HLOOKUP(F38,Team_Composition_23[[#All],[Yellow]:[Red]],7,FALSE)</f>
        <v>0</v>
      </c>
      <c r="Q38" s="31"/>
      <c r="R38" s="45" t="s">
        <v>81</v>
      </c>
      <c r="S38" s="46">
        <f t="shared" si="6"/>
        <v>0</v>
      </c>
      <c r="T38" s="47">
        <f t="shared" si="7"/>
        <v>1</v>
      </c>
      <c r="U38" s="31"/>
      <c r="V38" s="31"/>
      <c r="W38" s="31"/>
      <c r="X38" s="31"/>
      <c r="Y38" s="31"/>
      <c r="Z38" s="31"/>
      <c r="AA38" s="31"/>
      <c r="AB38" s="45" t="s">
        <v>81</v>
      </c>
      <c r="AC38" s="50">
        <f t="shared" si="8"/>
        <v>1</v>
      </c>
      <c r="AD38" s="51">
        <f t="shared" si="9"/>
        <v>0</v>
      </c>
    </row>
    <row r="39" spans="1:30" ht="22.5" customHeight="1">
      <c r="A39" s="32">
        <v>54</v>
      </c>
      <c r="B39" s="56" t="str">
        <f>VLOOKUP(C39,Lists!I:J,2,FALSE)</f>
        <v>Healer</v>
      </c>
      <c r="C39" s="34" t="str">
        <f>VLOOKUP(E39&amp;D39,Lists!C:E,3,FALSE)</f>
        <v>Wand/Orb</v>
      </c>
      <c r="D39" s="35" t="s">
        <v>28</v>
      </c>
      <c r="E39" s="36" t="s">
        <v>341</v>
      </c>
      <c r="F39" s="35" t="s">
        <v>483</v>
      </c>
      <c r="G39" s="32">
        <v>0</v>
      </c>
      <c r="H39" s="32">
        <v>58</v>
      </c>
      <c r="I39" s="84">
        <f t="shared" si="0"/>
        <v>58</v>
      </c>
      <c r="J39" s="37">
        <v>8754</v>
      </c>
      <c r="K39" s="37">
        <v>382618</v>
      </c>
      <c r="L39" s="37">
        <v>1003273</v>
      </c>
      <c r="M39" s="38">
        <f>I39/(HLOOKUP(F39,Team_Composition_23[[#All],[Yellow]:[Red]],10,FALSE)+HLOOKUP(F39,Team_Composition_23[[#All],[Yellow]:[Red]],11,FALSE))</f>
        <v>7.0645554202192443E-2</v>
      </c>
      <c r="N39" s="38">
        <f>J39/HLOOKUP(F39,Team_Composition_23[[#All],[Yellow]:[Red]],6,FALSE)</f>
        <v>4.961064934468775E-4</v>
      </c>
      <c r="O39" s="38">
        <f>K39/HLOOKUP(F39,Team_Composition_23[[#All],[Yellow]:[Red]],8,FALSE)</f>
        <v>8.6927148979535542E-3</v>
      </c>
      <c r="P39" s="38">
        <f>L39/HLOOKUP(F39,Team_Composition_23[[#All],[Yellow]:[Red]],7,FALSE)</f>
        <v>4.1340699342919431E-2</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32">
        <v>55</v>
      </c>
      <c r="B40" s="33" t="str">
        <f>VLOOKUP(C40,Lists!I:J,2,FALSE)</f>
        <v>Healer</v>
      </c>
      <c r="C40" s="34" t="str">
        <f>VLOOKUP(E40&amp;D40,Lists!C:E,3,FALSE)</f>
        <v>Wand/Orb</v>
      </c>
      <c r="D40" s="35" t="s">
        <v>34</v>
      </c>
      <c r="E40" s="36" t="s">
        <v>146</v>
      </c>
      <c r="F40" s="35" t="s">
        <v>476</v>
      </c>
      <c r="G40" s="32">
        <v>0</v>
      </c>
      <c r="H40" s="32">
        <v>57</v>
      </c>
      <c r="I40" s="84">
        <f t="shared" si="0"/>
        <v>57</v>
      </c>
      <c r="J40" s="37">
        <v>4000</v>
      </c>
      <c r="K40" s="37">
        <v>402734</v>
      </c>
      <c r="L40" s="37">
        <v>1725389</v>
      </c>
      <c r="M40" s="38">
        <f>I40/(HLOOKUP(F40,Team_Composition_23[[#All],[Yellow]:[Red]],10,FALSE)+HLOOKUP(F40,Team_Composition_23[[#All],[Yellow]:[Red]],11,FALSE))</f>
        <v>1.42464383904024E-2</v>
      </c>
      <c r="N40" s="38">
        <f>J40/HLOOKUP(F40,Team_Composition_23[[#All],[Yellow]:[Red]],6,FALSE)</f>
        <v>9.016402662264197E-5</v>
      </c>
      <c r="O40" s="38">
        <f>K40/HLOOKUP(F40,Team_Composition_23[[#All],[Yellow]:[Red]],8,FALSE)</f>
        <v>2.2988723575973941E-2</v>
      </c>
      <c r="P40" s="38">
        <f>L40/HLOOKUP(F40,Team_Composition_23[[#All],[Yellow]:[Red]],7,FALSE)</f>
        <v>0.13328846065601455</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31</v>
      </c>
      <c r="B41" s="52" t="str">
        <f>VLOOKUP(C41,Lists!I:J,2,FALSE)</f>
        <v>Melee DPS</v>
      </c>
      <c r="C41" s="34" t="str">
        <f>VLOOKUP(E41&amp;D41,Lists!C:E,3,FALSE)</f>
        <v>Greatsword/Spear</v>
      </c>
      <c r="D41" s="35" t="s">
        <v>28</v>
      </c>
      <c r="E41" s="36" t="s">
        <v>511</v>
      </c>
      <c r="F41" s="35" t="s">
        <v>476</v>
      </c>
      <c r="G41" s="32">
        <v>11</v>
      </c>
      <c r="H41" s="32">
        <v>45</v>
      </c>
      <c r="I41" s="84">
        <f t="shared" si="0"/>
        <v>56</v>
      </c>
      <c r="J41" s="37">
        <v>1163822</v>
      </c>
      <c r="K41" s="37">
        <v>1296014</v>
      </c>
      <c r="L41" s="37">
        <v>44133</v>
      </c>
      <c r="M41" s="38">
        <f>I41/(HLOOKUP(F41,Team_Composition_23[[#All],[Yellow]:[Red]],10,FALSE)+HLOOKUP(F41,Team_Composition_23[[#All],[Yellow]:[Red]],11,FALSE))</f>
        <v>1.3996500874781305E-2</v>
      </c>
      <c r="N41" s="38">
        <f>J41/HLOOKUP(F41,Team_Composition_23[[#All],[Yellow]:[Red]],6,FALSE)</f>
        <v>2.6233719448004109E-2</v>
      </c>
      <c r="O41" s="38">
        <f>K41/HLOOKUP(F41,Team_Composition_23[[#All],[Yellow]:[Red]],8,FALSE)</f>
        <v>7.3978625088997441E-2</v>
      </c>
      <c r="P41" s="38">
        <f>L41/HLOOKUP(F41,Team_Composition_23[[#All],[Yellow]:[Red]],7,FALSE)</f>
        <v>3.4093295101173646E-3</v>
      </c>
      <c r="Q41" s="31"/>
      <c r="R41" s="45" t="s">
        <v>52</v>
      </c>
      <c r="S41" s="46">
        <f t="shared" si="6"/>
        <v>0</v>
      </c>
      <c r="T41" s="47">
        <f t="shared" si="7"/>
        <v>1</v>
      </c>
      <c r="U41" s="31"/>
      <c r="V41" s="31"/>
      <c r="W41" s="31"/>
      <c r="X41" s="31"/>
      <c r="Y41" s="31"/>
      <c r="Z41" s="31"/>
      <c r="AA41" s="31"/>
      <c r="AB41" s="45" t="s">
        <v>52</v>
      </c>
      <c r="AC41" s="50">
        <f t="shared" si="8"/>
        <v>1</v>
      </c>
      <c r="AD41" s="51">
        <f t="shared" si="9"/>
        <v>0</v>
      </c>
    </row>
    <row r="42" spans="1:30" ht="22.5" customHeight="1">
      <c r="A42" s="32">
        <v>20</v>
      </c>
      <c r="B42" s="71" t="str">
        <f>VLOOKUP(C42,Lists!I:J,2,FALSE)</f>
        <v>Ranged DPS</v>
      </c>
      <c r="C42" s="34" t="str">
        <f>VLOOKUP(E42&amp;D42,Lists!C:E,3,FALSE)</f>
        <v>Staff/Orb</v>
      </c>
      <c r="D42" s="35" t="s">
        <v>28</v>
      </c>
      <c r="E42" s="36" t="s">
        <v>501</v>
      </c>
      <c r="F42" s="35" t="s">
        <v>483</v>
      </c>
      <c r="G42" s="32">
        <v>22</v>
      </c>
      <c r="H42" s="32">
        <v>34</v>
      </c>
      <c r="I42" s="84">
        <f t="shared" si="0"/>
        <v>56</v>
      </c>
      <c r="J42" s="37">
        <v>2240823</v>
      </c>
      <c r="K42" s="37">
        <v>981946</v>
      </c>
      <c r="L42" s="37">
        <v>0</v>
      </c>
      <c r="M42" s="38">
        <f>I42/(HLOOKUP(F42,Team_Composition_23[[#All],[Yellow]:[Red]],10,FALSE)+HLOOKUP(F42,Team_Composition_23[[#All],[Yellow]:[Red]],11,FALSE))</f>
        <v>6.8209500609013402E-2</v>
      </c>
      <c r="N42" s="38">
        <f>J42/HLOOKUP(F42,Team_Composition_23[[#All],[Yellow]:[Red]],6,FALSE)</f>
        <v>0.12699187125486777</v>
      </c>
      <c r="O42" s="38">
        <f>K42/HLOOKUP(F42,Team_Composition_23[[#All],[Yellow]:[Red]],8,FALSE)</f>
        <v>2.2308873662989982E-2</v>
      </c>
      <c r="P42" s="38">
        <f>L42/HLOOKUP(F42,Team_Composition_23[[#All],[Yellow]:[Red]],7,FALSE)</f>
        <v>0</v>
      </c>
      <c r="Q42" s="31"/>
      <c r="R42" s="45" t="s">
        <v>32</v>
      </c>
      <c r="S42" s="46">
        <f t="shared" si="6"/>
        <v>2</v>
      </c>
      <c r="T42" s="47">
        <f t="shared" si="7"/>
        <v>2</v>
      </c>
      <c r="U42" s="31"/>
      <c r="V42" s="31"/>
      <c r="W42" s="31"/>
      <c r="X42" s="31"/>
      <c r="Y42" s="31"/>
      <c r="Z42" s="31"/>
      <c r="AA42" s="31"/>
      <c r="AB42" s="45" t="s">
        <v>32</v>
      </c>
      <c r="AC42" s="50">
        <f t="shared" si="8"/>
        <v>2</v>
      </c>
      <c r="AD42" s="51">
        <f t="shared" si="9"/>
        <v>2</v>
      </c>
    </row>
    <row r="43" spans="1:30" ht="22.5" customHeight="1">
      <c r="A43" s="32">
        <v>30</v>
      </c>
      <c r="B43" s="67" t="str">
        <f>VLOOKUP(C43,Lists!I:J,2,FALSE)</f>
        <v>Ranged DPS</v>
      </c>
      <c r="C43" s="34" t="str">
        <f>VLOOKUP(E43&amp;D43,Lists!C:E,3,FALSE)</f>
        <v>SnS/Wand</v>
      </c>
      <c r="D43" s="35" t="s">
        <v>34</v>
      </c>
      <c r="E43" s="36" t="s">
        <v>162</v>
      </c>
      <c r="F43" s="35" t="s">
        <v>483</v>
      </c>
      <c r="G43" s="32">
        <v>12</v>
      </c>
      <c r="H43" s="32">
        <v>38</v>
      </c>
      <c r="I43" s="84">
        <f t="shared" si="0"/>
        <v>50</v>
      </c>
      <c r="J43" s="37">
        <v>1532922</v>
      </c>
      <c r="K43" s="37">
        <v>597401</v>
      </c>
      <c r="L43" s="37">
        <v>347810</v>
      </c>
      <c r="M43" s="38">
        <f>I43/(HLOOKUP(F43,Team_Composition_23[[#All],[Yellow]:[Red]],10,FALSE)+HLOOKUP(F43,Team_Composition_23[[#All],[Yellow]:[Red]],11,FALSE))</f>
        <v>6.090133982947625E-2</v>
      </c>
      <c r="N43" s="38">
        <f>J43/HLOOKUP(F43,Team_Composition_23[[#All],[Yellow]:[Red]],6,FALSE)</f>
        <v>8.6873721515601368E-2</v>
      </c>
      <c r="O43" s="38">
        <f>K43/HLOOKUP(F43,Team_Composition_23[[#All],[Yellow]:[Red]],8,FALSE)</f>
        <v>1.3572379168654771E-2</v>
      </c>
      <c r="P43" s="38">
        <f>L43/HLOOKUP(F43,Team_Composition_23[[#All],[Yellow]:[Red]],7,FALSE)</f>
        <v>1.4331800654917263E-2</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32">
        <v>56</v>
      </c>
      <c r="B44" s="57" t="str">
        <f>VLOOKUP(C44,Lists!I:J,2,FALSE)</f>
        <v>Healer</v>
      </c>
      <c r="C44" s="34" t="str">
        <f>VLOOKUP(E44&amp;D44,Lists!C:E,3,FALSE)</f>
        <v>Wand/Longbow</v>
      </c>
      <c r="D44" s="35" t="s">
        <v>34</v>
      </c>
      <c r="E44" s="36" t="s">
        <v>44</v>
      </c>
      <c r="F44" s="35" t="s">
        <v>483</v>
      </c>
      <c r="G44" s="32">
        <v>0</v>
      </c>
      <c r="H44" s="32">
        <v>50</v>
      </c>
      <c r="I44" s="84">
        <f t="shared" si="0"/>
        <v>50</v>
      </c>
      <c r="J44" s="37">
        <v>59483</v>
      </c>
      <c r="K44" s="37">
        <v>532621</v>
      </c>
      <c r="L44" s="37">
        <v>2579326</v>
      </c>
      <c r="M44" s="38">
        <f>I44/(HLOOKUP(F44,Team_Composition_23[[#All],[Yellow]:[Red]],10,FALSE)+HLOOKUP(F44,Team_Composition_23[[#All],[Yellow]:[Red]],11,FALSE))</f>
        <v>6.090133982947625E-2</v>
      </c>
      <c r="N44" s="38">
        <f>J44/HLOOKUP(F44,Team_Composition_23[[#All],[Yellow]:[Red]],6,FALSE)</f>
        <v>3.3710192540210892E-3</v>
      </c>
      <c r="O44" s="38">
        <f>K44/HLOOKUP(F44,Team_Composition_23[[#All],[Yellow]:[Red]],8,FALSE)</f>
        <v>1.2100639545611865E-2</v>
      </c>
      <c r="P44" s="38">
        <f>L44/HLOOKUP(F44,Team_Composition_23[[#All],[Yellow]:[Red]],7,FALSE)</f>
        <v>0.10628327551262219</v>
      </c>
      <c r="Q44" s="31"/>
      <c r="R44" s="45" t="s">
        <v>58</v>
      </c>
      <c r="S44" s="46">
        <f t="shared" si="6"/>
        <v>2</v>
      </c>
      <c r="T44" s="47">
        <f t="shared" si="7"/>
        <v>2</v>
      </c>
      <c r="U44" s="31"/>
      <c r="V44" s="31"/>
      <c r="W44" s="31"/>
      <c r="X44" s="31"/>
      <c r="Y44" s="31"/>
      <c r="Z44" s="31"/>
      <c r="AA44" s="31"/>
      <c r="AB44" s="45" t="s">
        <v>58</v>
      </c>
      <c r="AC44" s="50">
        <f t="shared" si="8"/>
        <v>2</v>
      </c>
      <c r="AD44" s="51">
        <f t="shared" si="9"/>
        <v>2</v>
      </c>
    </row>
    <row r="45" spans="1:30" ht="22.5" customHeight="1">
      <c r="A45" s="32">
        <v>22</v>
      </c>
      <c r="B45" s="54" t="str">
        <f>VLOOKUP(C45,Lists!I:J,2,FALSE)</f>
        <v>KS</v>
      </c>
      <c r="C45" s="34" t="str">
        <f>VLOOKUP(E45&amp;D45,Lists!C:E,3,FALSE)</f>
        <v>Crossbow/Dagger</v>
      </c>
      <c r="D45" s="35" t="s">
        <v>28</v>
      </c>
      <c r="E45" s="36" t="s">
        <v>370</v>
      </c>
      <c r="F45" s="35" t="s">
        <v>483</v>
      </c>
      <c r="G45" s="32">
        <v>20</v>
      </c>
      <c r="H45" s="32">
        <v>29</v>
      </c>
      <c r="I45" s="84">
        <f t="shared" si="0"/>
        <v>49</v>
      </c>
      <c r="J45" s="37">
        <v>1279315</v>
      </c>
      <c r="K45" s="37">
        <v>856481</v>
      </c>
      <c r="L45" s="37">
        <v>25171</v>
      </c>
      <c r="M45" s="38">
        <f>I45/(HLOOKUP(F45,Team_Composition_23[[#All],[Yellow]:[Red]],10,FALSE)+HLOOKUP(F45,Team_Composition_23[[#All],[Yellow]:[Red]],11,FALSE))</f>
        <v>5.9683313032886723E-2</v>
      </c>
      <c r="N45" s="38">
        <f>J45/HLOOKUP(F45,Team_Composition_23[[#All],[Yellow]:[Red]],6,FALSE)</f>
        <v>7.250131124788578E-2</v>
      </c>
      <c r="O45" s="38">
        <f>K45/HLOOKUP(F45,Team_Composition_23[[#All],[Yellow]:[Red]],8,FALSE)</f>
        <v>1.9458428899095596E-2</v>
      </c>
      <c r="P45" s="38">
        <f>L45/HLOOKUP(F45,Team_Composition_23[[#All],[Yellow]:[Red]],7,FALSE)</f>
        <v>1.0371920136997856E-3</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57</v>
      </c>
      <c r="B46" s="33" t="str">
        <f>VLOOKUP(C46,Lists!I:J,2,FALSE)</f>
        <v>Tank</v>
      </c>
      <c r="C46" s="34" t="str">
        <f>VLOOKUP(E46&amp;D46,Lists!C:E,3,FALSE)</f>
        <v>SnS/Spear</v>
      </c>
      <c r="D46" s="35" t="s">
        <v>34</v>
      </c>
      <c r="E46" s="36" t="s">
        <v>61</v>
      </c>
      <c r="F46" s="35" t="s">
        <v>483</v>
      </c>
      <c r="G46" s="32">
        <v>0</v>
      </c>
      <c r="H46" s="32">
        <v>48</v>
      </c>
      <c r="I46" s="84">
        <f t="shared" si="0"/>
        <v>48</v>
      </c>
      <c r="J46" s="37">
        <v>308215</v>
      </c>
      <c r="K46" s="37">
        <v>508339</v>
      </c>
      <c r="L46" s="37">
        <v>42190</v>
      </c>
      <c r="M46" s="38">
        <f>I46/(HLOOKUP(F46,Team_Composition_23[[#All],[Yellow]:[Red]],10,FALSE)+HLOOKUP(F46,Team_Composition_23[[#All],[Yellow]:[Red]],11,FALSE))</f>
        <v>5.8465286236297195E-2</v>
      </c>
      <c r="N46" s="38">
        <f>J46/HLOOKUP(F46,Team_Composition_23[[#All],[Yellow]:[Red]],6,FALSE)</f>
        <v>1.7467153630081032E-2</v>
      </c>
      <c r="O46" s="38">
        <f>K46/HLOOKUP(F46,Team_Composition_23[[#All],[Yellow]:[Red]],8,FALSE)</f>
        <v>1.1548975736925111E-2</v>
      </c>
      <c r="P46" s="38">
        <f>L46/HLOOKUP(F46,Team_Composition_23[[#All],[Yellow]:[Red]],7,FALSE)</f>
        <v>1.7384740796151904E-3</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58</v>
      </c>
      <c r="B47" s="52" t="str">
        <f>VLOOKUP(C47,Lists!I:J,2,FALSE)</f>
        <v>Healer</v>
      </c>
      <c r="C47" s="34" t="str">
        <f>VLOOKUP(E47&amp;D47,Lists!C:E,3,FALSE)</f>
        <v>Wand/Orb</v>
      </c>
      <c r="D47" s="35" t="s">
        <v>34</v>
      </c>
      <c r="E47" s="36" t="s">
        <v>144</v>
      </c>
      <c r="F47" s="35" t="s">
        <v>476</v>
      </c>
      <c r="G47" s="32">
        <v>0</v>
      </c>
      <c r="H47" s="32">
        <v>46</v>
      </c>
      <c r="I47" s="84">
        <f t="shared" si="0"/>
        <v>46</v>
      </c>
      <c r="J47" s="37">
        <v>20983</v>
      </c>
      <c r="K47" s="37">
        <v>205092</v>
      </c>
      <c r="L47" s="37">
        <v>1012522</v>
      </c>
      <c r="M47" s="38">
        <f>I47/(HLOOKUP(F47,Team_Composition_23[[#All],[Yellow]:[Red]],10,FALSE)+HLOOKUP(F47,Team_Composition_23[[#All],[Yellow]:[Red]],11,FALSE))</f>
        <v>1.1497125718570358E-2</v>
      </c>
      <c r="N47" s="38">
        <f>J47/HLOOKUP(F47,Team_Composition_23[[#All],[Yellow]:[Red]],6,FALSE)</f>
        <v>4.7297794265572417E-4</v>
      </c>
      <c r="O47" s="38">
        <f>K47/HLOOKUP(F47,Team_Composition_23[[#All],[Yellow]:[Red]],8,FALSE)</f>
        <v>1.1706990955925371E-2</v>
      </c>
      <c r="P47" s="38">
        <f>L47/HLOOKUP(F47,Team_Composition_23[[#All],[Yellow]:[Red]],7,FALSE)</f>
        <v>7.8218592306053394E-2</v>
      </c>
      <c r="Q47" s="31"/>
      <c r="R47" s="48"/>
      <c r="S47" s="63"/>
      <c r="T47" s="63"/>
      <c r="U47" s="31"/>
      <c r="V47" s="31"/>
      <c r="W47" s="31"/>
      <c r="X47" s="31"/>
      <c r="Y47" s="31"/>
      <c r="Z47" s="31"/>
      <c r="AA47" s="31"/>
      <c r="AB47" s="48"/>
      <c r="AC47" s="63"/>
      <c r="AD47" s="63"/>
    </row>
    <row r="48" spans="1:30" ht="22.5" customHeight="1">
      <c r="A48" s="32">
        <v>59</v>
      </c>
      <c r="B48" s="55" t="str">
        <f>VLOOKUP(C48,Lists!I:J,2,FALSE)</f>
        <v>Healer</v>
      </c>
      <c r="C48" s="34" t="str">
        <f>VLOOKUP(E48&amp;D48,Lists!C:E,3,FALSE)</f>
        <v>Wand/Orb</v>
      </c>
      <c r="D48" s="35" t="s">
        <v>28</v>
      </c>
      <c r="E48" s="36" t="s">
        <v>377</v>
      </c>
      <c r="F48" s="35" t="s">
        <v>483</v>
      </c>
      <c r="G48" s="32">
        <v>0</v>
      </c>
      <c r="H48" s="32">
        <v>45</v>
      </c>
      <c r="I48" s="84">
        <f t="shared" si="0"/>
        <v>45</v>
      </c>
      <c r="J48" s="37">
        <v>6421</v>
      </c>
      <c r="K48" s="37">
        <v>230556</v>
      </c>
      <c r="L48" s="37">
        <v>744234</v>
      </c>
      <c r="M48" s="38">
        <f>I48/(HLOOKUP(F48,Team_Composition_23[[#All],[Yellow]:[Red]],10,FALSE)+HLOOKUP(F48,Team_Composition_23[[#All],[Yellow]:[Red]],11,FALSE))</f>
        <v>5.4811205846528627E-2</v>
      </c>
      <c r="N48" s="38">
        <f>J48/HLOOKUP(F48,Team_Composition_23[[#All],[Yellow]:[Red]],6,FALSE)</f>
        <v>3.638907692965959E-4</v>
      </c>
      <c r="O48" s="38">
        <f>K48/HLOOKUP(F48,Team_Composition_23[[#All],[Yellow]:[Red]],8,FALSE)</f>
        <v>5.2380117402019239E-3</v>
      </c>
      <c r="P48" s="38">
        <f>L48/HLOOKUP(F48,Team_Composition_23[[#All],[Yellow]:[Red]],7,FALSE)</f>
        <v>3.0666781658410323E-2</v>
      </c>
      <c r="Q48" s="31"/>
      <c r="R48" s="31"/>
      <c r="S48" s="64"/>
      <c r="T48" s="64"/>
      <c r="U48" s="31"/>
      <c r="V48" s="31"/>
      <c r="W48" s="31"/>
      <c r="X48" s="31"/>
      <c r="Y48" s="31"/>
      <c r="Z48" s="31"/>
      <c r="AA48" s="31"/>
      <c r="AB48" s="31"/>
      <c r="AC48" s="64"/>
      <c r="AD48" s="64"/>
    </row>
    <row r="49" spans="1:30" ht="22.5" customHeight="1">
      <c r="A49" s="32">
        <v>41</v>
      </c>
      <c r="B49" s="65" t="str">
        <f>VLOOKUP(C49,Lists!I:J,2,FALSE)</f>
        <v>Healer</v>
      </c>
      <c r="C49" s="34" t="str">
        <f>VLOOKUP(E49&amp;D49,Lists!C:E,3,FALSE)</f>
        <v>Wand/Longbow</v>
      </c>
      <c r="D49" s="35" t="s">
        <v>34</v>
      </c>
      <c r="E49" s="36" t="s">
        <v>180</v>
      </c>
      <c r="F49" s="35" t="s">
        <v>476</v>
      </c>
      <c r="G49" s="32">
        <v>1</v>
      </c>
      <c r="H49" s="32">
        <v>44</v>
      </c>
      <c r="I49" s="84">
        <f t="shared" si="0"/>
        <v>45</v>
      </c>
      <c r="J49" s="37">
        <v>22524</v>
      </c>
      <c r="K49" s="37">
        <v>473935</v>
      </c>
      <c r="L49" s="37">
        <v>1177251</v>
      </c>
      <c r="M49" s="38">
        <f>I49/(HLOOKUP(F49,Team_Composition_23[[#All],[Yellow]:[Red]],10,FALSE)+HLOOKUP(F49,Team_Composition_23[[#All],[Yellow]:[Red]],11,FALSE))</f>
        <v>1.1247188202949263E-2</v>
      </c>
      <c r="N49" s="38">
        <f>J49/HLOOKUP(F49,Team_Composition_23[[#All],[Yellow]:[Red]],6,FALSE)</f>
        <v>5.0771363391209699E-4</v>
      </c>
      <c r="O49" s="38">
        <f>K49/HLOOKUP(F49,Team_Composition_23[[#All],[Yellow]:[Red]],8,FALSE)</f>
        <v>2.7052994552183851E-2</v>
      </c>
      <c r="P49" s="38">
        <f>L49/HLOOKUP(F49,Team_Composition_23[[#All],[Yellow]:[Red]],7,FALSE)</f>
        <v>9.0944113817668815E-2</v>
      </c>
      <c r="Q49" s="31"/>
      <c r="R49" s="227" t="s">
        <v>67</v>
      </c>
      <c r="S49" s="228"/>
      <c r="T49" s="228"/>
      <c r="U49" s="31"/>
      <c r="V49" s="31"/>
      <c r="W49" s="31"/>
      <c r="X49" s="31"/>
      <c r="Y49" s="31"/>
      <c r="Z49" s="31"/>
      <c r="AA49" s="31"/>
      <c r="AB49" s="227" t="s">
        <v>67</v>
      </c>
      <c r="AC49" s="228"/>
      <c r="AD49" s="228"/>
    </row>
    <row r="50" spans="1:30" ht="22.5" customHeight="1">
      <c r="A50" s="32">
        <v>27</v>
      </c>
      <c r="B50" s="60" t="str">
        <f>VLOOKUP(C50,Lists!I:J,2,FALSE)</f>
        <v>KS</v>
      </c>
      <c r="C50" s="34" t="str">
        <f>VLOOKUP(E50&amp;D50,Lists!C:E,3,FALSE)</f>
        <v>Greatsword/Dagger</v>
      </c>
      <c r="D50" s="35" t="s">
        <v>28</v>
      </c>
      <c r="E50" s="36" t="s">
        <v>372</v>
      </c>
      <c r="F50" s="35" t="s">
        <v>483</v>
      </c>
      <c r="G50" s="32">
        <v>16</v>
      </c>
      <c r="H50" s="32">
        <v>28</v>
      </c>
      <c r="I50" s="84">
        <f t="shared" si="0"/>
        <v>44</v>
      </c>
      <c r="J50" s="37">
        <v>829118</v>
      </c>
      <c r="K50" s="37">
        <v>690958</v>
      </c>
      <c r="L50" s="37">
        <v>14648</v>
      </c>
      <c r="M50" s="38">
        <f>I50/(HLOOKUP(F50,Team_Composition_23[[#All],[Yellow]:[Red]],10,FALSE)+HLOOKUP(F50,Team_Composition_23[[#All],[Yellow]:[Red]],11,FALSE))</f>
        <v>5.3593179049939099E-2</v>
      </c>
      <c r="N50" s="38">
        <f>J50/HLOOKUP(F50,Team_Composition_23[[#All],[Yellow]:[Red]],6,FALSE)</f>
        <v>4.6987756869281264E-2</v>
      </c>
      <c r="O50" s="38">
        <f>K50/HLOOKUP(F50,Team_Composition_23[[#All],[Yellow]:[Red]],8,FALSE)</f>
        <v>1.5697904699883938E-2</v>
      </c>
      <c r="P50" s="38">
        <f>L50/HLOOKUP(F50,Team_Composition_23[[#All],[Yellow]:[Red]],7,FALSE)</f>
        <v>6.0358303669597784E-4</v>
      </c>
      <c r="Q50" s="31"/>
      <c r="R50" s="41" t="s">
        <v>482</v>
      </c>
      <c r="S50" s="42" t="s">
        <v>476</v>
      </c>
      <c r="T50" s="42" t="s">
        <v>483</v>
      </c>
      <c r="U50" s="31"/>
      <c r="V50" s="31"/>
      <c r="W50" s="31"/>
      <c r="X50" s="31"/>
      <c r="Y50" s="31"/>
      <c r="Z50" s="31"/>
      <c r="AA50" s="31"/>
      <c r="AB50" s="41" t="s">
        <v>482</v>
      </c>
      <c r="AC50" s="42" t="s">
        <v>485</v>
      </c>
      <c r="AD50" s="42" t="s">
        <v>28</v>
      </c>
    </row>
    <row r="51" spans="1:30" ht="22.5" customHeight="1">
      <c r="A51" s="32">
        <v>60</v>
      </c>
      <c r="B51" s="59" t="str">
        <f>VLOOKUP(C51,Lists!I:J,2,FALSE)</f>
        <v>Healer</v>
      </c>
      <c r="C51" s="34" t="str">
        <f>VLOOKUP(E51&amp;D51,Lists!C:E,3,FALSE)</f>
        <v>Wand/Longbow</v>
      </c>
      <c r="D51" s="35" t="s">
        <v>28</v>
      </c>
      <c r="E51" s="36" t="s">
        <v>378</v>
      </c>
      <c r="F51" s="35" t="s">
        <v>476</v>
      </c>
      <c r="G51" s="32">
        <v>0</v>
      </c>
      <c r="H51" s="32">
        <v>44</v>
      </c>
      <c r="I51" s="84">
        <f t="shared" si="0"/>
        <v>44</v>
      </c>
      <c r="J51" s="37">
        <v>79609</v>
      </c>
      <c r="K51" s="37">
        <v>930402</v>
      </c>
      <c r="L51" s="37">
        <v>2019678</v>
      </c>
      <c r="M51" s="38">
        <f>I51/(HLOOKUP(F51,Team_Composition_23[[#All],[Yellow]:[Red]],10,FALSE)+HLOOKUP(F51,Team_Composition_23[[#All],[Yellow]:[Red]],11,FALSE))</f>
        <v>1.0997250687328168E-2</v>
      </c>
      <c r="N51" s="38">
        <f>J51/HLOOKUP(F51,Team_Composition_23[[#All],[Yellow]:[Red]],6,FALSE)</f>
        <v>1.7944669988504763E-3</v>
      </c>
      <c r="O51" s="38">
        <f>K51/HLOOKUP(F51,Team_Composition_23[[#All],[Yellow]:[Red]],8,FALSE)</f>
        <v>5.3108886740462213E-2</v>
      </c>
      <c r="P51" s="38">
        <f>L51/HLOOKUP(F51,Team_Composition_23[[#All],[Yellow]:[Red]],7,FALSE)</f>
        <v>0.15602265439319374</v>
      </c>
      <c r="Q51" s="31"/>
      <c r="R51" s="45" t="s">
        <v>468</v>
      </c>
      <c r="S51" s="46">
        <f>SUMIFS(Scoreboard_26[Damage Dealt],Scoreboard_26[Role],"Tank",Scoreboard_26[Team],"Yellow")</f>
        <v>872474</v>
      </c>
      <c r="T51" s="47">
        <f>SUMIFS(Scoreboard_26[Damage Dealt],Scoreboard_26[Role],"Tank",Scoreboard_26[Team],"Red")</f>
        <v>1828124</v>
      </c>
      <c r="U51" s="31"/>
      <c r="V51" s="31"/>
      <c r="W51" s="31"/>
      <c r="X51" s="31"/>
      <c r="Y51" s="31"/>
      <c r="Z51" s="31"/>
      <c r="AA51" s="31"/>
      <c r="AB51" s="45" t="s">
        <v>468</v>
      </c>
      <c r="AC51" s="50">
        <f>SUMIFS(Scoreboard_26[Damage Dealt],Scoreboard_26[Role],"Tank",Scoreboard_26[Guild],"Best Regards")</f>
        <v>1789852</v>
      </c>
      <c r="AD51" s="51">
        <f>SUMIFS(Scoreboard_26[Damage Dealt],Scoreboard_26[Role],"Tank",Scoreboard_26[Guild],"Undercooked")</f>
        <v>691685</v>
      </c>
    </row>
    <row r="52" spans="1:30" ht="22.5" customHeight="1">
      <c r="A52" s="32">
        <v>61</v>
      </c>
      <c r="B52" s="62" t="str">
        <f>VLOOKUP(C52,Lists!I:J,2,FALSE)</f>
        <v>Healer</v>
      </c>
      <c r="C52" s="34" t="str">
        <f>VLOOKUP(E52&amp;D52,Lists!C:E,3,FALSE)</f>
        <v>Wand/Longbow</v>
      </c>
      <c r="D52" s="35" t="s">
        <v>28</v>
      </c>
      <c r="E52" s="36" t="s">
        <v>379</v>
      </c>
      <c r="F52" s="35" t="s">
        <v>483</v>
      </c>
      <c r="G52" s="32">
        <v>0</v>
      </c>
      <c r="H52" s="32">
        <v>43</v>
      </c>
      <c r="I52" s="84">
        <f t="shared" si="0"/>
        <v>43</v>
      </c>
      <c r="J52" s="37">
        <v>51232</v>
      </c>
      <c r="K52" s="37">
        <v>293121</v>
      </c>
      <c r="L52" s="37">
        <v>1216479</v>
      </c>
      <c r="M52" s="38">
        <f>I52/(HLOOKUP(F52,Team_Composition_23[[#All],[Yellow]:[Red]],10,FALSE)+HLOOKUP(F52,Team_Composition_23[[#All],[Yellow]:[Red]],11,FALSE))</f>
        <v>5.2375152253349572E-2</v>
      </c>
      <c r="N52" s="38">
        <f>J52/HLOOKUP(F52,Team_Composition_23[[#All],[Yellow]:[Red]],6,FALSE)</f>
        <v>2.9034187653952971E-3</v>
      </c>
      <c r="O52" s="38">
        <f>K52/HLOOKUP(F52,Team_Composition_23[[#All],[Yellow]:[Red]],8,FALSE)</f>
        <v>6.6594286824013613E-3</v>
      </c>
      <c r="P52" s="38">
        <f>L52/HLOOKUP(F52,Team_Composition_23[[#All],[Yellow]:[Red]],7,FALSE)</f>
        <v>5.0126030099459755E-2</v>
      </c>
      <c r="Q52" s="31"/>
      <c r="R52" s="45" t="s">
        <v>469</v>
      </c>
      <c r="S52" s="46">
        <f>SUMIFS(Scoreboard_26[Damage Taken],Scoreboard_26[Role],"Tank",Scoreboard_26[Team],"Yellow")</f>
        <v>8882344</v>
      </c>
      <c r="T52" s="47">
        <f>SUMIFS(Scoreboard_26[Damage Taken],Scoreboard_26[Role],"Tank",Scoreboard_26[Team],"Red")</f>
        <v>8372996</v>
      </c>
      <c r="U52" s="31"/>
      <c r="V52" s="31"/>
      <c r="W52" s="31"/>
      <c r="X52" s="31"/>
      <c r="Y52" s="31"/>
      <c r="Z52" s="31"/>
      <c r="AA52" s="31"/>
      <c r="AB52" s="45" t="s">
        <v>469</v>
      </c>
      <c r="AC52" s="50">
        <f>SUMIFS(Scoreboard_26[Damage Taken],Scoreboard_26[Role],"Tank",Scoreboard_26[Guild],"Best Regards")</f>
        <v>8316064</v>
      </c>
      <c r="AD52" s="51">
        <f>SUMIFS(Scoreboard_26[Damage Taken],Scoreboard_26[Role],"Tank",Scoreboard_26[Guild],"Undercooked")</f>
        <v>7971875</v>
      </c>
    </row>
    <row r="53" spans="1:30" ht="22.5" customHeight="1">
      <c r="A53" s="32">
        <v>62</v>
      </c>
      <c r="B53" s="52" t="str">
        <f>VLOOKUP(C53,Lists!I:J,2,FALSE)</f>
        <v>Healer</v>
      </c>
      <c r="C53" s="34" t="str">
        <f>VLOOKUP(E53&amp;D53,Lists!C:E,3,FALSE)</f>
        <v>Wand/Orb</v>
      </c>
      <c r="D53" s="35" t="s">
        <v>34</v>
      </c>
      <c r="E53" s="36" t="s">
        <v>74</v>
      </c>
      <c r="F53" s="35" t="s">
        <v>483</v>
      </c>
      <c r="G53" s="32">
        <v>0</v>
      </c>
      <c r="H53" s="32">
        <v>43</v>
      </c>
      <c r="I53" s="84">
        <f t="shared" si="0"/>
        <v>43</v>
      </c>
      <c r="J53" s="37">
        <v>31221</v>
      </c>
      <c r="K53" s="37">
        <v>333520</v>
      </c>
      <c r="L53" s="37">
        <v>402884</v>
      </c>
      <c r="M53" s="38">
        <f>I53/(HLOOKUP(F53,Team_Composition_23[[#All],[Yellow]:[Red]],10,FALSE)+HLOOKUP(F53,Team_Composition_23[[#All],[Yellow]:[Red]],11,FALSE))</f>
        <v>5.2375152253349572E-2</v>
      </c>
      <c r="N53" s="38">
        <f>J53/HLOOKUP(F53,Team_Composition_23[[#All],[Yellow]:[Red]],6,FALSE)</f>
        <v>1.7693558181294223E-3</v>
      </c>
      <c r="O53" s="38">
        <f>K53/HLOOKUP(F53,Team_Composition_23[[#All],[Yellow]:[Red]],8,FALSE)</f>
        <v>7.5772553114737667E-3</v>
      </c>
      <c r="P53" s="38">
        <f>L53/HLOOKUP(F53,Team_Composition_23[[#All],[Yellow]:[Red]],7,FALSE)</f>
        <v>1.660117068242916E-2</v>
      </c>
      <c r="Q53" s="31"/>
      <c r="R53" s="45" t="s">
        <v>470</v>
      </c>
      <c r="S53" s="46">
        <f>SUMIFS(Scoreboard_26[Amount Healed],Scoreboard_26[Role],"Tank",Scoreboard_26[Team],"Yellow")</f>
        <v>568776</v>
      </c>
      <c r="T53" s="47">
        <f>SUMIFS(Scoreboard_26[Amount Healed],Scoreboard_26[Role],"Tank",Scoreboard_26[Team],"Red")</f>
        <v>874934</v>
      </c>
      <c r="U53" s="31"/>
      <c r="V53" s="31"/>
      <c r="W53" s="31"/>
      <c r="X53" s="31"/>
      <c r="Y53" s="31"/>
      <c r="Z53" s="31"/>
      <c r="AA53" s="31"/>
      <c r="AB53" s="45" t="s">
        <v>470</v>
      </c>
      <c r="AC53" s="50">
        <f>SUMIFS(Scoreboard_26[Amount Healed],Scoreboard_26[Role],"Tank",Scoreboard_26[Guild],"Best Regards")</f>
        <v>482714</v>
      </c>
      <c r="AD53" s="51">
        <f>SUMIFS(Scoreboard_26[Amount Healed],Scoreboard_26[Role],"Tank",Scoreboard_26[Guild],"Undercooked")</f>
        <v>927042</v>
      </c>
    </row>
    <row r="54" spans="1:30" ht="22.5" customHeight="1">
      <c r="A54" s="32">
        <v>63</v>
      </c>
      <c r="B54" s="62" t="str">
        <f>VLOOKUP(C54,Lists!I:J,2,FALSE)</f>
        <v>Tank</v>
      </c>
      <c r="C54" s="34" t="str">
        <f>VLOOKUP(E54&amp;D54,Lists!C:E,3,FALSE)</f>
        <v>SnS/Longbow</v>
      </c>
      <c r="D54" s="35" t="s">
        <v>28</v>
      </c>
      <c r="E54" s="36" t="s">
        <v>380</v>
      </c>
      <c r="F54" s="35" t="s">
        <v>483</v>
      </c>
      <c r="G54" s="32">
        <v>0</v>
      </c>
      <c r="H54" s="32">
        <v>41</v>
      </c>
      <c r="I54" s="84">
        <f t="shared" si="0"/>
        <v>41</v>
      </c>
      <c r="J54" s="37">
        <v>66648</v>
      </c>
      <c r="K54" s="37">
        <v>740204</v>
      </c>
      <c r="L54" s="37">
        <v>288523</v>
      </c>
      <c r="M54" s="38">
        <f>I54/(HLOOKUP(F54,Team_Composition_23[[#All],[Yellow]:[Red]],10,FALSE)+HLOOKUP(F54,Team_Composition_23[[#All],[Yellow]:[Red]],11,FALSE))</f>
        <v>4.9939098660170524E-2</v>
      </c>
      <c r="N54" s="38">
        <f>J54/HLOOKUP(F54,Team_Composition_23[[#All],[Yellow]:[Red]],6,FALSE)</f>
        <v>3.7770739747826701E-3</v>
      </c>
      <c r="O54" s="38">
        <f>K54/HLOOKUP(F54,Team_Composition_23[[#All],[Yellow]:[Red]],8,FALSE)</f>
        <v>1.6816726704767714E-2</v>
      </c>
      <c r="P54" s="38">
        <f>L54/HLOOKUP(F54,Team_Composition_23[[#All],[Yellow]:[Red]],7,FALSE)</f>
        <v>1.1888830454439761E-2</v>
      </c>
      <c r="Q54" s="31"/>
      <c r="R54" s="45" t="s">
        <v>465</v>
      </c>
      <c r="S54" s="46">
        <f>SUMIFS(Scoreboard_26[Kills],Scoreboard_26[Role],"Tank",Scoreboard_26[Team],"Yellow")</f>
        <v>4</v>
      </c>
      <c r="T54" s="47">
        <f>SUMIFS(Scoreboard_26[Kills],Scoreboard_26[Role],"Tank",Scoreboard_26[Team],"Red")</f>
        <v>12</v>
      </c>
      <c r="U54" s="31"/>
      <c r="V54" s="31"/>
      <c r="W54" s="31"/>
      <c r="X54" s="31"/>
      <c r="Y54" s="31"/>
      <c r="Z54" s="31"/>
      <c r="AA54" s="31"/>
      <c r="AB54" s="45" t="s">
        <v>465</v>
      </c>
      <c r="AC54" s="50">
        <f>SUMIFS(Scoreboard_26[Kills],Scoreboard_26[Role],"Tank",Scoreboard_26[Guild],"Best Regards")</f>
        <v>11</v>
      </c>
      <c r="AD54" s="51">
        <f>SUMIFS(Scoreboard_26[Kills],Scoreboard_26[Role],"Tank",Scoreboard_26[Guild],"Undercooked")</f>
        <v>3</v>
      </c>
    </row>
    <row r="55" spans="1:30" ht="22.5" customHeight="1">
      <c r="A55" s="32">
        <v>42</v>
      </c>
      <c r="B55" s="52" t="str">
        <f>VLOOKUP(C55,Lists!I:J,2,FALSE)</f>
        <v>Tank</v>
      </c>
      <c r="C55" s="34" t="str">
        <f>VLOOKUP(E55&amp;D55,Lists!C:E,3,FALSE)</f>
        <v>SnS/Greatsword</v>
      </c>
      <c r="D55" s="35" t="s">
        <v>28</v>
      </c>
      <c r="E55" s="36" t="s">
        <v>376</v>
      </c>
      <c r="F55" s="35" t="s">
        <v>483</v>
      </c>
      <c r="G55" s="32">
        <v>1</v>
      </c>
      <c r="H55" s="32">
        <v>38</v>
      </c>
      <c r="I55" s="84">
        <f t="shared" si="0"/>
        <v>39</v>
      </c>
      <c r="J55" s="37">
        <v>92573</v>
      </c>
      <c r="K55" s="37">
        <v>1284333</v>
      </c>
      <c r="L55" s="37">
        <v>31821</v>
      </c>
      <c r="M55" s="38">
        <f>I55/(HLOOKUP(F55,Team_Composition_23[[#All],[Yellow]:[Red]],10,FALSE)+HLOOKUP(F55,Team_Composition_23[[#All],[Yellow]:[Red]],11,FALSE))</f>
        <v>4.7503045066991476E-2</v>
      </c>
      <c r="N55" s="38">
        <f>J55/HLOOKUP(F55,Team_Composition_23[[#All],[Yellow]:[Red]],6,FALSE)</f>
        <v>5.2462949986129531E-3</v>
      </c>
      <c r="O55" s="38">
        <f>K55/HLOOKUP(F55,Team_Composition_23[[#All],[Yellow]:[Red]],8,FALSE)</f>
        <v>2.9178817000332924E-2</v>
      </c>
      <c r="P55" s="38">
        <f>L55/HLOOKUP(F55,Team_Composition_23[[#All],[Yellow]:[Red]],7,FALSE)</f>
        <v>1.3112108008398902E-3</v>
      </c>
      <c r="Q55" s="31"/>
      <c r="R55" s="45" t="s">
        <v>466</v>
      </c>
      <c r="S55" s="46">
        <f>SUMIFS(Scoreboard_26[Assists],Scoreboard_26[Role],"Tank",Scoreboard_26[Team],"Yellow")</f>
        <v>255</v>
      </c>
      <c r="T55" s="47">
        <f>SUMIFS(Scoreboard_26[Assists],Scoreboard_26[Role],"Tank",Scoreboard_26[Team],"Red")</f>
        <v>289</v>
      </c>
      <c r="U55" s="31"/>
      <c r="V55" s="31"/>
      <c r="W55" s="31"/>
      <c r="X55" s="31"/>
      <c r="Y55" s="31"/>
      <c r="Z55" s="31"/>
      <c r="AA55" s="31"/>
      <c r="AB55" s="45" t="s">
        <v>466</v>
      </c>
      <c r="AC55" s="50">
        <f>SUMIFS(Scoreboard_26[Assists],Scoreboard_26[Role],"Tank",Scoreboard_26[Guild],"Best Regards")</f>
        <v>282</v>
      </c>
      <c r="AD55" s="51">
        <f>SUMIFS(Scoreboard_26[Assists],Scoreboard_26[Role],"Tank",Scoreboard_26[Guild],"Undercooked")</f>
        <v>244</v>
      </c>
    </row>
    <row r="56" spans="1:30" ht="22.5" customHeight="1">
      <c r="A56" s="32">
        <v>64</v>
      </c>
      <c r="B56" s="62" t="str">
        <f>VLOOKUP(C56,Lists!I:J,2,FALSE)</f>
        <v>Healer</v>
      </c>
      <c r="C56" s="34" t="str">
        <f>VLOOKUP(E56&amp;D56,Lists!C:E,3,FALSE)</f>
        <v>Wand/Orb</v>
      </c>
      <c r="D56" s="35" t="s">
        <v>28</v>
      </c>
      <c r="E56" s="36" t="s">
        <v>389</v>
      </c>
      <c r="F56" s="35" t="s">
        <v>476</v>
      </c>
      <c r="G56" s="32">
        <v>0</v>
      </c>
      <c r="H56" s="32">
        <v>37</v>
      </c>
      <c r="I56" s="84">
        <f t="shared" si="0"/>
        <v>37</v>
      </c>
      <c r="J56" s="37">
        <v>15737</v>
      </c>
      <c r="K56" s="37">
        <v>551330</v>
      </c>
      <c r="L56" s="37">
        <v>1832308</v>
      </c>
      <c r="M56" s="38">
        <f>I56/(HLOOKUP(F56,Team_Composition_23[[#All],[Yellow]:[Red]],10,FALSE)+HLOOKUP(F56,Team_Composition_23[[#All],[Yellow]:[Red]],11,FALSE))</f>
        <v>9.2476880779805044E-3</v>
      </c>
      <c r="N56" s="38">
        <f>J56/HLOOKUP(F56,Team_Composition_23[[#All],[Yellow]:[Red]],6,FALSE)</f>
        <v>3.5472782174012922E-4</v>
      </c>
      <c r="O56" s="38">
        <f>K56/HLOOKUP(F56,Team_Composition_23[[#All],[Yellow]:[Red]],8,FALSE)</f>
        <v>3.1470829304557635E-2</v>
      </c>
      <c r="P56" s="38">
        <f>L56/HLOOKUP(F56,Team_Composition_23[[#All],[Yellow]:[Red]],7,FALSE)</f>
        <v>0.14154808728217272</v>
      </c>
      <c r="Q56" s="31"/>
      <c r="R56" s="45" t="s">
        <v>62</v>
      </c>
      <c r="S56" s="46">
        <f t="shared" ref="S56:S60" si="10">COUNTIFS(C:C,R56,F:F,"Yellow")</f>
        <v>3</v>
      </c>
      <c r="T56" s="47">
        <f t="shared" ref="T56:T60" si="11">COUNTIFS(C:C,R56,F:F,"Red")</f>
        <v>3</v>
      </c>
      <c r="U56" s="31"/>
      <c r="V56" s="31"/>
      <c r="W56" s="31"/>
      <c r="X56" s="31"/>
      <c r="Y56" s="31"/>
      <c r="Z56" s="31"/>
      <c r="AA56" s="31"/>
      <c r="AB56" s="45" t="s">
        <v>62</v>
      </c>
      <c r="AC56" s="50">
        <f t="shared" ref="AC56:AC60" si="12">COUNTIFS(C:C,AB56,D:D,"Best Regards")</f>
        <v>4</v>
      </c>
      <c r="AD56" s="51">
        <f t="shared" ref="AD56:AD60" si="13">COUNTIFS(C:C,AB56,D:D,"Undercooked")</f>
        <v>2</v>
      </c>
    </row>
    <row r="57" spans="1:30" ht="22.5" customHeight="1">
      <c r="A57" s="32">
        <v>34</v>
      </c>
      <c r="B57" s="59" t="str">
        <f>VLOOKUP(C57,Lists!I:J,2,FALSE)</f>
        <v>Tank</v>
      </c>
      <c r="C57" s="34" t="str">
        <f>VLOOKUP(E57&amp;D57,Lists!C:E,3,FALSE)</f>
        <v>SnS/Greatsword</v>
      </c>
      <c r="D57" s="35" t="s">
        <v>34</v>
      </c>
      <c r="E57" s="36" t="s">
        <v>173</v>
      </c>
      <c r="F57" s="35" t="s">
        <v>483</v>
      </c>
      <c r="G57" s="32">
        <v>7</v>
      </c>
      <c r="H57" s="32">
        <v>30</v>
      </c>
      <c r="I57" s="84">
        <f t="shared" si="0"/>
        <v>37</v>
      </c>
      <c r="J57" s="37">
        <v>427160</v>
      </c>
      <c r="K57" s="37">
        <v>316446</v>
      </c>
      <c r="L57" s="37">
        <v>72072</v>
      </c>
      <c r="M57" s="38">
        <f>I57/(HLOOKUP(F57,Team_Composition_23[[#All],[Yellow]:[Red]],10,FALSE)+HLOOKUP(F57,Team_Composition_23[[#All],[Yellow]:[Red]],11,FALSE))</f>
        <v>4.5066991473812421E-2</v>
      </c>
      <c r="N57" s="38">
        <f>J57/HLOOKUP(F57,Team_Composition_23[[#All],[Yellow]:[Red]],6,FALSE)</f>
        <v>2.4208002026589924E-2</v>
      </c>
      <c r="O57" s="38">
        <f>K57/HLOOKUP(F57,Team_Composition_23[[#All],[Yellow]:[Red]],8,FALSE)</f>
        <v>7.1893503666785423E-3</v>
      </c>
      <c r="P57" s="38">
        <f>L57/HLOOKUP(F57,Team_Composition_23[[#All],[Yellow]:[Red]],7,FALSE)</f>
        <v>2.9697867709415973E-3</v>
      </c>
      <c r="Q57" s="31"/>
      <c r="R57" s="45" t="s">
        <v>70</v>
      </c>
      <c r="S57" s="46">
        <f t="shared" si="10"/>
        <v>1</v>
      </c>
      <c r="T57" s="47">
        <f t="shared" si="11"/>
        <v>0</v>
      </c>
      <c r="U57" s="31"/>
      <c r="V57" s="31"/>
      <c r="W57" s="31"/>
      <c r="X57" s="31"/>
      <c r="Y57" s="31"/>
      <c r="Z57" s="31"/>
      <c r="AA57" s="31"/>
      <c r="AB57" s="45" t="s">
        <v>70</v>
      </c>
      <c r="AC57" s="50">
        <f t="shared" si="12"/>
        <v>1</v>
      </c>
      <c r="AD57" s="51">
        <f t="shared" si="13"/>
        <v>0</v>
      </c>
    </row>
    <row r="58" spans="1:30" ht="22.5" customHeight="1">
      <c r="A58" s="32">
        <v>36</v>
      </c>
      <c r="B58" s="62" t="s">
        <v>11</v>
      </c>
      <c r="C58" s="34" t="str">
        <f>VLOOKUP(E58&amp;D58,Lists!C:E,3,FALSE)</f>
        <v>SnS/Greatsword</v>
      </c>
      <c r="D58" s="35" t="s">
        <v>34</v>
      </c>
      <c r="E58" s="36" t="s">
        <v>93</v>
      </c>
      <c r="F58" s="35" t="s">
        <v>476</v>
      </c>
      <c r="G58" s="32">
        <v>2</v>
      </c>
      <c r="H58" s="32">
        <v>35</v>
      </c>
      <c r="I58" s="84">
        <f t="shared" si="0"/>
        <v>37</v>
      </c>
      <c r="J58" s="37">
        <v>141086</v>
      </c>
      <c r="K58" s="37">
        <v>287935</v>
      </c>
      <c r="L58" s="37">
        <v>9185</v>
      </c>
      <c r="M58" s="38">
        <f>I58/(HLOOKUP(F58,Team_Composition_23[[#All],[Yellow]:[Red]],10,FALSE)+HLOOKUP(F58,Team_Composition_23[[#All],[Yellow]:[Red]],11,FALSE))</f>
        <v>9.2476880779805044E-3</v>
      </c>
      <c r="N58" s="38">
        <f>J58/HLOOKUP(F58,Team_Composition_23[[#All],[Yellow]:[Red]],6,FALSE)</f>
        <v>3.1802204650205165E-3</v>
      </c>
      <c r="O58" s="38">
        <f>K58/HLOOKUP(F58,Team_Composition_23[[#All],[Yellow]:[Red]],8,FALSE)</f>
        <v>1.6435806569219526E-2</v>
      </c>
      <c r="P58" s="38">
        <f>L58/HLOOKUP(F58,Team_Composition_23[[#All],[Yellow]:[Red]],7,FALSE)</f>
        <v>7.0955275078576116E-4</v>
      </c>
      <c r="Q58" s="31"/>
      <c r="R58" s="45" t="s">
        <v>14</v>
      </c>
      <c r="S58" s="46">
        <f t="shared" si="10"/>
        <v>10</v>
      </c>
      <c r="T58" s="47">
        <f t="shared" si="11"/>
        <v>8</v>
      </c>
      <c r="U58" s="31"/>
      <c r="V58" s="31"/>
      <c r="W58" s="31"/>
      <c r="X58" s="31"/>
      <c r="Y58" s="31"/>
      <c r="Z58" s="31"/>
      <c r="AA58" s="31"/>
      <c r="AB58" s="45" t="s">
        <v>14</v>
      </c>
      <c r="AC58" s="50">
        <f t="shared" si="12"/>
        <v>10</v>
      </c>
      <c r="AD58" s="51">
        <f t="shared" si="13"/>
        <v>7</v>
      </c>
    </row>
    <row r="59" spans="1:30" ht="22.5" customHeight="1">
      <c r="A59" s="32">
        <v>65</v>
      </c>
      <c r="B59" s="40" t="str">
        <f>VLOOKUP(C59,Lists!I:J,2,FALSE)</f>
        <v>Healer</v>
      </c>
      <c r="C59" s="34" t="str">
        <f>VLOOKUP(E59&amp;D59,Lists!C:E,3,FALSE)</f>
        <v>Wand/Orb</v>
      </c>
      <c r="D59" s="35" t="s">
        <v>34</v>
      </c>
      <c r="E59" s="36" t="s">
        <v>164</v>
      </c>
      <c r="F59" s="35" t="s">
        <v>476</v>
      </c>
      <c r="G59" s="32">
        <v>0</v>
      </c>
      <c r="H59" s="32">
        <v>37</v>
      </c>
      <c r="I59" s="84">
        <f t="shared" si="0"/>
        <v>37</v>
      </c>
      <c r="J59" s="37">
        <v>5698</v>
      </c>
      <c r="K59" s="37">
        <v>276249</v>
      </c>
      <c r="L59" s="37">
        <v>517613</v>
      </c>
      <c r="M59" s="38">
        <f>I59/(HLOOKUP(F59,Team_Composition_23[[#All],[Yellow]:[Red]],10,FALSE)+HLOOKUP(F59,Team_Composition_23[[#All],[Yellow]:[Red]],11,FALSE))</f>
        <v>9.2476880779805044E-3</v>
      </c>
      <c r="N59" s="38">
        <f>J59/HLOOKUP(F59,Team_Composition_23[[#All],[Yellow]:[Red]],6,FALSE)</f>
        <v>1.284386559239535E-4</v>
      </c>
      <c r="O59" s="38">
        <f>K59/HLOOKUP(F59,Team_Composition_23[[#All],[Yellow]:[Red]],8,FALSE)</f>
        <v>1.5768750339279092E-2</v>
      </c>
      <c r="P59" s="38">
        <f>L59/HLOOKUP(F59,Team_Composition_23[[#All],[Yellow]:[Red]],7,FALSE)</f>
        <v>3.9986252367171495E-2</v>
      </c>
      <c r="Q59" s="31"/>
      <c r="R59" s="45" t="s">
        <v>73</v>
      </c>
      <c r="S59" s="46">
        <f t="shared" si="10"/>
        <v>1</v>
      </c>
      <c r="T59" s="47">
        <f t="shared" si="11"/>
        <v>2</v>
      </c>
      <c r="U59" s="31"/>
      <c r="V59" s="31"/>
      <c r="W59" s="31"/>
      <c r="X59" s="31"/>
      <c r="Y59" s="31"/>
      <c r="Z59" s="31"/>
      <c r="AA59" s="31"/>
      <c r="AB59" s="45" t="s">
        <v>73</v>
      </c>
      <c r="AC59" s="50">
        <f t="shared" si="12"/>
        <v>0</v>
      </c>
      <c r="AD59" s="51">
        <f t="shared" si="13"/>
        <v>3</v>
      </c>
    </row>
    <row r="60" spans="1:30" ht="22.5" customHeight="1">
      <c r="A60" s="32">
        <v>66</v>
      </c>
      <c r="B60" s="33" t="str">
        <f>VLOOKUP(C60,Lists!I:J,2,FALSE)</f>
        <v>Healer</v>
      </c>
      <c r="C60" s="34" t="str">
        <f>VLOOKUP(E60&amp;D60,Lists!C:E,3,FALSE)</f>
        <v>Wand/Longbow</v>
      </c>
      <c r="D60" s="35" t="s">
        <v>28</v>
      </c>
      <c r="E60" s="36" t="s">
        <v>381</v>
      </c>
      <c r="F60" s="35" t="s">
        <v>476</v>
      </c>
      <c r="G60" s="32">
        <v>0</v>
      </c>
      <c r="H60" s="32">
        <v>35</v>
      </c>
      <c r="I60" s="84">
        <f t="shared" si="0"/>
        <v>35</v>
      </c>
      <c r="J60" s="37">
        <v>48832</v>
      </c>
      <c r="K60" s="37">
        <v>455907</v>
      </c>
      <c r="L60" s="37">
        <v>1762406</v>
      </c>
      <c r="M60" s="38">
        <f>I60/(HLOOKUP(F60,Team_Composition_23[[#All],[Yellow]:[Red]],10,FALSE)+HLOOKUP(F60,Team_Composition_23[[#All],[Yellow]:[Red]],11,FALSE))</f>
        <v>8.7478130467383147E-3</v>
      </c>
      <c r="N60" s="38">
        <f>J60/HLOOKUP(F60,Team_Composition_23[[#All],[Yellow]:[Red]],6,FALSE)</f>
        <v>1.1007224370092133E-3</v>
      </c>
      <c r="O60" s="38">
        <f>K60/HLOOKUP(F60,Team_Composition_23[[#All],[Yellow]:[Red]],8,FALSE)</f>
        <v>2.6023926461017824E-2</v>
      </c>
      <c r="P60" s="38">
        <f>L60/HLOOKUP(F60,Team_Composition_23[[#All],[Yellow]:[Red]],7,FALSE)</f>
        <v>0.13614807025599673</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28</v>
      </c>
      <c r="B61" s="61" t="str">
        <f>VLOOKUP(C61,Lists!I:J,2,FALSE)</f>
        <v>KS</v>
      </c>
      <c r="C61" s="34" t="str">
        <f>VLOOKUP(E61&amp;D61,Lists!C:E,3,FALSE)</f>
        <v>Greatsword/Dagger</v>
      </c>
      <c r="D61" s="35" t="s">
        <v>28</v>
      </c>
      <c r="E61" s="36" t="s">
        <v>373</v>
      </c>
      <c r="F61" s="35" t="s">
        <v>483</v>
      </c>
      <c r="G61" s="32">
        <v>15</v>
      </c>
      <c r="H61" s="32">
        <v>19</v>
      </c>
      <c r="I61" s="84">
        <f t="shared" si="0"/>
        <v>34</v>
      </c>
      <c r="J61" s="37">
        <v>722723</v>
      </c>
      <c r="K61" s="37">
        <v>1160871</v>
      </c>
      <c r="L61" s="37">
        <v>29368</v>
      </c>
      <c r="M61" s="38">
        <f>I61/(HLOOKUP(F61,Team_Composition_23[[#All],[Yellow]:[Red]],10,FALSE)+HLOOKUP(F61,Team_Composition_23[[#All],[Yellow]:[Red]],11,FALSE))</f>
        <v>4.1412911084043852E-2</v>
      </c>
      <c r="N61" s="38">
        <f>J61/HLOOKUP(F61,Team_Composition_23[[#All],[Yellow]:[Red]],6,FALSE)</f>
        <v>4.0958141793855117E-2</v>
      </c>
      <c r="O61" s="38">
        <f>K61/HLOOKUP(F61,Team_Composition_23[[#All],[Yellow]:[Red]],8,FALSE)</f>
        <v>2.6373878480108727E-2</v>
      </c>
      <c r="P61" s="38">
        <f>L61/HLOOKUP(F61,Team_Composition_23[[#All],[Yellow]:[Red]],7,FALSE)</f>
        <v>1.2101328933429463E-3</v>
      </c>
      <c r="Q61" s="31"/>
      <c r="R61" s="48"/>
      <c r="S61" s="63"/>
      <c r="T61" s="63"/>
      <c r="U61" s="31"/>
      <c r="V61" s="31"/>
      <c r="W61" s="31"/>
      <c r="X61" s="31"/>
      <c r="Y61" s="31"/>
      <c r="Z61" s="31"/>
      <c r="AA61" s="31"/>
      <c r="AB61" s="48"/>
      <c r="AC61" s="63"/>
      <c r="AD61" s="63"/>
    </row>
    <row r="62" spans="1:30" ht="22.5" customHeight="1">
      <c r="A62" s="32">
        <v>32</v>
      </c>
      <c r="B62" s="60" t="str">
        <f>VLOOKUP(C62,Lists!I:J,2,FALSE)</f>
        <v>Ranged DPS</v>
      </c>
      <c r="C62" s="34" t="str">
        <f>VLOOKUP(E62&amp;D62,Lists!C:E,3,FALSE)</f>
        <v>Crossbow/SnS</v>
      </c>
      <c r="D62" s="35" t="s">
        <v>28</v>
      </c>
      <c r="E62" s="36" t="s">
        <v>374</v>
      </c>
      <c r="F62" s="35" t="s">
        <v>483</v>
      </c>
      <c r="G62" s="32">
        <v>11</v>
      </c>
      <c r="H62" s="32">
        <v>23</v>
      </c>
      <c r="I62" s="84">
        <f t="shared" si="0"/>
        <v>34</v>
      </c>
      <c r="J62" s="37">
        <v>1006772</v>
      </c>
      <c r="K62" s="37">
        <v>812111</v>
      </c>
      <c r="L62" s="37">
        <v>24534</v>
      </c>
      <c r="M62" s="38">
        <f>I62/(HLOOKUP(F62,Team_Composition_23[[#All],[Yellow]:[Red]],10,FALSE)+HLOOKUP(F62,Team_Composition_23[[#All],[Yellow]:[Red]],11,FALSE))</f>
        <v>4.1412911084043852E-2</v>
      </c>
      <c r="N62" s="38">
        <f>J62/HLOOKUP(F62,Team_Composition_23[[#All],[Yellow]:[Red]],6,FALSE)</f>
        <v>5.7055760409013001E-2</v>
      </c>
      <c r="O62" s="38">
        <f>K62/HLOOKUP(F62,Team_Composition_23[[#All],[Yellow]:[Red]],8,FALSE)</f>
        <v>1.8450384949197266E-2</v>
      </c>
      <c r="P62" s="38">
        <f>L62/HLOOKUP(F62,Team_Composition_23[[#All],[Yellow]:[Red]],7,FALSE)</f>
        <v>1.0109438983000492E-3</v>
      </c>
      <c r="Q62" s="31"/>
      <c r="R62" s="31"/>
      <c r="S62" s="64"/>
      <c r="T62" s="64"/>
      <c r="U62" s="31"/>
      <c r="V62" s="31"/>
      <c r="W62" s="31"/>
      <c r="X62" s="31"/>
      <c r="Y62" s="31"/>
      <c r="Z62" s="31"/>
      <c r="AA62" s="31"/>
      <c r="AB62" s="31"/>
      <c r="AC62" s="64"/>
      <c r="AD62" s="64"/>
    </row>
    <row r="63" spans="1:30" ht="22.5" customHeight="1">
      <c r="A63" s="32">
        <v>67</v>
      </c>
      <c r="B63" s="56" t="str">
        <f>VLOOKUP(C63,Lists!I:J,2,FALSE)</f>
        <v>Healer</v>
      </c>
      <c r="C63" s="34" t="str">
        <f>VLOOKUP(E63&amp;D63,Lists!C:E,3,FALSE)</f>
        <v>Wand/Orb</v>
      </c>
      <c r="D63" s="35" t="s">
        <v>28</v>
      </c>
      <c r="E63" s="36" t="s">
        <v>343</v>
      </c>
      <c r="F63" s="35" t="s">
        <v>483</v>
      </c>
      <c r="G63" s="32">
        <v>0</v>
      </c>
      <c r="H63" s="32">
        <v>32</v>
      </c>
      <c r="I63" s="84">
        <f t="shared" si="0"/>
        <v>32</v>
      </c>
      <c r="J63" s="37">
        <v>21794</v>
      </c>
      <c r="K63" s="37">
        <v>356899</v>
      </c>
      <c r="L63" s="37">
        <v>386869</v>
      </c>
      <c r="M63" s="38">
        <f>I63/(HLOOKUP(F63,Team_Composition_23[[#All],[Yellow]:[Red]],10,FALSE)+HLOOKUP(F63,Team_Composition_23[[#All],[Yellow]:[Red]],11,FALSE))</f>
        <v>3.8976857490864797E-2</v>
      </c>
      <c r="N63" s="38">
        <f>J63/HLOOKUP(F63,Team_Composition_23[[#All],[Yellow]:[Red]],6,FALSE)</f>
        <v>1.2351090836396218E-3</v>
      </c>
      <c r="O63" s="38">
        <f>K63/HLOOKUP(F63,Team_Composition_23[[#All],[Yellow]:[Red]],8,FALSE)</f>
        <v>8.1084038240875379E-3</v>
      </c>
      <c r="P63" s="38">
        <f>L63/HLOOKUP(F63,Team_Composition_23[[#All],[Yellow]:[Red]],7,FALSE)</f>
        <v>1.5941259272497014E-2</v>
      </c>
      <c r="Q63" s="31"/>
      <c r="R63" s="227" t="s">
        <v>11</v>
      </c>
      <c r="S63" s="228"/>
      <c r="T63" s="228"/>
      <c r="U63" s="31"/>
      <c r="V63" s="31"/>
      <c r="W63" s="31"/>
      <c r="X63" s="31"/>
      <c r="Y63" s="31"/>
      <c r="Z63" s="31"/>
      <c r="AA63" s="31"/>
      <c r="AB63" s="227" t="s">
        <v>11</v>
      </c>
      <c r="AC63" s="228"/>
      <c r="AD63" s="228"/>
    </row>
    <row r="64" spans="1:30" ht="22.5" customHeight="1">
      <c r="A64" s="32">
        <v>68</v>
      </c>
      <c r="B64" s="60" t="str">
        <f>VLOOKUP(C64,Lists!I:J,2,FALSE)</f>
        <v>Tank</v>
      </c>
      <c r="C64" s="34" t="str">
        <f>VLOOKUP(E64&amp;D64,Lists!C:E,3,FALSE)</f>
        <v>SnS/Spear</v>
      </c>
      <c r="D64" s="35" t="s">
        <v>28</v>
      </c>
      <c r="E64" s="36" t="s">
        <v>512</v>
      </c>
      <c r="F64" s="35" t="s">
        <v>476</v>
      </c>
      <c r="G64" s="32">
        <v>0</v>
      </c>
      <c r="H64" s="32">
        <v>31</v>
      </c>
      <c r="I64" s="84">
        <f t="shared" si="0"/>
        <v>31</v>
      </c>
      <c r="J64" s="37">
        <v>79824</v>
      </c>
      <c r="K64" s="37">
        <v>827393</v>
      </c>
      <c r="L64" s="37">
        <v>19190</v>
      </c>
      <c r="M64" s="38">
        <f>I64/(HLOOKUP(F64,Team_Composition_23[[#All],[Yellow]:[Red]],10,FALSE)+HLOOKUP(F64,Team_Composition_23[[#All],[Yellow]:[Red]],11,FALSE))</f>
        <v>7.7480629842539362E-3</v>
      </c>
      <c r="N64" s="38">
        <f>J64/HLOOKUP(F64,Team_Composition_23[[#All],[Yellow]:[Red]],6,FALSE)</f>
        <v>1.7993133152814434E-3</v>
      </c>
      <c r="O64" s="38">
        <f>K64/HLOOKUP(F64,Team_Composition_23[[#All],[Yellow]:[Red]],8,FALSE)</f>
        <v>4.7228962455853764E-2</v>
      </c>
      <c r="P64" s="38">
        <f>L64/HLOOKUP(F64,Team_Composition_23[[#All],[Yellow]:[Red]],7,FALSE)</f>
        <v>1.4824515283155966E-3</v>
      </c>
      <c r="Q64" s="31"/>
      <c r="R64" s="41" t="s">
        <v>482</v>
      </c>
      <c r="S64" s="42" t="s">
        <v>476</v>
      </c>
      <c r="T64" s="42" t="s">
        <v>483</v>
      </c>
      <c r="U64" s="31"/>
      <c r="V64" s="31"/>
      <c r="W64" s="31"/>
      <c r="X64" s="31"/>
      <c r="Y64" s="31"/>
      <c r="Z64" s="31"/>
      <c r="AA64" s="31"/>
      <c r="AB64" s="41" t="s">
        <v>482</v>
      </c>
      <c r="AC64" s="42" t="s">
        <v>485</v>
      </c>
      <c r="AD64" s="42" t="s">
        <v>28</v>
      </c>
    </row>
    <row r="65" spans="1:30" ht="22.5" customHeight="1">
      <c r="A65" s="32">
        <v>69</v>
      </c>
      <c r="B65" s="52" t="str">
        <f>VLOOKUP(C65,Lists!I:J,2,FALSE)</f>
        <v>Healer</v>
      </c>
      <c r="C65" s="34" t="str">
        <f>VLOOKUP(E65&amp;D65,Lists!C:E,3,FALSE)</f>
        <v>Wand/Orb</v>
      </c>
      <c r="D65" s="35" t="s">
        <v>28</v>
      </c>
      <c r="E65" s="36" t="s">
        <v>382</v>
      </c>
      <c r="F65" s="35" t="s">
        <v>476</v>
      </c>
      <c r="G65" s="32">
        <v>0</v>
      </c>
      <c r="H65" s="32">
        <v>28</v>
      </c>
      <c r="I65" s="84">
        <f t="shared" si="0"/>
        <v>28</v>
      </c>
      <c r="J65" s="37">
        <v>17553</v>
      </c>
      <c r="K65" s="37">
        <v>270199</v>
      </c>
      <c r="L65" s="37">
        <v>382051</v>
      </c>
      <c r="M65" s="38">
        <f>I65/(HLOOKUP(F65,Team_Composition_23[[#All],[Yellow]:[Red]],10,FALSE)+HLOOKUP(F65,Team_Composition_23[[#All],[Yellow]:[Red]],11,FALSE))</f>
        <v>6.9982504373906525E-3</v>
      </c>
      <c r="N65" s="38">
        <f>J65/HLOOKUP(F65,Team_Composition_23[[#All],[Yellow]:[Red]],6,FALSE)</f>
        <v>3.9566228982680868E-4</v>
      </c>
      <c r="O65" s="38">
        <f>K65/HLOOKUP(F65,Team_Composition_23[[#All],[Yellow]:[Red]],8,FALSE)</f>
        <v>1.542340632155364E-2</v>
      </c>
      <c r="P65" s="38">
        <f>L65/HLOOKUP(F65,Team_Composition_23[[#All],[Yellow]:[Red]],7,FALSE)</f>
        <v>2.9513918126341951E-2</v>
      </c>
      <c r="Q65" s="31"/>
      <c r="R65" s="45" t="s">
        <v>468</v>
      </c>
      <c r="S65" s="46">
        <f>SUMIFS(Scoreboard_26[Damage Dealt],Scoreboard_26[Role],"Healer",Scoreboard_26[Team],"Yellow")</f>
        <v>622867</v>
      </c>
      <c r="T65" s="47">
        <f>SUMIFS(Scoreboard_26[Damage Dealt],Scoreboard_26[Role],"Healer",Scoreboard_26[Team],"Red")</f>
        <v>578406</v>
      </c>
      <c r="U65" s="31"/>
      <c r="V65" s="31"/>
      <c r="W65" s="31"/>
      <c r="X65" s="31"/>
      <c r="Y65" s="31"/>
      <c r="Z65" s="31"/>
      <c r="AA65" s="31"/>
      <c r="AB65" s="45" t="s">
        <v>468</v>
      </c>
      <c r="AC65" s="50">
        <f>SUMIFS(Scoreboard_26[Damage Dealt],Scoreboard_26[Role],"Healer",Scoreboard_26[Guild],"Best Regards")</f>
        <v>601824</v>
      </c>
      <c r="AD65" s="51">
        <f>SUMIFS(Scoreboard_26[Damage Dealt],Scoreboard_26[Role],"Healer",Scoreboard_26[Guild],"Undercooked")</f>
        <v>599449</v>
      </c>
    </row>
    <row r="66" spans="1:30" ht="22.5" customHeight="1">
      <c r="A66" s="32">
        <v>70</v>
      </c>
      <c r="B66" s="57" t="str">
        <f>VLOOKUP(C66,Lists!I:J,2,FALSE)</f>
        <v>Healer</v>
      </c>
      <c r="C66" s="34" t="str">
        <f>VLOOKUP(E66&amp;D66,Lists!C:E,3,FALSE)</f>
        <v>Wand/Longbow</v>
      </c>
      <c r="D66" s="35" t="s">
        <v>28</v>
      </c>
      <c r="E66" s="36" t="s">
        <v>342</v>
      </c>
      <c r="F66" s="35" t="s">
        <v>483</v>
      </c>
      <c r="G66" s="32">
        <v>0</v>
      </c>
      <c r="H66" s="32">
        <v>27</v>
      </c>
      <c r="I66" s="84">
        <f t="shared" si="0"/>
        <v>27</v>
      </c>
      <c r="J66" s="37">
        <v>42505</v>
      </c>
      <c r="K66" s="37">
        <v>207488</v>
      </c>
      <c r="L66" s="37">
        <v>1325063</v>
      </c>
      <c r="M66" s="38">
        <f>I66/(HLOOKUP(F66,Team_Composition_23[[#All],[Yellow]:[Red]],10,FALSE)+HLOOKUP(F66,Team_Composition_23[[#All],[Yellow]:[Red]],11,FALSE))</f>
        <v>3.2886723507917173E-2</v>
      </c>
      <c r="N66" s="38">
        <f>J66/HLOOKUP(F66,Team_Composition_23[[#All],[Yellow]:[Red]],6,FALSE)</f>
        <v>2.4088424153483586E-3</v>
      </c>
      <c r="O66" s="38">
        <f>K66/HLOOKUP(F66,Team_Composition_23[[#All],[Yellow]:[Red]],8,FALSE)</f>
        <v>4.713928850045181E-3</v>
      </c>
      <c r="P66" s="38">
        <f>L66/HLOOKUP(F66,Team_Composition_23[[#All],[Yellow]:[Red]],7,FALSE)</f>
        <v>5.4600324232214809E-2</v>
      </c>
      <c r="Q66" s="31"/>
      <c r="R66" s="45" t="s">
        <v>469</v>
      </c>
      <c r="S66" s="46">
        <f>SUMIFS(Scoreboard_26[Damage Taken],Scoreboard_26[Role],"Healer",Scoreboard_26[Team],"Yellow")</f>
        <v>7827809</v>
      </c>
      <c r="T66" s="47">
        <f>SUMIFS(Scoreboard_26[Damage Taken],Scoreboard_26[Role],"Healer",Scoreboard_26[Team],"Red")</f>
        <v>6358895</v>
      </c>
      <c r="U66" s="31"/>
      <c r="V66" s="31"/>
      <c r="W66" s="31"/>
      <c r="X66" s="31"/>
      <c r="Y66" s="31"/>
      <c r="Z66" s="31"/>
      <c r="AA66" s="31"/>
      <c r="AB66" s="45" t="s">
        <v>469</v>
      </c>
      <c r="AC66" s="50">
        <f>SUMIFS(Scoreboard_26[Damage Taken],Scoreboard_26[Role],"Healer",Scoreboard_26[Guild],"Best Regards")</f>
        <v>6061716</v>
      </c>
      <c r="AD66" s="51">
        <f>SUMIFS(Scoreboard_26[Damage Taken],Scoreboard_26[Role],"Healer",Scoreboard_26[Guild],"Undercooked")</f>
        <v>8124988</v>
      </c>
    </row>
    <row r="67" spans="1:30" ht="22.5" customHeight="1">
      <c r="A67" s="32">
        <v>74</v>
      </c>
      <c r="B67" s="40" t="str">
        <f>VLOOKUP(C67,Lists!I:J,2,FALSE)</f>
        <v>Tank</v>
      </c>
      <c r="C67" s="34" t="str">
        <f>VLOOKUP(E67&amp;D67,Lists!C:E,3,FALSE)</f>
        <v>SnS/Greatsword</v>
      </c>
      <c r="D67" s="35" t="s">
        <v>28</v>
      </c>
      <c r="E67" s="36" t="s">
        <v>344</v>
      </c>
      <c r="F67" s="35" t="s">
        <v>476</v>
      </c>
      <c r="G67" s="32">
        <v>0</v>
      </c>
      <c r="H67" s="32">
        <v>26</v>
      </c>
      <c r="I67" s="84">
        <f t="shared" si="0"/>
        <v>26</v>
      </c>
      <c r="J67" s="37">
        <v>35093</v>
      </c>
      <c r="K67" s="37">
        <v>536685</v>
      </c>
      <c r="L67" s="37">
        <v>29058</v>
      </c>
      <c r="M67" s="38">
        <f>I67/(HLOOKUP(F67,Team_Composition_23[[#All],[Yellow]:[Red]],10,FALSE)+HLOOKUP(F67,Team_Composition_23[[#All],[Yellow]:[Red]],11,FALSE))</f>
        <v>6.4983754061484628E-3</v>
      </c>
      <c r="N67" s="38">
        <f>J67/HLOOKUP(F67,Team_Composition_23[[#All],[Yellow]:[Red]],6,FALSE)</f>
        <v>7.9103154656709376E-4</v>
      </c>
      <c r="O67" s="38">
        <f>K67/HLOOKUP(F67,Team_Composition_23[[#All],[Yellow]:[Red]],8,FALSE)</f>
        <v>3.0634868455038749E-2</v>
      </c>
      <c r="P67" s="38">
        <f>L67/HLOOKUP(F67,Team_Composition_23[[#All],[Yellow]:[Red]],7,FALSE)</f>
        <v>2.2447668843040441E-3</v>
      </c>
      <c r="Q67" s="31"/>
      <c r="R67" s="45" t="s">
        <v>470</v>
      </c>
      <c r="S67" s="46">
        <f>SUMIFS(Scoreboard_26[Amount Healed],Scoreboard_26[Role],"Healer",Scoreboard_26[Team],"Yellow")</f>
        <v>22521025</v>
      </c>
      <c r="T67" s="47">
        <f>SUMIFS(Scoreboard_26[Amount Healed],Scoreboard_26[Role],"Healer",Scoreboard_26[Team],"Red")</f>
        <v>19121590</v>
      </c>
      <c r="U67" s="31"/>
      <c r="V67" s="31"/>
      <c r="W67" s="31"/>
      <c r="X67" s="31"/>
      <c r="Y67" s="31"/>
      <c r="Z67" s="31"/>
      <c r="AA67" s="31"/>
      <c r="AB67" s="45" t="s">
        <v>470</v>
      </c>
      <c r="AC67" s="50">
        <f>SUMIFS(Scoreboard_26[Amount Healed],Scoreboard_26[Role],"Healer",Scoreboard_26[Guild],"Best Regards")</f>
        <v>19565831</v>
      </c>
      <c r="AD67" s="51">
        <f>SUMIFS(Scoreboard_26[Amount Healed],Scoreboard_26[Role],"Healer",Scoreboard_26[Guild],"Undercooked")</f>
        <v>22076784</v>
      </c>
    </row>
    <row r="68" spans="1:30" ht="22.5" customHeight="1">
      <c r="A68" s="32">
        <v>71</v>
      </c>
      <c r="B68" s="60" t="str">
        <f>VLOOKUP(C68,Lists!I:J,2,FALSE)</f>
        <v>Healer</v>
      </c>
      <c r="C68" s="34" t="str">
        <f>VLOOKUP(E68&amp;D68,Lists!C:E,3,FALSE)</f>
        <v>Wand/Longbow</v>
      </c>
      <c r="D68" s="35" t="s">
        <v>28</v>
      </c>
      <c r="E68" s="36" t="s">
        <v>383</v>
      </c>
      <c r="F68" s="35" t="s">
        <v>476</v>
      </c>
      <c r="G68" s="32">
        <v>0</v>
      </c>
      <c r="H68" s="32">
        <v>26</v>
      </c>
      <c r="I68" s="84">
        <f t="shared" si="0"/>
        <v>26</v>
      </c>
      <c r="J68" s="37">
        <v>126121</v>
      </c>
      <c r="K68" s="37">
        <v>1085265</v>
      </c>
      <c r="L68" s="37">
        <v>2186510</v>
      </c>
      <c r="M68" s="38">
        <f>I68/(HLOOKUP(F68,Team_Composition_23[[#All],[Yellow]:[Red]],10,FALSE)+HLOOKUP(F68,Team_Composition_23[[#All],[Yellow]:[Red]],11,FALSE))</f>
        <v>6.4983754061484628E-3</v>
      </c>
      <c r="N68" s="38">
        <f>J68/HLOOKUP(F68,Team_Composition_23[[#All],[Yellow]:[Red]],6,FALSE)</f>
        <v>2.8428943004185571E-3</v>
      </c>
      <c r="O68" s="38">
        <f>K68/HLOOKUP(F68,Team_Composition_23[[#All],[Yellow]:[Red]],8,FALSE)</f>
        <v>6.1948723206084813E-2</v>
      </c>
      <c r="P68" s="38">
        <f>L68/HLOOKUP(F68,Team_Composition_23[[#All],[Yellow]:[Red]],7,FALSE)</f>
        <v>0.16891063528803207</v>
      </c>
      <c r="Q68" s="31"/>
      <c r="R68" s="45" t="s">
        <v>465</v>
      </c>
      <c r="S68" s="46">
        <f>SUMIFS(Scoreboard_26[Kills],Scoreboard_26[Role],"Healer",Scoreboard_26[Team],"Yellow")</f>
        <v>4</v>
      </c>
      <c r="T68" s="47">
        <f>SUMIFS(Scoreboard_26[Kills],Scoreboard_26[Role],"Healer",Scoreboard_26[Team],"Red")</f>
        <v>1</v>
      </c>
      <c r="U68" s="31"/>
      <c r="V68" s="31"/>
      <c r="W68" s="31"/>
      <c r="X68" s="31"/>
      <c r="Y68" s="31"/>
      <c r="Z68" s="31"/>
      <c r="AA68" s="31"/>
      <c r="AB68" s="45" t="s">
        <v>465</v>
      </c>
      <c r="AC68" s="50">
        <f>SUMIFS(Scoreboard_26[Kills],Scoreboard_26[Role],"Healer",Scoreboard_26[Guild],"Best Regards")</f>
        <v>5</v>
      </c>
      <c r="AD68" s="51">
        <f>SUMIFS(Scoreboard_26[Kills],Scoreboard_26[Role],"Healer",Scoreboard_26[Guild],"Undercooked")</f>
        <v>0</v>
      </c>
    </row>
    <row r="69" spans="1:30" ht="22.5" customHeight="1">
      <c r="A69" s="32">
        <v>72</v>
      </c>
      <c r="B69" s="54" t="str">
        <f>VLOOKUP(C69,Lists!I:J,2,FALSE)</f>
        <v>Healer</v>
      </c>
      <c r="C69" s="34" t="str">
        <f>VLOOKUP(E69&amp;D69,Lists!C:E,3,FALSE)</f>
        <v>Wand/Longbow</v>
      </c>
      <c r="D69" s="35" t="s">
        <v>28</v>
      </c>
      <c r="E69" s="36" t="s">
        <v>384</v>
      </c>
      <c r="F69" s="35" t="s">
        <v>483</v>
      </c>
      <c r="G69" s="32">
        <v>0</v>
      </c>
      <c r="H69" s="32">
        <v>26</v>
      </c>
      <c r="I69" s="84">
        <f t="shared" si="0"/>
        <v>26</v>
      </c>
      <c r="J69" s="37">
        <v>69664</v>
      </c>
      <c r="K69" s="37">
        <v>729720</v>
      </c>
      <c r="L69" s="37">
        <v>258384</v>
      </c>
      <c r="M69" s="38">
        <f>I69/(HLOOKUP(F69,Team_Composition_23[[#All],[Yellow]:[Red]],10,FALSE)+HLOOKUP(F69,Team_Composition_23[[#All],[Yellow]:[Red]],11,FALSE))</f>
        <v>3.1668696711327646E-2</v>
      </c>
      <c r="N69" s="38">
        <f>J69/HLOOKUP(F69,Team_Composition_23[[#All],[Yellow]:[Red]],6,FALSE)</f>
        <v>3.9479966597536298E-3</v>
      </c>
      <c r="O69" s="38">
        <f>K69/HLOOKUP(F69,Team_Composition_23[[#All],[Yellow]:[Red]],8,FALSE)</f>
        <v>1.6578540255123043E-2</v>
      </c>
      <c r="P69" s="38">
        <f>L69/HLOOKUP(F69,Team_Composition_23[[#All],[Yellow]:[Red]],7,FALSE)</f>
        <v>1.0646927864121624E-2</v>
      </c>
      <c r="Q69" s="31"/>
      <c r="R69" s="45" t="s">
        <v>466</v>
      </c>
      <c r="S69" s="46">
        <f>SUMIFS(Scoreboard_26[Assists],Scoreboard_26[Role],"Healer",Scoreboard_26[Team],"Yellow")</f>
        <v>824</v>
      </c>
      <c r="T69" s="47">
        <f>SUMIFS(Scoreboard_26[Assists],Scoreboard_26[Role],"Healer",Scoreboard_26[Team],"Red")</f>
        <v>716</v>
      </c>
      <c r="U69" s="31"/>
      <c r="V69" s="31"/>
      <c r="W69" s="31"/>
      <c r="X69" s="31"/>
      <c r="Y69" s="31"/>
      <c r="Z69" s="31"/>
      <c r="AA69" s="31"/>
      <c r="AB69" s="45" t="s">
        <v>466</v>
      </c>
      <c r="AC69" s="50">
        <f>SUMIFS(Scoreboard_26[Assists],Scoreboard_26[Role],"Healer",Scoreboard_26[Guild],"Best Regards")</f>
        <v>928</v>
      </c>
      <c r="AD69" s="51">
        <f>SUMIFS(Scoreboard_26[Kills],Scoreboard_26[Role],"Healer",Scoreboard_26[Guild],"Undercooked")</f>
        <v>0</v>
      </c>
    </row>
    <row r="70" spans="1:30" ht="22.5" customHeight="1">
      <c r="A70" s="32">
        <v>73</v>
      </c>
      <c r="B70" s="55" t="str">
        <f>VLOOKUP(C70,Lists!I:J,2,FALSE)</f>
        <v>Tank</v>
      </c>
      <c r="C70" s="34" t="str">
        <f>VLOOKUP(E70&amp;D70,Lists!C:E,3,FALSE)</f>
        <v>SnS/Greatsword</v>
      </c>
      <c r="D70" s="35" t="s">
        <v>28</v>
      </c>
      <c r="E70" s="36" t="s">
        <v>385</v>
      </c>
      <c r="F70" s="35" t="s">
        <v>483</v>
      </c>
      <c r="G70" s="32">
        <v>0</v>
      </c>
      <c r="H70" s="32">
        <v>26</v>
      </c>
      <c r="I70" s="84">
        <f t="shared" si="0"/>
        <v>26</v>
      </c>
      <c r="J70" s="37">
        <v>67568</v>
      </c>
      <c r="K70" s="37">
        <v>387472</v>
      </c>
      <c r="L70" s="37">
        <v>34434</v>
      </c>
      <c r="M70" s="38">
        <f>I70/(HLOOKUP(F70,Team_Composition_23[[#All],[Yellow]:[Red]],10,FALSE)+HLOOKUP(F70,Team_Composition_23[[#All],[Yellow]:[Red]],11,FALSE))</f>
        <v>3.1668696711327646E-2</v>
      </c>
      <c r="N70" s="38">
        <f>J70/HLOOKUP(F70,Team_Composition_23[[#All],[Yellow]:[Red]],6,FALSE)</f>
        <v>3.8292121943361459E-3</v>
      </c>
      <c r="O70" s="38">
        <f>K70/HLOOKUP(F70,Team_Composition_23[[#All],[Yellow]:[Red]],8,FALSE)</f>
        <v>8.8029931339870578E-3</v>
      </c>
      <c r="P70" s="38">
        <f>L70/HLOOKUP(F70,Team_Composition_23[[#All],[Yellow]:[Red]],7,FALSE)</f>
        <v>1.4188816415612578E-3</v>
      </c>
      <c r="Q70" s="31"/>
      <c r="R70" s="45" t="s">
        <v>10</v>
      </c>
      <c r="S70" s="46">
        <f t="shared" ref="S70:S72" si="14">COUNTIFS(C:C,R70,F:F,"Yellow")</f>
        <v>7</v>
      </c>
      <c r="T70" s="47">
        <f t="shared" ref="T70:T72" si="15">COUNTIFS(C:C,R70,F:F,"Red")</f>
        <v>8</v>
      </c>
      <c r="U70" s="31"/>
      <c r="V70" s="31"/>
      <c r="W70" s="31"/>
      <c r="X70" s="31"/>
      <c r="Y70" s="31"/>
      <c r="Z70" s="31"/>
      <c r="AA70" s="31"/>
      <c r="AB70" s="45" t="s">
        <v>10</v>
      </c>
      <c r="AC70" s="50">
        <f t="shared" ref="AC70:AC72" si="16">COUNTIFS(C:C,AB70,D:D,"Best Regards")</f>
        <v>7</v>
      </c>
      <c r="AD70" s="70">
        <f t="shared" ref="AD70:AD72" si="17">COUNTIFS(D:D,AC70,D:D,"Undercooked")</f>
        <v>0</v>
      </c>
    </row>
    <row r="71" spans="1:30" ht="22.5" customHeight="1">
      <c r="A71" s="32">
        <v>75</v>
      </c>
      <c r="B71" s="56" t="str">
        <f>VLOOKUP(C71,Lists!I:J,2,FALSE)</f>
        <v>Tank</v>
      </c>
      <c r="C71" s="34" t="str">
        <f>VLOOKUP(E71&amp;D71,Lists!C:E,3,FALSE)</f>
        <v>SnS/Greatsword</v>
      </c>
      <c r="D71" s="35" t="s">
        <v>34</v>
      </c>
      <c r="E71" s="36" t="s">
        <v>55</v>
      </c>
      <c r="F71" s="35" t="s">
        <v>483</v>
      </c>
      <c r="G71" s="32">
        <v>0</v>
      </c>
      <c r="H71" s="32">
        <v>25</v>
      </c>
      <c r="I71" s="84">
        <f t="shared" si="0"/>
        <v>25</v>
      </c>
      <c r="J71" s="37">
        <v>263321</v>
      </c>
      <c r="K71" s="37">
        <v>732663</v>
      </c>
      <c r="L71" s="37">
        <v>40600</v>
      </c>
      <c r="M71" s="38">
        <f>I71/(HLOOKUP(F71,Team_Composition_23[[#All],[Yellow]:[Red]],10,FALSE)+HLOOKUP(F71,Team_Composition_23[[#All],[Yellow]:[Red]],11,FALSE))</f>
        <v>3.0450669914738125E-2</v>
      </c>
      <c r="N71" s="38">
        <f>J71/HLOOKUP(F71,Team_Composition_23[[#All],[Yellow]:[Red]],6,FALSE)</f>
        <v>1.4922921859826964E-2</v>
      </c>
      <c r="O71" s="38">
        <f>K71/HLOOKUP(F71,Team_Composition_23[[#All],[Yellow]:[Red]],8,FALSE)</f>
        <v>1.6645402399467213E-2</v>
      </c>
      <c r="P71" s="38">
        <f>L71/HLOOKUP(F71,Team_Composition_23[[#All],[Yellow]:[Red]],7,FALSE)</f>
        <v>1.6729568056974811E-3</v>
      </c>
      <c r="Q71" s="31"/>
      <c r="R71" s="45" t="s">
        <v>9</v>
      </c>
      <c r="S71" s="46">
        <f t="shared" si="14"/>
        <v>10</v>
      </c>
      <c r="T71" s="47">
        <f t="shared" si="15"/>
        <v>9</v>
      </c>
      <c r="U71" s="31"/>
      <c r="V71" s="31"/>
      <c r="W71" s="31"/>
      <c r="X71" s="31"/>
      <c r="Y71" s="31"/>
      <c r="Z71" s="31"/>
      <c r="AA71" s="31"/>
      <c r="AB71" s="45" t="s">
        <v>9</v>
      </c>
      <c r="AC71" s="50">
        <f t="shared" si="16"/>
        <v>10</v>
      </c>
      <c r="AD71" s="70">
        <f t="shared" si="17"/>
        <v>0</v>
      </c>
    </row>
    <row r="72" spans="1:30" ht="22.5" customHeight="1">
      <c r="A72" s="32">
        <v>77</v>
      </c>
      <c r="B72" s="33" t="str">
        <f>VLOOKUP(C72,Lists!I:J,2,FALSE)</f>
        <v>Tank</v>
      </c>
      <c r="C72" s="34" t="str">
        <f>VLOOKUP(E72&amp;D72,Lists!C:E,3,FALSE)</f>
        <v>SnS/Greatsword</v>
      </c>
      <c r="D72" s="35" t="s">
        <v>34</v>
      </c>
      <c r="E72" s="36" t="s">
        <v>148</v>
      </c>
      <c r="F72" s="35" t="s">
        <v>476</v>
      </c>
      <c r="G72" s="32">
        <v>0</v>
      </c>
      <c r="H72" s="32">
        <v>24</v>
      </c>
      <c r="I72" s="84">
        <f t="shared" si="0"/>
        <v>24</v>
      </c>
      <c r="J72" s="37">
        <v>43270</v>
      </c>
      <c r="K72" s="37">
        <v>838622</v>
      </c>
      <c r="L72" s="37">
        <v>14622</v>
      </c>
      <c r="M72" s="38">
        <f>I72/(HLOOKUP(F72,Team_Composition_23[[#All],[Yellow]:[Red]],10,FALSE)+HLOOKUP(F72,Team_Composition_23[[#All],[Yellow]:[Red]],11,FALSE))</f>
        <v>5.9985003749062731E-3</v>
      </c>
      <c r="N72" s="38">
        <f>J72/HLOOKUP(F72,Team_Composition_23[[#All],[Yellow]:[Red]],6,FALSE)</f>
        <v>9.7534935799042954E-4</v>
      </c>
      <c r="O72" s="38">
        <f>K72/HLOOKUP(F72,Team_Composition_23[[#All],[Yellow]:[Red]],8,FALSE)</f>
        <v>4.7869932369083365E-2</v>
      </c>
      <c r="P72" s="38">
        <f>L72/HLOOKUP(F72,Team_Composition_23[[#All],[Yellow]:[Red]],7,FALSE)</f>
        <v>1.1295678085998257E-3</v>
      </c>
      <c r="Q72" s="31"/>
      <c r="R72" s="45" t="s">
        <v>18</v>
      </c>
      <c r="S72" s="46">
        <f t="shared" si="14"/>
        <v>0</v>
      </c>
      <c r="T72" s="47">
        <f t="shared" si="15"/>
        <v>0</v>
      </c>
      <c r="U72" s="31"/>
      <c r="V72" s="31"/>
      <c r="W72" s="31"/>
      <c r="X72" s="31"/>
      <c r="Y72" s="31"/>
      <c r="Z72" s="31"/>
      <c r="AA72" s="31"/>
      <c r="AB72" s="45" t="s">
        <v>18</v>
      </c>
      <c r="AC72" s="50">
        <f t="shared" si="16"/>
        <v>0</v>
      </c>
      <c r="AD72" s="70">
        <f t="shared" si="17"/>
        <v>0</v>
      </c>
    </row>
    <row r="73" spans="1:30" ht="22.5" customHeight="1">
      <c r="A73" s="32">
        <v>76</v>
      </c>
      <c r="B73" s="52" t="str">
        <f>VLOOKUP(C73,Lists!I:J,2,FALSE)</f>
        <v>Tank</v>
      </c>
      <c r="C73" s="34" t="str">
        <f>VLOOKUP(E73&amp;D73,Lists!C:E,3,FALSE)</f>
        <v>SnS/Spear</v>
      </c>
      <c r="D73" s="35" t="s">
        <v>34</v>
      </c>
      <c r="E73" s="36" t="s">
        <v>79</v>
      </c>
      <c r="F73" s="35" t="s">
        <v>483</v>
      </c>
      <c r="G73" s="32">
        <v>0</v>
      </c>
      <c r="H73" s="32">
        <v>24</v>
      </c>
      <c r="I73" s="84">
        <f t="shared" si="0"/>
        <v>24</v>
      </c>
      <c r="J73" s="37">
        <v>274195</v>
      </c>
      <c r="K73" s="37">
        <v>709794</v>
      </c>
      <c r="L73" s="37">
        <v>62208</v>
      </c>
      <c r="M73" s="38">
        <f>I73/(HLOOKUP(F73,Team_Composition_23[[#All],[Yellow]:[Red]],10,FALSE)+HLOOKUP(F73,Team_Composition_23[[#All],[Yellow]:[Red]],11,FALSE))</f>
        <v>2.9232643118148598E-2</v>
      </c>
      <c r="N73" s="38">
        <f>J73/HLOOKUP(F73,Team_Composition_23[[#All],[Yellow]:[Red]],6,FALSE)</f>
        <v>1.5539172946157937E-2</v>
      </c>
      <c r="O73" s="38">
        <f>K73/HLOOKUP(F73,Team_Composition_23[[#All],[Yellow]:[Red]],8,FALSE)</f>
        <v>1.6125840598921238E-2</v>
      </c>
      <c r="P73" s="38">
        <f>L73/HLOOKUP(F73,Team_Composition_23[[#All],[Yellow]:[Red]],7,FALSE)</f>
        <v>2.5633324376558844E-3</v>
      </c>
      <c r="Q73" s="31"/>
      <c r="R73" s="31"/>
      <c r="S73" s="31"/>
      <c r="T73" s="31"/>
      <c r="U73" s="31"/>
      <c r="V73" s="31"/>
      <c r="W73" s="31"/>
      <c r="X73" s="31"/>
      <c r="Y73" s="31"/>
      <c r="Z73" s="31"/>
      <c r="AA73" s="31"/>
      <c r="AB73" s="31"/>
      <c r="AC73" s="31"/>
      <c r="AD73" s="31"/>
    </row>
    <row r="74" spans="1:30" ht="22.5" customHeight="1">
      <c r="A74" s="32">
        <v>78</v>
      </c>
      <c r="B74" s="57" t="str">
        <f>VLOOKUP(C74,Lists!I:J,2,FALSE)</f>
        <v>Tank</v>
      </c>
      <c r="C74" s="34" t="str">
        <f>VLOOKUP(E74&amp;D74,Lists!C:E,3,FALSE)</f>
        <v>SnS/Dagger</v>
      </c>
      <c r="D74" s="35" t="s">
        <v>34</v>
      </c>
      <c r="E74" s="36" t="s">
        <v>177</v>
      </c>
      <c r="F74" s="35" t="s">
        <v>476</v>
      </c>
      <c r="G74" s="32">
        <v>0</v>
      </c>
      <c r="H74" s="32">
        <v>24</v>
      </c>
      <c r="I74" s="84">
        <f t="shared" si="0"/>
        <v>24</v>
      </c>
      <c r="J74" s="37">
        <v>35626</v>
      </c>
      <c r="K74" s="37">
        <v>83174</v>
      </c>
      <c r="L74" s="37">
        <v>6562</v>
      </c>
      <c r="M74" s="38">
        <f>I74/(HLOOKUP(F74,Team_Composition_23[[#All],[Yellow]:[Red]],10,FALSE)+HLOOKUP(F74,Team_Composition_23[[#All],[Yellow]:[Red]],11,FALSE))</f>
        <v>5.9985003749062731E-3</v>
      </c>
      <c r="N74" s="38">
        <f>J74/HLOOKUP(F74,Team_Composition_23[[#All],[Yellow]:[Red]],6,FALSE)</f>
        <v>8.0304590311456074E-4</v>
      </c>
      <c r="O74" s="38">
        <f>K74/HLOOKUP(F74,Team_Composition_23[[#All],[Yellow]:[Red]],8,FALSE)</f>
        <v>4.7477096413713685E-3</v>
      </c>
      <c r="P74" s="38">
        <f>L74/HLOOKUP(F74,Team_Composition_23[[#All],[Yellow]:[Red]],7,FALSE)</f>
        <v>5.0692271645684972E-4</v>
      </c>
      <c r="Q74" s="31"/>
    </row>
    <row r="75" spans="1:30" ht="22.5" customHeight="1">
      <c r="A75" s="32">
        <v>79</v>
      </c>
      <c r="B75" s="54" t="str">
        <f>VLOOKUP(C75,Lists!I:J,2,FALSE)</f>
        <v>Healer</v>
      </c>
      <c r="C75" s="34" t="str">
        <f>VLOOKUP(E75&amp;D75,Lists!C:E,3,FALSE)</f>
        <v>Wand/Orb</v>
      </c>
      <c r="D75" s="35" t="s">
        <v>28</v>
      </c>
      <c r="E75" s="36" t="s">
        <v>386</v>
      </c>
      <c r="F75" s="35" t="s">
        <v>476</v>
      </c>
      <c r="G75" s="32">
        <v>0</v>
      </c>
      <c r="H75" s="32">
        <v>23</v>
      </c>
      <c r="I75" s="84">
        <f t="shared" si="0"/>
        <v>23</v>
      </c>
      <c r="J75" s="37">
        <v>0</v>
      </c>
      <c r="K75" s="37">
        <v>374372</v>
      </c>
      <c r="L75" s="37">
        <v>603591</v>
      </c>
      <c r="M75" s="38">
        <f>I75/(HLOOKUP(F75,Team_Composition_23[[#All],[Yellow]:[Red]],10,FALSE)+HLOOKUP(F75,Team_Composition_23[[#All],[Yellow]:[Red]],11,FALSE))</f>
        <v>5.7485628592851791E-3</v>
      </c>
      <c r="N75" s="38">
        <f>J75/HLOOKUP(F75,Team_Composition_23[[#All],[Yellow]:[Red]],6,FALSE)</f>
        <v>0</v>
      </c>
      <c r="O75" s="38">
        <f>K75/HLOOKUP(F75,Team_Composition_23[[#All],[Yellow]:[Red]],8,FALSE)</f>
        <v>2.1369773653539349E-2</v>
      </c>
      <c r="P75" s="38">
        <f>L75/HLOOKUP(F75,Team_Composition_23[[#All],[Yellow]:[Red]],7,FALSE)</f>
        <v>4.6628160522539833E-2</v>
      </c>
      <c r="Q75" s="31"/>
      <c r="R75" s="227" t="s">
        <v>78</v>
      </c>
      <c r="S75" s="228"/>
      <c r="T75" s="228"/>
      <c r="U75" s="31"/>
      <c r="V75" s="31"/>
      <c r="W75" s="31"/>
      <c r="X75" s="31"/>
      <c r="Y75" s="31"/>
      <c r="Z75" s="31"/>
      <c r="AA75" s="31"/>
      <c r="AB75" s="227" t="s">
        <v>78</v>
      </c>
      <c r="AC75" s="228"/>
      <c r="AD75" s="228"/>
    </row>
    <row r="76" spans="1:30" ht="22.5" customHeight="1">
      <c r="A76" s="32">
        <v>81</v>
      </c>
      <c r="B76" s="34" t="str">
        <f>VLOOKUP(C76,Lists!I:J,2,FALSE)</f>
        <v>Tank</v>
      </c>
      <c r="C76" s="34" t="str">
        <f>VLOOKUP(E76&amp;D76,Lists!C:E,3,FALSE)</f>
        <v>SnS/Greatsword</v>
      </c>
      <c r="D76" s="35" t="s">
        <v>28</v>
      </c>
      <c r="E76" s="36" t="s">
        <v>360</v>
      </c>
      <c r="F76" s="35" t="s">
        <v>476</v>
      </c>
      <c r="G76" s="32">
        <v>0</v>
      </c>
      <c r="H76" s="32">
        <v>21</v>
      </c>
      <c r="I76" s="84">
        <f t="shared" si="0"/>
        <v>21</v>
      </c>
      <c r="J76" s="37">
        <v>56322</v>
      </c>
      <c r="K76" s="37">
        <v>711728</v>
      </c>
      <c r="L76" s="37">
        <v>86640</v>
      </c>
      <c r="M76" s="38">
        <f>I76/(HLOOKUP(F76,Team_Composition_23[[#All],[Yellow]:[Red]],10,FALSE)+HLOOKUP(F76,Team_Composition_23[[#All],[Yellow]:[Red]],11,FALSE))</f>
        <v>5.2486878280429894E-3</v>
      </c>
      <c r="N76" s="38">
        <f>J76/HLOOKUP(F76,Team_Composition_23[[#All],[Yellow]:[Red]],6,FALSE)</f>
        <v>1.2695545768601105E-3</v>
      </c>
      <c r="O76" s="38">
        <f>K76/HLOOKUP(F76,Team_Composition_23[[#All],[Yellow]:[Red]],8,FALSE)</f>
        <v>4.0626612735157157E-2</v>
      </c>
      <c r="P76" s="38">
        <f>L76/HLOOKUP(F76,Team_Composition_23[[#All],[Yellow]:[Red]],7,FALSE)</f>
        <v>6.6930484842763578E-3</v>
      </c>
      <c r="Q76" s="31"/>
      <c r="R76" s="27" t="s">
        <v>482</v>
      </c>
      <c r="S76" s="72" t="s">
        <v>476</v>
      </c>
      <c r="T76" s="72" t="s">
        <v>483</v>
      </c>
      <c r="U76" s="31"/>
      <c r="V76" s="31"/>
      <c r="W76" s="31"/>
      <c r="X76" s="31"/>
      <c r="Y76" s="31"/>
      <c r="Z76" s="31"/>
      <c r="AA76" s="31"/>
      <c r="AB76" s="27" t="s">
        <v>482</v>
      </c>
      <c r="AC76" s="72" t="s">
        <v>485</v>
      </c>
      <c r="AD76" s="72" t="s">
        <v>28</v>
      </c>
    </row>
    <row r="77" spans="1:30" ht="22.5" customHeight="1">
      <c r="A77" s="32">
        <v>82</v>
      </c>
      <c r="B77" s="59" t="str">
        <f>VLOOKUP(C77,Lists!I:J,2,FALSE)</f>
        <v>Healer</v>
      </c>
      <c r="C77" s="34" t="str">
        <f>VLOOKUP(E77&amp;D77,Lists!C:E,3,FALSE)</f>
        <v>Wand/Orb</v>
      </c>
      <c r="D77" s="35" t="s">
        <v>28</v>
      </c>
      <c r="E77" s="36" t="s">
        <v>357</v>
      </c>
      <c r="F77" s="35" t="s">
        <v>483</v>
      </c>
      <c r="G77" s="32">
        <v>0</v>
      </c>
      <c r="H77" s="32">
        <v>21</v>
      </c>
      <c r="I77" s="84">
        <f t="shared" si="0"/>
        <v>21</v>
      </c>
      <c r="J77" s="37">
        <v>16078</v>
      </c>
      <c r="K77" s="37">
        <v>414572</v>
      </c>
      <c r="L77" s="37">
        <v>1095619</v>
      </c>
      <c r="M77" s="38">
        <f>I77/(HLOOKUP(F77,Team_Composition_23[[#All],[Yellow]:[Red]],10,FALSE)+HLOOKUP(F77,Team_Composition_23[[#All],[Yellow]:[Red]],11,FALSE))</f>
        <v>2.5578562728380026E-2</v>
      </c>
      <c r="N77" s="38">
        <f>J77/HLOOKUP(F77,Team_Composition_23[[#All],[Yellow]:[Red]],6,FALSE)</f>
        <v>9.1117205867476548E-4</v>
      </c>
      <c r="O77" s="38">
        <f>K77/HLOOKUP(F77,Team_Composition_23[[#All],[Yellow]:[Red]],8,FALSE)</f>
        <v>9.4186792066092064E-3</v>
      </c>
      <c r="P77" s="38">
        <f>L77/HLOOKUP(F77,Team_Composition_23[[#All],[Yellow]:[Red]],7,FALSE)</f>
        <v>4.5145893165060798E-2</v>
      </c>
      <c r="Q77" s="31"/>
      <c r="R77" s="74" t="s">
        <v>468</v>
      </c>
      <c r="S77" s="75">
        <f>SUMIFS('BR m Undercooked Talus 1 211202'!$J$2:$J$163,'BR m Undercooked Talus 1 211202'!$B$2:$B$163,"KS",'BR m Undercooked Talus 1 211202'!$F$2:$F$163,"Yellow")</f>
        <v>4476814</v>
      </c>
      <c r="T77" s="76">
        <f>SUMIFS('BR m Undercooked Talus 1 211202'!$J$2:$J$163,'BR m Undercooked Talus 1 211202'!$B$2:$B$163,"KS",'BR m Undercooked Talus 1 211202'!$F$2:$F$163,"Red")</f>
        <v>6093587</v>
      </c>
      <c r="U77" s="31"/>
      <c r="V77" s="31"/>
      <c r="W77" s="31"/>
      <c r="X77" s="31"/>
      <c r="Y77" s="31"/>
      <c r="Z77" s="31"/>
      <c r="AA77" s="31"/>
      <c r="AB77" s="74" t="s">
        <v>468</v>
      </c>
      <c r="AC77" s="75">
        <f>SUMIFS('BR m Undercooked Talus 1 211202'!$J$2:$J$163,'BR m Undercooked Talus 1 211202'!$B$2:$B$163,"KS",'BR m Undercooked Talus 1 211202'!$D$2:$D$163,"Best Regards")</f>
        <v>6690345</v>
      </c>
      <c r="AD77" s="76">
        <f>SUMIFS('BR m Undercooked Talus 1 211202'!$J$2:$J$163,'BR m Undercooked Talus 1 211202'!$B$2:$B$163,"KS",'BR m Undercooked Talus 1 211202'!$D$2:$D$163,"Undercooked")</f>
        <v>3880056</v>
      </c>
    </row>
    <row r="78" spans="1:30" ht="22.5" customHeight="1">
      <c r="A78" s="32">
        <v>80</v>
      </c>
      <c r="B78" s="33" t="str">
        <f>VLOOKUP(C78,Lists!I:J,2,FALSE)</f>
        <v>Tank</v>
      </c>
      <c r="C78" s="34" t="str">
        <f>VLOOKUP(E78&amp;D78,Lists!C:E,3,FALSE)</f>
        <v>SnS/Greatsword</v>
      </c>
      <c r="D78" s="35" t="s">
        <v>34</v>
      </c>
      <c r="E78" s="36" t="s">
        <v>178</v>
      </c>
      <c r="F78" s="35" t="s">
        <v>476</v>
      </c>
      <c r="G78" s="32">
        <v>0</v>
      </c>
      <c r="H78" s="32">
        <v>21</v>
      </c>
      <c r="I78" s="84">
        <f t="shared" si="0"/>
        <v>21</v>
      </c>
      <c r="J78" s="37">
        <v>64748</v>
      </c>
      <c r="K78" s="37">
        <v>338325</v>
      </c>
      <c r="L78" s="37">
        <v>48873</v>
      </c>
      <c r="M78" s="38">
        <f>I78/(HLOOKUP(F78,Team_Composition_23[[#All],[Yellow]:[Red]],10,FALSE)+HLOOKUP(F78,Team_Composition_23[[#All],[Yellow]:[Red]],11,FALSE))</f>
        <v>5.2486878280429894E-3</v>
      </c>
      <c r="N78" s="38">
        <f>J78/HLOOKUP(F78,Team_Composition_23[[#All],[Yellow]:[Red]],6,FALSE)</f>
        <v>1.4594850989407056E-3</v>
      </c>
      <c r="O78" s="38">
        <f>K78/HLOOKUP(F78,Team_Composition_23[[#All],[Yellow]:[Red]],8,FALSE)</f>
        <v>1.9312151206109702E-2</v>
      </c>
      <c r="P78" s="38">
        <f>L78/HLOOKUP(F78,Team_Composition_23[[#All],[Yellow]:[Red]],7,FALSE)</f>
        <v>3.775500445198966E-3</v>
      </c>
      <c r="Q78" s="31"/>
      <c r="R78" s="78" t="s">
        <v>469</v>
      </c>
      <c r="S78" s="75">
        <f>SUMIFS('BR m Undercooked Talus 1 211202'!$K$2:$K$163,'BR m Undercooked Talus 1 211202'!$B$2:$B$163,"KS",'BR m Undercooked Talus 1 211202'!$F$2:$F$163,"Yellow")</f>
        <v>2278853</v>
      </c>
      <c r="T78" s="76">
        <f>SUMIFS('BR m Undercooked Talus 1 211202'!$K$2:$K$163,'BR m Undercooked Talus 1 211202'!$B$2:$B$163,"KS",'BR m Undercooked Talus 1 211202'!$F$2:$F$163,"Red")</f>
        <v>4334806</v>
      </c>
      <c r="U78" s="31"/>
      <c r="V78" s="31"/>
      <c r="W78" s="31"/>
      <c r="X78" s="31"/>
      <c r="Y78" s="31"/>
      <c r="Z78" s="31"/>
      <c r="AA78" s="31"/>
      <c r="AB78" s="78" t="s">
        <v>469</v>
      </c>
      <c r="AC78" s="75">
        <f>SUMIFS('BR m Undercooked Talus 1 211202'!$K$2:$K$163,'BR m Undercooked Talus 1 211202'!$B$2:$B$163,"KS",'BR m Undercooked Talus 1 211202'!$D$2:$D$163,"Best Regards")</f>
        <v>2957157</v>
      </c>
      <c r="AD78" s="76">
        <f>SUMIFS('BR m Undercooked Talus 1 211202'!$K$2:$K$163,'BR m Undercooked Talus 1 211202'!$B$2:$B$163,"KS",'BR m Undercooked Talus 1 211202'!$D$2:$D$163,"Undercooked")</f>
        <v>3656502</v>
      </c>
    </row>
    <row r="79" spans="1:30" ht="22.5" customHeight="1">
      <c r="A79" s="32">
        <v>83</v>
      </c>
      <c r="B79" s="56" t="str">
        <f>VLOOKUP(C79,Lists!I:J,2,FALSE)</f>
        <v>Tank</v>
      </c>
      <c r="C79" s="34" t="str">
        <f>VLOOKUP(E79&amp;D79,Lists!C:E,3,FALSE)</f>
        <v>SnS/Spear</v>
      </c>
      <c r="D79" s="35" t="s">
        <v>34</v>
      </c>
      <c r="E79" s="36" t="s">
        <v>175</v>
      </c>
      <c r="F79" s="35" t="s">
        <v>476</v>
      </c>
      <c r="G79" s="32">
        <v>0</v>
      </c>
      <c r="H79" s="32">
        <v>20</v>
      </c>
      <c r="I79" s="84">
        <f t="shared" si="0"/>
        <v>20</v>
      </c>
      <c r="J79" s="37">
        <v>55538</v>
      </c>
      <c r="K79" s="37">
        <v>351853</v>
      </c>
      <c r="L79" s="37">
        <v>27451</v>
      </c>
      <c r="M79" s="38">
        <f>I79/(HLOOKUP(F79,Team_Composition_23[[#All],[Yellow]:[Red]],10,FALSE)+HLOOKUP(F79,Team_Composition_23[[#All],[Yellow]:[Red]],11,FALSE))</f>
        <v>4.9987503124218945E-3</v>
      </c>
      <c r="N79" s="38">
        <f>J79/HLOOKUP(F79,Team_Composition_23[[#All],[Yellow]:[Red]],6,FALSE)</f>
        <v>1.2518824276420725E-3</v>
      </c>
      <c r="O79" s="38">
        <f>K79/HLOOKUP(F79,Team_Composition_23[[#All],[Yellow]:[Red]],8,FALSE)</f>
        <v>2.0084351846074978E-2</v>
      </c>
      <c r="P79" s="38">
        <f>L79/HLOOKUP(F79,Team_Composition_23[[#All],[Yellow]:[Red]],7,FALSE)</f>
        <v>2.1206241221360836E-3</v>
      </c>
      <c r="Q79" s="31"/>
      <c r="R79" s="74" t="s">
        <v>470</v>
      </c>
      <c r="S79" s="75">
        <f>SUMIFS('BR m Undercooked Talus 1 211202'!$L$2:$L$163,'BR m Undercooked Talus 1 211202'!$B$2:$B$163,"KS",'BR m Undercooked Talus 1 211202'!$F$2:$F$163,"Yellow")</f>
        <v>43567</v>
      </c>
      <c r="T79" s="76">
        <f>SUMIFS('BR m Undercooked Talus 1 211202'!$L$2:$L$163,'BR m Undercooked Talus 1 211202'!$B$2:$B$163,"KS",'BR m Undercooked Talus 1 211202'!$F$2:$F$163,"Red")</f>
        <v>126332</v>
      </c>
      <c r="U79" s="31"/>
      <c r="V79" s="31"/>
      <c r="W79" s="31"/>
      <c r="X79" s="31"/>
      <c r="Y79" s="31"/>
      <c r="Z79" s="31"/>
      <c r="AA79" s="31"/>
      <c r="AB79" s="74" t="s">
        <v>470</v>
      </c>
      <c r="AC79" s="75">
        <f>SUMIFS('BR m Undercooked Talus 1 211202'!$L$2:$L$163,'BR m Undercooked Talus 1 211202'!$B$2:$B$163,"KS",'BR m Undercooked Talus 1 211202'!$D$2:$D$163,"Best Regards")</f>
        <v>100712</v>
      </c>
      <c r="AD79" s="76">
        <f>SUMIFS('BR m Undercooked Talus 1 211202'!$L$2:$L$163,'BR m Undercooked Talus 1 211202'!$B$2:$B$163,"KS",'BR m Undercooked Talus 1 211202'!$D$2:$D$163,"Undercooked")</f>
        <v>69187</v>
      </c>
    </row>
    <row r="80" spans="1:30" ht="22.5" customHeight="1">
      <c r="A80" s="32">
        <v>37</v>
      </c>
      <c r="B80" s="62" t="str">
        <f>VLOOKUP(C80,Lists!I:J,2,FALSE)</f>
        <v>Tank</v>
      </c>
      <c r="C80" s="34" t="s">
        <v>14</v>
      </c>
      <c r="D80" s="35"/>
      <c r="E80" s="36" t="s">
        <v>514</v>
      </c>
      <c r="F80" s="35" t="s">
        <v>476</v>
      </c>
      <c r="G80" s="32">
        <v>2</v>
      </c>
      <c r="H80" s="32">
        <v>18</v>
      </c>
      <c r="I80" s="84">
        <f t="shared" si="0"/>
        <v>20</v>
      </c>
      <c r="J80" s="37">
        <v>219061</v>
      </c>
      <c r="K80" s="37">
        <v>967401</v>
      </c>
      <c r="L80" s="37">
        <v>33954</v>
      </c>
      <c r="M80" s="38">
        <f>I80/(HLOOKUP(F80,Team_Composition_23[[#All],[Yellow]:[Red]],10,FALSE)+HLOOKUP(F80,Team_Composition_23[[#All],[Yellow]:[Red]],11,FALSE))</f>
        <v>4.9987503124218945E-3</v>
      </c>
      <c r="N80" s="38">
        <f>J80/HLOOKUP(F80,Team_Composition_23[[#All],[Yellow]:[Red]],6,FALSE)</f>
        <v>4.9378554589956433E-3</v>
      </c>
      <c r="O80" s="38">
        <f>K80/HLOOKUP(F80,Team_Composition_23[[#All],[Yellow]:[Red]],8,FALSE)</f>
        <v>5.5220850924234774E-2</v>
      </c>
      <c r="P80" s="38">
        <f>L80/HLOOKUP(F80,Team_Composition_23[[#All],[Yellow]:[Red]],7,FALSE)</f>
        <v>2.6229890147174452E-3</v>
      </c>
      <c r="Q80" s="31"/>
      <c r="R80" s="78" t="s">
        <v>465</v>
      </c>
      <c r="S80" s="75">
        <f>SUMIFS('BR m Undercooked Talus 1 211202'!$G$2:$G$163,'BR m Undercooked Talus 1 211202'!$B$2:$B$163,"KS",'BR m Undercooked Talus 1 211202'!$F$2:$F$163,"Yellow")</f>
        <v>92</v>
      </c>
      <c r="T80" s="76">
        <f>SUMIFS('BR m Undercooked Talus 1 211202'!$G$2:$G$163,'BR m Undercooked Talus 1 211202'!$B$2:$B$163,"KS",'BR m Undercooked Talus 1 211202'!$F$2:$F$163,"Red")</f>
        <v>109</v>
      </c>
      <c r="U80" s="31"/>
      <c r="V80" s="31"/>
      <c r="W80" s="31"/>
      <c r="X80" s="31"/>
      <c r="Y80" s="31"/>
      <c r="Z80" s="31"/>
      <c r="AA80" s="31"/>
      <c r="AB80" s="78" t="s">
        <v>465</v>
      </c>
      <c r="AC80" s="75">
        <f>SUMIFS('BR m Undercooked Talus 1 211202'!$G$2:$G$163,'BR m Undercooked Talus 1 211202'!$B$2:$B$163,"KS",'BR m Undercooked Talus 1 211202'!$D$2:$D$163,"Best Regards")</f>
        <v>132</v>
      </c>
      <c r="AD80" s="76">
        <f>SUMIFS('BR m Undercooked Talus 1 211202'!$G$2:$G$163,'BR m Undercooked Talus 1 211202'!$B$2:$B$163,"KS",'BR m Undercooked Talus 1 211202'!$D$2:$D$163,"Undercooked")</f>
        <v>69</v>
      </c>
    </row>
    <row r="81" spans="1:30" ht="22.5" customHeight="1">
      <c r="A81" s="32">
        <v>84</v>
      </c>
      <c r="B81" s="52" t="str">
        <f>VLOOKUP(C81,Lists!I:J,2,FALSE)</f>
        <v>Tank</v>
      </c>
      <c r="C81" s="34" t="str">
        <f>VLOOKUP(E81&amp;D81,Lists!C:E,3,FALSE)</f>
        <v>SnS/Greatsword</v>
      </c>
      <c r="D81" s="35" t="s">
        <v>34</v>
      </c>
      <c r="E81" s="98" t="s">
        <v>176</v>
      </c>
      <c r="F81" s="35" t="s">
        <v>476</v>
      </c>
      <c r="G81" s="32">
        <v>0</v>
      </c>
      <c r="H81" s="32">
        <v>18</v>
      </c>
      <c r="I81" s="84">
        <f t="shared" si="0"/>
        <v>18</v>
      </c>
      <c r="J81" s="37">
        <v>50040</v>
      </c>
      <c r="K81" s="37">
        <v>576821</v>
      </c>
      <c r="L81" s="37">
        <v>46866</v>
      </c>
      <c r="M81" s="38">
        <f>I81/(HLOOKUP(F81,Team_Composition_23[[#All],[Yellow]:[Red]],10,FALSE)+HLOOKUP(F81,Team_Composition_23[[#All],[Yellow]:[Red]],11,FALSE))</f>
        <v>4.4988752811797048E-3</v>
      </c>
      <c r="N81" s="38">
        <f>J81/HLOOKUP(F81,Team_Composition_23[[#All],[Yellow]:[Red]],6,FALSE)</f>
        <v>1.1279519730492511E-3</v>
      </c>
      <c r="O81" s="38">
        <f>K81/HLOOKUP(F81,Team_Composition_23[[#All],[Yellow]:[Red]],8,FALSE)</f>
        <v>3.2925897793126144E-2</v>
      </c>
      <c r="P81" s="38">
        <f>L81/HLOOKUP(F81,Team_Composition_23[[#All],[Yellow]:[Red]],7,FALSE)</f>
        <v>3.6204571821802376E-3</v>
      </c>
      <c r="Q81" s="31"/>
      <c r="R81" s="79" t="s">
        <v>466</v>
      </c>
      <c r="S81" s="80">
        <f>SUMIFS('BR m Undercooked Talus 1 211202'!$H$2:$H$163,'BR m Undercooked Talus 1 211202'!$B$2:$B$163,"KS",'BR m Undercooked Talus 1 211202'!$F$2:$F$163,"Yellow")</f>
        <v>175</v>
      </c>
      <c r="T81" s="81">
        <f>SUMIFS('BR m Undercooked Talus 1 211202'!$H$2:$H$163,'BR m Undercooked Talus 1 211202'!$B$2:$B$163,"KS",'BR m Undercooked Talus 1 211202'!$F$2:$F$163,"Red")</f>
        <v>175</v>
      </c>
      <c r="U81" s="31"/>
      <c r="V81" s="31"/>
      <c r="W81" s="31"/>
      <c r="X81" s="31"/>
      <c r="Y81" s="31"/>
      <c r="Z81" s="31"/>
      <c r="AA81" s="31"/>
      <c r="AB81" s="79" t="s">
        <v>466</v>
      </c>
      <c r="AC81" s="80">
        <f>SUMIFS('BR m Undercooked Talus 1 211202'!$H$2:$H$163,'BR m Undercooked Talus 1 211202'!$B$2:$B$163,"KS",'BR m Undercooked Talus 1 211202'!$D$2:$D$163,"Best Regards")</f>
        <v>227</v>
      </c>
      <c r="AD81" s="81">
        <f>SUMIFS('BR m Undercooked Talus 1 211202'!$H$2:$H$163,'BR m Undercooked Talus 1 211202'!$B$2:$B$163,"KS",'BR m Undercooked Talus 1 211202'!$D$2:$D$163,"Undercooked")</f>
        <v>123</v>
      </c>
    </row>
    <row r="82" spans="1:30" ht="22.5" customHeight="1">
      <c r="A82" s="32">
        <v>85</v>
      </c>
      <c r="B82" s="33" t="str">
        <f>VLOOKUP(C82,Lists!I:J,2,FALSE)</f>
        <v>Healer</v>
      </c>
      <c r="C82" s="34" t="str">
        <f>VLOOKUP(E82&amp;D82,Lists!C:E,3,FALSE)</f>
        <v>Wand/Orb</v>
      </c>
      <c r="D82" s="35" t="s">
        <v>28</v>
      </c>
      <c r="E82" s="36" t="s">
        <v>387</v>
      </c>
      <c r="F82" s="35" t="s">
        <v>483</v>
      </c>
      <c r="G82" s="32">
        <v>0</v>
      </c>
      <c r="H82" s="32">
        <v>17</v>
      </c>
      <c r="I82" s="84">
        <f t="shared" si="0"/>
        <v>17</v>
      </c>
      <c r="J82" s="37">
        <v>13183</v>
      </c>
      <c r="K82" s="37">
        <v>485610</v>
      </c>
      <c r="L82" s="37">
        <v>927914</v>
      </c>
      <c r="M82" s="38">
        <f>I82/(HLOOKUP(F82,Team_Composition_23[[#All],[Yellow]:[Red]],10,FALSE)+HLOOKUP(F82,Team_Composition_23[[#All],[Yellow]:[Red]],11,FALSE))</f>
        <v>2.0706455542021926E-2</v>
      </c>
      <c r="N82" s="38">
        <f>J82/HLOOKUP(F82,Team_Composition_23[[#All],[Yellow]:[Red]],6,FALSE)</f>
        <v>7.471066830146432E-4</v>
      </c>
      <c r="O82" s="38">
        <f>K82/HLOOKUP(F82,Team_Composition_23[[#All],[Yellow]:[Red]],8,FALSE)</f>
        <v>1.1032594602436963E-2</v>
      </c>
      <c r="P82" s="38">
        <f>L82/HLOOKUP(F82,Team_Composition_23[[#All],[Yellow]:[Red]],7,FALSE)</f>
        <v>3.823546900004858E-2</v>
      </c>
      <c r="Q82" s="31"/>
      <c r="R82" s="78" t="s">
        <v>54</v>
      </c>
      <c r="S82" s="75">
        <f t="shared" ref="S82:S84" si="18">COUNTIFS(C:C,R82,F:F,"Yellow")</f>
        <v>4</v>
      </c>
      <c r="T82" s="76">
        <f t="shared" ref="T82:T84" si="19">COUNTIFS(C:C,R82,F:F,"Red")</f>
        <v>2</v>
      </c>
      <c r="U82" s="31"/>
      <c r="V82" s="31"/>
      <c r="W82" s="31"/>
      <c r="X82" s="31"/>
      <c r="Y82" s="31"/>
      <c r="Z82" s="31"/>
      <c r="AA82" s="31"/>
      <c r="AB82" s="78" t="s">
        <v>54</v>
      </c>
      <c r="AC82" s="75">
        <f t="shared" ref="AC82:AC84" si="20">COUNTIFS(C:C,AB82,D:D,"Best Regards")</f>
        <v>3</v>
      </c>
      <c r="AD82" s="76">
        <f t="shared" ref="AD82:AD84" si="21">COUNTIFS(C:C,AB82,D:D,"Undercooked")</f>
        <v>3</v>
      </c>
    </row>
    <row r="83" spans="1:30" ht="22.5" customHeight="1">
      <c r="A83" s="32">
        <v>43</v>
      </c>
      <c r="B83" s="56" t="str">
        <f>VLOOKUP(C83,Lists!I:J,2,FALSE)</f>
        <v>Ranged DPS</v>
      </c>
      <c r="C83" s="34" t="str">
        <f>VLOOKUP(E83&amp;D83,Lists!C:E,3,FALSE)</f>
        <v>Crossbow/SnS</v>
      </c>
      <c r="D83" s="35" t="s">
        <v>34</v>
      </c>
      <c r="E83" s="36" t="s">
        <v>83</v>
      </c>
      <c r="F83" s="35" t="s">
        <v>483</v>
      </c>
      <c r="G83" s="32">
        <v>1</v>
      </c>
      <c r="H83" s="32">
        <v>15</v>
      </c>
      <c r="I83" s="84">
        <f t="shared" si="0"/>
        <v>16</v>
      </c>
      <c r="J83" s="37">
        <v>59545</v>
      </c>
      <c r="K83" s="37">
        <v>257558</v>
      </c>
      <c r="L83" s="37">
        <v>134299</v>
      </c>
      <c r="M83" s="38">
        <f>I83/(HLOOKUP(F83,Team_Composition_23[[#All],[Yellow]:[Red]],10,FALSE)+HLOOKUP(F83,Team_Composition_23[[#All],[Yellow]:[Red]],11,FALSE))</f>
        <v>1.9488428745432398E-2</v>
      </c>
      <c r="N83" s="38">
        <f>J83/HLOOKUP(F83,Team_Composition_23[[#All],[Yellow]:[Red]],6,FALSE)</f>
        <v>3.3745329166431715E-3</v>
      </c>
      <c r="O83" s="38">
        <f>K83/HLOOKUP(F83,Team_Composition_23[[#All],[Yellow]:[Red]],8,FALSE)</f>
        <v>5.8514713465835947E-3</v>
      </c>
      <c r="P83" s="38">
        <f>L83/HLOOKUP(F83,Team_Composition_23[[#All],[Yellow]:[Red]],7,FALSE)</f>
        <v>5.5339021194178821E-3</v>
      </c>
      <c r="Q83" s="31"/>
      <c r="R83" s="74" t="s">
        <v>69</v>
      </c>
      <c r="S83" s="75">
        <f t="shared" si="18"/>
        <v>2</v>
      </c>
      <c r="T83" s="76">
        <f t="shared" si="19"/>
        <v>3</v>
      </c>
      <c r="U83" s="31"/>
      <c r="V83" s="31"/>
      <c r="W83" s="31"/>
      <c r="X83" s="31"/>
      <c r="Y83" s="31"/>
      <c r="Z83" s="31"/>
      <c r="AA83" s="31"/>
      <c r="AB83" s="74" t="s">
        <v>69</v>
      </c>
      <c r="AC83" s="75">
        <f t="shared" si="20"/>
        <v>2</v>
      </c>
      <c r="AD83" s="76">
        <f t="shared" si="21"/>
        <v>3</v>
      </c>
    </row>
    <row r="84" spans="1:30" ht="22.5" customHeight="1">
      <c r="A84" s="32">
        <v>44</v>
      </c>
      <c r="B84" s="62" t="str">
        <f>VLOOKUP(C84,Lists!I:J,2,FALSE)</f>
        <v>Tank</v>
      </c>
      <c r="C84" s="34" t="s">
        <v>62</v>
      </c>
      <c r="D84" s="35" t="s">
        <v>34</v>
      </c>
      <c r="E84" s="36" t="s">
        <v>57</v>
      </c>
      <c r="F84" s="35" t="s">
        <v>483</v>
      </c>
      <c r="G84" s="32">
        <v>1</v>
      </c>
      <c r="H84" s="32">
        <v>14</v>
      </c>
      <c r="I84" s="84">
        <f t="shared" si="0"/>
        <v>15</v>
      </c>
      <c r="J84" s="37">
        <v>42855</v>
      </c>
      <c r="K84" s="37">
        <v>521394</v>
      </c>
      <c r="L84" s="37">
        <v>26798</v>
      </c>
      <c r="M84" s="38">
        <f>I84/(HLOOKUP(F84,Team_Composition_23[[#All],[Yellow]:[Red]],10,FALSE)+HLOOKUP(F84,Team_Composition_23[[#All],[Yellow]:[Red]],11,FALSE))</f>
        <v>1.8270401948842874E-2</v>
      </c>
      <c r="N84" s="38">
        <f>J84/HLOOKUP(F84,Team_Composition_23[[#All],[Yellow]:[Red]],6,FALSE)</f>
        <v>2.4286776075697894E-3</v>
      </c>
      <c r="O84" s="38">
        <f>K84/HLOOKUP(F84,Team_Composition_23[[#All],[Yellow]:[Red]],8,FALSE)</f>
        <v>1.1845572846817441E-2</v>
      </c>
      <c r="P84" s="38">
        <f>L84/HLOOKUP(F84,Team_Composition_23[[#All],[Yellow]:[Red]],7,FALSE)</f>
        <v>1.1042339034256427E-3</v>
      </c>
      <c r="Q84" s="31"/>
      <c r="R84" s="78" t="s">
        <v>81</v>
      </c>
      <c r="S84" s="75">
        <f t="shared" si="18"/>
        <v>0</v>
      </c>
      <c r="T84" s="76">
        <f t="shared" si="19"/>
        <v>1</v>
      </c>
      <c r="U84" s="31"/>
      <c r="V84" s="31"/>
      <c r="W84" s="31"/>
      <c r="X84" s="31"/>
      <c r="Y84" s="31"/>
      <c r="Z84" s="31"/>
      <c r="AA84" s="31"/>
      <c r="AB84" s="78" t="s">
        <v>81</v>
      </c>
      <c r="AC84" s="75">
        <f t="shared" si="20"/>
        <v>1</v>
      </c>
      <c r="AD84" s="76">
        <f t="shared" si="21"/>
        <v>0</v>
      </c>
    </row>
    <row r="85" spans="1:30" ht="22.5" customHeight="1">
      <c r="A85" s="32">
        <v>38</v>
      </c>
      <c r="B85" s="53" t="str">
        <f>VLOOKUP(C85,Lists!I:J,2,FALSE)</f>
        <v>Tank</v>
      </c>
      <c r="C85" s="34" t="str">
        <f>VLOOKUP(E85&amp;D85,Lists!C:E,3,FALSE)</f>
        <v>SnS/Spear</v>
      </c>
      <c r="D85" s="35" t="s">
        <v>28</v>
      </c>
      <c r="E85" s="36" t="s">
        <v>375</v>
      </c>
      <c r="F85" s="35" t="s">
        <v>476</v>
      </c>
      <c r="G85" s="32">
        <v>2</v>
      </c>
      <c r="H85" s="32">
        <v>12</v>
      </c>
      <c r="I85" s="84">
        <f t="shared" si="0"/>
        <v>14</v>
      </c>
      <c r="J85" s="37">
        <v>94617</v>
      </c>
      <c r="K85" s="37">
        <v>786613</v>
      </c>
      <c r="L85" s="37">
        <v>14049</v>
      </c>
      <c r="M85" s="38">
        <f>I85/(HLOOKUP(F85,Team_Composition_23[[#All],[Yellow]:[Red]],10,FALSE)+HLOOKUP(F85,Team_Composition_23[[#All],[Yellow]:[Red]],11,FALSE))</f>
        <v>3.4991252186953262E-3</v>
      </c>
      <c r="N85" s="38">
        <f>J85/HLOOKUP(F85,Team_Composition_23[[#All],[Yellow]:[Red]],6,FALSE)</f>
        <v>2.1327624267386291E-3</v>
      </c>
      <c r="O85" s="38">
        <f>K85/HLOOKUP(F85,Team_Composition_23[[#All],[Yellow]:[Red]],8,FALSE)</f>
        <v>4.4901172531416747E-2</v>
      </c>
      <c r="P85" s="38">
        <f>L85/HLOOKUP(F85,Team_Composition_23[[#All],[Yellow]:[Red]],7,FALSE)</f>
        <v>1.0853028411311005E-3</v>
      </c>
      <c r="Q85" s="31"/>
      <c r="R85" s="31"/>
      <c r="S85" s="31"/>
      <c r="T85" s="31"/>
      <c r="U85" s="31"/>
      <c r="V85" s="31"/>
      <c r="W85" s="31"/>
      <c r="X85" s="31"/>
      <c r="Y85" s="31"/>
      <c r="Z85" s="31"/>
      <c r="AA85" s="31"/>
      <c r="AB85" s="31"/>
      <c r="AC85" s="31"/>
      <c r="AD85" s="31"/>
    </row>
    <row r="86" spans="1:30" ht="22.5" customHeight="1">
      <c r="A86" s="32">
        <v>35</v>
      </c>
      <c r="B86" s="62" t="str">
        <f>VLOOKUP(C86,Lists!I:J,2,FALSE)</f>
        <v>Tank</v>
      </c>
      <c r="C86" s="34" t="str">
        <f>VLOOKUP(E86&amp;D86,Lists!C:E,3,FALSE)</f>
        <v>SnS/Greatsword</v>
      </c>
      <c r="D86" s="35" t="s">
        <v>34</v>
      </c>
      <c r="E86" s="36" t="s">
        <v>123</v>
      </c>
      <c r="F86" s="35" t="s">
        <v>483</v>
      </c>
      <c r="G86" s="32">
        <v>3</v>
      </c>
      <c r="H86" s="32">
        <v>11</v>
      </c>
      <c r="I86" s="84">
        <f t="shared" si="0"/>
        <v>14</v>
      </c>
      <c r="J86" s="37">
        <v>123396</v>
      </c>
      <c r="K86" s="37">
        <v>1189656</v>
      </c>
      <c r="L86" s="37">
        <v>23153</v>
      </c>
      <c r="M86" s="38">
        <f>I86/(HLOOKUP(F86,Team_Composition_23[[#All],[Yellow]:[Red]],10,FALSE)+HLOOKUP(F86,Team_Composition_23[[#All],[Yellow]:[Red]],11,FALSE))</f>
        <v>1.705237515225335E-2</v>
      </c>
      <c r="N86" s="38">
        <f>J86/HLOOKUP(F86,Team_Composition_23[[#All],[Yellow]:[Red]],6,FALSE)</f>
        <v>6.9930953695877202E-3</v>
      </c>
      <c r="O86" s="38">
        <f>K86/HLOOKUP(F86,Team_Composition_23[[#All],[Yellow]:[Red]],8,FALSE)</f>
        <v>2.7027846140641146E-2</v>
      </c>
      <c r="P86" s="38">
        <f>L86/HLOOKUP(F86,Team_Composition_23[[#All],[Yellow]:[Red]],7,FALSE)</f>
        <v>9.5403864340674329E-4</v>
      </c>
      <c r="Q86" s="31"/>
      <c r="R86" s="31"/>
      <c r="S86" s="31"/>
      <c r="T86" s="31"/>
      <c r="U86" s="31"/>
      <c r="V86" s="31"/>
      <c r="W86" s="31"/>
      <c r="X86" s="31"/>
      <c r="Y86" s="31"/>
      <c r="Z86" s="31"/>
      <c r="AA86" s="31"/>
      <c r="AB86" s="31"/>
      <c r="AC86" s="31"/>
      <c r="AD86" s="31"/>
    </row>
    <row r="87" spans="1:30" ht="22.5" customHeight="1">
      <c r="A87" s="32">
        <v>86</v>
      </c>
      <c r="B87" s="56" t="str">
        <f>VLOOKUP(C87,Lists!I:J,2,FALSE)</f>
        <v>Tank</v>
      </c>
      <c r="C87" s="34" t="str">
        <f>VLOOKUP(E87&amp;D87,Lists!C:E,3,FALSE)</f>
        <v>SnS/Longbow</v>
      </c>
      <c r="D87" s="35" t="s">
        <v>28</v>
      </c>
      <c r="E87" s="36" t="s">
        <v>363</v>
      </c>
      <c r="F87" s="35" t="s">
        <v>476</v>
      </c>
      <c r="G87" s="32">
        <v>0</v>
      </c>
      <c r="H87" s="32">
        <v>12</v>
      </c>
      <c r="I87" s="84">
        <f t="shared" si="0"/>
        <v>12</v>
      </c>
      <c r="J87" s="37">
        <v>59467</v>
      </c>
      <c r="K87" s="37">
        <v>554677</v>
      </c>
      <c r="L87" s="37">
        <v>148399</v>
      </c>
      <c r="M87" s="38">
        <f>I87/(HLOOKUP(F87,Team_Composition_23[[#All],[Yellow]:[Red]],10,FALSE)+HLOOKUP(F87,Team_Composition_23[[#All],[Yellow]:[Red]],11,FALSE))</f>
        <v>2.9992501874531365E-3</v>
      </c>
      <c r="N87" s="38">
        <f>J87/HLOOKUP(F87,Team_Composition_23[[#All],[Yellow]:[Red]],6,FALSE)</f>
        <v>1.3404460427921625E-3</v>
      </c>
      <c r="O87" s="38">
        <f>K87/HLOOKUP(F87,Team_Composition_23[[#All],[Yellow]:[Red]],8,FALSE)</f>
        <v>3.1661881606595166E-2</v>
      </c>
      <c r="P87" s="38">
        <f>L87/HLOOKUP(F87,Team_Composition_23[[#All],[Yellow]:[Red]],7,FALSE)</f>
        <v>1.1464008564382816E-2</v>
      </c>
      <c r="Q87" s="31"/>
      <c r="R87" s="31"/>
      <c r="S87" s="31"/>
      <c r="T87" s="31"/>
      <c r="U87" s="31"/>
      <c r="V87" s="31"/>
      <c r="W87" s="31"/>
      <c r="X87" s="31"/>
      <c r="Y87" s="31"/>
      <c r="Z87" s="31"/>
      <c r="AA87" s="31"/>
      <c r="AB87" s="31"/>
      <c r="AC87" s="31"/>
      <c r="AD87" s="31"/>
    </row>
    <row r="88" spans="1:30" ht="22.5" customHeight="1">
      <c r="A88" s="32">
        <v>87</v>
      </c>
      <c r="B88" s="33" t="str">
        <f>VLOOKUP(C88,Lists!I:J,2,FALSE)</f>
        <v>Tank</v>
      </c>
      <c r="C88" s="34" t="str">
        <f>VLOOKUP(E88&amp;D88,Lists!C:E,3,FALSE)</f>
        <v>SnS/Longbow</v>
      </c>
      <c r="D88" s="35" t="s">
        <v>28</v>
      </c>
      <c r="E88" s="36" t="s">
        <v>390</v>
      </c>
      <c r="F88" s="35" t="s">
        <v>483</v>
      </c>
      <c r="G88" s="32">
        <v>0</v>
      </c>
      <c r="H88" s="32">
        <v>12</v>
      </c>
      <c r="I88" s="84">
        <f t="shared" si="0"/>
        <v>12</v>
      </c>
      <c r="J88" s="37">
        <v>27150</v>
      </c>
      <c r="K88" s="37">
        <v>547085</v>
      </c>
      <c r="L88" s="37">
        <v>198714</v>
      </c>
      <c r="M88" s="38">
        <f>I88/(HLOOKUP(F88,Team_Composition_23[[#All],[Yellow]:[Red]],10,FALSE)+HLOOKUP(F88,Team_Composition_23[[#All],[Yellow]:[Red]],11,FALSE))</f>
        <v>1.4616321559074299E-2</v>
      </c>
      <c r="N88" s="38">
        <f>J88/HLOOKUP(F88,Team_Composition_23[[#All],[Yellow]:[Red]],6,FALSE)</f>
        <v>1.5386441966052918E-3</v>
      </c>
      <c r="O88" s="38">
        <f>K88/HLOOKUP(F88,Team_Composition_23[[#All],[Yellow]:[Red]],8,FALSE)</f>
        <v>1.2429247787471892E-2</v>
      </c>
      <c r="P88" s="38">
        <f>L88/HLOOKUP(F88,Team_Composition_23[[#All],[Yellow]:[Red]],7,FALSE)</f>
        <v>8.1881758297381591E-3</v>
      </c>
      <c r="Q88" s="31"/>
      <c r="R88" s="31"/>
      <c r="S88" s="31"/>
      <c r="T88" s="31"/>
      <c r="U88" s="31"/>
      <c r="V88" s="31"/>
      <c r="W88" s="31"/>
      <c r="X88" s="31"/>
      <c r="Y88" s="31"/>
      <c r="Z88" s="31"/>
      <c r="AA88" s="31"/>
      <c r="AB88" s="31"/>
      <c r="AC88" s="31"/>
      <c r="AD88" s="31"/>
    </row>
    <row r="89" spans="1:30" ht="22.5" customHeight="1">
      <c r="A89" s="32">
        <v>89</v>
      </c>
      <c r="B89" s="59" t="str">
        <f>VLOOKUP(C89,Lists!I:J,2,FALSE)</f>
        <v>Tank</v>
      </c>
      <c r="C89" s="34" t="str">
        <f>VLOOKUP(E89&amp;D89,Lists!C:E,3,FALSE)</f>
        <v>SnS/Greatsword</v>
      </c>
      <c r="D89" s="35" t="s">
        <v>28</v>
      </c>
      <c r="E89" s="36" t="s">
        <v>388</v>
      </c>
      <c r="F89" s="35" t="s">
        <v>476</v>
      </c>
      <c r="G89" s="32">
        <v>0</v>
      </c>
      <c r="H89" s="32">
        <v>10</v>
      </c>
      <c r="I89" s="84">
        <f t="shared" si="0"/>
        <v>10</v>
      </c>
      <c r="J89" s="37">
        <v>13762</v>
      </c>
      <c r="K89" s="37">
        <v>741921</v>
      </c>
      <c r="L89" s="37">
        <v>37738</v>
      </c>
      <c r="M89" s="38">
        <f>I89/(HLOOKUP(F89,Team_Composition_23[[#All],[Yellow]:[Red]],10,FALSE)+HLOOKUP(F89,Team_Composition_23[[#All],[Yellow]:[Red]],11,FALSE))</f>
        <v>2.4993751562109472E-3</v>
      </c>
      <c r="N89" s="38">
        <f>J89/HLOOKUP(F89,Team_Composition_23[[#All],[Yellow]:[Red]],6,FALSE)</f>
        <v>3.1020933359519973E-4</v>
      </c>
      <c r="O89" s="38">
        <f>K89/HLOOKUP(F89,Team_Composition_23[[#All],[Yellow]:[Red]],8,FALSE)</f>
        <v>4.2350079169402539E-2</v>
      </c>
      <c r="P89" s="38">
        <f>L89/HLOOKUP(F89,Team_Composition_23[[#All],[Yellow]:[Red]],7,FALSE)</f>
        <v>2.9153077527657107E-3</v>
      </c>
      <c r="Q89" s="31"/>
      <c r="R89" s="31"/>
      <c r="S89" s="31"/>
      <c r="T89" s="31"/>
      <c r="U89" s="31"/>
      <c r="V89" s="31"/>
      <c r="W89" s="31"/>
      <c r="X89" s="31"/>
      <c r="Y89" s="31"/>
      <c r="Z89" s="31"/>
      <c r="AA89" s="31"/>
      <c r="AB89" s="31"/>
      <c r="AC89" s="31"/>
      <c r="AD89" s="31"/>
    </row>
    <row r="90" spans="1:30" ht="22.5" customHeight="1">
      <c r="A90" s="32">
        <v>88</v>
      </c>
      <c r="B90" s="57" t="str">
        <f>VLOOKUP(C90,Lists!I:J,2,FALSE)</f>
        <v>Tank</v>
      </c>
      <c r="C90" s="34" t="str">
        <f>VLOOKUP(E90&amp;D90,Lists!C:E,3,FALSE)</f>
        <v>SnS/Greatsword</v>
      </c>
      <c r="D90" s="35" t="s">
        <v>34</v>
      </c>
      <c r="E90" s="36" t="s">
        <v>109</v>
      </c>
      <c r="F90" s="35" t="s">
        <v>476</v>
      </c>
      <c r="G90" s="32">
        <v>0</v>
      </c>
      <c r="H90" s="32">
        <v>10</v>
      </c>
      <c r="I90" s="84">
        <f t="shared" si="0"/>
        <v>10</v>
      </c>
      <c r="J90" s="37">
        <v>27503</v>
      </c>
      <c r="K90" s="37">
        <v>1091205</v>
      </c>
      <c r="L90" s="37">
        <v>18048</v>
      </c>
      <c r="M90" s="38">
        <f>I90/(HLOOKUP(F90,Team_Composition_23[[#All],[Yellow]:[Red]],10,FALSE)+HLOOKUP(F90,Team_Composition_23[[#All],[Yellow]:[Red]],11,FALSE))</f>
        <v>2.4993751562109472E-3</v>
      </c>
      <c r="N90" s="38">
        <f>J90/HLOOKUP(F90,Team_Composition_23[[#All],[Yellow]:[Red]],6,FALSE)</f>
        <v>6.1994530605063059E-4</v>
      </c>
      <c r="O90" s="38">
        <f>K90/HLOOKUP(F90,Team_Composition_23[[#All],[Yellow]:[Red]],8,FALSE)</f>
        <v>6.2287788241669806E-2</v>
      </c>
      <c r="P90" s="38">
        <f>L90/HLOOKUP(F90,Team_Composition_23[[#All],[Yellow]:[Red]],7,FALSE)</f>
        <v>1.394230598386654E-3</v>
      </c>
      <c r="Q90" s="31"/>
      <c r="R90" s="31"/>
      <c r="S90" s="31"/>
      <c r="T90" s="31"/>
      <c r="U90" s="31"/>
      <c r="V90" s="31"/>
      <c r="W90" s="31"/>
      <c r="X90" s="31"/>
      <c r="Y90" s="31"/>
      <c r="Z90" s="31"/>
      <c r="AA90" s="31"/>
      <c r="AB90" s="31"/>
      <c r="AC90" s="31"/>
      <c r="AD90" s="31"/>
    </row>
    <row r="91" spans="1:30" ht="22.5" customHeight="1">
      <c r="A91" s="32">
        <v>90</v>
      </c>
      <c r="B91" s="40" t="str">
        <f>VLOOKUP(C91,Lists!I:J,2,FALSE)</f>
        <v>Tank</v>
      </c>
      <c r="C91" s="34" t="str">
        <f>VLOOKUP(E91&amp;D91,Lists!C:E,3,FALSE)</f>
        <v>SnS/Greatsword</v>
      </c>
      <c r="D91" s="35" t="s">
        <v>28</v>
      </c>
      <c r="E91" s="36" t="s">
        <v>302</v>
      </c>
      <c r="F91" s="35" t="s">
        <v>483</v>
      </c>
      <c r="G91" s="32">
        <v>0</v>
      </c>
      <c r="H91" s="32">
        <v>8</v>
      </c>
      <c r="I91" s="84">
        <f t="shared" si="0"/>
        <v>8</v>
      </c>
      <c r="J91" s="37">
        <v>86520</v>
      </c>
      <c r="K91" s="37">
        <v>307597</v>
      </c>
      <c r="L91" s="37">
        <v>4654</v>
      </c>
      <c r="M91" s="38">
        <f>I91/(HLOOKUP(F91,Team_Composition_23[[#All],[Yellow]:[Red]],10,FALSE)+HLOOKUP(F91,Team_Composition_23[[#All],[Yellow]:[Red]],11,FALSE))</f>
        <v>9.7442143727161992E-3</v>
      </c>
      <c r="N91" s="38">
        <f>J91/HLOOKUP(F91,Team_Composition_23[[#All],[Yellow]:[Red]],6,FALSE)</f>
        <v>4.9032595171377476E-3</v>
      </c>
      <c r="O91" s="38">
        <f>K91/HLOOKUP(F91,Team_Composition_23[[#All],[Yellow]:[Red]],8,FALSE)</f>
        <v>6.988309552780631E-3</v>
      </c>
      <c r="P91" s="38">
        <f>L91/HLOOKUP(F91,Team_Composition_23[[#All],[Yellow]:[Red]],7,FALSE)</f>
        <v>1.917719451654206E-4</v>
      </c>
      <c r="Q91" s="31"/>
      <c r="R91" s="31"/>
      <c r="S91" s="31"/>
      <c r="T91" s="31"/>
      <c r="U91" s="31"/>
      <c r="V91" s="31"/>
      <c r="W91" s="31"/>
      <c r="X91" s="31"/>
      <c r="Y91" s="31"/>
      <c r="Z91" s="31"/>
      <c r="AA91" s="31"/>
      <c r="AB91" s="31"/>
      <c r="AC91" s="31"/>
      <c r="AD91" s="31"/>
    </row>
    <row r="92" spans="1:30" ht="22.5" customHeight="1">
      <c r="A92" s="32">
        <v>91</v>
      </c>
      <c r="B92" s="62" t="str">
        <f>VLOOKUP(C92,Lists!I:J,2,FALSE)</f>
        <v>Tank</v>
      </c>
      <c r="C92" s="34" t="str">
        <f>VLOOKUP(E92&amp;D92,Lists!C:E,3,FALSE)</f>
        <v>SnS/Greatsword</v>
      </c>
      <c r="D92" s="35" t="s">
        <v>34</v>
      </c>
      <c r="E92" s="83" t="s">
        <v>155</v>
      </c>
      <c r="F92" s="35" t="s">
        <v>476</v>
      </c>
      <c r="G92" s="32">
        <v>0</v>
      </c>
      <c r="H92" s="32">
        <v>8</v>
      </c>
      <c r="I92" s="84">
        <f t="shared" si="0"/>
        <v>8</v>
      </c>
      <c r="J92" s="37">
        <v>37603</v>
      </c>
      <c r="K92" s="37">
        <v>475926</v>
      </c>
      <c r="L92" s="37">
        <v>37326</v>
      </c>
      <c r="M92" s="38">
        <f>I92/(HLOOKUP(F92,Team_Composition_23[[#All],[Yellow]:[Red]],10,FALSE)+HLOOKUP(F92,Team_Composition_23[[#All],[Yellow]:[Red]],11,FALSE))</f>
        <v>1.999500124968758E-3</v>
      </c>
      <c r="N92" s="38">
        <f>J92/HLOOKUP(F92,Team_Composition_23[[#All],[Yellow]:[Red]],6,FALSE)</f>
        <v>8.4760947327280152E-4</v>
      </c>
      <c r="O92" s="38">
        <f>K92/HLOOKUP(F92,Team_Composition_23[[#All],[Yellow]:[Red]],8,FALSE)</f>
        <v>2.7166644128926228E-2</v>
      </c>
      <c r="P92" s="38">
        <f>L92/HLOOKUP(F92,Team_Composition_23[[#All],[Yellow]:[Red]],7,FALSE)</f>
        <v>2.8834802368894194E-3</v>
      </c>
      <c r="Q92" s="31"/>
      <c r="R92" s="31"/>
      <c r="S92" s="31"/>
      <c r="T92" s="31"/>
      <c r="U92" s="31"/>
      <c r="V92" s="31"/>
      <c r="W92" s="31"/>
      <c r="X92" s="31"/>
      <c r="Y92" s="31"/>
      <c r="Z92" s="31"/>
      <c r="AA92" s="31"/>
      <c r="AB92" s="31"/>
      <c r="AC92" s="31"/>
      <c r="AD92" s="31"/>
    </row>
    <row r="93" spans="1:30" ht="22.5" customHeight="1">
      <c r="A93" s="32">
        <v>93</v>
      </c>
      <c r="B93" s="52" t="str">
        <f>VLOOKUP(C93,Lists!I:J,2,FALSE)</f>
        <v>Tank</v>
      </c>
      <c r="C93" s="34" t="str">
        <f>VLOOKUP(E93&amp;D93,Lists!C:E,3,FALSE)</f>
        <v>SnS/Greatsword</v>
      </c>
      <c r="D93" s="35" t="s">
        <v>28</v>
      </c>
      <c r="E93" s="36" t="s">
        <v>345</v>
      </c>
      <c r="F93" s="35" t="s">
        <v>483</v>
      </c>
      <c r="G93" s="32">
        <v>0</v>
      </c>
      <c r="H93" s="32">
        <v>7</v>
      </c>
      <c r="I93" s="84">
        <f t="shared" si="0"/>
        <v>7</v>
      </c>
      <c r="J93" s="37">
        <v>12141</v>
      </c>
      <c r="K93" s="37">
        <v>546167</v>
      </c>
      <c r="L93" s="37">
        <v>33822</v>
      </c>
      <c r="M93" s="38">
        <f>I93/(HLOOKUP(F93,Team_Composition_23[[#All],[Yellow]:[Red]],10,FALSE)+HLOOKUP(F93,Team_Composition_23[[#All],[Yellow]:[Red]],11,FALSE))</f>
        <v>8.5261875761266752E-3</v>
      </c>
      <c r="N93" s="38">
        <f>J93/HLOOKUP(F93,Team_Composition_23[[#All],[Yellow]:[Red]],6,FALSE)</f>
        <v>6.8805448217255428E-4</v>
      </c>
      <c r="O93" s="38">
        <f>K93/HLOOKUP(F93,Team_Composition_23[[#All],[Yellow]:[Red]],8,FALSE)</f>
        <v>1.2408391705749857E-2</v>
      </c>
      <c r="P93" s="38">
        <f>L93/HLOOKUP(F93,Team_Composition_23[[#All],[Yellow]:[Red]],7,FALSE)</f>
        <v>1.3936636719778376E-3</v>
      </c>
      <c r="Q93" s="31"/>
      <c r="R93" s="31"/>
      <c r="S93" s="31"/>
      <c r="T93" s="31"/>
      <c r="U93" s="31"/>
      <c r="V93" s="31"/>
      <c r="W93" s="31"/>
      <c r="X93" s="31"/>
      <c r="Y93" s="31"/>
      <c r="Z93" s="31"/>
      <c r="AA93" s="31"/>
      <c r="AB93" s="31"/>
      <c r="AC93" s="31"/>
      <c r="AD93" s="31"/>
    </row>
    <row r="94" spans="1:30" ht="22.5" customHeight="1">
      <c r="A94" s="32">
        <v>92</v>
      </c>
      <c r="B94" s="71" t="str">
        <f>VLOOKUP(C94,Lists!I:J,2,FALSE)</f>
        <v>Healer</v>
      </c>
      <c r="C94" s="34" t="str">
        <f>VLOOKUP(E94&amp;D94,Lists!C:E,3,FALSE)</f>
        <v>Wand/Longbow</v>
      </c>
      <c r="D94" s="35" t="s">
        <v>34</v>
      </c>
      <c r="E94" s="36" t="s">
        <v>136</v>
      </c>
      <c r="F94" s="35" t="s">
        <v>483</v>
      </c>
      <c r="G94" s="32">
        <v>0</v>
      </c>
      <c r="H94" s="32">
        <v>7</v>
      </c>
      <c r="I94" s="84">
        <f t="shared" si="0"/>
        <v>7</v>
      </c>
      <c r="J94" s="37">
        <v>107726</v>
      </c>
      <c r="K94" s="37">
        <v>297716</v>
      </c>
      <c r="L94" s="37">
        <v>887622</v>
      </c>
      <c r="M94" s="38">
        <f>I94/(HLOOKUP(F94,Team_Composition_23[[#All],[Yellow]:[Red]],10,FALSE)+HLOOKUP(F94,Team_Composition_23[[#All],[Yellow]:[Red]],11,FALSE))</f>
        <v>8.5261875761266752E-3</v>
      </c>
      <c r="N94" s="38">
        <f>J94/HLOOKUP(F94,Team_Composition_23[[#All],[Yellow]:[Red]],6,FALSE)</f>
        <v>6.1050454778453656E-3</v>
      </c>
      <c r="O94" s="38">
        <f>K94/HLOOKUP(F94,Team_Composition_23[[#All],[Yellow]:[Red]],8,FALSE)</f>
        <v>6.7638226862278845E-3</v>
      </c>
      <c r="P94" s="38">
        <f>L94/HLOOKUP(F94,Team_Composition_23[[#All],[Yellow]:[Red]],7,FALSE)</f>
        <v>3.6575203590808118E-2</v>
      </c>
      <c r="Q94" s="31"/>
      <c r="R94" s="31"/>
      <c r="S94" s="31"/>
      <c r="T94" s="31"/>
      <c r="U94" s="31"/>
      <c r="V94" s="31"/>
      <c r="W94" s="31"/>
      <c r="X94" s="31"/>
      <c r="Y94" s="31"/>
      <c r="Z94" s="31"/>
      <c r="AA94" s="31"/>
      <c r="AB94" s="31"/>
      <c r="AC94" s="31"/>
      <c r="AD94" s="31"/>
    </row>
    <row r="95" spans="1:30" ht="22.5" customHeight="1">
      <c r="A95" s="32">
        <v>94</v>
      </c>
      <c r="B95" s="56" t="str">
        <f>VLOOKUP(C95,Lists!I:J,2,FALSE)</f>
        <v>Healer</v>
      </c>
      <c r="C95" s="34" t="str">
        <f>VLOOKUP(E95&amp;D95,Lists!C:E,3,FALSE)</f>
        <v>Wand/Longbow</v>
      </c>
      <c r="D95" s="35" t="s">
        <v>34</v>
      </c>
      <c r="E95" s="36" t="s">
        <v>135</v>
      </c>
      <c r="F95" s="35" t="s">
        <v>483</v>
      </c>
      <c r="G95" s="32">
        <v>0</v>
      </c>
      <c r="H95" s="32">
        <v>6</v>
      </c>
      <c r="I95" s="84">
        <f t="shared" si="0"/>
        <v>6</v>
      </c>
      <c r="J95" s="37">
        <v>31658</v>
      </c>
      <c r="K95" s="37">
        <v>205721</v>
      </c>
      <c r="L95" s="37">
        <v>766457</v>
      </c>
      <c r="M95" s="38">
        <f>I95/(HLOOKUP(F95,Team_Composition_23[[#All],[Yellow]:[Red]],10,FALSE)+HLOOKUP(F95,Team_Composition_23[[#All],[Yellow]:[Red]],11,FALSE))</f>
        <v>7.3081607795371494E-3</v>
      </c>
      <c r="N95" s="38">
        <f>J95/HLOOKUP(F95,Team_Composition_23[[#All],[Yellow]:[Red]],6,FALSE)</f>
        <v>1.7941214724173234E-3</v>
      </c>
      <c r="O95" s="38">
        <f>K95/HLOOKUP(F95,Team_Composition_23[[#All],[Yellow]:[Red]],8,FALSE)</f>
        <v>4.6737843005867554E-3</v>
      </c>
      <c r="P95" s="38">
        <f>L95/HLOOKUP(F95,Team_Composition_23[[#All],[Yellow]:[Red]],7,FALSE)</f>
        <v>3.1582498877450106E-2</v>
      </c>
      <c r="Q95" s="31"/>
      <c r="R95" s="31"/>
      <c r="S95" s="31"/>
      <c r="T95" s="31"/>
      <c r="U95" s="31"/>
      <c r="V95" s="31"/>
      <c r="W95" s="31"/>
      <c r="X95" s="31"/>
      <c r="Y95" s="31"/>
      <c r="Z95" s="31"/>
      <c r="AA95" s="31"/>
      <c r="AB95" s="31"/>
      <c r="AC95" s="31"/>
      <c r="AD95" s="31"/>
    </row>
    <row r="96" spans="1:30" ht="22.5" customHeight="1">
      <c r="A96" s="32">
        <v>96</v>
      </c>
      <c r="B96" s="34" t="str">
        <f>VLOOKUP(C96,Lists!I:J,2,FALSE)</f>
        <v>Healer</v>
      </c>
      <c r="C96" s="34" t="str">
        <f>VLOOKUP(E96&amp;D96,Lists!C:E,3,FALSE)</f>
        <v>Wand/Orb</v>
      </c>
      <c r="D96" s="35" t="s">
        <v>28</v>
      </c>
      <c r="E96" s="36" t="s">
        <v>365</v>
      </c>
      <c r="F96" s="35" t="s">
        <v>476</v>
      </c>
      <c r="G96" s="32">
        <v>0</v>
      </c>
      <c r="H96" s="32">
        <v>5</v>
      </c>
      <c r="I96" s="84">
        <f t="shared" si="0"/>
        <v>5</v>
      </c>
      <c r="J96" s="37">
        <v>12959</v>
      </c>
      <c r="K96" s="37">
        <v>338804</v>
      </c>
      <c r="L96" s="37">
        <v>767095</v>
      </c>
      <c r="M96" s="38">
        <f>I96/(HLOOKUP(F96,Team_Composition_23[[#All],[Yellow]:[Red]],10,FALSE)+HLOOKUP(F96,Team_Composition_23[[#All],[Yellow]:[Red]],11,FALSE))</f>
        <v>1.2496875781054736E-3</v>
      </c>
      <c r="N96" s="38">
        <f>J96/HLOOKUP(F96,Team_Composition_23[[#All],[Yellow]:[Red]],6,FALSE)</f>
        <v>2.9210890525070433E-4</v>
      </c>
      <c r="O96" s="38">
        <f>K96/HLOOKUP(F96,Team_Composition_23[[#All],[Yellow]:[Red]],8,FALSE)</f>
        <v>1.9339493319248623E-2</v>
      </c>
      <c r="P96" s="38">
        <f>L96/HLOOKUP(F96,Team_Composition_23[[#All],[Yellow]:[Red]],7,FALSE)</f>
        <v>5.9259049250299775E-2</v>
      </c>
      <c r="Q96" s="31"/>
      <c r="R96" s="31"/>
      <c r="S96" s="31"/>
      <c r="T96" s="31"/>
      <c r="U96" s="31"/>
      <c r="V96" s="31"/>
      <c r="W96" s="31"/>
      <c r="X96" s="31"/>
      <c r="Y96" s="31"/>
      <c r="Z96" s="31"/>
      <c r="AA96" s="31"/>
      <c r="AB96" s="31"/>
      <c r="AC96" s="31"/>
      <c r="AD96" s="31"/>
    </row>
    <row r="97" spans="1:30" ht="22.5" customHeight="1">
      <c r="A97" s="32">
        <v>95</v>
      </c>
      <c r="B97" s="56" t="str">
        <f>VLOOKUP(C97,Lists!I:J,2,FALSE)</f>
        <v>Tank</v>
      </c>
      <c r="C97" s="34" t="str">
        <f>VLOOKUP(E97&amp;D97,Lists!C:E,3,FALSE)</f>
        <v>SnS/Greatsword</v>
      </c>
      <c r="D97" s="35" t="s">
        <v>34</v>
      </c>
      <c r="E97" s="36" t="s">
        <v>118</v>
      </c>
      <c r="F97" s="35" t="s">
        <v>483</v>
      </c>
      <c r="G97" s="32">
        <v>0</v>
      </c>
      <c r="H97" s="32">
        <v>5</v>
      </c>
      <c r="I97" s="84">
        <f t="shared" si="0"/>
        <v>5</v>
      </c>
      <c r="J97" s="37">
        <v>36382</v>
      </c>
      <c r="K97" s="37">
        <v>581846</v>
      </c>
      <c r="L97" s="37">
        <v>15945</v>
      </c>
      <c r="M97" s="38">
        <f>I97/(HLOOKUP(F97,Team_Composition_23[[#All],[Yellow]:[Red]],10,FALSE)+HLOOKUP(F97,Team_Composition_23[[#All],[Yellow]:[Red]],11,FALSE))</f>
        <v>6.0901339829476245E-3</v>
      </c>
      <c r="N97" s="38">
        <f>J97/HLOOKUP(F97,Team_Composition_23[[#All],[Yellow]:[Red]],6,FALSE)</f>
        <v>2.0618398954288667E-3</v>
      </c>
      <c r="O97" s="38">
        <f>K97/HLOOKUP(F97,Team_Composition_23[[#All],[Yellow]:[Red]],8,FALSE)</f>
        <v>1.3218984450586967E-2</v>
      </c>
      <c r="P97" s="38">
        <f>L97/HLOOKUP(F97,Team_Composition_23[[#All],[Yellow]:[Red]],7,FALSE)</f>
        <v>6.5702700164646142E-4</v>
      </c>
      <c r="Q97" s="31"/>
      <c r="R97" s="31"/>
      <c r="S97" s="31"/>
      <c r="T97" s="31"/>
      <c r="U97" s="31"/>
      <c r="V97" s="31"/>
      <c r="W97" s="31"/>
      <c r="X97" s="31"/>
      <c r="Y97" s="31"/>
      <c r="Z97" s="31"/>
      <c r="AA97" s="31"/>
      <c r="AB97" s="31"/>
      <c r="AC97" s="31"/>
      <c r="AD97" s="31"/>
    </row>
    <row r="98" spans="1:30" ht="22.5" customHeight="1">
      <c r="A98" s="82"/>
      <c r="B98" s="57"/>
      <c r="C98" s="34"/>
      <c r="D98" s="13"/>
      <c r="E98" s="83"/>
      <c r="F98" s="13"/>
      <c r="G98" s="82"/>
      <c r="H98" s="82"/>
      <c r="I98" s="84"/>
      <c r="J98" s="85"/>
      <c r="K98" s="85"/>
      <c r="L98" s="85"/>
      <c r="M98" s="38"/>
      <c r="N98" s="38"/>
      <c r="O98" s="38"/>
      <c r="P98" s="38"/>
      <c r="Q98" s="31"/>
      <c r="R98" s="31"/>
      <c r="S98" s="31"/>
      <c r="T98" s="31"/>
      <c r="U98" s="31"/>
      <c r="V98" s="31"/>
      <c r="W98" s="31"/>
      <c r="X98" s="31"/>
      <c r="Y98" s="31"/>
      <c r="Z98" s="31"/>
      <c r="AA98" s="31"/>
      <c r="AB98" s="31"/>
      <c r="AC98" s="31"/>
      <c r="AD98" s="31"/>
    </row>
    <row r="99" spans="1:30" ht="22.5" customHeight="1">
      <c r="A99" s="82"/>
      <c r="B99" s="53"/>
      <c r="C99" s="34"/>
      <c r="D99" s="13"/>
      <c r="E99" s="83"/>
      <c r="F99" s="13"/>
      <c r="G99" s="82"/>
      <c r="H99" s="82"/>
      <c r="I99" s="84"/>
      <c r="J99" s="85"/>
      <c r="K99" s="85"/>
      <c r="L99" s="85"/>
      <c r="M99" s="38"/>
      <c r="N99" s="38"/>
      <c r="O99" s="38"/>
      <c r="P99" s="38"/>
      <c r="Q99" s="31"/>
      <c r="R99" s="31"/>
      <c r="S99" s="31"/>
      <c r="T99" s="31"/>
      <c r="U99" s="31"/>
      <c r="V99" s="31"/>
      <c r="W99" s="31"/>
      <c r="X99" s="31"/>
      <c r="Y99" s="31"/>
      <c r="Z99" s="31"/>
      <c r="AA99" s="31"/>
      <c r="AB99" s="31"/>
      <c r="AC99" s="31"/>
      <c r="AD99" s="31"/>
    </row>
    <row r="100" spans="1:30" ht="22.5" customHeight="1">
      <c r="A100" s="82"/>
      <c r="B100" s="34"/>
      <c r="C100" s="34"/>
      <c r="D100" s="13"/>
      <c r="E100" s="83"/>
      <c r="F100" s="13"/>
      <c r="G100" s="82"/>
      <c r="H100" s="82"/>
      <c r="I100" s="84"/>
      <c r="J100" s="85"/>
      <c r="K100" s="85"/>
      <c r="L100" s="85"/>
      <c r="M100" s="38"/>
      <c r="N100" s="38"/>
      <c r="O100" s="38"/>
      <c r="P100" s="38"/>
      <c r="Q100" s="31"/>
      <c r="R100" s="31"/>
      <c r="S100" s="31"/>
      <c r="T100" s="31"/>
      <c r="U100" s="31"/>
      <c r="V100" s="31"/>
      <c r="W100" s="31"/>
      <c r="X100" s="31"/>
      <c r="Y100" s="31"/>
      <c r="Z100" s="31"/>
      <c r="AA100" s="31"/>
      <c r="AB100" s="31"/>
      <c r="AC100" s="31"/>
      <c r="AD100" s="31"/>
    </row>
    <row r="101" spans="1:30" ht="22.5" customHeight="1">
      <c r="A101" s="82"/>
      <c r="B101" s="65"/>
      <c r="C101" s="34"/>
      <c r="D101" s="13"/>
      <c r="E101" s="83"/>
      <c r="F101" s="13"/>
      <c r="G101" s="82"/>
      <c r="H101" s="82"/>
      <c r="I101" s="84"/>
      <c r="J101" s="85"/>
      <c r="K101" s="85"/>
      <c r="L101" s="85"/>
      <c r="M101" s="38"/>
      <c r="N101" s="38"/>
      <c r="O101" s="38"/>
      <c r="P101" s="38"/>
      <c r="Q101" s="31"/>
      <c r="R101" s="31"/>
      <c r="S101" s="31"/>
      <c r="T101" s="31"/>
      <c r="U101" s="31"/>
      <c r="V101" s="31"/>
      <c r="W101" s="31"/>
      <c r="X101" s="31"/>
      <c r="Y101" s="31"/>
      <c r="Z101" s="31"/>
      <c r="AA101" s="31"/>
      <c r="AB101" s="31"/>
      <c r="AC101" s="31"/>
      <c r="AD101" s="31"/>
    </row>
    <row r="102" spans="1:30" ht="22.5" customHeight="1">
      <c r="A102" s="82"/>
      <c r="B102" s="34"/>
      <c r="C102" s="34"/>
      <c r="D102" s="13"/>
      <c r="E102" s="83"/>
      <c r="F102" s="13"/>
      <c r="G102" s="82"/>
      <c r="H102" s="82"/>
      <c r="I102" s="84"/>
      <c r="J102" s="85"/>
      <c r="K102" s="85"/>
      <c r="L102" s="85"/>
      <c r="M102" s="38"/>
      <c r="N102" s="38"/>
      <c r="O102" s="38"/>
      <c r="P102" s="38"/>
      <c r="Q102" s="31"/>
      <c r="R102" s="31"/>
      <c r="S102" s="31"/>
      <c r="T102" s="31"/>
      <c r="U102" s="31"/>
      <c r="V102" s="31"/>
      <c r="W102" s="31"/>
      <c r="X102" s="31"/>
      <c r="Y102" s="31"/>
      <c r="Z102" s="31"/>
      <c r="AA102" s="31"/>
      <c r="AB102" s="31"/>
      <c r="AC102" s="31"/>
      <c r="AD102" s="31"/>
    </row>
    <row r="103" spans="1:30" ht="22.5" customHeight="1">
      <c r="A103" s="82"/>
      <c r="B103" s="53"/>
      <c r="C103" s="34"/>
      <c r="D103" s="13"/>
      <c r="E103" s="83"/>
      <c r="F103" s="13"/>
      <c r="G103" s="82"/>
      <c r="H103" s="82"/>
      <c r="I103" s="84"/>
      <c r="J103" s="85"/>
      <c r="K103" s="85"/>
      <c r="L103" s="85"/>
      <c r="M103" s="38"/>
      <c r="N103" s="38"/>
      <c r="O103" s="38"/>
      <c r="P103" s="38"/>
      <c r="Q103" s="31"/>
      <c r="R103" s="31"/>
      <c r="S103" s="31"/>
      <c r="T103" s="31"/>
      <c r="U103" s="31"/>
      <c r="V103" s="31"/>
      <c r="W103" s="31"/>
      <c r="X103" s="31"/>
      <c r="Y103" s="31"/>
      <c r="Z103" s="31"/>
      <c r="AA103" s="31"/>
      <c r="AB103" s="31"/>
      <c r="AC103" s="31"/>
      <c r="AD103" s="31"/>
    </row>
    <row r="104" spans="1:30" ht="22.5" customHeight="1">
      <c r="A104" s="82"/>
      <c r="B104" s="66"/>
      <c r="C104" s="34"/>
      <c r="D104" s="13"/>
      <c r="E104" s="83"/>
      <c r="F104" s="13"/>
      <c r="G104" s="82"/>
      <c r="H104" s="82"/>
      <c r="I104" s="84"/>
      <c r="J104" s="85"/>
      <c r="K104" s="85"/>
      <c r="L104" s="85"/>
      <c r="M104" s="38"/>
      <c r="N104" s="38"/>
      <c r="O104" s="38"/>
      <c r="P104" s="38"/>
      <c r="Q104" s="31"/>
      <c r="R104" s="31"/>
      <c r="S104" s="31"/>
      <c r="T104" s="31"/>
      <c r="U104" s="31"/>
      <c r="V104" s="31"/>
      <c r="W104" s="31"/>
      <c r="X104" s="31"/>
      <c r="Y104" s="31"/>
      <c r="Z104" s="31"/>
      <c r="AA104" s="31"/>
      <c r="AB104" s="31"/>
      <c r="AC104" s="31"/>
      <c r="AD104" s="31"/>
    </row>
    <row r="105" spans="1:30" ht="22.5" customHeight="1">
      <c r="A105" s="82"/>
      <c r="B105" s="53"/>
      <c r="C105" s="34"/>
      <c r="D105" s="13"/>
      <c r="E105" s="83"/>
      <c r="F105" s="13"/>
      <c r="G105" s="82"/>
      <c r="H105" s="82"/>
      <c r="I105" s="84"/>
      <c r="J105" s="85"/>
      <c r="K105" s="85"/>
      <c r="L105" s="85"/>
      <c r="M105" s="38"/>
      <c r="N105" s="38"/>
      <c r="O105" s="38"/>
      <c r="P105" s="38"/>
      <c r="Q105" s="31"/>
      <c r="R105" s="31"/>
      <c r="S105" s="31"/>
      <c r="T105" s="31"/>
      <c r="U105" s="31"/>
      <c r="V105" s="31"/>
      <c r="W105" s="31"/>
      <c r="X105" s="31"/>
      <c r="Y105" s="31"/>
      <c r="Z105" s="31"/>
      <c r="AA105" s="31"/>
      <c r="AB105" s="31"/>
      <c r="AC105" s="31"/>
      <c r="AD105" s="31"/>
    </row>
    <row r="106" spans="1:30" ht="22.5" customHeight="1">
      <c r="A106" s="82"/>
      <c r="B106" s="34"/>
      <c r="C106" s="34"/>
      <c r="D106" s="13"/>
      <c r="E106" s="83"/>
      <c r="F106" s="13"/>
      <c r="G106" s="82"/>
      <c r="H106" s="82"/>
      <c r="I106" s="84"/>
      <c r="J106" s="85"/>
      <c r="K106" s="85"/>
      <c r="L106" s="85"/>
      <c r="M106" s="38"/>
      <c r="N106" s="38"/>
      <c r="O106" s="38"/>
      <c r="P106" s="38"/>
      <c r="Q106" s="31"/>
      <c r="R106" s="31"/>
      <c r="S106" s="31"/>
      <c r="T106" s="31"/>
      <c r="U106" s="31"/>
      <c r="V106" s="31"/>
      <c r="W106" s="31"/>
      <c r="X106" s="31"/>
      <c r="Y106" s="31"/>
      <c r="Z106" s="31"/>
      <c r="AA106" s="31"/>
      <c r="AB106" s="31"/>
      <c r="AC106" s="31"/>
      <c r="AD106" s="31"/>
    </row>
    <row r="107" spans="1:30" ht="22.5" customHeight="1">
      <c r="A107" s="82"/>
      <c r="B107" s="53"/>
      <c r="C107" s="34"/>
      <c r="D107" s="13"/>
      <c r="E107" s="83"/>
      <c r="F107" s="13"/>
      <c r="G107" s="82"/>
      <c r="H107" s="82"/>
      <c r="I107" s="84"/>
      <c r="J107" s="85"/>
      <c r="K107" s="85"/>
      <c r="L107" s="85"/>
      <c r="M107" s="38"/>
      <c r="N107" s="38"/>
      <c r="O107" s="38"/>
      <c r="P107" s="38"/>
      <c r="Q107" s="31"/>
      <c r="R107" s="31"/>
      <c r="S107" s="31"/>
      <c r="T107" s="31"/>
      <c r="U107" s="31"/>
      <c r="V107" s="31"/>
      <c r="W107" s="31"/>
      <c r="X107" s="31"/>
      <c r="Y107" s="31"/>
      <c r="Z107" s="31"/>
      <c r="AA107" s="31"/>
      <c r="AB107" s="31"/>
      <c r="AC107" s="31"/>
      <c r="AD107" s="31"/>
    </row>
    <row r="108" spans="1:30" ht="22.5" customHeight="1">
      <c r="A108" s="82"/>
      <c r="B108" s="34"/>
      <c r="C108" s="34"/>
      <c r="D108" s="13"/>
      <c r="E108" s="83"/>
      <c r="F108" s="13"/>
      <c r="G108" s="82"/>
      <c r="H108" s="82"/>
      <c r="I108" s="84"/>
      <c r="J108" s="85"/>
      <c r="K108" s="85"/>
      <c r="L108" s="85"/>
      <c r="M108" s="38"/>
      <c r="N108" s="38"/>
      <c r="O108" s="38"/>
      <c r="P108" s="38"/>
      <c r="Q108" s="31"/>
      <c r="R108" s="31"/>
      <c r="S108" s="31"/>
      <c r="T108" s="31"/>
      <c r="U108" s="31"/>
      <c r="V108" s="31"/>
      <c r="W108" s="31"/>
      <c r="X108" s="31"/>
      <c r="Y108" s="31"/>
      <c r="Z108" s="31"/>
      <c r="AA108" s="31"/>
      <c r="AB108" s="31"/>
      <c r="AC108" s="31"/>
      <c r="AD108" s="31"/>
    </row>
    <row r="109" spans="1:30" ht="22.5" customHeight="1">
      <c r="A109" s="82"/>
      <c r="B109" s="53"/>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A00-000000000000}">
      <formula1>#REF!</formula1>
    </dataValidation>
    <dataValidation type="list" allowBlank="1" sqref="F2:F163" xr:uid="{00000000-0002-0000-0A00-000002000000}">
      <formula1>"Yellow,Red"</formula1>
    </dataValidation>
    <dataValidation type="custom" allowBlank="1" showDropDown="1" sqref="AC4:AD14 S4:T14 AC17:AD25 S17:T25 S30:T46 AC30:AD46 AC51:AD60 S51:T60 AC65:AD72 S65:T72 AC77:AD84 S77:T84 A2:A163 G2:L163" xr:uid="{00000000-0002-0000-0A00-000003000000}">
      <formula1>AND(ISNUMBER(A2),(NOT(OR(NOT(ISERROR(DATEVALUE(A2))), AND(ISNUMBER(A2), LEFT(CELL("format", A2))="D")))))</formula1>
    </dataValidation>
    <dataValidation allowBlank="1" showDropDown="1" sqref="E2:E163" xr:uid="{00000000-0002-0000-0A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10</v>
      </c>
      <c r="B2" s="33" t="str">
        <f>VLOOKUP(C2,Lists!I:J,2,FALSE)</f>
        <v>Ranged DPS</v>
      </c>
      <c r="C2" s="34" t="str">
        <f>VLOOKUP(E2&amp;D2,Lists!C:E,3,FALSE)</f>
        <v>Staff/Dagger</v>
      </c>
      <c r="D2" s="35" t="s">
        <v>34</v>
      </c>
      <c r="E2" s="36" t="s">
        <v>172</v>
      </c>
      <c r="F2" s="35" t="s">
        <v>476</v>
      </c>
      <c r="G2" s="32">
        <v>26</v>
      </c>
      <c r="H2" s="32">
        <v>72</v>
      </c>
      <c r="I2" s="84">
        <f t="shared" ref="I2:I97" si="0">SUM(G2:H2)</f>
        <v>98</v>
      </c>
      <c r="J2" s="37">
        <v>1780441</v>
      </c>
      <c r="K2" s="37">
        <v>389442</v>
      </c>
      <c r="L2" s="37">
        <v>21335</v>
      </c>
      <c r="M2" s="38">
        <f>I2/(HLOOKUP(F2,Team_Composition_23[[#All],[Yellow]:[Red]],10,FALSE)+HLOOKUP(F2,Team_Composition_23[[#All],[Yellow]:[Red]],11,FALSE))</f>
        <v>2.4493876530867282E-2</v>
      </c>
      <c r="N2" s="38">
        <f>J2/HLOOKUP(F2,Team_Composition_23[[#All],[Yellow]:[Red]],6,FALSE)</f>
        <v>4.0132932431010827E-2</v>
      </c>
      <c r="O2" s="38">
        <f>K2/HLOOKUP(F2,Team_Composition_23[[#All],[Yellow]:[Red]],8,FALSE)</f>
        <v>2.222999420678275E-2</v>
      </c>
      <c r="P2" s="38">
        <f>L2/HLOOKUP(F2,Team_Composition_23[[#All],[Yellow]:[Red]],7,FALSE)</f>
        <v>1.6481554641278402E-3</v>
      </c>
      <c r="Q2" s="31"/>
      <c r="R2" s="227" t="s">
        <v>477</v>
      </c>
      <c r="S2" s="228"/>
      <c r="T2" s="228"/>
      <c r="U2" s="31"/>
      <c r="V2" s="229" t="s">
        <v>478</v>
      </c>
      <c r="W2" s="228"/>
      <c r="X2" s="39"/>
      <c r="Y2" s="229" t="s">
        <v>479</v>
      </c>
      <c r="Z2" s="228"/>
      <c r="AA2" s="31"/>
      <c r="AB2" s="227" t="s">
        <v>480</v>
      </c>
      <c r="AC2" s="228"/>
      <c r="AD2" s="228"/>
    </row>
    <row r="3" spans="1:30" ht="22.5" customHeight="1">
      <c r="A3" s="32">
        <v>6</v>
      </c>
      <c r="B3" s="67" t="str">
        <f>VLOOKUP(C3,Lists!I:J,2,FALSE)</f>
        <v>Melee DPS</v>
      </c>
      <c r="C3" s="34" t="str">
        <f>VLOOKUP(E3&amp;D3,Lists!C:E,3,FALSE)</f>
        <v>Spear/Dagger</v>
      </c>
      <c r="D3" s="35" t="s">
        <v>34</v>
      </c>
      <c r="E3" s="36" t="s">
        <v>104</v>
      </c>
      <c r="F3" s="35" t="s">
        <v>476</v>
      </c>
      <c r="G3" s="32">
        <v>30</v>
      </c>
      <c r="H3" s="32">
        <v>60</v>
      </c>
      <c r="I3" s="84">
        <f t="shared" si="0"/>
        <v>90</v>
      </c>
      <c r="J3" s="37">
        <v>1938515</v>
      </c>
      <c r="K3" s="37">
        <v>650699</v>
      </c>
      <c r="L3" s="37">
        <v>62265</v>
      </c>
      <c r="M3" s="38">
        <f>I3/(HLOOKUP(F3,Team_Composition_23[[#All],[Yellow]:[Red]],10,FALSE)+HLOOKUP(F3,Team_Composition_23[[#All],[Yellow]:[Red]],11,FALSE))</f>
        <v>2.2494376405898527E-2</v>
      </c>
      <c r="N3" s="38">
        <f>J3/HLOOKUP(F3,Team_Composition_23[[#All],[Yellow]:[Red]],6,FALSE)</f>
        <v>4.3696079517097704E-2</v>
      </c>
      <c r="O3" s="38">
        <f>K3/HLOOKUP(F3,Team_Composition_23[[#All],[Yellow]:[Red]],8,FALSE)</f>
        <v>3.7142976361972592E-2</v>
      </c>
      <c r="P3" s="38">
        <f>L3/HLOOKUP(F3,Team_Composition_23[[#All],[Yellow]:[Red]],7,FALSE)</f>
        <v>4.8100492136826803E-3</v>
      </c>
      <c r="Q3" s="31"/>
      <c r="R3" s="41" t="s">
        <v>482</v>
      </c>
      <c r="S3" s="42" t="s">
        <v>476</v>
      </c>
      <c r="T3" s="42" t="s">
        <v>483</v>
      </c>
      <c r="U3" s="72" t="s">
        <v>515</v>
      </c>
      <c r="V3" s="43" t="s">
        <v>1</v>
      </c>
      <c r="W3" s="44" t="s">
        <v>467</v>
      </c>
      <c r="X3" s="31"/>
      <c r="Y3" s="43" t="s">
        <v>1</v>
      </c>
      <c r="Z3" s="44" t="s">
        <v>484</v>
      </c>
      <c r="AA3" s="31"/>
      <c r="AB3" s="41" t="s">
        <v>482</v>
      </c>
      <c r="AC3" s="42" t="s">
        <v>485</v>
      </c>
      <c r="AD3" s="42" t="s">
        <v>36</v>
      </c>
    </row>
    <row r="4" spans="1:30" ht="22.5" customHeight="1">
      <c r="A4" s="32">
        <v>5</v>
      </c>
      <c r="B4" s="62" t="str">
        <f>VLOOKUP(C4,Lists!I:J,2,FALSE)</f>
        <v>KS</v>
      </c>
      <c r="C4" s="34" t="str">
        <f>VLOOKUP(E4&amp;D4,Lists!C:E,3,FALSE)</f>
        <v>Greatsword/Dagger</v>
      </c>
      <c r="D4" s="35" t="s">
        <v>34</v>
      </c>
      <c r="E4" s="36" t="s">
        <v>98</v>
      </c>
      <c r="F4" s="35" t="s">
        <v>476</v>
      </c>
      <c r="G4" s="32">
        <v>32</v>
      </c>
      <c r="H4" s="32">
        <v>52</v>
      </c>
      <c r="I4" s="84">
        <f t="shared" si="0"/>
        <v>84</v>
      </c>
      <c r="J4" s="37">
        <v>1508811</v>
      </c>
      <c r="K4" s="37">
        <v>579831</v>
      </c>
      <c r="L4" s="37">
        <v>32130</v>
      </c>
      <c r="M4" s="38">
        <f>I4/(HLOOKUP(F4,Team_Composition_23[[#All],[Yellow]:[Red]],10,FALSE)+HLOOKUP(F4,Team_Composition_23[[#All],[Yellow]:[Red]],11,FALSE))</f>
        <v>2.0994751312171957E-2</v>
      </c>
      <c r="N4" s="38">
        <f>J4/HLOOKUP(F4,Team_Composition_23[[#All],[Yellow]:[Red]],6,FALSE)</f>
        <v>3.4010118793133766E-2</v>
      </c>
      <c r="O4" s="38">
        <f>K4/HLOOKUP(F4,Team_Composition_23[[#All],[Yellow]:[Red]],8,FALSE)</f>
        <v>3.3097713577151536E-2</v>
      </c>
      <c r="P4" s="38">
        <f>L4/HLOOKUP(F4,Team_Composition_23[[#All],[Yellow]:[Red]],7,FALSE)</f>
        <v>2.4820827308379427E-3</v>
      </c>
      <c r="Q4" s="31"/>
      <c r="R4" s="45" t="s">
        <v>25</v>
      </c>
      <c r="S4" s="46">
        <f>COUNTIFS(Scoreboard_34[Role],R4,Scoreboard_34[Team],"Yellow")</f>
        <v>5</v>
      </c>
      <c r="T4" s="47">
        <f>COUNTIFS(Scoreboard_34[Role],R4,Scoreboard_34[Team],"Red")</f>
        <v>8</v>
      </c>
      <c r="U4" s="170"/>
      <c r="V4" s="48" t="str">
        <f ca="1">IFERROR(__xludf.DUMMYFUNCTION("query(A1:P238, ""Select E,I where B!='Healer' Order by I Desc Limit 10"", 0)"),"ELCHAMO")</f>
        <v>ELCHAMO</v>
      </c>
      <c r="W4" s="49">
        <f ca="1">IFERROR(__xludf.DUMMYFUNCTION("""COMPUTED_VALUE"""),98)</f>
        <v>98</v>
      </c>
      <c r="X4" s="31"/>
      <c r="Y4" s="48" t="str">
        <f ca="1">IFERROR(__xludf.DUMMYFUNCTION("query(A1:P238, ""Select E,J Order by J Desc Limit 10"", 0)"),"Ryujin")</f>
        <v>Ryujin</v>
      </c>
      <c r="Z4" s="49">
        <f ca="1">IFERROR(__xludf.DUMMYFUNCTION("""COMPUTED_VALUE"""),1959505)</f>
        <v>1959505</v>
      </c>
      <c r="AA4" s="31"/>
      <c r="AB4" s="45" t="s">
        <v>25</v>
      </c>
      <c r="AC4" s="50">
        <f>COUNTIFS(Scoreboard_34[Role],AB4,Scoreboard_34[Guild],"Best Regards")</f>
        <v>5</v>
      </c>
      <c r="AD4" s="51">
        <f>COUNTIFS(Scoreboard_34[Role],AB4,Scoreboard_34[Guild],"Unhinged肉")</f>
        <v>0</v>
      </c>
    </row>
    <row r="5" spans="1:30" ht="22.5" customHeight="1">
      <c r="A5" s="32">
        <v>3</v>
      </c>
      <c r="B5" s="52" t="str">
        <f>VLOOKUP(C5,Lists!I:J,2,FALSE)</f>
        <v>Ranged DPS</v>
      </c>
      <c r="C5" s="34" t="str">
        <f>VLOOKUP(E5&amp;D5,Lists!C:E,3,FALSE)</f>
        <v>Staff/Orb</v>
      </c>
      <c r="D5" s="35" t="s">
        <v>34</v>
      </c>
      <c r="E5" s="36" t="s">
        <v>156</v>
      </c>
      <c r="F5" s="35" t="s">
        <v>476</v>
      </c>
      <c r="G5" s="32">
        <v>34</v>
      </c>
      <c r="H5" s="32">
        <v>44</v>
      </c>
      <c r="I5" s="84">
        <f t="shared" si="0"/>
        <v>78</v>
      </c>
      <c r="J5" s="37">
        <v>1959505</v>
      </c>
      <c r="K5" s="37">
        <v>649534</v>
      </c>
      <c r="L5" s="37">
        <v>34599</v>
      </c>
      <c r="M5" s="38">
        <f>I5/(HLOOKUP(F5,Team_Composition_23[[#All],[Yellow]:[Red]],10,FALSE)+HLOOKUP(F5,Team_Composition_23[[#All],[Yellow]:[Red]],11,FALSE))</f>
        <v>1.9495126218445388E-2</v>
      </c>
      <c r="N5" s="38">
        <f>J5/HLOOKUP(F5,Team_Composition_23[[#All],[Yellow]:[Red]],6,FALSE)</f>
        <v>4.4169215246800016E-2</v>
      </c>
      <c r="O5" s="38">
        <f>K5/HLOOKUP(F5,Team_Composition_23[[#All],[Yellow]:[Red]],8,FALSE)</f>
        <v>3.7076476232939505E-2</v>
      </c>
      <c r="P5" s="38">
        <f>L5/HLOOKUP(F5,Team_Composition_23[[#All],[Yellow]:[Red]],7,FALSE)</f>
        <v>2.6728160723393083E-3</v>
      </c>
      <c r="Q5" s="31"/>
      <c r="R5" s="45" t="s">
        <v>39</v>
      </c>
      <c r="S5" s="46">
        <f>COUNTIFS(Scoreboard_34[Role],R5,Scoreboard_34[Team],"Yellow")</f>
        <v>7</v>
      </c>
      <c r="T5" s="47">
        <f>COUNTIFS(Scoreboard_34[Role],R5,Scoreboard_34[Team],"Red")</f>
        <v>7</v>
      </c>
      <c r="U5" s="170"/>
      <c r="V5" s="48" t="str">
        <f ca="1">IFERROR(__xludf.DUMMYFUNCTION("""COMPUTED_VALUE"""),"Superluigi")</f>
        <v>Superluigi</v>
      </c>
      <c r="W5" s="49">
        <f ca="1">IFERROR(__xludf.DUMMYFUNCTION("""COMPUTED_VALUE"""),90)</f>
        <v>90</v>
      </c>
      <c r="X5" s="31"/>
      <c r="Y5" s="48" t="str">
        <f ca="1">IFERROR(__xludf.DUMMYFUNCTION("""COMPUTED_VALUE"""),"Superluigi")</f>
        <v>Superluigi</v>
      </c>
      <c r="Z5" s="49">
        <f ca="1">IFERROR(__xludf.DUMMYFUNCTION("""COMPUTED_VALUE"""),1938515)</f>
        <v>1938515</v>
      </c>
      <c r="AA5" s="31"/>
      <c r="AB5" s="45" t="s">
        <v>39</v>
      </c>
      <c r="AC5" s="50">
        <f>COUNTIFS(Scoreboard_34[Role],AB5,Scoreboard_34[Guild],"Best Regards")</f>
        <v>7</v>
      </c>
      <c r="AD5" s="51">
        <f>COUNTIFS(Scoreboard_34[Role],AB5,Scoreboard_34[Guild],"Unhinged肉")</f>
        <v>0</v>
      </c>
    </row>
    <row r="6" spans="1:30" ht="22.5" customHeight="1">
      <c r="A6" s="32">
        <v>1</v>
      </c>
      <c r="B6" s="68" t="str">
        <f>VLOOKUP(C6,Lists!I:J,2,FALSE)</f>
        <v>KS</v>
      </c>
      <c r="C6" s="34" t="str">
        <f>VLOOKUP(E6&amp;D6,Lists!C:E,3,FALSE)</f>
        <v>Crossbow/Dagger</v>
      </c>
      <c r="D6" s="35" t="s">
        <v>34</v>
      </c>
      <c r="E6" s="36" t="s">
        <v>504</v>
      </c>
      <c r="F6" s="35" t="s">
        <v>476</v>
      </c>
      <c r="G6" s="32">
        <v>39</v>
      </c>
      <c r="H6" s="32">
        <v>37</v>
      </c>
      <c r="I6" s="84">
        <f t="shared" si="0"/>
        <v>76</v>
      </c>
      <c r="J6" s="37">
        <v>1535893</v>
      </c>
      <c r="K6" s="37">
        <v>332758</v>
      </c>
      <c r="L6" s="37">
        <v>4187</v>
      </c>
      <c r="M6" s="38">
        <f>I6/(HLOOKUP(F6,Team_Composition_23[[#All],[Yellow]:[Red]],10,FALSE)+HLOOKUP(F6,Team_Composition_23[[#All],[Yellow]:[Red]],11,FALSE))</f>
        <v>1.8995251187203199E-2</v>
      </c>
      <c r="N6" s="38">
        <f>J6/HLOOKUP(F6,Team_Composition_23[[#All],[Yellow]:[Red]],6,FALSE)</f>
        <v>3.4620574335382362E-2</v>
      </c>
      <c r="O6" s="38">
        <f>K6/HLOOKUP(F6,Team_Composition_23[[#All],[Yellow]:[Red]],8,FALSE)</f>
        <v>1.8994377628146462E-2</v>
      </c>
      <c r="P6" s="38">
        <f>L6/HLOOKUP(F6,Team_Composition_23[[#All],[Yellow]:[Red]],7,FALSE)</f>
        <v>3.2345099265541444E-4</v>
      </c>
      <c r="Q6" s="31"/>
      <c r="R6" s="45" t="s">
        <v>67</v>
      </c>
      <c r="S6" s="46">
        <f>COUNTIFS(Scoreboard_34[Role],R6,Scoreboard_34[Team],"Yellow")</f>
        <v>15</v>
      </c>
      <c r="T6" s="47">
        <f>COUNTIFS(Scoreboard_34[Role],R6,Scoreboard_34[Team],"Red")</f>
        <v>11</v>
      </c>
      <c r="U6" s="170"/>
      <c r="V6" s="48" t="str">
        <f ca="1">IFERROR(__xludf.DUMMYFUNCTION("""COMPUTED_VALUE"""),"ShawarmaShuffle")</f>
        <v>ShawarmaShuffle</v>
      </c>
      <c r="W6" s="49">
        <f ca="1">IFERROR(__xludf.DUMMYFUNCTION("""COMPUTED_VALUE"""),84)</f>
        <v>84</v>
      </c>
      <c r="X6" s="31"/>
      <c r="Y6" s="48" t="str">
        <f ca="1">IFERROR(__xludf.DUMMYFUNCTION("""COMPUTED_VALUE"""),"ELCHAMO")</f>
        <v>ELCHAMO</v>
      </c>
      <c r="Z6" s="49">
        <f ca="1">IFERROR(__xludf.DUMMYFUNCTION("""COMPUTED_VALUE"""),1780441)</f>
        <v>1780441</v>
      </c>
      <c r="AA6" s="31"/>
      <c r="AB6" s="45" t="s">
        <v>67</v>
      </c>
      <c r="AC6" s="50">
        <f>COUNTIFS(Scoreboard_34[Role],AB6,Scoreboard_34[Guild],"Best Regards")</f>
        <v>14</v>
      </c>
      <c r="AD6" s="51">
        <f>COUNTIFS(Scoreboard_34[Role],AB6,Scoreboard_34[Guild],"Unhinged肉")</f>
        <v>0</v>
      </c>
    </row>
    <row r="7" spans="1:30" ht="22.5" customHeight="1">
      <c r="A7" s="32">
        <v>11</v>
      </c>
      <c r="B7" s="73" t="str">
        <f>VLOOKUP(C7,Lists!I:J,2,FALSE)</f>
        <v>Melee DPS</v>
      </c>
      <c r="C7" s="34" t="str">
        <f>VLOOKUP(E7&amp;D7,Lists!C:E,3,FALSE)</f>
        <v>Greatsword/Spear</v>
      </c>
      <c r="D7" s="35" t="s">
        <v>34</v>
      </c>
      <c r="E7" s="36" t="s">
        <v>147</v>
      </c>
      <c r="F7" s="35" t="s">
        <v>476</v>
      </c>
      <c r="G7" s="32">
        <v>24</v>
      </c>
      <c r="H7" s="32">
        <v>51</v>
      </c>
      <c r="I7" s="84">
        <f t="shared" si="0"/>
        <v>75</v>
      </c>
      <c r="J7" s="37">
        <v>1333582</v>
      </c>
      <c r="K7" s="37">
        <v>1005665</v>
      </c>
      <c r="L7" s="37">
        <v>31162</v>
      </c>
      <c r="M7" s="38">
        <f>I7/(HLOOKUP(F7,Team_Composition_23[[#All],[Yellow]:[Red]],10,FALSE)+HLOOKUP(F7,Team_Composition_23[[#All],[Yellow]:[Red]],11,FALSE))</f>
        <v>1.8745313671582105E-2</v>
      </c>
      <c r="N7" s="38">
        <f>J7/HLOOKUP(F7,Team_Composition_23[[#All],[Yellow]:[Red]],6,FALSE)</f>
        <v>3.0060280737869031E-2</v>
      </c>
      <c r="O7" s="38">
        <f>K7/HLOOKUP(F7,Team_Composition_23[[#All],[Yellow]:[Red]],8,FALSE)</f>
        <v>5.7405023402622664E-2</v>
      </c>
      <c r="P7" s="38">
        <f>L7/HLOOKUP(F7,Team_Composition_23[[#All],[Yellow]:[Red]],7,FALSE)</f>
        <v>2.4073035187790843E-3</v>
      </c>
      <c r="Q7" s="31"/>
      <c r="R7" s="45" t="s">
        <v>11</v>
      </c>
      <c r="S7" s="46">
        <f>COUNTIFS(Scoreboard_34[Role],R7,Scoreboard_34[Team],"Yellow")</f>
        <v>16</v>
      </c>
      <c r="T7" s="47">
        <f>COUNTIFS(Scoreboard_34[Role],R7,Scoreboard_34[Team],"Red")</f>
        <v>16</v>
      </c>
      <c r="U7" s="170"/>
      <c r="V7" s="48" t="str">
        <f ca="1">IFERROR(__xludf.DUMMYFUNCTION("""COMPUTED_VALUE"""),"Ryujin")</f>
        <v>Ryujin</v>
      </c>
      <c r="W7" s="49">
        <f ca="1">IFERROR(__xludf.DUMMYFUNCTION("""COMPUTED_VALUE"""),78)</f>
        <v>78</v>
      </c>
      <c r="X7" s="31"/>
      <c r="Y7" s="48" t="str">
        <f ca="1">IFERROR(__xludf.DUMMYFUNCTION("""COMPUTED_VALUE"""),"Nyvri")</f>
        <v>Nyvri</v>
      </c>
      <c r="Z7" s="49">
        <f ca="1">IFERROR(__xludf.DUMMYFUNCTION("""COMPUTED_VALUE"""),1720882)</f>
        <v>1720882</v>
      </c>
      <c r="AA7" s="31"/>
      <c r="AB7" s="45" t="s">
        <v>11</v>
      </c>
      <c r="AC7" s="50">
        <f>COUNTIFS(Scoreboard_34[Role],AB7,Scoreboard_34[Guild],"Best Regards")</f>
        <v>16</v>
      </c>
      <c r="AD7" s="51">
        <f>COUNTIFS(Scoreboard_34[Role],AB7,Scoreboard_34[Guild],"Unhinged肉")</f>
        <v>0</v>
      </c>
    </row>
    <row r="8" spans="1:30" ht="22.5" customHeight="1">
      <c r="A8" s="32">
        <v>44</v>
      </c>
      <c r="B8" s="62" t="str">
        <f>VLOOKUP(C8,Lists!I:J,2,FALSE)</f>
        <v>Healer</v>
      </c>
      <c r="C8" s="34" t="str">
        <f>VLOOKUP(E8&amp;D8,Lists!C:E,3,FALSE)</f>
        <v>Wand/Orb</v>
      </c>
      <c r="D8" s="35" t="s">
        <v>34</v>
      </c>
      <c r="E8" s="36" t="s">
        <v>139</v>
      </c>
      <c r="F8" s="35" t="s">
        <v>476</v>
      </c>
      <c r="G8" s="32">
        <v>0</v>
      </c>
      <c r="H8" s="32">
        <v>71</v>
      </c>
      <c r="I8" s="84">
        <f t="shared" si="0"/>
        <v>71</v>
      </c>
      <c r="J8" s="37">
        <v>5391</v>
      </c>
      <c r="K8" s="37">
        <v>140398</v>
      </c>
      <c r="L8" s="37">
        <v>415422</v>
      </c>
      <c r="M8" s="38">
        <f>I8/(HLOOKUP(F8,Team_Composition_23[[#All],[Yellow]:[Red]],10,FALSE)+HLOOKUP(F8,Team_Composition_23[[#All],[Yellow]:[Red]],11,FALSE))</f>
        <v>1.7745563609097726E-2</v>
      </c>
      <c r="N8" s="38">
        <f>J8/HLOOKUP(F8,Team_Composition_23[[#All],[Yellow]:[Red]],6,FALSE)</f>
        <v>1.2151856688066572E-4</v>
      </c>
      <c r="O8" s="38">
        <f>K8/HLOOKUP(F8,Team_Composition_23[[#All],[Yellow]:[Red]],8,FALSE)</f>
        <v>8.0141503141517474E-3</v>
      </c>
      <c r="P8" s="38">
        <f>L8/HLOOKUP(F8,Team_Composition_23[[#All],[Yellow]:[Red]],7,FALSE)</f>
        <v>3.2091869661069403E-2</v>
      </c>
      <c r="Q8" s="31"/>
      <c r="R8" s="45" t="s">
        <v>468</v>
      </c>
      <c r="S8" s="46">
        <f>SUMIFS(Scoreboard_34[Damage Dealt],Scoreboard_34[Team],"Yellow")</f>
        <v>21490853</v>
      </c>
      <c r="T8" s="47">
        <f>SUMIFS(Scoreboard_34[Damage Dealt],Scoreboard_34[Team],"Red")</f>
        <v>18437574</v>
      </c>
      <c r="U8" s="170"/>
      <c r="V8" s="48" t="str">
        <f ca="1">IFERROR(__xludf.DUMMYFUNCTION("""COMPUTED_VALUE"""),"Raitou")</f>
        <v>Raitou</v>
      </c>
      <c r="W8" s="49">
        <f ca="1">IFERROR(__xludf.DUMMYFUNCTION("""COMPUTED_VALUE"""),76)</f>
        <v>76</v>
      </c>
      <c r="X8" s="31"/>
      <c r="Y8" s="48" t="str">
        <f ca="1">IFERROR(__xludf.DUMMYFUNCTION("""COMPUTED_VALUE"""),"Raitou")</f>
        <v>Raitou</v>
      </c>
      <c r="Z8" s="49">
        <f ca="1">IFERROR(__xludf.DUMMYFUNCTION("""COMPUTED_VALUE"""),1535893)</f>
        <v>1535893</v>
      </c>
      <c r="AA8" s="31"/>
      <c r="AB8" s="45" t="s">
        <v>468</v>
      </c>
      <c r="AC8" s="50">
        <f>SUMIFS(Scoreboard_34[Damage Dealt],Scoreboard_34[Guild],"Best Regards")</f>
        <v>21462322</v>
      </c>
      <c r="AD8" s="51">
        <f>SUMIFS(Scoreboard_34[Damage Dealt],Scoreboard_34[Guild],"Unhinged肉")</f>
        <v>0</v>
      </c>
    </row>
    <row r="9" spans="1:30" ht="22.5" customHeight="1">
      <c r="A9" s="32">
        <v>41</v>
      </c>
      <c r="B9" s="65" t="str">
        <f>VLOOKUP(C9,Lists!I:J,2,FALSE)</f>
        <v>Healer</v>
      </c>
      <c r="C9" s="34" t="str">
        <f>VLOOKUP(E9&amp;D9,Lists!C:E,3,FALSE)</f>
        <v>Wand/Orb</v>
      </c>
      <c r="D9" s="35" t="s">
        <v>34</v>
      </c>
      <c r="E9" s="36" t="s">
        <v>121</v>
      </c>
      <c r="F9" s="35" t="s">
        <v>476</v>
      </c>
      <c r="G9" s="32">
        <v>1</v>
      </c>
      <c r="H9" s="32">
        <v>68</v>
      </c>
      <c r="I9" s="84">
        <f t="shared" si="0"/>
        <v>69</v>
      </c>
      <c r="J9" s="37">
        <v>8653</v>
      </c>
      <c r="K9" s="37">
        <v>385606</v>
      </c>
      <c r="L9" s="37">
        <v>833759</v>
      </c>
      <c r="M9" s="38">
        <f>I9/(HLOOKUP(F9,Team_Composition_23[[#All],[Yellow]:[Red]],10,FALSE)+HLOOKUP(F9,Team_Composition_23[[#All],[Yellow]:[Red]],11,FALSE))</f>
        <v>1.7245688577855536E-2</v>
      </c>
      <c r="N9" s="38">
        <f>J9/HLOOKUP(F9,Team_Composition_23[[#All],[Yellow]:[Red]],6,FALSE)</f>
        <v>1.9504733059143027E-4</v>
      </c>
      <c r="O9" s="38">
        <f>K9/HLOOKUP(F9,Team_Composition_23[[#All],[Yellow]:[Red]],8,FALSE)</f>
        <v>2.2011028975048069E-2</v>
      </c>
      <c r="P9" s="38">
        <f>L9/HLOOKUP(F9,Team_Composition_23[[#All],[Yellow]:[Red]],7,FALSE)</f>
        <v>6.4408926722088769E-2</v>
      </c>
      <c r="Q9" s="31"/>
      <c r="R9" s="45" t="s">
        <v>470</v>
      </c>
      <c r="S9" s="46">
        <f>SUMIFS(Scoreboard_34[Amount Healed],Scoreboard_34[Team],"Yellow")</f>
        <v>11990840</v>
      </c>
      <c r="T9" s="47">
        <f>SUMIFS(Scoreboard_34[Amount Healed],Scoreboard_34[Team],"Red")</f>
        <v>11778911</v>
      </c>
      <c r="U9" s="170"/>
      <c r="V9" s="48" t="str">
        <f ca="1">IFERROR(__xludf.DUMMYFUNCTION("""COMPUTED_VALUE"""),"K")</f>
        <v>K</v>
      </c>
      <c r="W9" s="49">
        <f ca="1">IFERROR(__xludf.DUMMYFUNCTION("""COMPUTED_VALUE"""),75)</f>
        <v>75</v>
      </c>
      <c r="X9" s="31"/>
      <c r="Y9" s="48" t="str">
        <f ca="1">IFERROR(__xludf.DUMMYFUNCTION("""COMPUTED_VALUE"""),"ShawarmaShuffle")</f>
        <v>ShawarmaShuffle</v>
      </c>
      <c r="Z9" s="49">
        <f ca="1">IFERROR(__xludf.DUMMYFUNCTION("""COMPUTED_VALUE"""),1508811)</f>
        <v>1508811</v>
      </c>
      <c r="AA9" s="31"/>
      <c r="AB9" s="45" t="s">
        <v>470</v>
      </c>
      <c r="AC9" s="50">
        <f>SUMIFS(Scoreboard_34[Amount Healed],Scoreboard_34[Guild],"Best Regards")</f>
        <v>11950283</v>
      </c>
      <c r="AD9" s="51">
        <f>SUMIFS(Scoreboard_34[Amount Healed],Scoreboard_34[Guild],"Unhinged肉")</f>
        <v>0</v>
      </c>
    </row>
    <row r="10" spans="1:30" ht="22.5" customHeight="1">
      <c r="A10" s="32">
        <v>4</v>
      </c>
      <c r="B10" s="60" t="str">
        <f>VLOOKUP(C10,Lists!I:J,2,FALSE)</f>
        <v>KS</v>
      </c>
      <c r="C10" s="34" t="str">
        <f>VLOOKUP(E10&amp;D10,Lists!C:E,3,FALSE)</f>
        <v>Longbow/Dagger</v>
      </c>
      <c r="D10" s="35" t="s">
        <v>34</v>
      </c>
      <c r="E10" s="36" t="s">
        <v>51</v>
      </c>
      <c r="F10" s="35" t="s">
        <v>476</v>
      </c>
      <c r="G10" s="32">
        <v>33</v>
      </c>
      <c r="H10" s="32">
        <v>35</v>
      </c>
      <c r="I10" s="84">
        <f t="shared" si="0"/>
        <v>68</v>
      </c>
      <c r="J10" s="37">
        <v>1173872</v>
      </c>
      <c r="K10" s="37">
        <v>255352</v>
      </c>
      <c r="L10" s="37">
        <v>4695</v>
      </c>
      <c r="M10" s="38">
        <f>I10/(HLOOKUP(F10,Team_Composition_23[[#All],[Yellow]:[Red]],10,FALSE)+HLOOKUP(F10,Team_Composition_23[[#All],[Yellow]:[Red]],11,FALSE))</f>
        <v>1.699575106223444E-2</v>
      </c>
      <c r="N10" s="38">
        <f>J10/HLOOKUP(F10,Team_Composition_23[[#All],[Yellow]:[Red]],6,FALSE)</f>
        <v>2.6460256564893495E-2</v>
      </c>
      <c r="O10" s="38">
        <f>K10/HLOOKUP(F10,Team_Composition_23[[#All],[Yellow]:[Red]],8,FALSE)</f>
        <v>1.4575914977558632E-2</v>
      </c>
      <c r="P10" s="38">
        <f>L10/HLOOKUP(F10,Team_Composition_23[[#All],[Yellow]:[Red]],7,FALSE)</f>
        <v>3.6269462873588984E-4</v>
      </c>
      <c r="Q10" s="31"/>
      <c r="R10" s="45" t="s">
        <v>469</v>
      </c>
      <c r="S10" s="46">
        <f>SUMIFS(Scoreboard_34[Damage Taken],Scoreboard_34[Team],"Yellow")</f>
        <v>18086177</v>
      </c>
      <c r="T10" s="47">
        <f>SUMIFS(Scoreboard_34[Damage Taken],Scoreboard_34[Team],"Red")</f>
        <v>21636022</v>
      </c>
      <c r="U10" s="170"/>
      <c r="V10" s="48" t="str">
        <f ca="1">IFERROR(__xludf.DUMMYFUNCTION("""COMPUTED_VALUE"""),"Fuji")</f>
        <v>Fuji</v>
      </c>
      <c r="W10" s="49">
        <f ca="1">IFERROR(__xludf.DUMMYFUNCTION("""COMPUTED_VALUE"""),68)</f>
        <v>68</v>
      </c>
      <c r="X10" s="31"/>
      <c r="Y10" s="48" t="str">
        <f ca="1">IFERROR(__xludf.DUMMYFUNCTION("""COMPUTED_VALUE"""),"SuperSaiyanAndy")</f>
        <v>SuperSaiyanAndy</v>
      </c>
      <c r="Z10" s="49">
        <f ca="1">IFERROR(__xludf.DUMMYFUNCTION("""COMPUTED_VALUE"""),1419195)</f>
        <v>1419195</v>
      </c>
      <c r="AA10" s="31"/>
      <c r="AB10" s="45" t="s">
        <v>469</v>
      </c>
      <c r="AC10" s="50">
        <f>SUMIFS(Scoreboard_34[Damage Taken],Scoreboard_34[Guild],"Best Regards")</f>
        <v>17760021</v>
      </c>
      <c r="AD10" s="51">
        <f>SUMIFS(Scoreboard_34[Damage Taken],Scoreboard_34[Guild],"Unhinged肉")</f>
        <v>0</v>
      </c>
    </row>
    <row r="11" spans="1:30" ht="22.5" customHeight="1">
      <c r="A11" s="32">
        <v>8</v>
      </c>
      <c r="B11" s="52" t="str">
        <f>VLOOKUP(C11,Lists!I:J,2,FALSE)</f>
        <v>KS</v>
      </c>
      <c r="C11" s="34" t="str">
        <f>VLOOKUP(E11&amp;D11,Lists!C:E,3,FALSE)</f>
        <v>Crossbow/Dagger</v>
      </c>
      <c r="D11" s="35" t="s">
        <v>34</v>
      </c>
      <c r="E11" s="36" t="s">
        <v>152</v>
      </c>
      <c r="F11" s="35" t="s">
        <v>476</v>
      </c>
      <c r="G11" s="32">
        <v>27</v>
      </c>
      <c r="H11" s="32">
        <v>40</v>
      </c>
      <c r="I11" s="84">
        <f t="shared" si="0"/>
        <v>67</v>
      </c>
      <c r="J11" s="37">
        <v>1147419</v>
      </c>
      <c r="K11" s="37">
        <v>464748</v>
      </c>
      <c r="L11" s="171">
        <v>0</v>
      </c>
      <c r="M11" s="38">
        <f>I11/(HLOOKUP(F11,Team_Composition_23[[#All],[Yellow]:[Red]],10,FALSE)+HLOOKUP(F11,Team_Composition_23[[#All],[Yellow]:[Red]],11,FALSE))</f>
        <v>1.6745813546613347E-2</v>
      </c>
      <c r="N11" s="38">
        <f>J11/HLOOKUP(F11,Team_Composition_23[[#All],[Yellow]:[Red]],6,FALSE)</f>
        <v>2.5863979315831308E-2</v>
      </c>
      <c r="O11" s="38">
        <f>K11/HLOOKUP(F11,Team_Composition_23[[#All],[Yellow]:[Red]],8,FALSE)</f>
        <v>2.6528585380143563E-2</v>
      </c>
      <c r="P11" s="38">
        <f>L11/HLOOKUP(F11,Team_Composition_23[[#All],[Yellow]:[Red]],7,FALSE)</f>
        <v>0</v>
      </c>
      <c r="Q11" s="31"/>
      <c r="R11" s="45" t="s">
        <v>495</v>
      </c>
      <c r="S11" s="46">
        <f ca="1">IFERROR(DIVIDE(SUMIFS(Scoreboard_34[Amount Healed],Scoreboard_34[Team],"Yellow"), SUMIFS(Scoreboard_34[Damage Taken],Scoreboard_34[Team],"Yellow"))*(100),0)</f>
        <v>0</v>
      </c>
      <c r="T11" s="47">
        <f ca="1">IFERROR(DIVIDE(SUMIFS(Scoreboard_34[Amount Healed],Scoreboard_34[Team],"Red"), SUMIFS(Scoreboard_34[Damage Taken],Scoreboard_34[Team],"Red"))*(100),0)</f>
        <v>0</v>
      </c>
      <c r="U11" s="170"/>
      <c r="V11" s="48" t="str">
        <f ca="1">IFERROR(__xludf.DUMMYFUNCTION("""COMPUTED_VALUE"""),"eepy")</f>
        <v>eepy</v>
      </c>
      <c r="W11" s="49">
        <f ca="1">IFERROR(__xludf.DUMMYFUNCTION("""COMPUTED_VALUE"""),67)</f>
        <v>67</v>
      </c>
      <c r="X11" s="31"/>
      <c r="Y11" s="48" t="str">
        <f ca="1">IFERROR(__xludf.DUMMYFUNCTION("""COMPUTED_VALUE"""),"GUNWALLET")</f>
        <v>GUNWALLET</v>
      </c>
      <c r="Z11" s="49">
        <f ca="1">IFERROR(__xludf.DUMMYFUNCTION("""COMPUTED_VALUE"""),1374263)</f>
        <v>1374263</v>
      </c>
      <c r="AA11" s="31"/>
      <c r="AB11" s="45" t="s">
        <v>495</v>
      </c>
      <c r="AC11" s="50">
        <f ca="1">IFERROR(DIVIDE(SUMIFS(Scoreboard_34[Amount Healed],Scoreboard_34[Guild],"Best Regards"), SUMIFS(Scoreboard_34[Damage Taken],Scoreboard_34[Guild],"Best Regards"))*(100),0)</f>
        <v>0</v>
      </c>
      <c r="AD11" s="51">
        <f ca="1">IFERROR(DIVIDE(SUMIFS(Scoreboard_34[Amount Healed],Scoreboard_34[Guild],"Unhinged肉"), SUMIFS(Scoreboard_34[Damage Taken],Scoreboard_34[Guild],"Unhinged肉"))*(100),0)</f>
        <v>0</v>
      </c>
    </row>
    <row r="12" spans="1:30" ht="22.5" customHeight="1">
      <c r="A12" s="32">
        <v>45</v>
      </c>
      <c r="B12" s="66" t="str">
        <f>VLOOKUP(C12,Lists!I:J,2,FALSE)</f>
        <v>Healer</v>
      </c>
      <c r="C12" s="34" t="str">
        <f>VLOOKUP(E12&amp;D12,Lists!C:E,3,FALSE)</f>
        <v>Wand/Orb</v>
      </c>
      <c r="D12" s="35" t="s">
        <v>34</v>
      </c>
      <c r="E12" s="36" t="s">
        <v>151</v>
      </c>
      <c r="F12" s="35" t="s">
        <v>476</v>
      </c>
      <c r="G12" s="32">
        <v>0</v>
      </c>
      <c r="H12" s="32">
        <v>65</v>
      </c>
      <c r="I12" s="84">
        <f t="shared" si="0"/>
        <v>65</v>
      </c>
      <c r="J12" s="37">
        <v>4973</v>
      </c>
      <c r="K12" s="37">
        <v>155119</v>
      </c>
      <c r="L12" s="37">
        <v>438386</v>
      </c>
      <c r="M12" s="38">
        <f>I12/(HLOOKUP(F12,Team_Composition_23[[#All],[Yellow]:[Red]],10,FALSE)+HLOOKUP(F12,Team_Composition_23[[#All],[Yellow]:[Red]],11,FALSE))</f>
        <v>1.6245938515371157E-2</v>
      </c>
      <c r="N12" s="38">
        <f>J12/HLOOKUP(F12,Team_Composition_23[[#All],[Yellow]:[Red]],6,FALSE)</f>
        <v>1.1209642609859963E-4</v>
      </c>
      <c r="O12" s="38">
        <f>K12/HLOOKUP(F12,Team_Composition_23[[#All],[Yellow]:[Red]],8,FALSE)</f>
        <v>8.8544493695131322E-3</v>
      </c>
      <c r="P12" s="38">
        <f>L12/HLOOKUP(F12,Team_Composition_23[[#All],[Yellow]:[Red]],7,FALSE)</f>
        <v>3.3865867414911995E-2</v>
      </c>
      <c r="Q12" s="31"/>
      <c r="R12" s="45" t="s">
        <v>465</v>
      </c>
      <c r="S12" s="46">
        <f>SUMIFS(Scoreboard_34[Kills],Scoreboard_34[Team],"Yellow")</f>
        <v>398</v>
      </c>
      <c r="T12" s="47">
        <f>SUMIFS(Scoreboard_34[Kills],Scoreboard_34[Team],"Red")</f>
        <v>273</v>
      </c>
      <c r="U12" s="170"/>
      <c r="V12" s="48" t="str">
        <f ca="1">IFERROR(__xludf.DUMMYFUNCTION("""COMPUTED_VALUE"""),"xxouxx")</f>
        <v>xxouxx</v>
      </c>
      <c r="W12" s="49">
        <f ca="1">IFERROR(__xludf.DUMMYFUNCTION("""COMPUTED_VALUE"""),61)</f>
        <v>61</v>
      </c>
      <c r="X12" s="31"/>
      <c r="Y12" s="48" t="str">
        <f ca="1">IFERROR(__xludf.DUMMYFUNCTION("""COMPUTED_VALUE"""),"HEALERTANKDPS")</f>
        <v>HEALERTANKDPS</v>
      </c>
      <c r="Z12" s="49">
        <f ca="1">IFERROR(__xludf.DUMMYFUNCTION("""COMPUTED_VALUE"""),1347509)</f>
        <v>1347509</v>
      </c>
      <c r="AA12" s="31"/>
      <c r="AB12" s="45" t="s">
        <v>465</v>
      </c>
      <c r="AC12" s="50">
        <f>SUMIFS(Scoreboard_34[Kills],Scoreboard_34[Guild],"Best Regards")</f>
        <v>398</v>
      </c>
      <c r="AD12" s="51">
        <f>SUMIFS(Scoreboard_34[Kills],Scoreboard_34[Guild],"Unhinged肉")</f>
        <v>0</v>
      </c>
    </row>
    <row r="13" spans="1:30" ht="22.5" customHeight="1">
      <c r="A13" s="32">
        <v>7</v>
      </c>
      <c r="B13" s="67" t="str">
        <f>VLOOKUP(C13,Lists!I:J,2,FALSE)</f>
        <v>KS</v>
      </c>
      <c r="C13" s="34" t="str">
        <f>VLOOKUP(E13&amp;D13,Lists!C:E,3,FALSE)</f>
        <v>Greatsword/Dagger</v>
      </c>
      <c r="D13" s="35" t="s">
        <v>30</v>
      </c>
      <c r="E13" s="36" t="s">
        <v>396</v>
      </c>
      <c r="F13" s="35" t="s">
        <v>483</v>
      </c>
      <c r="G13" s="32">
        <v>30</v>
      </c>
      <c r="H13" s="32">
        <v>31</v>
      </c>
      <c r="I13" s="84">
        <f t="shared" si="0"/>
        <v>61</v>
      </c>
      <c r="J13" s="37">
        <v>1078900</v>
      </c>
      <c r="K13" s="37">
        <v>380556</v>
      </c>
      <c r="L13" s="37">
        <v>11319</v>
      </c>
      <c r="M13" s="38">
        <f>I13/(HLOOKUP(F13,Team_Composition_23[[#All],[Yellow]:[Red]],10,FALSE)+HLOOKUP(F13,Team_Composition_23[[#All],[Yellow]:[Red]],11,FALSE))</f>
        <v>7.4299634591961025E-2</v>
      </c>
      <c r="N13" s="38">
        <f>J13/HLOOKUP(F13,Team_Composition_23[[#All],[Yellow]:[Red]],6,FALSE)</f>
        <v>6.1143396822005501E-2</v>
      </c>
      <c r="O13" s="38">
        <f>K13/HLOOKUP(F13,Team_Composition_23[[#All],[Yellow]:[Red]],8,FALSE)</f>
        <v>8.6458682307304236E-3</v>
      </c>
      <c r="P13" s="38">
        <f>L13/HLOOKUP(F13,Team_Composition_23[[#All],[Yellow]:[Red]],7,FALSE)</f>
        <v>4.6640881979531499E-4</v>
      </c>
      <c r="Q13" s="31"/>
      <c r="R13" s="45" t="s">
        <v>466</v>
      </c>
      <c r="S13" s="46">
        <f>SUMIFS(Scoreboard_34[Assists],Scoreboard_34[Team],"Yellow")</f>
        <v>1573</v>
      </c>
      <c r="T13" s="47">
        <f>SUMIFS(Scoreboard_34[Assists],Scoreboard_34[Team],"Red")</f>
        <v>893</v>
      </c>
      <c r="U13" s="170"/>
      <c r="V13" s="48" t="str">
        <f ca="1">IFERROR(__xludf.DUMMYFUNCTION("""COMPUTED_VALUE"""),"vexzus")</f>
        <v>vexzus</v>
      </c>
      <c r="W13" s="49">
        <f ca="1">IFERROR(__xludf.DUMMYFUNCTION("""COMPUTED_VALUE"""),60)</f>
        <v>60</v>
      </c>
      <c r="X13" s="31"/>
      <c r="Y13" s="48" t="str">
        <f ca="1">IFERROR(__xludf.DUMMYFUNCTION("""COMPUTED_VALUE"""),"K")</f>
        <v>K</v>
      </c>
      <c r="Z13" s="49">
        <f ca="1">IFERROR(__xludf.DUMMYFUNCTION("""COMPUTED_VALUE"""),1333582)</f>
        <v>1333582</v>
      </c>
      <c r="AA13" s="31"/>
      <c r="AB13" s="45" t="s">
        <v>466</v>
      </c>
      <c r="AC13" s="50">
        <f>SUMIFS(Scoreboard_34[Assists],Scoreboard_34[Guild],"Best Regards")</f>
        <v>1564</v>
      </c>
      <c r="AD13" s="51">
        <f>SUMIFS(Scoreboard_34[Assists],Scoreboard_34[Guild],"Unhinged肉")</f>
        <v>0</v>
      </c>
    </row>
    <row r="14" spans="1:30" ht="22.5" customHeight="1">
      <c r="A14" s="32">
        <v>2</v>
      </c>
      <c r="B14" s="71" t="s">
        <v>25</v>
      </c>
      <c r="C14" s="34" t="str">
        <f>VLOOKUP(E14&amp;D14,Lists!C:E,3,FALSE)</f>
        <v>Crossbow/Dagger</v>
      </c>
      <c r="D14" s="35" t="s">
        <v>34</v>
      </c>
      <c r="E14" s="36" t="s">
        <v>159</v>
      </c>
      <c r="F14" s="35" t="s">
        <v>476</v>
      </c>
      <c r="G14" s="32">
        <v>37</v>
      </c>
      <c r="H14" s="32">
        <v>23</v>
      </c>
      <c r="I14" s="84">
        <f t="shared" si="0"/>
        <v>60</v>
      </c>
      <c r="J14" s="37">
        <v>1086937</v>
      </c>
      <c r="K14" s="37">
        <v>456081</v>
      </c>
      <c r="L14" s="37">
        <v>29096</v>
      </c>
      <c r="M14" s="38">
        <f>I14/(HLOOKUP(F14,Team_Composition_23[[#All],[Yellow]:[Red]],10,FALSE)+HLOOKUP(F14,Team_Composition_23[[#All],[Yellow]:[Red]],11,FALSE))</f>
        <v>1.4996250937265684E-2</v>
      </c>
      <c r="N14" s="38">
        <f>J14/HLOOKUP(F14,Team_Composition_23[[#All],[Yellow]:[Red]],6,FALSE)</f>
        <v>2.4500654151283649E-2</v>
      </c>
      <c r="O14" s="38">
        <f>K14/HLOOKUP(F14,Team_Composition_23[[#All],[Yellow]:[Red]],8,FALSE)</f>
        <v>2.6033858669130921E-2</v>
      </c>
      <c r="P14" s="38">
        <f>L14/HLOOKUP(F14,Team_Composition_23[[#All],[Yellow]:[Red]],7,FALSE)</f>
        <v>2.2477024318848671E-3</v>
      </c>
      <c r="Q14" s="31"/>
      <c r="R14" s="48"/>
      <c r="S14" s="58"/>
      <c r="T14" s="58"/>
      <c r="U14" s="172"/>
      <c r="V14" s="31"/>
      <c r="W14" s="31"/>
      <c r="X14" s="31"/>
      <c r="Y14" s="31"/>
      <c r="Z14" s="31"/>
      <c r="AA14" s="31"/>
      <c r="AB14" s="48"/>
      <c r="AC14" s="58"/>
      <c r="AD14" s="58"/>
    </row>
    <row r="15" spans="1:30" ht="22.5" customHeight="1">
      <c r="A15" s="32">
        <v>21</v>
      </c>
      <c r="B15" s="54" t="str">
        <f>VLOOKUP(C15,Lists!I:J,2,FALSE)</f>
        <v>Ranged DPS</v>
      </c>
      <c r="C15" s="34" t="str">
        <f>VLOOKUP(E15&amp;D15,Lists!C:E,3,FALSE)</f>
        <v>Staff/Orb</v>
      </c>
      <c r="D15" s="35" t="s">
        <v>34</v>
      </c>
      <c r="E15" s="36" t="s">
        <v>160</v>
      </c>
      <c r="F15" s="35" t="s">
        <v>476</v>
      </c>
      <c r="G15" s="32">
        <v>14</v>
      </c>
      <c r="H15" s="32">
        <v>44</v>
      </c>
      <c r="I15" s="84">
        <f t="shared" si="0"/>
        <v>58</v>
      </c>
      <c r="J15" s="37">
        <v>1196651</v>
      </c>
      <c r="K15" s="37">
        <v>880478</v>
      </c>
      <c r="L15" s="37">
        <v>25114</v>
      </c>
      <c r="M15" s="38">
        <f>I15/(HLOOKUP(F15,Team_Composition_23[[#All],[Yellow]:[Red]],10,FALSE)+HLOOKUP(F15,Team_Composition_23[[#All],[Yellow]:[Red]],11,FALSE))</f>
        <v>1.4496375906023495E-2</v>
      </c>
      <c r="N15" s="38">
        <f>J15/HLOOKUP(F15,Team_Composition_23[[#All],[Yellow]:[Red]],6,FALSE)</f>
        <v>2.6973718155502785E-2</v>
      </c>
      <c r="O15" s="38">
        <f>K15/HLOOKUP(F15,Team_Composition_23[[#All],[Yellow]:[Red]],8,FALSE)</f>
        <v>5.0259142155185274E-2</v>
      </c>
      <c r="P15" s="38">
        <f>L15/HLOOKUP(F15,Team_Composition_23[[#All],[Yellow]:[Red]],7,FALSE)</f>
        <v>1.9400879459154714E-3</v>
      </c>
      <c r="Q15" s="31"/>
      <c r="R15" s="227" t="s">
        <v>25</v>
      </c>
      <c r="S15" s="228"/>
      <c r="T15" s="228"/>
      <c r="U15" s="31"/>
      <c r="V15" s="229" t="s">
        <v>496</v>
      </c>
      <c r="W15" s="228"/>
      <c r="X15" s="31"/>
      <c r="Y15" s="229" t="s">
        <v>497</v>
      </c>
      <c r="Z15" s="228"/>
      <c r="AA15" s="31"/>
      <c r="AB15" s="227" t="s">
        <v>25</v>
      </c>
      <c r="AC15" s="228"/>
      <c r="AD15" s="228"/>
    </row>
    <row r="16" spans="1:30" ht="22.5" customHeight="1">
      <c r="A16" s="32">
        <v>46</v>
      </c>
      <c r="B16" s="69" t="str">
        <f>VLOOKUP(C16,Lists!I:J,2,FALSE)</f>
        <v>Healer</v>
      </c>
      <c r="C16" s="34" t="str">
        <f>VLOOKUP(E16&amp;D16,Lists!C:E,3,FALSE)</f>
        <v>Wand/Orb</v>
      </c>
      <c r="D16" s="35" t="s">
        <v>34</v>
      </c>
      <c r="E16" s="36" t="s">
        <v>153</v>
      </c>
      <c r="F16" s="35" t="s">
        <v>476</v>
      </c>
      <c r="G16" s="32">
        <v>0</v>
      </c>
      <c r="H16" s="32">
        <v>58</v>
      </c>
      <c r="I16" s="84">
        <f t="shared" si="0"/>
        <v>58</v>
      </c>
      <c r="J16" s="37">
        <v>5941</v>
      </c>
      <c r="K16" s="37">
        <v>395000</v>
      </c>
      <c r="L16" s="37">
        <v>700895</v>
      </c>
      <c r="M16" s="38">
        <f>I16/(HLOOKUP(F16,Team_Composition_23[[#All],[Yellow]:[Red]],10,FALSE)+HLOOKUP(F16,Team_Composition_23[[#All],[Yellow]:[Red]],11,FALSE))</f>
        <v>1.4496375906023495E-2</v>
      </c>
      <c r="N16" s="38">
        <f>J16/HLOOKUP(F16,Team_Composition_23[[#All],[Yellow]:[Red]],6,FALSE)</f>
        <v>1.3391612054127901E-4</v>
      </c>
      <c r="O16" s="38">
        <f>K16/HLOOKUP(F16,Team_Composition_23[[#All],[Yellow]:[Red]],8,FALSE)</f>
        <v>2.2547254049843587E-2</v>
      </c>
      <c r="P16" s="38">
        <f>L16/HLOOKUP(F16,Team_Composition_23[[#All],[Yellow]:[Red]],7,FALSE)</f>
        <v>5.4145016359497665E-2</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32">
        <v>15</v>
      </c>
      <c r="B17" s="61" t="s">
        <v>25</v>
      </c>
      <c r="C17" s="34" t="str">
        <f>VLOOKUP(E17&amp;D17,Lists!C:E,3,FALSE)</f>
        <v>Spear/Dagger</v>
      </c>
      <c r="D17" s="35" t="s">
        <v>34</v>
      </c>
      <c r="E17" s="36" t="s">
        <v>169</v>
      </c>
      <c r="F17" s="35" t="s">
        <v>476</v>
      </c>
      <c r="G17" s="32">
        <v>19</v>
      </c>
      <c r="H17" s="32">
        <v>37</v>
      </c>
      <c r="I17" s="84">
        <f t="shared" si="0"/>
        <v>56</v>
      </c>
      <c r="J17" s="37">
        <v>892684</v>
      </c>
      <c r="K17" s="37">
        <v>524380</v>
      </c>
      <c r="L17" s="37">
        <v>39149</v>
      </c>
      <c r="M17" s="38">
        <f>I17/(HLOOKUP(F17,Team_Composition_23[[#All],[Yellow]:[Red]],10,FALSE)+HLOOKUP(F17,Team_Composition_23[[#All],[Yellow]:[Red]],11,FALSE))</f>
        <v>1.3996500874781305E-2</v>
      </c>
      <c r="N17" s="38">
        <f>J17/HLOOKUP(F17,Team_Composition_23[[#All],[Yellow]:[Red]],6,FALSE)</f>
        <v>2.0121995985401632E-2</v>
      </c>
      <c r="O17" s="38">
        <f>K17/HLOOKUP(F17,Team_Composition_23[[#All],[Yellow]:[Red]],8,FALSE)</f>
        <v>2.9932478680144255E-2</v>
      </c>
      <c r="P17" s="38">
        <f>L17/HLOOKUP(F17,Team_Composition_23[[#All],[Yellow]:[Red]],7,FALSE)</f>
        <v>3.0243092695167949E-3</v>
      </c>
      <c r="Q17" s="31"/>
      <c r="R17" s="45" t="s">
        <v>468</v>
      </c>
      <c r="S17" s="46">
        <f>SUMIFS(Scoreboard_34[Damage Dealt],Scoreboard_34[Role],"Melee DPS",Scoreboard_34[Team],"Yellow")</f>
        <v>5841787</v>
      </c>
      <c r="T17" s="47">
        <f>SUMIFS(Scoreboard_34[Damage Dealt],Scoreboard_34[Role],"Melee DPS",Scoreboard_34[Team],"Red")</f>
        <v>5548911</v>
      </c>
      <c r="U17" s="31"/>
      <c r="V17" s="48" t="str">
        <f ca="1">IFERROR(__xludf.DUMMYFUNCTION("query(A1:P238, ""Select E,K Order by K Desc Limit 10"", 0)"),"K")</f>
        <v>K</v>
      </c>
      <c r="W17" s="49">
        <f ca="1">IFERROR(__xludf.DUMMYFUNCTION("""COMPUTED_VALUE"""),1005665)</f>
        <v>1005665</v>
      </c>
      <c r="X17" s="31"/>
      <c r="Y17" s="48" t="str">
        <f ca="1">IFERROR(__xludf.DUMMYFUNCTION("query(A1:P238, ""Select E,L Order by L Desc Limit 10"", 0)"),"Z")</f>
        <v>Z</v>
      </c>
      <c r="Z17" s="49">
        <f ca="1">IFERROR(__xludf.DUMMYFUNCTION("""COMPUTED_VALUE"""),1447754)</f>
        <v>1447754</v>
      </c>
      <c r="AA17" s="31"/>
      <c r="AB17" s="45" t="s">
        <v>468</v>
      </c>
      <c r="AC17" s="50">
        <f>SUMIFS(Scoreboard_34[Damage Dealt],Scoreboard_34[Role],"Melee DPS",Scoreboard_34[Guild],"Best Regards")</f>
        <v>5841787</v>
      </c>
      <c r="AD17" s="51">
        <f>SUMIFS(Scoreboard_34[Damage Dealt],Scoreboard_34[Role],"Melee DPS",Scoreboard_34[Guild],"Unhinged肉")</f>
        <v>0</v>
      </c>
    </row>
    <row r="18" spans="1:30" ht="22.5" customHeight="1">
      <c r="A18" s="32">
        <v>18</v>
      </c>
      <c r="B18" s="66" t="str">
        <f>VLOOKUP(C18,Lists!I:J,2,FALSE)</f>
        <v>Ranged DPS</v>
      </c>
      <c r="C18" s="34" t="str">
        <f>VLOOKUP(E18&amp;D18,Lists!C:E,3,FALSE)</f>
        <v>Crossbow/SnS</v>
      </c>
      <c r="D18" s="35" t="s">
        <v>34</v>
      </c>
      <c r="E18" s="36" t="s">
        <v>141</v>
      </c>
      <c r="F18" s="35" t="s">
        <v>476</v>
      </c>
      <c r="G18" s="32">
        <v>17</v>
      </c>
      <c r="H18" s="32">
        <v>39</v>
      </c>
      <c r="I18" s="84">
        <f t="shared" si="0"/>
        <v>56</v>
      </c>
      <c r="J18" s="37">
        <v>1164984</v>
      </c>
      <c r="K18" s="37">
        <v>371087</v>
      </c>
      <c r="L18" s="37">
        <v>15219</v>
      </c>
      <c r="M18" s="38">
        <f>I18/(HLOOKUP(F18,Team_Composition_23[[#All],[Yellow]:[Red]],10,FALSE)+HLOOKUP(F18,Team_Composition_23[[#All],[Yellow]:[Red]],11,FALSE))</f>
        <v>1.3996500874781305E-2</v>
      </c>
      <c r="N18" s="38">
        <f>J18/HLOOKUP(F18,Team_Composition_23[[#All],[Yellow]:[Red]],6,FALSE)</f>
        <v>2.6259912097737984E-2</v>
      </c>
      <c r="O18" s="38">
        <f>K18/HLOOKUP(F18,Team_Composition_23[[#All],[Yellow]:[Red]],8,FALSE)</f>
        <v>2.1182260414162803E-2</v>
      </c>
      <c r="P18" s="38">
        <f>L18/HLOOKUP(F18,Team_Composition_23[[#All],[Yellow]:[Red]],7,FALSE)</f>
        <v>1.1756868061195971E-3</v>
      </c>
      <c r="Q18" s="31"/>
      <c r="R18" s="45" t="s">
        <v>469</v>
      </c>
      <c r="S18" s="46">
        <f>SUMIFS(Scoreboard_34[Damage Taken],Scoreboard_34[Role],"Melee DPS",Scoreboard_34[Team],"Yellow")</f>
        <v>3360237</v>
      </c>
      <c r="T18" s="47">
        <f>SUMIFS(Scoreboard_34[Damage Taken],Scoreboard_34[Role],"Melee DPS",Scoreboard_34[Team],"Red")</f>
        <v>5061732</v>
      </c>
      <c r="U18" s="31"/>
      <c r="V18" s="48" t="str">
        <f ca="1">IFERROR(__xludf.DUMMYFUNCTION("""COMPUTED_VALUE"""),"Niyaa")</f>
        <v>Niyaa</v>
      </c>
      <c r="W18" s="49">
        <f ca="1">IFERROR(__xludf.DUMMYFUNCTION("""COMPUTED_VALUE"""),1002095)</f>
        <v>1002095</v>
      </c>
      <c r="X18" s="31"/>
      <c r="Y18" s="48" t="str">
        <f ca="1">IFERROR(__xludf.DUMMYFUNCTION("""COMPUTED_VALUE"""),"Boharding")</f>
        <v>Boharding</v>
      </c>
      <c r="Z18" s="49">
        <f ca="1">IFERROR(__xludf.DUMMYFUNCTION("""COMPUTED_VALUE"""),1300731)</f>
        <v>1300731</v>
      </c>
      <c r="AA18" s="31"/>
      <c r="AB18" s="45" t="s">
        <v>469</v>
      </c>
      <c r="AC18" s="50">
        <f>SUMIFS(Scoreboard_34[Damage Taken],Scoreboard_34[Role],"Melee DPS",Scoreboard_34[Guild],"Best Regards")</f>
        <v>3360237</v>
      </c>
      <c r="AD18" s="51">
        <f>SUMIFS(Scoreboard_34[Damage Taken],Scoreboard_34[Role],"Melee DPS",Scoreboard_34[Guild],"Unhinged肉")</f>
        <v>0</v>
      </c>
    </row>
    <row r="19" spans="1:30" ht="22.5" customHeight="1">
      <c r="A19" s="32">
        <v>13</v>
      </c>
      <c r="B19" s="54" t="str">
        <f>VLOOKUP(C19,Lists!I:J,2,FALSE)</f>
        <v>KS</v>
      </c>
      <c r="C19" s="34" t="str">
        <f>VLOOKUP(E19&amp;D19,Lists!C:E,3,FALSE)</f>
        <v>Greatsword/Dagger</v>
      </c>
      <c r="D19" s="35" t="s">
        <v>34</v>
      </c>
      <c r="E19" s="36" t="s">
        <v>502</v>
      </c>
      <c r="F19" s="35" t="s">
        <v>476</v>
      </c>
      <c r="G19" s="32">
        <v>22</v>
      </c>
      <c r="H19" s="32">
        <v>33</v>
      </c>
      <c r="I19" s="84">
        <f t="shared" si="0"/>
        <v>55</v>
      </c>
      <c r="J19" s="37">
        <v>757391</v>
      </c>
      <c r="K19" s="37">
        <v>815818</v>
      </c>
      <c r="L19" s="37">
        <v>43211</v>
      </c>
      <c r="M19" s="38">
        <f>I19/(HLOOKUP(F19,Team_Composition_23[[#All],[Yellow]:[Red]],10,FALSE)+HLOOKUP(F19,Team_Composition_23[[#All],[Yellow]:[Red]],11,FALSE))</f>
        <v>1.374656335916021E-2</v>
      </c>
      <c r="N19" s="38">
        <f>J19/HLOOKUP(F19,Team_Composition_23[[#All],[Yellow]:[Red]],6,FALSE)</f>
        <v>1.7072355571937356E-2</v>
      </c>
      <c r="O19" s="38">
        <f>K19/HLOOKUP(F19,Team_Composition_23[[#All],[Yellow]:[Red]],8,FALSE)</f>
        <v>4.6568242289709613E-2</v>
      </c>
      <c r="P19" s="38">
        <f>L19/HLOOKUP(F19,Team_Composition_23[[#All],[Yellow]:[Red]],7,FALSE)</f>
        <v>3.3381038556563442E-3</v>
      </c>
      <c r="Q19" s="31"/>
      <c r="R19" s="45" t="s">
        <v>470</v>
      </c>
      <c r="S19" s="46">
        <f>SUMIFS(Scoreboard_34[Amount Healed],Scoreboard_34[Role],"Melee DPS",Scoreboard_34[Team],"Yellow")</f>
        <v>206938</v>
      </c>
      <c r="T19" s="47">
        <f>SUMIFS(Scoreboard_34[Amount Healed],Scoreboard_34[Role],"Melee DPS",Scoreboard_34[Team],"Red")</f>
        <v>566402</v>
      </c>
      <c r="U19" s="31"/>
      <c r="V19" s="48" t="str">
        <f ca="1">IFERROR(__xludf.DUMMYFUNCTION("""COMPUTED_VALUE"""),"Basileus")</f>
        <v>Basileus</v>
      </c>
      <c r="W19" s="49">
        <f ca="1">IFERROR(__xludf.DUMMYFUNCTION("""COMPUTED_VALUE"""),947868)</f>
        <v>947868</v>
      </c>
      <c r="X19" s="31"/>
      <c r="Y19" s="48" t="str">
        <f ca="1">IFERROR(__xludf.DUMMYFUNCTION("""COMPUTED_VALUE"""),"Niyaa")</f>
        <v>Niyaa</v>
      </c>
      <c r="Z19" s="49">
        <f ca="1">IFERROR(__xludf.DUMMYFUNCTION("""COMPUTED_VALUE"""),1283186)</f>
        <v>1283186</v>
      </c>
      <c r="AA19" s="31"/>
      <c r="AB19" s="45" t="s">
        <v>470</v>
      </c>
      <c r="AC19" s="50">
        <f>SUMIFS(Scoreboard_34[Amount Healed],Scoreboard_34[Role],"Melee DPS",Scoreboard_34[Guild],"Best Regards")</f>
        <v>206938</v>
      </c>
      <c r="AD19" s="51">
        <f>SUMIFS(Scoreboard_34[Amount Healed],Scoreboard_34[Role],"Melee DPS",Scoreboard_34[Guild],"Unhinged肉")</f>
        <v>0</v>
      </c>
    </row>
    <row r="20" spans="1:30" ht="22.5" customHeight="1">
      <c r="A20" s="32">
        <v>20</v>
      </c>
      <c r="B20" s="71" t="str">
        <f>VLOOKUP(C20,Lists!I:J,2,FALSE)</f>
        <v>Ranged DPS</v>
      </c>
      <c r="C20" s="34" t="str">
        <f>VLOOKUP(E20&amp;D20,Lists!C:E,3,FALSE)</f>
        <v>Crossbow/SnS</v>
      </c>
      <c r="D20" s="35" t="s">
        <v>30</v>
      </c>
      <c r="E20" s="36" t="s">
        <v>399</v>
      </c>
      <c r="F20" s="35" t="s">
        <v>483</v>
      </c>
      <c r="G20" s="32">
        <v>15</v>
      </c>
      <c r="H20" s="32">
        <v>39</v>
      </c>
      <c r="I20" s="84">
        <f t="shared" si="0"/>
        <v>54</v>
      </c>
      <c r="J20" s="37">
        <v>1347509</v>
      </c>
      <c r="K20" s="37">
        <v>500003</v>
      </c>
      <c r="L20" s="37">
        <v>34982</v>
      </c>
      <c r="M20" s="38">
        <f>I20/(HLOOKUP(F20,Team_Composition_23[[#All],[Yellow]:[Red]],10,FALSE)+HLOOKUP(F20,Team_Composition_23[[#All],[Yellow]:[Red]],11,FALSE))</f>
        <v>6.5773447015834346E-2</v>
      </c>
      <c r="N20" s="38">
        <f>J20/HLOOKUP(F20,Team_Composition_23[[#All],[Yellow]:[Red]],6,FALSE)</f>
        <v>7.6366000100309403E-2</v>
      </c>
      <c r="O20" s="38">
        <f>K20/HLOOKUP(F20,Team_Composition_23[[#All],[Yellow]:[Red]],8,FALSE)</f>
        <v>1.1359589792224808E-2</v>
      </c>
      <c r="P20" s="38">
        <f>L20/HLOOKUP(F20,Team_Composition_23[[#All],[Yellow]:[Red]],7,FALSE)</f>
        <v>1.4414624378549085E-3</v>
      </c>
      <c r="Q20" s="31"/>
      <c r="R20" s="45" t="s">
        <v>465</v>
      </c>
      <c r="S20" s="46">
        <f>SUMIFS(Scoreboard_34[Kills],Scoreboard_34[Role],"Melee DPS",Scoreboard_34[Team],"Yellow")</f>
        <v>120</v>
      </c>
      <c r="T20" s="47">
        <f>SUMIFS(Scoreboard_34[Kills],Scoreboard_34[Role],"Melee DPS",Scoreboard_34[Team],"Red")</f>
        <v>72</v>
      </c>
      <c r="U20" s="31"/>
      <c r="V20" s="48" t="str">
        <f ca="1">IFERROR(__xludf.DUMMYFUNCTION("""COMPUTED_VALUE"""),"DiegoLASCR")</f>
        <v>DiegoLASCR</v>
      </c>
      <c r="W20" s="49">
        <f ca="1">IFERROR(__xludf.DUMMYFUNCTION("""COMPUTED_VALUE"""),924291)</f>
        <v>924291</v>
      </c>
      <c r="X20" s="31"/>
      <c r="Y20" s="48" t="str">
        <f ca="1">IFERROR(__xludf.DUMMYFUNCTION("""COMPUTED_VALUE"""),"EgirlWaifu")</f>
        <v>EgirlWaifu</v>
      </c>
      <c r="Z20" s="49">
        <f ca="1">IFERROR(__xludf.DUMMYFUNCTION("""COMPUTED_VALUE"""),1199401)</f>
        <v>1199401</v>
      </c>
      <c r="AA20" s="31"/>
      <c r="AB20" s="45" t="s">
        <v>465</v>
      </c>
      <c r="AC20" s="50">
        <f>SUMIFS(Scoreboard_34[Kills],Scoreboard_34[Role],"Melee DPS",Scoreboard_34[Guild],"Best Regards")</f>
        <v>120</v>
      </c>
      <c r="AD20" s="51">
        <f>SUMIFS(Scoreboard_34[Kills],Scoreboard_34[Role],"Melee DPS",Scoreboard_34[Guild],"Unhinged肉")</f>
        <v>0</v>
      </c>
    </row>
    <row r="21" spans="1:30" ht="22.5" customHeight="1">
      <c r="A21" s="32">
        <v>9</v>
      </c>
      <c r="B21" s="65" t="str">
        <f>VLOOKUP(C21,Lists!I:J,2,FALSE)</f>
        <v>KS</v>
      </c>
      <c r="C21" s="34" t="str">
        <f>VLOOKUP(E21&amp;D21,Lists!C:E,3,FALSE)</f>
        <v>Crossbow/Dagger</v>
      </c>
      <c r="D21" s="35" t="s">
        <v>30</v>
      </c>
      <c r="E21" s="36" t="s">
        <v>229</v>
      </c>
      <c r="F21" s="35" t="s">
        <v>483</v>
      </c>
      <c r="G21" s="32">
        <v>27</v>
      </c>
      <c r="H21" s="32">
        <v>25</v>
      </c>
      <c r="I21" s="84">
        <f t="shared" si="0"/>
        <v>52</v>
      </c>
      <c r="J21" s="37">
        <v>1111358</v>
      </c>
      <c r="K21" s="37">
        <v>384128</v>
      </c>
      <c r="L21" s="37">
        <v>34764</v>
      </c>
      <c r="M21" s="38">
        <f>I21/(HLOOKUP(F21,Team_Composition_23[[#All],[Yellow]:[Red]],10,FALSE)+HLOOKUP(F21,Team_Composition_23[[#All],[Yellow]:[Red]],11,FALSE))</f>
        <v>6.3337393422655291E-2</v>
      </c>
      <c r="N21" s="38">
        <f>J21/HLOOKUP(F21,Team_Composition_23[[#All],[Yellow]:[Red]],6,FALSE)</f>
        <v>6.2982855876643234E-2</v>
      </c>
      <c r="O21" s="38">
        <f>K21/HLOOKUP(F21,Team_Composition_23[[#All],[Yellow]:[Red]],8,FALSE)</f>
        <v>8.7270206532915427E-3</v>
      </c>
      <c r="P21" s="38">
        <f>L21/HLOOKUP(F21,Team_Composition_23[[#All],[Yellow]:[Red]],7,FALSE)</f>
        <v>1.4324795663366312E-3</v>
      </c>
      <c r="Q21" s="31"/>
      <c r="R21" s="45" t="s">
        <v>466</v>
      </c>
      <c r="S21" s="46">
        <f>SUMIFS(Scoreboard_34[Assists],Scoreboard_34[Role],"Melee DPS",Scoreboard_34[Team],"Yellow")</f>
        <v>205</v>
      </c>
      <c r="T21" s="47">
        <f>SUMIFS(Scoreboard_34[Assists],Scoreboard_34[Role],"Melee DPS",Scoreboard_34[Team],"Red")</f>
        <v>170</v>
      </c>
      <c r="U21" s="31"/>
      <c r="V21" s="48" t="str">
        <f ca="1">IFERROR(__xludf.DUMMYFUNCTION("""COMPUTED_VALUE"""),"EnoughCrazy")</f>
        <v>EnoughCrazy</v>
      </c>
      <c r="W21" s="49">
        <f ca="1">IFERROR(__xludf.DUMMYFUNCTION("""COMPUTED_VALUE"""),880478)</f>
        <v>880478</v>
      </c>
      <c r="X21" s="31"/>
      <c r="Y21" s="48" t="str">
        <f ca="1">IFERROR(__xludf.DUMMYFUNCTION("""COMPUTED_VALUE"""),"Raye")</f>
        <v>Raye</v>
      </c>
      <c r="Z21" s="49">
        <f ca="1">IFERROR(__xludf.DUMMYFUNCTION("""COMPUTED_VALUE"""),1129924)</f>
        <v>1129924</v>
      </c>
      <c r="AA21" s="31"/>
      <c r="AB21" s="45" t="s">
        <v>466</v>
      </c>
      <c r="AC21" s="50">
        <f>SUMIFS(Scoreboard_34[Assists],Scoreboard_34[Role],"Melee DPS",Scoreboard_34[Guild],"Best Regards")</f>
        <v>205</v>
      </c>
      <c r="AD21" s="51">
        <f>SUMIFS(Scoreboard_34[Assists],Scoreboard_34[Role],"Melee DPS",Scoreboard_34[Guild],"Unhinged肉")</f>
        <v>0</v>
      </c>
    </row>
    <row r="22" spans="1:30" ht="22.5" customHeight="1">
      <c r="A22" s="32">
        <v>25</v>
      </c>
      <c r="B22" s="62" t="str">
        <f>VLOOKUP(C22,Lists!I:J,2,FALSE)</f>
        <v>Ranged DPS</v>
      </c>
      <c r="C22" s="34" t="str">
        <f>VLOOKUP(E22&amp;D22,Lists!C:E,3,FALSE)</f>
        <v>Orb/Wand</v>
      </c>
      <c r="D22" s="35" t="s">
        <v>34</v>
      </c>
      <c r="E22" s="36" t="s">
        <v>94</v>
      </c>
      <c r="F22" s="35" t="s">
        <v>476</v>
      </c>
      <c r="G22" s="32">
        <v>11</v>
      </c>
      <c r="H22" s="32">
        <v>38</v>
      </c>
      <c r="I22" s="84">
        <f t="shared" si="0"/>
        <v>49</v>
      </c>
      <c r="J22" s="37">
        <v>1129213</v>
      </c>
      <c r="K22" s="37">
        <v>353520</v>
      </c>
      <c r="L22" s="37">
        <v>14972</v>
      </c>
      <c r="M22" s="38">
        <f>I22/(HLOOKUP(F22,Team_Composition_23[[#All],[Yellow]:[Red]],10,FALSE)+HLOOKUP(F22,Team_Composition_23[[#All],[Yellow]:[Red]],11,FALSE))</f>
        <v>1.2246938265433641E-2</v>
      </c>
      <c r="N22" s="38">
        <f>J22/HLOOKUP(F22,Team_Composition_23[[#All],[Yellow]:[Red]],6,FALSE)</f>
        <v>2.5453597748658352E-2</v>
      </c>
      <c r="O22" s="38">
        <f>K22/HLOOKUP(F22,Team_Composition_23[[#All],[Yellow]:[Red]],8,FALSE)</f>
        <v>2.0179506966330901E-2</v>
      </c>
      <c r="P22" s="38">
        <f>L22/HLOOKUP(F22,Team_Composition_23[[#All],[Yellow]:[Red]],7,FALSE)</f>
        <v>1.1566057468442477E-3</v>
      </c>
      <c r="Q22" s="31"/>
      <c r="R22" s="45" t="s">
        <v>24</v>
      </c>
      <c r="S22" s="46">
        <f t="shared" ref="S22:S25" si="1">COUNTIFS(C:C,R22,F:F,"Yellow")</f>
        <v>2</v>
      </c>
      <c r="T22" s="47">
        <f t="shared" ref="T22:T25" si="2">COUNTIFS(C:C,R22,F:F,"Red")</f>
        <v>3</v>
      </c>
      <c r="U22" s="31"/>
      <c r="V22" s="48" t="str">
        <f ca="1">IFERROR(__xludf.DUMMYFUNCTION("""COMPUTED_VALUE"""),"RayPeat")</f>
        <v>RayPeat</v>
      </c>
      <c r="W22" s="49">
        <f ca="1">IFERROR(__xludf.DUMMYFUNCTION("""COMPUTED_VALUE"""),815818)</f>
        <v>815818</v>
      </c>
      <c r="X22" s="31"/>
      <c r="Y22" s="48" t="str">
        <f ca="1">IFERROR(__xludf.DUMMYFUNCTION("""COMPUTED_VALUE"""),"MICTECACIHUATL")</f>
        <v>MICTECACIHUATL</v>
      </c>
      <c r="Z22" s="49">
        <f ca="1">IFERROR(__xludf.DUMMYFUNCTION("""COMPUTED_VALUE"""),1118010)</f>
        <v>1118010</v>
      </c>
      <c r="AA22" s="31"/>
      <c r="AB22" s="45" t="s">
        <v>24</v>
      </c>
      <c r="AC22" s="50">
        <f t="shared" ref="AC22:AC25" si="3">COUNTIFS(C:C,AB22,D:D,"Best Regards")</f>
        <v>2</v>
      </c>
      <c r="AD22" s="51">
        <f t="shared" ref="AD22:AD25" si="4">COUNTIFS(C:C,AB22,D:D,"Unhinged肉")</f>
        <v>0</v>
      </c>
    </row>
    <row r="23" spans="1:30" ht="22.5" customHeight="1">
      <c r="A23" s="32">
        <v>33</v>
      </c>
      <c r="B23" s="54" t="str">
        <f>VLOOKUP(C23,Lists!I:J,2,FALSE)</f>
        <v>Tank</v>
      </c>
      <c r="C23" s="34" t="str">
        <f>VLOOKUP(E23&amp;D23,Lists!C:E,3,FALSE)</f>
        <v>SnS/Greatsword</v>
      </c>
      <c r="D23" s="35" t="s">
        <v>30</v>
      </c>
      <c r="E23" s="36" t="s">
        <v>215</v>
      </c>
      <c r="F23" s="35" t="s">
        <v>483</v>
      </c>
      <c r="G23" s="32">
        <v>6</v>
      </c>
      <c r="H23" s="32">
        <v>42</v>
      </c>
      <c r="I23" s="84">
        <f t="shared" si="0"/>
        <v>48</v>
      </c>
      <c r="J23" s="37">
        <v>604215</v>
      </c>
      <c r="K23" s="37">
        <v>620100</v>
      </c>
      <c r="L23" s="37">
        <v>113143</v>
      </c>
      <c r="M23" s="38">
        <f>I23/(HLOOKUP(F23,Team_Composition_23[[#All],[Yellow]:[Red]],10,FALSE)+HLOOKUP(F23,Team_Composition_23[[#All],[Yellow]:[Red]],11,FALSE))</f>
        <v>5.8465286236297195E-2</v>
      </c>
      <c r="N23" s="38">
        <f>J23/HLOOKUP(F23,Team_Composition_23[[#All],[Yellow]:[Red]],6,FALSE)</f>
        <v>3.4242059051634119E-2</v>
      </c>
      <c r="O23" s="38">
        <f>K23/HLOOKUP(F23,Team_Composition_23[[#All],[Yellow]:[Red]],8,FALSE)</f>
        <v>1.4088078731844814E-2</v>
      </c>
      <c r="P23" s="38">
        <f>L23/HLOOKUP(F23,Team_Composition_23[[#All],[Yellow]:[Red]],7,FALSE)</f>
        <v>4.6621515238184754E-3</v>
      </c>
      <c r="Q23" s="31"/>
      <c r="R23" s="45" t="s">
        <v>69</v>
      </c>
      <c r="S23" s="46">
        <f t="shared" si="1"/>
        <v>2</v>
      </c>
      <c r="T23" s="47">
        <f t="shared" si="2"/>
        <v>4</v>
      </c>
      <c r="U23" s="31"/>
      <c r="V23" s="48" t="str">
        <f ca="1">IFERROR(__xludf.DUMMYFUNCTION("""COMPUTED_VALUE"""),"Flacco")</f>
        <v>Flacco</v>
      </c>
      <c r="W23" s="49">
        <f ca="1">IFERROR(__xludf.DUMMYFUNCTION("""COMPUTED_VALUE"""),762186)</f>
        <v>762186</v>
      </c>
      <c r="X23" s="31"/>
      <c r="Y23" s="48" t="str">
        <f ca="1">IFERROR(__xludf.DUMMYFUNCTION("""COMPUTED_VALUE"""),"Jisoo")</f>
        <v>Jisoo</v>
      </c>
      <c r="Z23" s="49">
        <f ca="1">IFERROR(__xludf.DUMMYFUNCTION("""COMPUTED_VALUE"""),923363)</f>
        <v>923363</v>
      </c>
      <c r="AA23" s="31"/>
      <c r="AB23" s="45" t="s">
        <v>69</v>
      </c>
      <c r="AC23" s="50">
        <f t="shared" si="3"/>
        <v>2</v>
      </c>
      <c r="AD23" s="51">
        <f t="shared" si="4"/>
        <v>0</v>
      </c>
    </row>
    <row r="24" spans="1:30" ht="22.5" customHeight="1">
      <c r="A24" s="32">
        <v>32</v>
      </c>
      <c r="B24" s="60" t="str">
        <f>VLOOKUP(C24,Lists!I:J,2,FALSE)</f>
        <v>Tank</v>
      </c>
      <c r="C24" s="34" t="str">
        <f>VLOOKUP(E24&amp;D24,Lists!C:E,3,FALSE)</f>
        <v>SnS/Greatsword</v>
      </c>
      <c r="D24" s="35" t="s">
        <v>34</v>
      </c>
      <c r="E24" s="36" t="s">
        <v>173</v>
      </c>
      <c r="F24" s="35" t="s">
        <v>476</v>
      </c>
      <c r="G24" s="32">
        <v>7</v>
      </c>
      <c r="H24" s="32">
        <v>40</v>
      </c>
      <c r="I24" s="84">
        <f t="shared" si="0"/>
        <v>47</v>
      </c>
      <c r="J24" s="37">
        <v>372436</v>
      </c>
      <c r="K24" s="37">
        <v>247819</v>
      </c>
      <c r="L24" s="37">
        <v>32110</v>
      </c>
      <c r="M24" s="38">
        <f>I24/(HLOOKUP(F24,Team_Composition_23[[#All],[Yellow]:[Red]],10,FALSE)+HLOOKUP(F24,Team_Composition_23[[#All],[Yellow]:[Red]],11,FALSE))</f>
        <v>1.1747063234191453E-2</v>
      </c>
      <c r="N24" s="38">
        <f>J24/HLOOKUP(F24,Team_Composition_23[[#All],[Yellow]:[Red]],6,FALSE)</f>
        <v>8.3950823548075721E-3</v>
      </c>
      <c r="O24" s="38">
        <f>K24/HLOOKUP(F24,Team_Composition_23[[#All],[Yellow]:[Red]],8,FALSE)</f>
        <v>1.4145918864248578E-2</v>
      </c>
      <c r="P24" s="38">
        <f>L24/HLOOKUP(F24,Team_Composition_23[[#All],[Yellow]:[Red]],7,FALSE)</f>
        <v>2.4805377057954044E-3</v>
      </c>
      <c r="Q24" s="31"/>
      <c r="R24" s="45" t="s">
        <v>23</v>
      </c>
      <c r="S24" s="46">
        <f t="shared" si="1"/>
        <v>2</v>
      </c>
      <c r="T24" s="47">
        <f t="shared" si="2"/>
        <v>4</v>
      </c>
      <c r="U24" s="31"/>
      <c r="V24" s="48" t="str">
        <f ca="1">IFERROR(__xludf.DUMMYFUNCTION("""COMPUTED_VALUE"""),"BloodGod")</f>
        <v>BloodGod</v>
      </c>
      <c r="W24" s="49">
        <f ca="1">IFERROR(__xludf.DUMMYFUNCTION("""COMPUTED_VALUE"""),743080)</f>
        <v>743080</v>
      </c>
      <c r="X24" s="31"/>
      <c r="Y24" s="48" t="str">
        <f ca="1">IFERROR(__xludf.DUMMYFUNCTION("""COMPUTED_VALUE"""),"JayAcy")</f>
        <v>JayAcy</v>
      </c>
      <c r="Z24" s="49">
        <f ca="1">IFERROR(__xludf.DUMMYFUNCTION("""COMPUTED_VALUE"""),833759)</f>
        <v>833759</v>
      </c>
      <c r="AA24" s="31"/>
      <c r="AB24" s="45" t="s">
        <v>23</v>
      </c>
      <c r="AC24" s="50">
        <f t="shared" si="3"/>
        <v>2</v>
      </c>
      <c r="AD24" s="51">
        <f t="shared" si="4"/>
        <v>0</v>
      </c>
    </row>
    <row r="25" spans="1:30" ht="22.5" customHeight="1">
      <c r="A25" s="32">
        <v>30</v>
      </c>
      <c r="B25" s="67" t="str">
        <f>VLOOKUP(C25,Lists!I:J,2,FALSE)</f>
        <v>Ranged DPS</v>
      </c>
      <c r="C25" s="34" t="str">
        <f>VLOOKUP(E25&amp;D25,Lists!C:E,3,FALSE)</f>
        <v>Crossbow/SnS</v>
      </c>
      <c r="D25" s="35" t="s">
        <v>34</v>
      </c>
      <c r="E25" s="36" t="s">
        <v>167</v>
      </c>
      <c r="F25" s="35" t="s">
        <v>476</v>
      </c>
      <c r="G25" s="32">
        <v>8</v>
      </c>
      <c r="H25" s="32">
        <v>37</v>
      </c>
      <c r="I25" s="84">
        <f t="shared" si="0"/>
        <v>45</v>
      </c>
      <c r="J25" s="37">
        <v>965826</v>
      </c>
      <c r="K25" s="37">
        <v>417928</v>
      </c>
      <c r="L25" s="37">
        <v>14746</v>
      </c>
      <c r="M25" s="38">
        <f>I25/(HLOOKUP(F25,Team_Composition_23[[#All],[Yellow]:[Red]],10,FALSE)+HLOOKUP(F25,Team_Composition_23[[#All],[Yellow]:[Red]],11,FALSE))</f>
        <v>1.1247188202949263E-2</v>
      </c>
      <c r="N25" s="38">
        <f>J25/HLOOKUP(F25,Team_Composition_23[[#All],[Yellow]:[Red]],6,FALSE)</f>
        <v>2.1770690294209954E-2</v>
      </c>
      <c r="O25" s="38">
        <f>K25/HLOOKUP(F25,Team_Composition_23[[#All],[Yellow]:[Red]],8,FALSE)</f>
        <v>2.3856022254539318E-2</v>
      </c>
      <c r="P25" s="38">
        <f>L25/HLOOKUP(F25,Team_Composition_23[[#All],[Yellow]:[Red]],7,FALSE)</f>
        <v>1.1391469638635638E-3</v>
      </c>
      <c r="Q25" s="31"/>
      <c r="R25" s="45" t="s">
        <v>33</v>
      </c>
      <c r="S25" s="46">
        <f t="shared" si="1"/>
        <v>0</v>
      </c>
      <c r="T25" s="47">
        <f t="shared" si="2"/>
        <v>0</v>
      </c>
      <c r="U25" s="31"/>
      <c r="V25" s="48" t="str">
        <f ca="1">IFERROR(__xludf.DUMMYFUNCTION("""COMPUTED_VALUE"""),"POME")</f>
        <v>POME</v>
      </c>
      <c r="W25" s="49">
        <f ca="1">IFERROR(__xludf.DUMMYFUNCTION("""COMPUTED_VALUE"""),723412)</f>
        <v>723412</v>
      </c>
      <c r="X25" s="31"/>
      <c r="Y25" s="48" t="str">
        <f ca="1">IFERROR(__xludf.DUMMYFUNCTION("""COMPUTED_VALUE"""),"Mostley")</f>
        <v>Mostley</v>
      </c>
      <c r="Z25" s="49">
        <f ca="1">IFERROR(__xludf.DUMMYFUNCTION("""COMPUTED_VALUE"""),801557)</f>
        <v>801557</v>
      </c>
      <c r="AA25" s="31"/>
      <c r="AB25" s="45" t="s">
        <v>33</v>
      </c>
      <c r="AC25" s="50">
        <f t="shared" si="3"/>
        <v>0</v>
      </c>
      <c r="AD25" s="51">
        <f t="shared" si="4"/>
        <v>0</v>
      </c>
    </row>
    <row r="26" spans="1:30" ht="22.5" customHeight="1">
      <c r="A26" s="32">
        <v>12</v>
      </c>
      <c r="B26" s="69" t="str">
        <f>VLOOKUP(C26,Lists!I:J,2,FALSE)</f>
        <v>KS</v>
      </c>
      <c r="C26" s="34" t="str">
        <f>VLOOKUP(E26&amp;D26,Lists!C:E,3,FALSE)</f>
        <v>Greatsword/Dagger</v>
      </c>
      <c r="D26" s="35" t="s">
        <v>30</v>
      </c>
      <c r="E26" s="36" t="s">
        <v>393</v>
      </c>
      <c r="F26" s="35" t="s">
        <v>483</v>
      </c>
      <c r="G26" s="32">
        <v>23</v>
      </c>
      <c r="H26" s="32">
        <v>21</v>
      </c>
      <c r="I26" s="84">
        <f t="shared" si="0"/>
        <v>44</v>
      </c>
      <c r="J26" s="37">
        <v>908072</v>
      </c>
      <c r="K26" s="37">
        <v>548652</v>
      </c>
      <c r="L26" s="37">
        <v>83719</v>
      </c>
      <c r="M26" s="38">
        <f>I26/(HLOOKUP(F26,Team_Composition_23[[#All],[Yellow]:[Red]],10,FALSE)+HLOOKUP(F26,Team_Composition_23[[#All],[Yellow]:[Red]],11,FALSE))</f>
        <v>5.3593179049939099E-2</v>
      </c>
      <c r="N26" s="38">
        <f>J26/HLOOKUP(F26,Team_Composition_23[[#All],[Yellow]:[Red]],6,FALSE)</f>
        <v>5.1462236202569449E-2</v>
      </c>
      <c r="O26" s="38">
        <f>K26/HLOOKUP(F26,Team_Composition_23[[#All],[Yellow]:[Red]],8,FALSE)</f>
        <v>1.2464848528276281E-2</v>
      </c>
      <c r="P26" s="38">
        <f>L26/HLOOKUP(F26,Team_Composition_23[[#All],[Yellow]:[Red]],7,FALSE)</f>
        <v>3.4497111038469808E-3</v>
      </c>
      <c r="Q26" s="31"/>
      <c r="R26" s="48"/>
      <c r="S26" s="63"/>
      <c r="T26" s="63"/>
      <c r="U26" s="31"/>
      <c r="V26" s="48" t="str">
        <f ca="1">IFERROR(__xludf.DUMMYFUNCTION("""COMPUTED_VALUE"""),"PhoPapi")</f>
        <v>PhoPapi</v>
      </c>
      <c r="W26" s="49">
        <f ca="1">IFERROR(__xludf.DUMMYFUNCTION("""COMPUTED_VALUE"""),698738)</f>
        <v>698738</v>
      </c>
      <c r="X26" s="31"/>
      <c r="Y26" s="48" t="str">
        <f ca="1">IFERROR(__xludf.DUMMYFUNCTION("""COMPUTED_VALUE"""),"BombaTrix")</f>
        <v>BombaTrix</v>
      </c>
      <c r="Z26" s="49">
        <f ca="1">IFERROR(__xludf.DUMMYFUNCTION("""COMPUTED_VALUE"""),745178)</f>
        <v>745178</v>
      </c>
      <c r="AA26" s="31"/>
      <c r="AB26" s="48"/>
      <c r="AC26" s="63"/>
      <c r="AD26" s="63"/>
    </row>
    <row r="27" spans="1:30" ht="22.5" customHeight="1">
      <c r="A27" s="32">
        <v>26</v>
      </c>
      <c r="B27" s="59" t="str">
        <f>VLOOKUP(C27,Lists!I:J,2,FALSE)</f>
        <v>Melee DPS</v>
      </c>
      <c r="C27" s="34" t="str">
        <f>VLOOKUP(E27&amp;D27,Lists!C:E,3,FALSE)</f>
        <v>Greatsword/Spear</v>
      </c>
      <c r="D27" s="35" t="s">
        <v>34</v>
      </c>
      <c r="E27" s="36" t="s">
        <v>179</v>
      </c>
      <c r="F27" s="35" t="s">
        <v>476</v>
      </c>
      <c r="G27" s="32">
        <v>10</v>
      </c>
      <c r="H27" s="32">
        <v>34</v>
      </c>
      <c r="I27" s="84">
        <f t="shared" si="0"/>
        <v>44</v>
      </c>
      <c r="J27" s="37">
        <v>590069</v>
      </c>
      <c r="K27" s="37">
        <v>723412</v>
      </c>
      <c r="L27" s="37">
        <v>45266</v>
      </c>
      <c r="M27" s="38">
        <f>I27/(HLOOKUP(F27,Team_Composition_23[[#All],[Yellow]:[Red]],10,FALSE)+HLOOKUP(F27,Team_Composition_23[[#All],[Yellow]:[Red]],11,FALSE))</f>
        <v>1.0997250687328168E-2</v>
      </c>
      <c r="N27" s="38">
        <f>J27/HLOOKUP(F27,Team_Composition_23[[#All],[Yellow]:[Red]],6,FALSE)</f>
        <v>1.3300749256298932E-2</v>
      </c>
      <c r="O27" s="38">
        <f>K27/HLOOKUP(F27,Team_Composition_23[[#All],[Yellow]:[Red]],8,FALSE)</f>
        <v>4.1293554801785946E-2</v>
      </c>
      <c r="P27" s="38">
        <f>L27/HLOOKUP(F27,Team_Composition_23[[#All],[Yellow]:[Red]],7,FALSE)</f>
        <v>3.496855178777165E-3</v>
      </c>
      <c r="Q27" s="31"/>
      <c r="R27" s="31"/>
      <c r="S27" s="64"/>
      <c r="T27" s="64"/>
      <c r="U27" s="31"/>
      <c r="V27" s="31"/>
      <c r="W27" s="31"/>
      <c r="X27" s="31"/>
      <c r="Y27" s="31"/>
      <c r="Z27" s="31"/>
      <c r="AA27" s="31"/>
      <c r="AB27" s="31"/>
      <c r="AC27" s="64"/>
      <c r="AD27" s="64"/>
    </row>
    <row r="28" spans="1:30" ht="22.5" customHeight="1">
      <c r="A28" s="32">
        <v>35</v>
      </c>
      <c r="B28" s="62" t="str">
        <f>VLOOKUP(C28,Lists!I:J,2,FALSE)</f>
        <v>Tank</v>
      </c>
      <c r="C28" s="34" t="str">
        <f>VLOOKUP(E28&amp;D28,Lists!C:E,3,FALSE)</f>
        <v>SnS/Greatsword</v>
      </c>
      <c r="D28" s="35" t="s">
        <v>34</v>
      </c>
      <c r="E28" s="36" t="s">
        <v>93</v>
      </c>
      <c r="F28" s="35" t="s">
        <v>476</v>
      </c>
      <c r="G28" s="32">
        <v>5</v>
      </c>
      <c r="H28" s="32">
        <v>39</v>
      </c>
      <c r="I28" s="84">
        <f t="shared" si="0"/>
        <v>44</v>
      </c>
      <c r="J28" s="37">
        <v>150439</v>
      </c>
      <c r="K28" s="37">
        <v>372224</v>
      </c>
      <c r="L28" s="37">
        <v>22701</v>
      </c>
      <c r="M28" s="38">
        <f>I28/(HLOOKUP(F28,Team_Composition_23[[#All],[Yellow]:[Red]],10,FALSE)+HLOOKUP(F28,Team_Composition_23[[#All],[Yellow]:[Red]],11,FALSE))</f>
        <v>1.0997250687328168E-2</v>
      </c>
      <c r="N28" s="38">
        <f>J28/HLOOKUP(F28,Team_Composition_23[[#All],[Yellow]:[Red]],6,FALSE)</f>
        <v>3.3910465002709089E-3</v>
      </c>
      <c r="O28" s="38">
        <f>K28/HLOOKUP(F28,Team_Composition_23[[#All],[Yellow]:[Red]],8,FALSE)</f>
        <v>2.1247162256832861E-2</v>
      </c>
      <c r="P28" s="38">
        <f>L28/HLOOKUP(F28,Team_Composition_23[[#All],[Yellow]:[Red]],7,FALSE)</f>
        <v>1.7536806745332132E-3</v>
      </c>
      <c r="Q28" s="31"/>
      <c r="R28" s="227" t="s">
        <v>39</v>
      </c>
      <c r="S28" s="228"/>
      <c r="T28" s="228"/>
      <c r="U28" s="31"/>
      <c r="V28" s="31"/>
      <c r="W28" s="31"/>
      <c r="X28" s="31"/>
      <c r="Y28" s="31"/>
      <c r="Z28" s="31"/>
      <c r="AA28" s="31"/>
      <c r="AB28" s="227" t="s">
        <v>39</v>
      </c>
      <c r="AC28" s="228"/>
      <c r="AD28" s="228"/>
    </row>
    <row r="29" spans="1:30" ht="22.5" customHeight="1">
      <c r="A29" s="32">
        <v>19</v>
      </c>
      <c r="B29" s="56" t="str">
        <f>VLOOKUP(C29,Lists!I:J,2,FALSE)</f>
        <v>Ranged DPS</v>
      </c>
      <c r="C29" s="34" t="str">
        <f>VLOOKUP(E29&amp;D29,Lists!C:E,3,FALSE)</f>
        <v>Crossbow/SnS</v>
      </c>
      <c r="D29" s="35" t="s">
        <v>30</v>
      </c>
      <c r="E29" s="36" t="s">
        <v>405</v>
      </c>
      <c r="F29" s="35" t="s">
        <v>483</v>
      </c>
      <c r="G29" s="32">
        <v>17</v>
      </c>
      <c r="H29" s="32">
        <v>26</v>
      </c>
      <c r="I29" s="84">
        <f t="shared" si="0"/>
        <v>43</v>
      </c>
      <c r="J29" s="37">
        <v>1720882</v>
      </c>
      <c r="K29" s="37">
        <v>477321</v>
      </c>
      <c r="L29" s="37">
        <v>31459</v>
      </c>
      <c r="M29" s="38">
        <f>I29/(HLOOKUP(F29,Team_Composition_23[[#All],[Yellow]:[Red]],10,FALSE)+HLOOKUP(F29,Team_Composition_23[[#All],[Yellow]:[Red]],11,FALSE))</f>
        <v>5.2375152253349572E-2</v>
      </c>
      <c r="N29" s="38">
        <f>J29/HLOOKUP(F29,Team_Composition_23[[#All],[Yellow]:[Red]],6,FALSE)</f>
        <v>9.7525786458287578E-2</v>
      </c>
      <c r="O29" s="38">
        <f>K29/HLOOKUP(F29,Team_Composition_23[[#All],[Yellow]:[Red]],8,FALSE)</f>
        <v>1.0844276452770358E-2</v>
      </c>
      <c r="P29" s="38">
        <f>L29/HLOOKUP(F29,Team_Composition_23[[#All],[Yellow]:[Red]],7,FALSE)</f>
        <v>1.2962942894196318E-3</v>
      </c>
      <c r="Q29" s="31"/>
      <c r="R29" s="41" t="s">
        <v>482</v>
      </c>
      <c r="S29" s="42" t="s">
        <v>476</v>
      </c>
      <c r="T29" s="42" t="s">
        <v>483</v>
      </c>
      <c r="U29" s="31"/>
      <c r="V29" s="31"/>
      <c r="W29" s="31"/>
      <c r="X29" s="31"/>
      <c r="Y29" s="31"/>
      <c r="Z29" s="31"/>
      <c r="AA29" s="31"/>
      <c r="AB29" s="41" t="s">
        <v>482</v>
      </c>
      <c r="AC29" s="42" t="s">
        <v>485</v>
      </c>
      <c r="AD29" s="42" t="s">
        <v>36</v>
      </c>
    </row>
    <row r="30" spans="1:30" ht="22.5" customHeight="1">
      <c r="A30" s="32">
        <v>47</v>
      </c>
      <c r="B30" s="34" t="str">
        <f>VLOOKUP(C30,Lists!I:J,2,FALSE)</f>
        <v>Healer</v>
      </c>
      <c r="C30" s="34" t="str">
        <f>VLOOKUP(E30&amp;D30,Lists!C:E,3,FALSE)</f>
        <v>Wand/Orb</v>
      </c>
      <c r="D30" s="35" t="s">
        <v>30</v>
      </c>
      <c r="E30" s="36" t="s">
        <v>200</v>
      </c>
      <c r="F30" s="35" t="s">
        <v>483</v>
      </c>
      <c r="G30" s="32">
        <v>0</v>
      </c>
      <c r="H30" s="32">
        <v>43</v>
      </c>
      <c r="I30" s="84">
        <f t="shared" si="0"/>
        <v>43</v>
      </c>
      <c r="J30" s="37">
        <v>305</v>
      </c>
      <c r="K30" s="37">
        <v>197877</v>
      </c>
      <c r="L30" s="37">
        <v>362605</v>
      </c>
      <c r="M30" s="38">
        <f>I30/(HLOOKUP(F30,Team_Composition_23[[#All],[Yellow]:[Red]],10,FALSE)+HLOOKUP(F30,Team_Composition_23[[#All],[Yellow]:[Red]],11,FALSE))</f>
        <v>5.2375152253349572E-2</v>
      </c>
      <c r="N30" s="38">
        <f>J30/HLOOKUP(F30,Team_Composition_23[[#All],[Yellow]:[Red]],6,FALSE)</f>
        <v>1.7284953221532746E-5</v>
      </c>
      <c r="O30" s="38">
        <f>K30/HLOOKUP(F30,Team_Composition_23[[#All],[Yellow]:[Red]],8,FALSE)</f>
        <v>4.4955761251753851E-3</v>
      </c>
      <c r="P30" s="38">
        <f>L30/HLOOKUP(F30,Team_Composition_23[[#All],[Yellow]:[Red]],7,FALSE)</f>
        <v>1.4941440949013181E-2</v>
      </c>
      <c r="Q30" s="31"/>
      <c r="R30" s="45" t="s">
        <v>468</v>
      </c>
      <c r="S30" s="46">
        <f>SUMIFS(Scoreboard_34[Damage Dealt],Scoreboard_34[Role],"Ranged DPS",Scoreboard_34[Team],"Yellow")</f>
        <v>8224757</v>
      </c>
      <c r="T30" s="47">
        <f>SUMIFS(Scoreboard_34[Damage Dealt],Scoreboard_34[Role],"Ranged DPS",Scoreboard_34[Team],"Red")</f>
        <v>6328555</v>
      </c>
      <c r="U30" s="31"/>
      <c r="V30" s="31"/>
      <c r="W30" s="31"/>
      <c r="X30" s="31"/>
      <c r="Y30" s="31"/>
      <c r="Z30" s="31"/>
      <c r="AA30" s="31"/>
      <c r="AB30" s="45" t="s">
        <v>468</v>
      </c>
      <c r="AC30" s="50">
        <f>SUMIFS(Scoreboard_34[Damage Dealt],Scoreboard_34[Role],"Ranged DPS",Scoreboard_34[Guild],"Best Regards")</f>
        <v>8224757</v>
      </c>
      <c r="AD30" s="51">
        <f>SUMIFS(Scoreboard_34[Damage Dealt],Scoreboard_34[Role],"Ranged DPS",Scoreboard_34[Guild],"Unhinged肉")</f>
        <v>0</v>
      </c>
    </row>
    <row r="31" spans="1:30" ht="22.5" customHeight="1">
      <c r="A31" s="32">
        <v>22</v>
      </c>
      <c r="B31" s="54" t="str">
        <f>VLOOKUP(C31,Lists!I:J,2,FALSE)</f>
        <v>Melee DPS</v>
      </c>
      <c r="C31" s="34" t="str">
        <f>VLOOKUP(E31&amp;D31,Lists!C:E,3,FALSE)</f>
        <v>Spear/Dagger</v>
      </c>
      <c r="D31" s="35" t="s">
        <v>30</v>
      </c>
      <c r="E31" s="36" t="s">
        <v>400</v>
      </c>
      <c r="F31" s="35" t="s">
        <v>483</v>
      </c>
      <c r="G31" s="32">
        <v>14</v>
      </c>
      <c r="H31" s="32">
        <v>28</v>
      </c>
      <c r="I31" s="84">
        <f t="shared" si="0"/>
        <v>42</v>
      </c>
      <c r="J31" s="37">
        <v>705843</v>
      </c>
      <c r="K31" s="37">
        <v>698738</v>
      </c>
      <c r="L31" s="37">
        <v>73892</v>
      </c>
      <c r="M31" s="38">
        <f>I31/(HLOOKUP(F31,Team_Composition_23[[#All],[Yellow]:[Red]],10,FALSE)+HLOOKUP(F31,Team_Composition_23[[#All],[Yellow]:[Red]],11,FALSE))</f>
        <v>5.1157125456760051E-2</v>
      </c>
      <c r="N31" s="38">
        <f>J31/HLOOKUP(F31,Team_Composition_23[[#All],[Yellow]:[Red]],6,FALSE)</f>
        <v>4.0001518809004384E-2</v>
      </c>
      <c r="O31" s="38">
        <f>K31/HLOOKUP(F31,Team_Composition_23[[#All],[Yellow]:[Red]],8,FALSE)</f>
        <v>1.5874658856526017E-2</v>
      </c>
      <c r="P31" s="38">
        <f>L31/HLOOKUP(F31,Team_Composition_23[[#All],[Yellow]:[Red]],7,FALSE)</f>
        <v>3.0447813863694155E-3</v>
      </c>
      <c r="Q31" s="31"/>
      <c r="R31" s="45" t="s">
        <v>469</v>
      </c>
      <c r="S31" s="46">
        <f>SUMIFS(Scoreboard_34[Damage Taken],Scoreboard_34[Role],"Ranged DPS",Scoreboard_34[Team],"Yellow")</f>
        <v>3207803</v>
      </c>
      <c r="T31" s="47">
        <f>SUMIFS(Scoreboard_34[Damage Taken],Scoreboard_34[Role],"Ranged DPS",Scoreboard_34[Team],"Red")</f>
        <v>2942769</v>
      </c>
      <c r="U31" s="31"/>
      <c r="V31" s="31"/>
      <c r="W31" s="31"/>
      <c r="X31" s="31"/>
      <c r="Y31" s="31"/>
      <c r="Z31" s="31"/>
      <c r="AA31" s="31"/>
      <c r="AB31" s="45" t="s">
        <v>469</v>
      </c>
      <c r="AC31" s="50">
        <f>SUMIFS(Scoreboard_34[Damage Taken],Scoreboard_34[Role],"Ranged DPS",Scoreboard_34[Guild],"Best Regards")</f>
        <v>3207803</v>
      </c>
      <c r="AD31" s="51">
        <f>SUMIFS(Scoreboard_34[Damage Taken],Scoreboard_34[Role],"Ranged DPS",Scoreboard_34[Guild],"Unhinged肉")</f>
        <v>0</v>
      </c>
    </row>
    <row r="32" spans="1:30" ht="22.5" customHeight="1">
      <c r="A32" s="32">
        <v>28</v>
      </c>
      <c r="B32" s="68" t="str">
        <f>VLOOKUP(C32,Lists!I:J,2,FALSE)</f>
        <v>Melee DPS</v>
      </c>
      <c r="C32" s="34" t="str">
        <f>VLOOKUP(E32&amp;D32,Lists!C:E,3,FALSE)</f>
        <v>Greatsword/Spear</v>
      </c>
      <c r="D32" s="35" t="s">
        <v>30</v>
      </c>
      <c r="E32" s="36" t="s">
        <v>222</v>
      </c>
      <c r="F32" s="35" t="s">
        <v>483</v>
      </c>
      <c r="G32" s="32">
        <v>9</v>
      </c>
      <c r="H32" s="32">
        <v>33</v>
      </c>
      <c r="I32" s="84">
        <f t="shared" si="0"/>
        <v>42</v>
      </c>
      <c r="J32" s="37">
        <v>894659</v>
      </c>
      <c r="K32" s="37">
        <v>677722</v>
      </c>
      <c r="L32" s="37">
        <v>57444</v>
      </c>
      <c r="M32" s="38">
        <f>I32/(HLOOKUP(F32,Team_Composition_23[[#All],[Yellow]:[Red]],10,FALSE)+HLOOKUP(F32,Team_Composition_23[[#All],[Yellow]:[Red]],11,FALSE))</f>
        <v>5.1157125456760051E-2</v>
      </c>
      <c r="N32" s="38">
        <f>J32/HLOOKUP(F32,Team_Composition_23[[#All],[Yellow]:[Red]],6,FALSE)</f>
        <v>5.070209496466644E-2</v>
      </c>
      <c r="O32" s="38">
        <f>K32/HLOOKUP(F32,Team_Composition_23[[#All],[Yellow]:[Red]],8,FALSE)</f>
        <v>1.5397195443159702E-2</v>
      </c>
      <c r="P32" s="38">
        <f>L32/HLOOKUP(F32,Team_Composition_23[[#All],[Yellow]:[Red]],7,FALSE)</f>
        <v>2.3670278508986725E-3</v>
      </c>
      <c r="Q32" s="31"/>
      <c r="R32" s="45" t="s">
        <v>470</v>
      </c>
      <c r="S32" s="46">
        <f>SUMIFS(Scoreboard_34[Amount Healed],Scoreboard_34[Role],"Ranged DPS",Scoreboard_34[Team],"Yellow")</f>
        <v>210095</v>
      </c>
      <c r="T32" s="47">
        <f>SUMIFS(Scoreboard_34[Amount Healed],Scoreboard_34[Role],"Ranged DPS",Scoreboard_34[Team],"Red")</f>
        <v>632476</v>
      </c>
      <c r="U32" s="31"/>
      <c r="V32" s="31"/>
      <c r="W32" s="31"/>
      <c r="X32" s="31"/>
      <c r="Y32" s="31"/>
      <c r="Z32" s="31"/>
      <c r="AA32" s="31"/>
      <c r="AB32" s="45" t="s">
        <v>470</v>
      </c>
      <c r="AC32" s="50">
        <f>SUMIFS(Scoreboard_34[Amount Healed],Scoreboard_34[Role],"Ranged DPS",Scoreboard_34[Guild],"Best Regards")</f>
        <v>210095</v>
      </c>
      <c r="AD32" s="51">
        <f>SUMIFS(Scoreboard_34[Amount Healed],Scoreboard_34[Role],"Ranged DPS",Scoreboard_34[Guild],"Unhinged肉")</f>
        <v>0</v>
      </c>
    </row>
    <row r="33" spans="1:30" ht="22.5" customHeight="1">
      <c r="A33" s="32">
        <v>48</v>
      </c>
      <c r="B33" s="61" t="str">
        <f>VLOOKUP(C33,Lists!I:J,2,FALSE)</f>
        <v>Healer</v>
      </c>
      <c r="C33" s="34" t="str">
        <f>VLOOKUP(E33&amp;D33,Lists!C:E,3,FALSE)</f>
        <v>Wand/Longbow</v>
      </c>
      <c r="D33" s="35" t="s">
        <v>34</v>
      </c>
      <c r="E33" s="36" t="s">
        <v>106</v>
      </c>
      <c r="F33" s="35" t="s">
        <v>476</v>
      </c>
      <c r="G33" s="32">
        <v>0</v>
      </c>
      <c r="H33" s="32">
        <v>42</v>
      </c>
      <c r="I33" s="84">
        <f t="shared" si="0"/>
        <v>42</v>
      </c>
      <c r="J33" s="37">
        <v>5268</v>
      </c>
      <c r="K33" s="37">
        <v>176854</v>
      </c>
      <c r="L33" s="37">
        <v>315893</v>
      </c>
      <c r="M33" s="38">
        <f>I33/(HLOOKUP(F33,Team_Composition_23[[#All],[Yellow]:[Red]],10,FALSE)+HLOOKUP(F33,Team_Composition_23[[#All],[Yellow]:[Red]],11,FALSE))</f>
        <v>1.0497375656085979E-2</v>
      </c>
      <c r="N33" s="38">
        <f>J33/HLOOKUP(F33,Team_Composition_23[[#All],[Yellow]:[Red]],6,FALSE)</f>
        <v>1.1874602306201949E-4</v>
      </c>
      <c r="O33" s="38">
        <f>K33/HLOOKUP(F33,Team_Composition_23[[#All],[Yellow]:[Red]],8,FALSE)</f>
        <v>1.0095119158812754E-2</v>
      </c>
      <c r="P33" s="38">
        <f>L33/HLOOKUP(F33,Team_Composition_23[[#All],[Yellow]:[Red]],7,FALSE)</f>
        <v>2.4403129788129172E-2</v>
      </c>
      <c r="Q33" s="31"/>
      <c r="R33" s="45" t="s">
        <v>465</v>
      </c>
      <c r="S33" s="46">
        <f>SUMIFS(Scoreboard_34[Kills],Scoreboard_34[Role],"Ranged DPS",Scoreboard_34[Team],"Yellow")</f>
        <v>110</v>
      </c>
      <c r="T33" s="47">
        <f>SUMIFS(Scoreboard_34[Kills],Scoreboard_34[Role],"Ranged DPS",Scoreboard_34[Team],"Red")</f>
        <v>73</v>
      </c>
      <c r="U33" s="31"/>
      <c r="V33" s="31"/>
      <c r="W33" s="31"/>
      <c r="X33" s="31"/>
      <c r="Y33" s="31"/>
      <c r="Z33" s="31"/>
      <c r="AA33" s="31"/>
      <c r="AB33" s="45" t="s">
        <v>465</v>
      </c>
      <c r="AC33" s="50">
        <f>SUMIFS(Scoreboard_34[Kills],Scoreboard_34[Role],"Ranged DPS",Scoreboard_34[Guild],"Best Regards")</f>
        <v>110</v>
      </c>
      <c r="AD33" s="51">
        <f>SUMIFS(Scoreboard_34[Kills],Scoreboard_34[Role],"Ranged DPS",Scoreboard_34[Guild],"Unhinged肉")</f>
        <v>0</v>
      </c>
    </row>
    <row r="34" spans="1:30" ht="22.5" customHeight="1">
      <c r="A34" s="32">
        <v>16</v>
      </c>
      <c r="B34" s="60" t="str">
        <f>VLOOKUP(C34,Lists!I:J,2,FALSE)</f>
        <v>KS</v>
      </c>
      <c r="C34" s="34" t="str">
        <f>VLOOKUP(E34&amp;D34,Lists!C:E,3,FALSE)</f>
        <v>Crossbow/Dagger</v>
      </c>
      <c r="D34" s="35" t="s">
        <v>30</v>
      </c>
      <c r="E34" s="36" t="s">
        <v>401</v>
      </c>
      <c r="F34" s="35" t="s">
        <v>483</v>
      </c>
      <c r="G34" s="32">
        <v>19</v>
      </c>
      <c r="H34" s="32">
        <v>22</v>
      </c>
      <c r="I34" s="84">
        <f t="shared" si="0"/>
        <v>41</v>
      </c>
      <c r="J34" s="37">
        <v>793209</v>
      </c>
      <c r="K34" s="37">
        <v>409364</v>
      </c>
      <c r="L34" s="37">
        <v>19451</v>
      </c>
      <c r="M34" s="38">
        <f>I34/(HLOOKUP(F34,Team_Composition_23[[#All],[Yellow]:[Red]],10,FALSE)+HLOOKUP(F34,Team_Composition_23[[#All],[Yellow]:[Red]],11,FALSE))</f>
        <v>4.9939098660170524E-2</v>
      </c>
      <c r="N34" s="38">
        <f>J34/HLOOKUP(F34,Team_Composition_23[[#All],[Yellow]:[Red]],6,FALSE)</f>
        <v>4.4952722819340221E-2</v>
      </c>
      <c r="O34" s="38">
        <f>K34/HLOOKUP(F34,Team_Composition_23[[#All],[Yellow]:[Red]],8,FALSE)</f>
        <v>9.3003584292580561E-3</v>
      </c>
      <c r="P34" s="38">
        <f>L34/HLOOKUP(F34,Team_Composition_23[[#All],[Yellow]:[Red]],7,FALSE)</f>
        <v>8.0149465092664292E-4</v>
      </c>
      <c r="Q34" s="31"/>
      <c r="R34" s="45" t="s">
        <v>466</v>
      </c>
      <c r="S34" s="46">
        <f>SUMIFS(Scoreboard_34[Assists],Scoreboard_34[Role],"Ranged DPS",Scoreboard_34[Team],"Yellow")</f>
        <v>297</v>
      </c>
      <c r="T34" s="47">
        <f>SUMIFS(Scoreboard_34[Assists],Scoreboard_34[Role],"Ranged DPS",Scoreboard_34[Team],"Red")</f>
        <v>141</v>
      </c>
      <c r="U34" s="31"/>
      <c r="V34" s="31"/>
      <c r="W34" s="31"/>
      <c r="X34" s="31"/>
      <c r="Y34" s="31"/>
      <c r="Z34" s="31"/>
      <c r="AA34" s="31"/>
      <c r="AB34" s="45" t="s">
        <v>466</v>
      </c>
      <c r="AC34" s="50">
        <f>SUMIFS(Scoreboard_34[Assists],Scoreboard_34[Role],"Ranged DPS",Scoreboard_34[Guild],"Best Regards")</f>
        <v>297</v>
      </c>
      <c r="AD34" s="51">
        <f>SUMIFS(Scoreboard_34[Assists],Scoreboard_34[Role],"Ranged DPS",Scoreboard_34[Team],"Unhinged肉")</f>
        <v>0</v>
      </c>
    </row>
    <row r="35" spans="1:30" ht="22.5" customHeight="1">
      <c r="A35" s="32">
        <v>49</v>
      </c>
      <c r="B35" s="67" t="str">
        <f>VLOOKUP(C35,Lists!I:J,2,FALSE)</f>
        <v>Healer</v>
      </c>
      <c r="C35" s="34" t="str">
        <f>VLOOKUP(E35&amp;D35,Lists!C:E,3,FALSE)</f>
        <v>Wand/Orb</v>
      </c>
      <c r="D35" s="35" t="s">
        <v>34</v>
      </c>
      <c r="E35" s="36" t="s">
        <v>96</v>
      </c>
      <c r="F35" s="35" t="s">
        <v>476</v>
      </c>
      <c r="G35" s="32">
        <v>0</v>
      </c>
      <c r="H35" s="32">
        <v>39</v>
      </c>
      <c r="I35" s="84">
        <f t="shared" si="0"/>
        <v>39</v>
      </c>
      <c r="J35" s="37">
        <v>2655</v>
      </c>
      <c r="K35" s="37">
        <v>145477</v>
      </c>
      <c r="L35" s="37">
        <v>308473</v>
      </c>
      <c r="M35" s="38">
        <f>I35/(HLOOKUP(F35,Team_Composition_23[[#All],[Yellow]:[Red]],10,FALSE)+HLOOKUP(F35,Team_Composition_23[[#All],[Yellow]:[Red]],11,FALSE))</f>
        <v>9.7475631092226941E-3</v>
      </c>
      <c r="N35" s="38">
        <f>J35/HLOOKUP(F35,Team_Composition_23[[#All],[Yellow]:[Red]],6,FALSE)</f>
        <v>5.9846372670778612E-5</v>
      </c>
      <c r="O35" s="38">
        <f>K35/HLOOKUP(F35,Team_Composition_23[[#All],[Yellow]:[Red]],8,FALSE)</f>
        <v>8.3040680440736592E-3</v>
      </c>
      <c r="P35" s="38">
        <f>L35/HLOOKUP(F35,Team_Composition_23[[#All],[Yellow]:[Red]],7,FALSE)</f>
        <v>2.3829925497347425E-2</v>
      </c>
      <c r="Q35" s="31"/>
      <c r="R35" s="45" t="s">
        <v>54</v>
      </c>
      <c r="S35" s="46">
        <f t="shared" ref="S35:S46" si="5">COUNTIFS(C:C,R35,F:F,"Yellow")</f>
        <v>3</v>
      </c>
      <c r="T35" s="47">
        <f t="shared" ref="T35:T46" si="6">COUNTIFS(C:C,R35,F:F,"Red")</f>
        <v>2</v>
      </c>
      <c r="U35" s="31"/>
      <c r="V35" s="31"/>
      <c r="W35" s="31"/>
      <c r="X35" s="31"/>
      <c r="Y35" s="31"/>
      <c r="Z35" s="31"/>
      <c r="AA35" s="31"/>
      <c r="AB35" s="45" t="s">
        <v>54</v>
      </c>
      <c r="AC35" s="50">
        <f t="shared" ref="AC35:AC46" si="7">COUNTIFS(C:C,AB35,D:D,"Best Regards")</f>
        <v>3</v>
      </c>
      <c r="AD35" s="51">
        <f t="shared" ref="AD35:AD46" si="8">COUNTIFS(C:C,AB35,D:D,"Unhinged肉")</f>
        <v>0</v>
      </c>
    </row>
    <row r="36" spans="1:30" ht="22.5" customHeight="1">
      <c r="A36" s="32">
        <v>50</v>
      </c>
      <c r="B36" s="62" t="str">
        <f>VLOOKUP(C36,Lists!I:J,2,FALSE)</f>
        <v>Healer</v>
      </c>
      <c r="C36" s="34" t="str">
        <f>VLOOKUP(E36&amp;D36,Lists!C:E,3,FALSE)</f>
        <v>Wand/Orb</v>
      </c>
      <c r="D36" s="35" t="s">
        <v>30</v>
      </c>
      <c r="E36" s="36" t="s">
        <v>439</v>
      </c>
      <c r="F36" s="35" t="s">
        <v>483</v>
      </c>
      <c r="G36" s="32">
        <v>0</v>
      </c>
      <c r="H36" s="32">
        <v>38</v>
      </c>
      <c r="I36" s="84">
        <f t="shared" si="0"/>
        <v>38</v>
      </c>
      <c r="J36" s="37">
        <v>1695</v>
      </c>
      <c r="K36" s="37">
        <v>188980</v>
      </c>
      <c r="L36" s="37">
        <v>198513</v>
      </c>
      <c r="M36" s="38">
        <f>I36/(HLOOKUP(F36,Team_Composition_23[[#All],[Yellow]:[Red]],10,FALSE)+HLOOKUP(F36,Team_Composition_23[[#All],[Yellow]:[Red]],11,FALSE))</f>
        <v>4.6285018270401948E-2</v>
      </c>
      <c r="N36" s="38">
        <f>J36/HLOOKUP(F36,Team_Composition_23[[#All],[Yellow]:[Red]],6,FALSE)</f>
        <v>9.6059002329501646E-5</v>
      </c>
      <c r="O36" s="38">
        <f>K36/HLOOKUP(F36,Team_Composition_23[[#All],[Yellow]:[Red]],8,FALSE)</f>
        <v>4.2934447972005048E-3</v>
      </c>
      <c r="P36" s="38">
        <f>L36/HLOOKUP(F36,Team_Composition_23[[#All],[Yellow]:[Red]],7,FALSE)</f>
        <v>8.179893457374977E-3</v>
      </c>
      <c r="Q36" s="31"/>
      <c r="R36" s="45" t="s">
        <v>43</v>
      </c>
      <c r="S36" s="46">
        <f t="shared" si="5"/>
        <v>0</v>
      </c>
      <c r="T36" s="47">
        <f t="shared" si="6"/>
        <v>0</v>
      </c>
      <c r="U36" s="31"/>
      <c r="V36" s="31"/>
      <c r="W36" s="31"/>
      <c r="X36" s="31"/>
      <c r="Y36" s="31"/>
      <c r="Z36" s="31"/>
      <c r="AA36" s="31"/>
      <c r="AB36" s="45" t="s">
        <v>43</v>
      </c>
      <c r="AC36" s="50">
        <f t="shared" si="7"/>
        <v>0</v>
      </c>
      <c r="AD36" s="51">
        <f t="shared" si="8"/>
        <v>0</v>
      </c>
    </row>
    <row r="37" spans="1:30" ht="22.5" customHeight="1">
      <c r="A37" s="32">
        <v>51</v>
      </c>
      <c r="B37" s="69" t="str">
        <f>VLOOKUP(C37,Lists!I:J,2,FALSE)</f>
        <v>Healer</v>
      </c>
      <c r="C37" s="34" t="str">
        <f>VLOOKUP(E37&amp;D37,Lists!C:E,3,FALSE)</f>
        <v>Wand/Longbow</v>
      </c>
      <c r="D37" s="35" t="s">
        <v>34</v>
      </c>
      <c r="E37" s="36" t="s">
        <v>44</v>
      </c>
      <c r="F37" s="35" t="s">
        <v>476</v>
      </c>
      <c r="G37" s="32">
        <v>0</v>
      </c>
      <c r="H37" s="32">
        <v>37</v>
      </c>
      <c r="I37" s="84">
        <f t="shared" si="0"/>
        <v>37</v>
      </c>
      <c r="J37" s="37">
        <v>47589</v>
      </c>
      <c r="K37" s="37">
        <v>444434</v>
      </c>
      <c r="L37" s="37">
        <v>1199401</v>
      </c>
      <c r="M37" s="38">
        <f>I37/(HLOOKUP(F37,Team_Composition_23[[#All],[Yellow]:[Red]],10,FALSE)+HLOOKUP(F37,Team_Composition_23[[#All],[Yellow]:[Red]],11,FALSE))</f>
        <v>9.2476880779805044E-3</v>
      </c>
      <c r="N37" s="38">
        <f>J37/HLOOKUP(F37,Team_Composition_23[[#All],[Yellow]:[Red]],6,FALSE)</f>
        <v>1.0727039657362273E-3</v>
      </c>
      <c r="O37" s="38">
        <f>K37/HLOOKUP(F37,Team_Composition_23[[#All],[Yellow]:[Red]],8,FALSE)</f>
        <v>2.5369028623767557E-2</v>
      </c>
      <c r="P37" s="38">
        <f>L37/HLOOKUP(F37,Team_Composition_23[[#All],[Yellow]:[Red]],7,FALSE)</f>
        <v>9.2655229052280089E-2</v>
      </c>
      <c r="Q37" s="31"/>
      <c r="R37" s="45" t="s">
        <v>45</v>
      </c>
      <c r="S37" s="46">
        <f t="shared" si="5"/>
        <v>3</v>
      </c>
      <c r="T37" s="47">
        <f t="shared" si="6"/>
        <v>3</v>
      </c>
      <c r="U37" s="31"/>
      <c r="V37" s="31"/>
      <c r="W37" s="31"/>
      <c r="X37" s="31"/>
      <c r="Y37" s="31"/>
      <c r="Z37" s="31"/>
      <c r="AA37" s="31"/>
      <c r="AB37" s="45" t="s">
        <v>45</v>
      </c>
      <c r="AC37" s="50">
        <f t="shared" si="7"/>
        <v>3</v>
      </c>
      <c r="AD37" s="51">
        <f t="shared" si="8"/>
        <v>0</v>
      </c>
    </row>
    <row r="38" spans="1:30" ht="22.5" customHeight="1">
      <c r="A38" s="32">
        <v>29</v>
      </c>
      <c r="B38" s="55" t="str">
        <f>VLOOKUP(C38,Lists!I:J,2,FALSE)</f>
        <v>Ranged DPS</v>
      </c>
      <c r="C38" s="34" t="str">
        <f>VLOOKUP(E38&amp;D38,Lists!C:E,3,FALSE)</f>
        <v>Crossbow/SnS</v>
      </c>
      <c r="D38" s="35" t="s">
        <v>30</v>
      </c>
      <c r="E38" s="36" t="s">
        <v>403</v>
      </c>
      <c r="F38" s="35" t="s">
        <v>483</v>
      </c>
      <c r="G38" s="32">
        <v>9</v>
      </c>
      <c r="H38" s="32">
        <v>27</v>
      </c>
      <c r="I38" s="84">
        <f t="shared" si="0"/>
        <v>36</v>
      </c>
      <c r="J38" s="37">
        <v>947014</v>
      </c>
      <c r="K38" s="37">
        <v>620339</v>
      </c>
      <c r="L38" s="37">
        <v>20398</v>
      </c>
      <c r="M38" s="38">
        <f>I38/(HLOOKUP(F38,Team_Composition_23[[#All],[Yellow]:[Red]],10,FALSE)+HLOOKUP(F38,Team_Composition_23[[#All],[Yellow]:[Red]],11,FALSE))</f>
        <v>4.38489646772229E-2</v>
      </c>
      <c r="N38" s="38">
        <f>J38/HLOOKUP(F38,Team_Composition_23[[#All],[Yellow]:[Red]],6,FALSE)</f>
        <v>5.3669156361103643E-2</v>
      </c>
      <c r="O38" s="38">
        <f>K38/HLOOKUP(F38,Team_Composition_23[[#All],[Yellow]:[Red]],8,FALSE)</f>
        <v>1.4093508583186391E-2</v>
      </c>
      <c r="P38" s="38">
        <f>L38/HLOOKUP(F38,Team_Composition_23[[#All],[Yellow]:[Red]],7,FALSE)</f>
        <v>8.4051657444870001E-4</v>
      </c>
      <c r="Q38" s="31"/>
      <c r="R38" s="45" t="s">
        <v>81</v>
      </c>
      <c r="S38" s="46">
        <f t="shared" si="5"/>
        <v>1</v>
      </c>
      <c r="T38" s="47">
        <f t="shared" si="6"/>
        <v>0</v>
      </c>
      <c r="U38" s="31"/>
      <c r="V38" s="31"/>
      <c r="W38" s="31"/>
      <c r="X38" s="31"/>
      <c r="Y38" s="31"/>
      <c r="Z38" s="31"/>
      <c r="AA38" s="31"/>
      <c r="AB38" s="45" t="s">
        <v>81</v>
      </c>
      <c r="AC38" s="50">
        <f t="shared" si="7"/>
        <v>1</v>
      </c>
      <c r="AD38" s="51">
        <f t="shared" si="8"/>
        <v>0</v>
      </c>
    </row>
    <row r="39" spans="1:30" ht="22.5" customHeight="1">
      <c r="A39" s="32">
        <v>14</v>
      </c>
      <c r="B39" s="67" t="str">
        <f>VLOOKUP(C39,Lists!I:J,2,FALSE)</f>
        <v>Ranged DPS</v>
      </c>
      <c r="C39" s="34" t="str">
        <f>VLOOKUP(E39&amp;D39,Lists!C:E,3,FALSE)</f>
        <v>Staff/Orb</v>
      </c>
      <c r="D39" s="35" t="s">
        <v>30</v>
      </c>
      <c r="E39" s="36" t="s">
        <v>397</v>
      </c>
      <c r="F39" s="35" t="s">
        <v>483</v>
      </c>
      <c r="G39" s="32">
        <v>22</v>
      </c>
      <c r="H39" s="32">
        <v>13</v>
      </c>
      <c r="I39" s="84">
        <f t="shared" si="0"/>
        <v>35</v>
      </c>
      <c r="J39" s="37">
        <v>1419195</v>
      </c>
      <c r="K39" s="37">
        <v>454370</v>
      </c>
      <c r="L39" s="37">
        <v>93201</v>
      </c>
      <c r="M39" s="38">
        <f>I39/(HLOOKUP(F39,Team_Composition_23[[#All],[Yellow]:[Red]],10,FALSE)+HLOOKUP(F39,Team_Composition_23[[#All],[Yellow]:[Red]],11,FALSE))</f>
        <v>4.2630937880633372E-2</v>
      </c>
      <c r="N39" s="38">
        <f>J39/HLOOKUP(F39,Team_Composition_23[[#All],[Yellow]:[Red]],6,FALSE)</f>
        <v>8.0428587499125126E-2</v>
      </c>
      <c r="O39" s="38">
        <f>K39/HLOOKUP(F39,Team_Composition_23[[#All],[Yellow]:[Red]],8,FALSE)</f>
        <v>1.0322851690676227E-2</v>
      </c>
      <c r="P39" s="38">
        <f>L39/HLOOKUP(F39,Team_Composition_23[[#All],[Yellow]:[Red]],7,FALSE)</f>
        <v>3.8404248090593827E-3</v>
      </c>
      <c r="Q39" s="31"/>
      <c r="R39" s="45" t="s">
        <v>48</v>
      </c>
      <c r="S39" s="46">
        <f t="shared" si="5"/>
        <v>0</v>
      </c>
      <c r="T39" s="47">
        <f t="shared" si="6"/>
        <v>0</v>
      </c>
      <c r="U39" s="31"/>
      <c r="V39" s="31"/>
      <c r="W39" s="31"/>
      <c r="X39" s="31"/>
      <c r="Y39" s="31"/>
      <c r="Z39" s="31"/>
      <c r="AA39" s="31"/>
      <c r="AB39" s="45" t="s">
        <v>48</v>
      </c>
      <c r="AC39" s="50">
        <f t="shared" si="7"/>
        <v>0</v>
      </c>
      <c r="AD39" s="51">
        <f t="shared" si="8"/>
        <v>0</v>
      </c>
    </row>
    <row r="40" spans="1:30" ht="22.5" customHeight="1">
      <c r="A40" s="32">
        <v>17</v>
      </c>
      <c r="B40" s="68" t="s">
        <v>25</v>
      </c>
      <c r="C40" s="34" t="str">
        <f>VLOOKUP(E40&amp;D40,Lists!C:E,3,FALSE)</f>
        <v>Staff/Dagger</v>
      </c>
      <c r="D40" s="35" t="s">
        <v>30</v>
      </c>
      <c r="E40" s="36" t="s">
        <v>224</v>
      </c>
      <c r="F40" s="35" t="s">
        <v>483</v>
      </c>
      <c r="G40" s="32">
        <v>18</v>
      </c>
      <c r="H40" s="32">
        <v>16</v>
      </c>
      <c r="I40" s="84">
        <f t="shared" si="0"/>
        <v>34</v>
      </c>
      <c r="J40" s="37">
        <v>1374263</v>
      </c>
      <c r="K40" s="37">
        <v>428890</v>
      </c>
      <c r="L40" s="37">
        <v>74699</v>
      </c>
      <c r="M40" s="38">
        <f>I40/(HLOOKUP(F40,Team_Composition_23[[#All],[Yellow]:[Red]],10,FALSE)+HLOOKUP(F40,Team_Composition_23[[#All],[Yellow]:[Red]],11,FALSE))</f>
        <v>4.1412911084043852E-2</v>
      </c>
      <c r="N40" s="38">
        <f>J40/HLOOKUP(F40,Team_Composition_23[[#All],[Yellow]:[Red]],6,FALSE)</f>
        <v>7.7882202193715583E-2</v>
      </c>
      <c r="O40" s="38">
        <f>K40/HLOOKUP(F40,Team_Composition_23[[#All],[Yellow]:[Red]],8,FALSE)</f>
        <v>9.7439704681517858E-3</v>
      </c>
      <c r="P40" s="38">
        <f>L40/HLOOKUP(F40,Team_Composition_23[[#All],[Yellow]:[Red]],7,FALSE)</f>
        <v>3.0780344933201017E-3</v>
      </c>
      <c r="Q40" s="31"/>
      <c r="R40" s="45" t="s">
        <v>50</v>
      </c>
      <c r="S40" s="46">
        <f t="shared" si="5"/>
        <v>1</v>
      </c>
      <c r="T40" s="47">
        <f t="shared" si="6"/>
        <v>1</v>
      </c>
      <c r="U40" s="31"/>
      <c r="V40" s="31"/>
      <c r="W40" s="31"/>
      <c r="X40" s="31"/>
      <c r="Y40" s="31"/>
      <c r="Z40" s="31"/>
      <c r="AA40" s="31"/>
      <c r="AB40" s="45" t="s">
        <v>50</v>
      </c>
      <c r="AC40" s="50">
        <f t="shared" si="7"/>
        <v>1</v>
      </c>
      <c r="AD40" s="51">
        <f t="shared" si="8"/>
        <v>0</v>
      </c>
    </row>
    <row r="41" spans="1:30" ht="22.5" customHeight="1">
      <c r="A41" s="32">
        <v>24</v>
      </c>
      <c r="B41" s="40" t="str">
        <f>VLOOKUP(C41,Lists!I:J,2,FALSE)</f>
        <v>Melee DPS</v>
      </c>
      <c r="C41" s="34" t="str">
        <f>VLOOKUP(E41&amp;D41,Lists!C:E,3,FALSE)</f>
        <v>Spear/Dagger</v>
      </c>
      <c r="D41" s="35" t="s">
        <v>30</v>
      </c>
      <c r="E41" s="36" t="s">
        <v>228</v>
      </c>
      <c r="F41" s="35" t="s">
        <v>483</v>
      </c>
      <c r="G41" s="32">
        <v>12</v>
      </c>
      <c r="H41" s="32">
        <v>22</v>
      </c>
      <c r="I41" s="84">
        <f t="shared" si="0"/>
        <v>34</v>
      </c>
      <c r="J41" s="37">
        <v>757648</v>
      </c>
      <c r="K41" s="37">
        <v>762186</v>
      </c>
      <c r="L41" s="37">
        <v>99927</v>
      </c>
      <c r="M41" s="38">
        <f>I41/(HLOOKUP(F41,Team_Composition_23[[#All],[Yellow]:[Red]],10,FALSE)+HLOOKUP(F41,Team_Composition_23[[#All],[Yellow]:[Red]],11,FALSE))</f>
        <v>4.1412911084043852E-2</v>
      </c>
      <c r="N41" s="38">
        <f>J41/HLOOKUP(F41,Team_Composition_23[[#All],[Yellow]:[Red]],6,FALSE)</f>
        <v>4.2937410617665053E-2</v>
      </c>
      <c r="O41" s="38">
        <f>K41/HLOOKUP(F41,Team_Composition_23[[#All],[Yellow]:[Red]],8,FALSE)</f>
        <v>1.731613671393303E-2</v>
      </c>
      <c r="P41" s="38">
        <f>L41/HLOOKUP(F41,Team_Composition_23[[#All],[Yellow]:[Red]],7,FALSE)</f>
        <v>4.1175752394810887E-3</v>
      </c>
      <c r="Q41" s="31"/>
      <c r="R41" s="45" t="s">
        <v>52</v>
      </c>
      <c r="S41" s="46">
        <f t="shared" si="5"/>
        <v>0</v>
      </c>
      <c r="T41" s="47">
        <f t="shared" si="6"/>
        <v>1</v>
      </c>
      <c r="U41" s="31"/>
      <c r="V41" s="31"/>
      <c r="W41" s="31"/>
      <c r="X41" s="31"/>
      <c r="Y41" s="31"/>
      <c r="Z41" s="31"/>
      <c r="AA41" s="31"/>
      <c r="AB41" s="45" t="s">
        <v>52</v>
      </c>
      <c r="AC41" s="50">
        <f t="shared" si="7"/>
        <v>0</v>
      </c>
      <c r="AD41" s="51">
        <f t="shared" si="8"/>
        <v>0</v>
      </c>
    </row>
    <row r="42" spans="1:30" ht="22.5" customHeight="1">
      <c r="A42" s="32">
        <v>37</v>
      </c>
      <c r="B42" s="62" t="str">
        <f>VLOOKUP(C42,Lists!I:J,2,FALSE)</f>
        <v>Tank</v>
      </c>
      <c r="C42" s="34" t="str">
        <f>VLOOKUP(E42&amp;D42,Lists!C:E,3,FALSE)</f>
        <v>SnS/Greatsword</v>
      </c>
      <c r="D42" s="35" t="s">
        <v>30</v>
      </c>
      <c r="E42" s="36" t="s">
        <v>407</v>
      </c>
      <c r="F42" s="35" t="s">
        <v>483</v>
      </c>
      <c r="G42" s="32">
        <v>3</v>
      </c>
      <c r="H42" s="32">
        <v>31</v>
      </c>
      <c r="I42" s="84">
        <f t="shared" si="0"/>
        <v>34</v>
      </c>
      <c r="J42" s="37">
        <v>164649</v>
      </c>
      <c r="K42" s="37">
        <v>126890</v>
      </c>
      <c r="L42" s="37">
        <v>60477</v>
      </c>
      <c r="M42" s="38">
        <f>I42/(HLOOKUP(F42,Team_Composition_23[[#All],[Yellow]:[Red]],10,FALSE)+HLOOKUP(F42,Team_Composition_23[[#All],[Yellow]:[Red]],11,FALSE))</f>
        <v>4.1412911084043852E-2</v>
      </c>
      <c r="N42" s="38">
        <f>J42/HLOOKUP(F42,Team_Composition_23[[#All],[Yellow]:[Red]],6,FALSE)</f>
        <v>9.3309844687611311E-3</v>
      </c>
      <c r="O42" s="38">
        <f>K42/HLOOKUP(F42,Team_Composition_23[[#All],[Yellow]:[Red]],8,FALSE)</f>
        <v>2.8828194005544082E-3</v>
      </c>
      <c r="P42" s="38">
        <f>L42/HLOOKUP(F42,Team_Composition_23[[#All],[Yellow]:[Red]],7,FALSE)</f>
        <v>2.4920051413341517E-3</v>
      </c>
      <c r="Q42" s="31"/>
      <c r="R42" s="45" t="s">
        <v>32</v>
      </c>
      <c r="S42" s="46">
        <f t="shared" si="5"/>
        <v>1</v>
      </c>
      <c r="T42" s="47">
        <f t="shared" si="6"/>
        <v>1</v>
      </c>
      <c r="U42" s="31"/>
      <c r="V42" s="31"/>
      <c r="W42" s="31"/>
      <c r="X42" s="31"/>
      <c r="Y42" s="31"/>
      <c r="Z42" s="31"/>
      <c r="AA42" s="31"/>
      <c r="AB42" s="45" t="s">
        <v>32</v>
      </c>
      <c r="AC42" s="50">
        <f t="shared" si="7"/>
        <v>1</v>
      </c>
      <c r="AD42" s="51">
        <f t="shared" si="8"/>
        <v>0</v>
      </c>
    </row>
    <row r="43" spans="1:30" ht="22.5" customHeight="1">
      <c r="A43" s="32">
        <v>52</v>
      </c>
      <c r="B43" s="53" t="str">
        <f>VLOOKUP(C43,Lists!I:J,2,FALSE)</f>
        <v>Healer</v>
      </c>
      <c r="C43" s="34" t="str">
        <f>VLOOKUP(E43&amp;D43,Lists!C:E,3,FALSE)</f>
        <v>Wand/Longbow</v>
      </c>
      <c r="D43" s="35" t="s">
        <v>34</v>
      </c>
      <c r="E43" s="36" t="s">
        <v>29</v>
      </c>
      <c r="F43" s="35" t="s">
        <v>476</v>
      </c>
      <c r="G43" s="32">
        <v>0</v>
      </c>
      <c r="H43" s="32">
        <v>34</v>
      </c>
      <c r="I43" s="84">
        <f t="shared" si="0"/>
        <v>34</v>
      </c>
      <c r="J43" s="37">
        <v>47962</v>
      </c>
      <c r="K43" s="37">
        <v>86432</v>
      </c>
      <c r="L43" s="37">
        <v>1300731</v>
      </c>
      <c r="M43" s="38">
        <f>I43/(HLOOKUP(F43,Team_Composition_23[[#All],[Yellow]:[Red]],10,FALSE)+HLOOKUP(F43,Team_Composition_23[[#All],[Yellow]:[Red]],11,FALSE))</f>
        <v>8.4978755311172199E-3</v>
      </c>
      <c r="N43" s="38">
        <f>J43/HLOOKUP(F43,Team_Composition_23[[#All],[Yellow]:[Red]],6,FALSE)</f>
        <v>1.0811117612187886E-3</v>
      </c>
      <c r="O43" s="38">
        <f>K43/HLOOKUP(F43,Team_Composition_23[[#All],[Yellow]:[Red]],8,FALSE)</f>
        <v>4.9336816760407109E-3</v>
      </c>
      <c r="P43" s="38">
        <f>L43/HLOOKUP(F43,Team_Composition_23[[#All],[Yellow]:[Red]],7,FALSE)</f>
        <v>0.10048309843030091</v>
      </c>
      <c r="Q43" s="31"/>
      <c r="R43" s="45" t="s">
        <v>56</v>
      </c>
      <c r="S43" s="46">
        <f t="shared" si="5"/>
        <v>0</v>
      </c>
      <c r="T43" s="47">
        <f t="shared" si="6"/>
        <v>0</v>
      </c>
      <c r="U43" s="31"/>
      <c r="V43" s="31"/>
      <c r="W43" s="31"/>
      <c r="X43" s="31"/>
      <c r="Y43" s="31"/>
      <c r="Z43" s="31"/>
      <c r="AA43" s="31"/>
      <c r="AB43" s="45" t="s">
        <v>56</v>
      </c>
      <c r="AC43" s="50">
        <f t="shared" si="7"/>
        <v>0</v>
      </c>
      <c r="AD43" s="51">
        <f t="shared" si="8"/>
        <v>0</v>
      </c>
    </row>
    <row r="44" spans="1:30" ht="22.5" customHeight="1">
      <c r="A44" s="32">
        <v>53</v>
      </c>
      <c r="B44" s="55" t="str">
        <f>VLOOKUP(C44,Lists!I:J,2,FALSE)</f>
        <v>Healer</v>
      </c>
      <c r="C44" s="34" t="str">
        <f>VLOOKUP(E44&amp;D44,Lists!C:E,3,FALSE)</f>
        <v>Wand/Longbow</v>
      </c>
      <c r="D44" s="35" t="s">
        <v>34</v>
      </c>
      <c r="E44" s="36" t="s">
        <v>157</v>
      </c>
      <c r="F44" s="35" t="s">
        <v>476</v>
      </c>
      <c r="G44" s="32">
        <v>0</v>
      </c>
      <c r="H44" s="32">
        <v>34</v>
      </c>
      <c r="I44" s="84">
        <f t="shared" si="0"/>
        <v>34</v>
      </c>
      <c r="J44" s="37">
        <v>37322</v>
      </c>
      <c r="K44" s="37">
        <v>510449</v>
      </c>
      <c r="L44" s="37">
        <v>1118010</v>
      </c>
      <c r="M44" s="38">
        <f>I44/(HLOOKUP(F44,Team_Composition_23[[#All],[Yellow]:[Red]],10,FALSE)+HLOOKUP(F44,Team_Composition_23[[#All],[Yellow]:[Red]],11,FALSE))</f>
        <v>8.4978755311172199E-3</v>
      </c>
      <c r="N44" s="38">
        <f>J44/HLOOKUP(F44,Team_Composition_23[[#All],[Yellow]:[Red]],6,FALSE)</f>
        <v>8.41275450402561E-4</v>
      </c>
      <c r="O44" s="38">
        <f>K44/HLOOKUP(F44,Team_Composition_23[[#All],[Yellow]:[Red]],8,FALSE)</f>
        <v>2.9137274132882557E-2</v>
      </c>
      <c r="P44" s="38">
        <f>L44/HLOOKUP(F44,Team_Composition_23[[#All],[Yellow]:[Red]],7,FALSE)</f>
        <v>8.6367672390417941E-2</v>
      </c>
      <c r="Q44" s="31"/>
      <c r="R44" s="45" t="s">
        <v>58</v>
      </c>
      <c r="S44" s="46">
        <f t="shared" si="5"/>
        <v>2</v>
      </c>
      <c r="T44" s="47">
        <f t="shared" si="6"/>
        <v>2</v>
      </c>
      <c r="U44" s="31"/>
      <c r="V44" s="31"/>
      <c r="W44" s="31"/>
      <c r="X44" s="31"/>
      <c r="Y44" s="31"/>
      <c r="Z44" s="31"/>
      <c r="AA44" s="31"/>
      <c r="AB44" s="45" t="s">
        <v>58</v>
      </c>
      <c r="AC44" s="50">
        <f t="shared" si="7"/>
        <v>2</v>
      </c>
      <c r="AD44" s="51">
        <f t="shared" si="8"/>
        <v>0</v>
      </c>
    </row>
    <row r="45" spans="1:30" ht="22.5" customHeight="1">
      <c r="A45" s="32">
        <v>54</v>
      </c>
      <c r="B45" s="56" t="str">
        <f>VLOOKUP(C45,Lists!I:J,2,FALSE)</f>
        <v>Tank</v>
      </c>
      <c r="C45" s="34" t="str">
        <f>VLOOKUP(E45&amp;D45,Lists!C:E,3,FALSE)</f>
        <v>SnS/Greatsword</v>
      </c>
      <c r="D45" s="35" t="s">
        <v>34</v>
      </c>
      <c r="E45" s="36" t="s">
        <v>150</v>
      </c>
      <c r="F45" s="35" t="s">
        <v>476</v>
      </c>
      <c r="G45" s="32">
        <v>0</v>
      </c>
      <c r="H45" s="32">
        <v>34</v>
      </c>
      <c r="I45" s="84">
        <f t="shared" si="0"/>
        <v>34</v>
      </c>
      <c r="J45" s="37">
        <v>23404</v>
      </c>
      <c r="K45" s="37">
        <v>548524</v>
      </c>
      <c r="L45" s="37">
        <v>32268</v>
      </c>
      <c r="M45" s="38">
        <f>I45/(HLOOKUP(F45,Team_Composition_23[[#All],[Yellow]:[Red]],10,FALSE)+HLOOKUP(F45,Team_Composition_23[[#All],[Yellow]:[Red]],11,FALSE))</f>
        <v>8.4978755311172199E-3</v>
      </c>
      <c r="N45" s="38">
        <f>J45/HLOOKUP(F45,Team_Composition_23[[#All],[Yellow]:[Red]],6,FALSE)</f>
        <v>5.275497197690782E-4</v>
      </c>
      <c r="O45" s="38">
        <f>K45/HLOOKUP(F45,Team_Composition_23[[#All],[Yellow]:[Red]],8,FALSE)</f>
        <v>3.131065817832001E-2</v>
      </c>
      <c r="P45" s="38">
        <f>L45/HLOOKUP(F45,Team_Composition_23[[#All],[Yellow]:[Red]],7,FALSE)</f>
        <v>2.4927434036314576E-3</v>
      </c>
      <c r="Q45" s="31"/>
      <c r="R45" s="45" t="s">
        <v>60</v>
      </c>
      <c r="S45" s="46">
        <f t="shared" si="5"/>
        <v>0</v>
      </c>
      <c r="T45" s="47">
        <f t="shared" si="6"/>
        <v>0</v>
      </c>
      <c r="U45" s="31"/>
      <c r="V45" s="31"/>
      <c r="W45" s="31"/>
      <c r="X45" s="31"/>
      <c r="Y45" s="31"/>
      <c r="Z45" s="31"/>
      <c r="AA45" s="31"/>
      <c r="AB45" s="45" t="s">
        <v>60</v>
      </c>
      <c r="AC45" s="50">
        <f t="shared" si="7"/>
        <v>0</v>
      </c>
      <c r="AD45" s="51">
        <f t="shared" si="8"/>
        <v>0</v>
      </c>
    </row>
    <row r="46" spans="1:30" ht="22.5" customHeight="1">
      <c r="A46" s="32">
        <v>34</v>
      </c>
      <c r="B46" s="33" t="str">
        <f>VLOOKUP(C46,Lists!I:J,2,FALSE)</f>
        <v>Melee DPS</v>
      </c>
      <c r="C46" s="34" t="str">
        <f>VLOOKUP(E46&amp;D46,Lists!C:E,3,FALSE)</f>
        <v>Spear/Dagger</v>
      </c>
      <c r="D46" s="35" t="s">
        <v>30</v>
      </c>
      <c r="E46" s="36" t="s">
        <v>217</v>
      </c>
      <c r="F46" s="35" t="s">
        <v>483</v>
      </c>
      <c r="G46" s="32">
        <v>6</v>
      </c>
      <c r="H46" s="32">
        <v>27</v>
      </c>
      <c r="I46" s="84">
        <f t="shared" si="0"/>
        <v>33</v>
      </c>
      <c r="J46" s="37">
        <v>757304</v>
      </c>
      <c r="K46" s="37">
        <v>635571</v>
      </c>
      <c r="L46" s="37">
        <v>47193</v>
      </c>
      <c r="M46" s="38">
        <f>I46/(HLOOKUP(F46,Team_Composition_23[[#All],[Yellow]:[Red]],10,FALSE)+HLOOKUP(F46,Team_Composition_23[[#All],[Yellow]:[Red]],11,FALSE))</f>
        <v>4.0194884287454324E-2</v>
      </c>
      <c r="N46" s="38">
        <f>J46/HLOOKUP(F46,Team_Composition_23[[#All],[Yellow]:[Red]],6,FALSE)</f>
        <v>4.2917915457310274E-2</v>
      </c>
      <c r="O46" s="38">
        <f>K46/HLOOKUP(F46,Team_Composition_23[[#All],[Yellow]:[Red]],8,FALSE)</f>
        <v>1.4439565050277924E-2</v>
      </c>
      <c r="P46" s="38">
        <f>L46/HLOOKUP(F46,Team_Composition_23[[#All],[Yellow]:[Red]],7,FALSE)</f>
        <v>1.9446268603763848E-3</v>
      </c>
      <c r="Q46" s="31"/>
      <c r="R46" s="45" t="s">
        <v>63</v>
      </c>
      <c r="S46" s="46">
        <f t="shared" si="5"/>
        <v>0</v>
      </c>
      <c r="T46" s="47">
        <f t="shared" si="6"/>
        <v>0</v>
      </c>
      <c r="U46" s="31"/>
      <c r="V46" s="31"/>
      <c r="W46" s="31"/>
      <c r="X46" s="31"/>
      <c r="Y46" s="31"/>
      <c r="Z46" s="31"/>
      <c r="AA46" s="31"/>
      <c r="AB46" s="45" t="s">
        <v>63</v>
      </c>
      <c r="AC46" s="50">
        <f t="shared" si="7"/>
        <v>0</v>
      </c>
      <c r="AD46" s="51">
        <f t="shared" si="8"/>
        <v>0</v>
      </c>
    </row>
    <row r="47" spans="1:30" ht="22.5" customHeight="1">
      <c r="A47" s="32">
        <v>55</v>
      </c>
      <c r="B47" s="59" t="str">
        <f>VLOOKUP(C47,Lists!I:J,2,FALSE)</f>
        <v>Healer</v>
      </c>
      <c r="C47" s="34" t="str">
        <f>VLOOKUP(E47&amp;D47,Lists!C:E,3,FALSE)</f>
        <v>Wand/Longbow</v>
      </c>
      <c r="D47" s="35" t="s">
        <v>34</v>
      </c>
      <c r="E47" s="36" t="s">
        <v>149</v>
      </c>
      <c r="F47" s="35" t="s">
        <v>476</v>
      </c>
      <c r="G47" s="32">
        <v>0</v>
      </c>
      <c r="H47" s="32">
        <v>33</v>
      </c>
      <c r="I47" s="84">
        <f t="shared" si="0"/>
        <v>33</v>
      </c>
      <c r="J47" s="37">
        <v>33404</v>
      </c>
      <c r="K47" s="37">
        <v>408925</v>
      </c>
      <c r="L47" s="37">
        <v>1447754</v>
      </c>
      <c r="M47" s="38">
        <f>I47/(HLOOKUP(F47,Team_Composition_23[[#All],[Yellow]:[Red]],10,FALSE)+HLOOKUP(F47,Team_Composition_23[[#All],[Yellow]:[Red]],11,FALSE))</f>
        <v>8.2479380154961267E-3</v>
      </c>
      <c r="N47" s="38">
        <f>J47/HLOOKUP(F47,Team_Composition_23[[#All],[Yellow]:[Red]],6,FALSE)</f>
        <v>7.5295978632568315E-4</v>
      </c>
      <c r="O47" s="38">
        <f>K47/HLOOKUP(F47,Team_Composition_23[[#All],[Yellow]:[Red]],8,FALSE)</f>
        <v>2.3342116107170352E-2</v>
      </c>
      <c r="P47" s="38">
        <f>L47/HLOOKUP(F47,Team_Composition_23[[#All],[Yellow]:[Red]],7,FALSE)</f>
        <v>0.11184080927175707</v>
      </c>
      <c r="Q47" s="31"/>
      <c r="R47" s="48"/>
      <c r="S47" s="63"/>
      <c r="T47" s="63"/>
      <c r="U47" s="31"/>
      <c r="V47" s="31"/>
      <c r="W47" s="31"/>
      <c r="X47" s="31"/>
      <c r="Y47" s="31"/>
      <c r="Z47" s="31"/>
      <c r="AA47" s="31"/>
      <c r="AB47" s="48"/>
      <c r="AC47" s="63"/>
      <c r="AD47" s="63"/>
    </row>
    <row r="48" spans="1:30" ht="22.5" customHeight="1">
      <c r="A48" s="32">
        <v>23</v>
      </c>
      <c r="B48" s="34" t="str">
        <f>VLOOKUP(C48,Lists!I:J,2,FALSE)</f>
        <v>KS</v>
      </c>
      <c r="C48" s="34" t="str">
        <f>VLOOKUP(E48&amp;D48,Lists!C:E,3,FALSE)</f>
        <v>Greatsword/Dagger</v>
      </c>
      <c r="D48" s="35" t="s">
        <v>30</v>
      </c>
      <c r="E48" s="36" t="s">
        <v>395</v>
      </c>
      <c r="F48" s="35" t="s">
        <v>483</v>
      </c>
      <c r="G48" s="32">
        <v>13</v>
      </c>
      <c r="H48" s="32">
        <v>18</v>
      </c>
      <c r="I48" s="84">
        <f t="shared" si="0"/>
        <v>31</v>
      </c>
      <c r="J48" s="37">
        <v>532279</v>
      </c>
      <c r="K48" s="37">
        <v>485004</v>
      </c>
      <c r="L48" s="37">
        <v>22710</v>
      </c>
      <c r="M48" s="38">
        <f>I48/(HLOOKUP(F48,Team_Composition_23[[#All],[Yellow]:[Red]],10,FALSE)+HLOOKUP(F48,Team_Composition_23[[#All],[Yellow]:[Red]],11,FALSE))</f>
        <v>3.7758830694275276E-2</v>
      </c>
      <c r="N48" s="38">
        <f>J48/HLOOKUP(F48,Team_Composition_23[[#All],[Yellow]:[Red]],6,FALSE)</f>
        <v>3.0165303658374519E-2</v>
      </c>
      <c r="O48" s="38">
        <f>K48/HLOOKUP(F48,Team_Composition_23[[#All],[Yellow]:[Red]],8,FALSE)</f>
        <v>1.1018826862215227E-2</v>
      </c>
      <c r="P48" s="38">
        <f>L48/HLOOKUP(F48,Team_Composition_23[[#All],[Yellow]:[Red]],7,FALSE)</f>
        <v>9.3578445954162052E-4</v>
      </c>
      <c r="Q48" s="31"/>
      <c r="R48" s="31"/>
      <c r="S48" s="64"/>
      <c r="T48" s="64"/>
      <c r="U48" s="31"/>
      <c r="V48" s="31"/>
      <c r="W48" s="31"/>
      <c r="X48" s="31"/>
      <c r="Y48" s="31"/>
      <c r="Z48" s="31"/>
      <c r="AA48" s="31"/>
      <c r="AB48" s="31"/>
      <c r="AC48" s="64"/>
      <c r="AD48" s="64"/>
    </row>
    <row r="49" spans="1:30" ht="22.5" customHeight="1">
      <c r="A49" s="32">
        <v>42</v>
      </c>
      <c r="B49" s="52" t="str">
        <f>VLOOKUP(C49,Lists!I:J,2,FALSE)</f>
        <v>Healer</v>
      </c>
      <c r="C49" s="34" t="str">
        <f>VLOOKUP(E49&amp;D49,Lists!C:E,3,FALSE)</f>
        <v>Wand/Longbow</v>
      </c>
      <c r="D49" s="35" t="s">
        <v>30</v>
      </c>
      <c r="E49" s="97" t="s">
        <v>444</v>
      </c>
      <c r="F49" s="35" t="s">
        <v>483</v>
      </c>
      <c r="G49" s="32">
        <v>1</v>
      </c>
      <c r="H49" s="32">
        <v>29</v>
      </c>
      <c r="I49" s="84">
        <f t="shared" si="0"/>
        <v>30</v>
      </c>
      <c r="J49" s="37">
        <v>57289</v>
      </c>
      <c r="K49" s="37">
        <v>239544</v>
      </c>
      <c r="L49" s="37">
        <v>571065</v>
      </c>
      <c r="M49" s="38">
        <f>I49/(HLOOKUP(F49,Team_Composition_23[[#All],[Yellow]:[Red]],10,FALSE)+HLOOKUP(F49,Team_Composition_23[[#All],[Yellow]:[Red]],11,FALSE))</f>
        <v>3.6540803897685749E-2</v>
      </c>
      <c r="N49" s="38">
        <f>J49/HLOOKUP(F49,Team_Composition_23[[#All],[Yellow]:[Red]],6,FALSE)</f>
        <v>3.2466809347816046E-3</v>
      </c>
      <c r="O49" s="38">
        <f>K49/HLOOKUP(F49,Team_Composition_23[[#All],[Yellow]:[Red]],8,FALSE)</f>
        <v>5.4422105011143916E-3</v>
      </c>
      <c r="P49" s="38">
        <f>L49/HLOOKUP(F49,Team_Composition_23[[#All],[Yellow]:[Red]],7,FALSE)</f>
        <v>2.3531208823784039E-2</v>
      </c>
      <c r="Q49" s="31"/>
      <c r="R49" s="227" t="s">
        <v>67</v>
      </c>
      <c r="S49" s="228"/>
      <c r="T49" s="228"/>
      <c r="U49" s="31"/>
      <c r="V49" s="31"/>
      <c r="W49" s="31"/>
      <c r="X49" s="31"/>
      <c r="Y49" s="31"/>
      <c r="Z49" s="31"/>
      <c r="AA49" s="31"/>
      <c r="AB49" s="227" t="s">
        <v>67</v>
      </c>
      <c r="AC49" s="228"/>
      <c r="AD49" s="228"/>
    </row>
    <row r="50" spans="1:30" ht="22.5" customHeight="1">
      <c r="A50" s="32">
        <v>56</v>
      </c>
      <c r="B50" s="57" t="str">
        <f>VLOOKUP(C50,Lists!I:J,2,FALSE)</f>
        <v>Healer</v>
      </c>
      <c r="C50" s="34" t="str">
        <f>VLOOKUP(E50&amp;D50,Lists!C:E,3,FALSE)</f>
        <v>Wand/Orb</v>
      </c>
      <c r="D50" s="35" t="s">
        <v>34</v>
      </c>
      <c r="E50" s="36" t="s">
        <v>146</v>
      </c>
      <c r="F50" s="35" t="s">
        <v>476</v>
      </c>
      <c r="G50" s="32">
        <v>0</v>
      </c>
      <c r="H50" s="32">
        <v>30</v>
      </c>
      <c r="I50" s="84">
        <f t="shared" si="0"/>
        <v>30</v>
      </c>
      <c r="J50" s="37">
        <v>6030</v>
      </c>
      <c r="K50" s="37">
        <v>207221</v>
      </c>
      <c r="L50" s="37">
        <v>687070</v>
      </c>
      <c r="M50" s="38">
        <f>I50/(HLOOKUP(F50,Team_Composition_23[[#All],[Yellow]:[Red]],10,FALSE)+HLOOKUP(F50,Team_Composition_23[[#All],[Yellow]:[Red]],11,FALSE))</f>
        <v>7.4981254686328422E-3</v>
      </c>
      <c r="N50" s="38">
        <f>J50/HLOOKUP(F50,Team_Composition_23[[#All],[Yellow]:[Red]],6,FALSE)</f>
        <v>1.3592227013363279E-4</v>
      </c>
      <c r="O50" s="38">
        <f>K50/HLOOKUP(F50,Team_Composition_23[[#All],[Yellow]:[Red]],8,FALSE)</f>
        <v>1.1828517801171235E-2</v>
      </c>
      <c r="P50" s="38">
        <f>L50/HLOOKUP(F50,Team_Composition_23[[#All],[Yellow]:[Red]],7,FALSE)</f>
        <v>5.3077017798842996E-2</v>
      </c>
      <c r="Q50" s="31"/>
      <c r="R50" s="41" t="s">
        <v>482</v>
      </c>
      <c r="S50" s="42" t="s">
        <v>476</v>
      </c>
      <c r="T50" s="42" t="s">
        <v>483</v>
      </c>
      <c r="U50" s="31"/>
      <c r="V50" s="31"/>
      <c r="W50" s="31"/>
      <c r="X50" s="31"/>
      <c r="Y50" s="31"/>
      <c r="Z50" s="31"/>
      <c r="AA50" s="31"/>
      <c r="AB50" s="41" t="s">
        <v>482</v>
      </c>
      <c r="AC50" s="42" t="s">
        <v>485</v>
      </c>
      <c r="AD50" s="42" t="s">
        <v>36</v>
      </c>
    </row>
    <row r="51" spans="1:30" ht="22.5" customHeight="1">
      <c r="A51" s="32">
        <v>57</v>
      </c>
      <c r="B51" s="59" t="str">
        <f>VLOOKUP(C51,Lists!I:J,2,FALSE)</f>
        <v>Healer</v>
      </c>
      <c r="C51" s="34" t="str">
        <f>VLOOKUP(E51&amp;D51,Lists!C:E,3,FALSE)</f>
        <v>Wand/Orb</v>
      </c>
      <c r="D51" s="35" t="s">
        <v>34</v>
      </c>
      <c r="E51" s="36" t="s">
        <v>168</v>
      </c>
      <c r="F51" s="35" t="s">
        <v>476</v>
      </c>
      <c r="G51" s="32">
        <v>0</v>
      </c>
      <c r="H51" s="32">
        <v>27</v>
      </c>
      <c r="I51" s="84">
        <f t="shared" si="0"/>
        <v>27</v>
      </c>
      <c r="J51" s="37">
        <v>2279</v>
      </c>
      <c r="K51" s="37">
        <v>297479</v>
      </c>
      <c r="L51" s="37">
        <v>681855</v>
      </c>
      <c r="M51" s="38">
        <f>I51/(HLOOKUP(F51,Team_Composition_23[[#All],[Yellow]:[Red]],10,FALSE)+HLOOKUP(F51,Team_Composition_23[[#All],[Yellow]:[Red]],11,FALSE))</f>
        <v>6.7483129217695576E-3</v>
      </c>
      <c r="N51" s="38">
        <f>J51/HLOOKUP(F51,Team_Composition_23[[#All],[Yellow]:[Red]],6,FALSE)</f>
        <v>5.1370954168250268E-5</v>
      </c>
      <c r="O51" s="38">
        <f>K51/HLOOKUP(F51,Team_Composition_23[[#All],[Yellow]:[Red]],8,FALSE)</f>
        <v>1.6980593892388405E-2</v>
      </c>
      <c r="P51" s="38">
        <f>L51/HLOOKUP(F51,Team_Composition_23[[#All],[Yellow]:[Red]],7,FALSE)</f>
        <v>5.2674152519001101E-2</v>
      </c>
      <c r="Q51" s="31"/>
      <c r="R51" s="45" t="s">
        <v>468</v>
      </c>
      <c r="S51" s="46">
        <f>SUMIFS(Scoreboard_34[Damage Dealt],Scoreboard_34[Role],"Tank",Scoreboard_34[Team],"Yellow")</f>
        <v>1052587</v>
      </c>
      <c r="T51" s="47">
        <f>SUMIFS(Scoreboard_34[Damage Dealt],Scoreboard_34[Role],"Tank",Scoreboard_34[Team],"Red")</f>
        <v>1477727</v>
      </c>
      <c r="U51" s="31"/>
      <c r="V51" s="31"/>
      <c r="W51" s="31"/>
      <c r="X51" s="31"/>
      <c r="Y51" s="31"/>
      <c r="Z51" s="31"/>
      <c r="AA51" s="31"/>
      <c r="AB51" s="45" t="s">
        <v>468</v>
      </c>
      <c r="AC51" s="50">
        <f>SUMIFS(Scoreboard_34[Damage Dealt],Scoreboard_34[Role],"Tank",Scoreboard_34[Guild],"Best Regards")</f>
        <v>1024056</v>
      </c>
      <c r="AD51" s="51">
        <f>SUMIFS(Scoreboard_34[Damage Dealt],Scoreboard_34[Role],"Tank",Scoreboard_34[Guild],"Unhinged肉")</f>
        <v>0</v>
      </c>
    </row>
    <row r="52" spans="1:30" ht="22.5" customHeight="1">
      <c r="A52" s="32">
        <v>38</v>
      </c>
      <c r="B52" s="66" t="str">
        <f>VLOOKUP(C52,Lists!I:J,2,FALSE)</f>
        <v>Tank</v>
      </c>
      <c r="C52" s="34" t="str">
        <f>VLOOKUP(E52&amp;D52,Lists!C:E,3,FALSE)</f>
        <v>SnS/Greatsword</v>
      </c>
      <c r="D52" s="35" t="s">
        <v>30</v>
      </c>
      <c r="E52" s="36" t="s">
        <v>209</v>
      </c>
      <c r="F52" s="35" t="s">
        <v>483</v>
      </c>
      <c r="G52" s="32">
        <v>3</v>
      </c>
      <c r="H52" s="32">
        <v>22</v>
      </c>
      <c r="I52" s="84">
        <f t="shared" si="0"/>
        <v>25</v>
      </c>
      <c r="J52" s="37">
        <v>174153</v>
      </c>
      <c r="K52" s="37">
        <v>924291</v>
      </c>
      <c r="L52" s="37">
        <v>147717</v>
      </c>
      <c r="M52" s="38">
        <f>I52/(HLOOKUP(F52,Team_Composition_23[[#All],[Yellow]:[Red]],10,FALSE)+HLOOKUP(F52,Team_Composition_23[[#All],[Yellow]:[Red]],11,FALSE))</f>
        <v>3.0450669914738125E-2</v>
      </c>
      <c r="N52" s="38">
        <f>J52/HLOOKUP(F52,Team_Composition_23[[#All],[Yellow]:[Red]],6,FALSE)</f>
        <v>9.8695949455396455E-3</v>
      </c>
      <c r="O52" s="38">
        <f>K52/HLOOKUP(F52,Team_Composition_23[[#All],[Yellow]:[Red]],8,FALSE)</f>
        <v>2.0999007223247178E-2</v>
      </c>
      <c r="P52" s="38">
        <f>L52/HLOOKUP(F52,Team_Composition_23[[#All],[Yellow]:[Red]],7,FALSE)</f>
        <v>6.086801981951104E-3</v>
      </c>
      <c r="Q52" s="31"/>
      <c r="R52" s="45" t="s">
        <v>469</v>
      </c>
      <c r="S52" s="46">
        <f>SUMIFS(Scoreboard_34[Damage Taken],Scoreboard_34[Role],"Tank",Scoreboard_34[Team],"Yellow")</f>
        <v>4575328</v>
      </c>
      <c r="T52" s="47">
        <f>SUMIFS(Scoreboard_34[Damage Taken],Scoreboard_34[Role],"Tank",Scoreboard_34[Team],"Red")</f>
        <v>5232567</v>
      </c>
      <c r="U52" s="31"/>
      <c r="V52" s="31"/>
      <c r="W52" s="31"/>
      <c r="X52" s="31"/>
      <c r="Y52" s="31"/>
      <c r="Z52" s="31"/>
      <c r="AA52" s="31"/>
      <c r="AB52" s="45" t="s">
        <v>469</v>
      </c>
      <c r="AC52" s="50">
        <f>SUMIFS(Scoreboard_34[Damage Taken],Scoreboard_34[Role],"Tank",Scoreboard_34[Guild],"Best Regards")</f>
        <v>4249172</v>
      </c>
      <c r="AD52" s="51">
        <f>SUMIFS(Scoreboard_34[Damage Taken],Scoreboard_34[Role],"Tank",Scoreboard_34[Guild],"Unhinged肉")</f>
        <v>0</v>
      </c>
    </row>
    <row r="53" spans="1:30" ht="22.5" customHeight="1">
      <c r="A53" s="32">
        <v>27</v>
      </c>
      <c r="B53" s="52" t="str">
        <f>VLOOKUP(C53,Lists!I:J,2,FALSE)</f>
        <v>Ranged DPS</v>
      </c>
      <c r="C53" s="34" t="str">
        <f>VLOOKUP(E53&amp;D53,Lists!C:E,3,FALSE)</f>
        <v>Staff/Orb</v>
      </c>
      <c r="D53" s="35" t="s">
        <v>30</v>
      </c>
      <c r="E53" s="36" t="s">
        <v>446</v>
      </c>
      <c r="F53" s="35" t="s">
        <v>483</v>
      </c>
      <c r="G53" s="32">
        <v>10</v>
      </c>
      <c r="H53" s="32">
        <v>14</v>
      </c>
      <c r="I53" s="84">
        <f t="shared" si="0"/>
        <v>24</v>
      </c>
      <c r="J53" s="37">
        <v>845857</v>
      </c>
      <c r="K53" s="37">
        <v>432469</v>
      </c>
      <c r="L53" s="37">
        <v>11502</v>
      </c>
      <c r="M53" s="38">
        <f>I53/(HLOOKUP(F53,Team_Composition_23[[#All],[Yellow]:[Red]],10,FALSE)+HLOOKUP(F53,Team_Composition_23[[#All],[Yellow]:[Red]],11,FALSE))</f>
        <v>2.9232643118148598E-2</v>
      </c>
      <c r="N53" s="38">
        <f>J53/HLOOKUP(F53,Team_Composition_23[[#All],[Yellow]:[Red]],6,FALSE)</f>
        <v>4.7936389105265646E-2</v>
      </c>
      <c r="O53" s="38">
        <f>K53/HLOOKUP(F53,Team_Composition_23[[#All],[Yellow]:[Red]],8,FALSE)</f>
        <v>9.8252819240157961E-3</v>
      </c>
      <c r="P53" s="38">
        <f>L53/HLOOKUP(F53,Team_Composition_23[[#All],[Yellow]:[Red]],7,FALSE)</f>
        <v>4.7394948717074942E-4</v>
      </c>
      <c r="Q53" s="31"/>
      <c r="R53" s="45" t="s">
        <v>470</v>
      </c>
      <c r="S53" s="46">
        <f>SUMIFS(Scoreboard_34[Amount Healed],Scoreboard_34[Role],"Tank",Scoreboard_34[Team],"Yellow")</f>
        <v>422405</v>
      </c>
      <c r="T53" s="47">
        <f>SUMIFS(Scoreboard_34[Amount Healed],Scoreboard_34[Role],"Tank",Scoreboard_34[Team],"Red")</f>
        <v>1132259</v>
      </c>
      <c r="U53" s="31"/>
      <c r="V53" s="31"/>
      <c r="W53" s="31"/>
      <c r="X53" s="31"/>
      <c r="Y53" s="31"/>
      <c r="Z53" s="31"/>
      <c r="AA53" s="31"/>
      <c r="AB53" s="45" t="s">
        <v>470</v>
      </c>
      <c r="AC53" s="50">
        <f>SUMIFS(Scoreboard_34[Amount Healed],Scoreboard_34[Role],"Tank",Scoreboard_34[Guild],"Best Regards")</f>
        <v>381848</v>
      </c>
      <c r="AD53" s="51">
        <f>SUMIFS(Scoreboard_34[Amount Healed],Scoreboard_34[Role],"Tank",Scoreboard_34[Guild],"Unhinged肉")</f>
        <v>0</v>
      </c>
    </row>
    <row r="54" spans="1:30" ht="22.5" customHeight="1">
      <c r="A54" s="32">
        <v>31</v>
      </c>
      <c r="B54" s="60" t="str">
        <f>VLOOKUP(C54,Lists!I:J,2,FALSE)</f>
        <v>Melee DPS</v>
      </c>
      <c r="C54" s="34" t="str">
        <f>VLOOKUP(E54&amp;D54,Lists!C:E,3,FALSE)</f>
        <v>Greatsword/Spear</v>
      </c>
      <c r="D54" s="35" t="s">
        <v>30</v>
      </c>
      <c r="E54" s="36" t="s">
        <v>398</v>
      </c>
      <c r="F54" s="35" t="s">
        <v>483</v>
      </c>
      <c r="G54" s="32">
        <v>8</v>
      </c>
      <c r="H54" s="32">
        <v>16</v>
      </c>
      <c r="I54" s="84">
        <f t="shared" si="0"/>
        <v>24</v>
      </c>
      <c r="J54" s="37">
        <v>456655</v>
      </c>
      <c r="K54" s="37">
        <v>651237</v>
      </c>
      <c r="L54" s="37">
        <v>71986</v>
      </c>
      <c r="M54" s="38">
        <f>I54/(HLOOKUP(F54,Team_Composition_23[[#All],[Yellow]:[Red]],10,FALSE)+HLOOKUP(F54,Team_Composition_23[[#All],[Yellow]:[Red]],11,FALSE))</f>
        <v>2.9232643118148598E-2</v>
      </c>
      <c r="N54" s="38">
        <f>J54/HLOOKUP(F54,Team_Composition_23[[#All],[Yellow]:[Red]],6,FALSE)</f>
        <v>2.5879542011078806E-2</v>
      </c>
      <c r="O54" s="38">
        <f>K54/HLOOKUP(F54,Team_Composition_23[[#All],[Yellow]:[Red]],8,FALSE)</f>
        <v>1.4795481582148721E-2</v>
      </c>
      <c r="P54" s="38">
        <f>L54/HLOOKUP(F54,Team_Composition_23[[#All],[Yellow]:[Red]],7,FALSE)</f>
        <v>2.9662430693334699E-3</v>
      </c>
      <c r="Q54" s="31"/>
      <c r="R54" s="45" t="s">
        <v>465</v>
      </c>
      <c r="S54" s="46">
        <f>SUMIFS(Scoreboard_34[Kills],Scoreboard_34[Role],"Tank",Scoreboard_34[Team],"Yellow")</f>
        <v>14</v>
      </c>
      <c r="T54" s="47">
        <f>SUMIFS(Scoreboard_34[Kills],Scoreboard_34[Role],"Tank",Scoreboard_34[Team],"Red")</f>
        <v>13</v>
      </c>
      <c r="U54" s="31"/>
      <c r="V54" s="31"/>
      <c r="W54" s="31"/>
      <c r="X54" s="31"/>
      <c r="Y54" s="31"/>
      <c r="Z54" s="31"/>
      <c r="AA54" s="31"/>
      <c r="AB54" s="45" t="s">
        <v>465</v>
      </c>
      <c r="AC54" s="50">
        <f>SUMIFS(Scoreboard_34[Kills],Scoreboard_34[Role],"Tank",Scoreboard_34[Guild],"Best Regards")</f>
        <v>14</v>
      </c>
      <c r="AD54" s="51">
        <f>SUMIFS(Scoreboard_34[Kills],Scoreboard_34[Role],"Tank",Scoreboard_34[Guild],"Unhinged肉")</f>
        <v>0</v>
      </c>
    </row>
    <row r="55" spans="1:30" ht="22.5" customHeight="1">
      <c r="A55" s="32">
        <v>36</v>
      </c>
      <c r="B55" s="40" t="str">
        <f>VLOOKUP(C55,Lists!I:J,2,FALSE)</f>
        <v>Melee DPS</v>
      </c>
      <c r="C55" s="34" t="str">
        <f>VLOOKUP(E55&amp;D55,Lists!C:E,3,FALSE)</f>
        <v>Greatsword/Spear</v>
      </c>
      <c r="D55" s="35" t="s">
        <v>30</v>
      </c>
      <c r="E55" s="36" t="s">
        <v>436</v>
      </c>
      <c r="F55" s="35" t="s">
        <v>483</v>
      </c>
      <c r="G55" s="32">
        <v>5</v>
      </c>
      <c r="H55" s="32">
        <v>18</v>
      </c>
      <c r="I55" s="84">
        <f t="shared" si="0"/>
        <v>23</v>
      </c>
      <c r="J55" s="37">
        <v>564949</v>
      </c>
      <c r="K55" s="37">
        <v>743080</v>
      </c>
      <c r="L55" s="37">
        <v>71176</v>
      </c>
      <c r="M55" s="38">
        <f>I55/(HLOOKUP(F55,Team_Composition_23[[#All],[Yellow]:[Red]],10,FALSE)+HLOOKUP(F55,Team_Composition_23[[#All],[Yellow]:[Red]],11,FALSE))</f>
        <v>2.8014616321559074E-2</v>
      </c>
      <c r="N55" s="38">
        <f>J55/HLOOKUP(F55,Team_Composition_23[[#All],[Yellow]:[Red]],6,FALSE)</f>
        <v>3.2016777172300663E-2</v>
      </c>
      <c r="O55" s="38">
        <f>K55/HLOOKUP(F55,Team_Composition_23[[#All],[Yellow]:[Red]],8,FALSE)</f>
        <v>1.6882066673212782E-2</v>
      </c>
      <c r="P55" s="38">
        <f>L55/HLOOKUP(F55,Team_Composition_23[[#All],[Yellow]:[Red]],7,FALSE)</f>
        <v>2.9328663448848252E-3</v>
      </c>
      <c r="Q55" s="31"/>
      <c r="R55" s="45" t="s">
        <v>466</v>
      </c>
      <c r="S55" s="46">
        <f>SUMIFS(Scoreboard_34[Assists],Scoreboard_34[Role],"Tank",Scoreboard_34[Team],"Yellow")</f>
        <v>292</v>
      </c>
      <c r="T55" s="47">
        <f>SUMIFS(Scoreboard_34[Assists],Scoreboard_34[Role],"Tank",Scoreboard_34[Team],"Red")</f>
        <v>167</v>
      </c>
      <c r="U55" s="31"/>
      <c r="V55" s="31"/>
      <c r="W55" s="31"/>
      <c r="X55" s="31"/>
      <c r="Y55" s="31"/>
      <c r="Z55" s="31"/>
      <c r="AA55" s="31"/>
      <c r="AB55" s="45" t="s">
        <v>466</v>
      </c>
      <c r="AC55" s="50">
        <f>SUMIFS(Scoreboard_34[Assists],Scoreboard_34[Role],"Tank",Scoreboard_34[Guild],"Best Regards")</f>
        <v>283</v>
      </c>
      <c r="AD55" s="51">
        <f>SUMIFS(Scoreboard_34[Assists],Scoreboard_34[Role],"Tank",Scoreboard_34[Guild],"Unhinged肉")</f>
        <v>0</v>
      </c>
    </row>
    <row r="56" spans="1:30" ht="22.5" customHeight="1">
      <c r="A56" s="32">
        <v>58</v>
      </c>
      <c r="B56" s="60" t="str">
        <f>VLOOKUP(C56,Lists!I:J,2,FALSE)</f>
        <v>Ranged DPS</v>
      </c>
      <c r="C56" s="34" t="str">
        <f>VLOOKUP(E56&amp;D56,Lists!C:E,3,FALSE)</f>
        <v>Crossbow/SnS</v>
      </c>
      <c r="D56" s="35" t="s">
        <v>34</v>
      </c>
      <c r="E56" s="36" t="s">
        <v>83</v>
      </c>
      <c r="F56" s="35" t="s">
        <v>476</v>
      </c>
      <c r="G56" s="32">
        <v>0</v>
      </c>
      <c r="H56" s="32">
        <v>23</v>
      </c>
      <c r="I56" s="84">
        <f t="shared" si="0"/>
        <v>23</v>
      </c>
      <c r="J56" s="37">
        <v>28137</v>
      </c>
      <c r="K56" s="37">
        <v>145814</v>
      </c>
      <c r="L56" s="37">
        <v>84110</v>
      </c>
      <c r="M56" s="38">
        <f>I56/(HLOOKUP(F56,Team_Composition_23[[#All],[Yellow]:[Red]],10,FALSE)+HLOOKUP(F56,Team_Composition_23[[#All],[Yellow]:[Red]],11,FALSE))</f>
        <v>5.7485628592851791E-3</v>
      </c>
      <c r="N56" s="38">
        <f>J56/HLOOKUP(F56,Team_Composition_23[[#All],[Yellow]:[Red]],6,FALSE)</f>
        <v>6.3423630427031938E-4</v>
      </c>
      <c r="O56" s="38">
        <f>K56/HLOOKUP(F56,Team_Composition_23[[#All],[Yellow]:[Red]],8,FALSE)</f>
        <v>8.3233045620858051E-3</v>
      </c>
      <c r="P56" s="38">
        <f>L56/HLOOKUP(F56,Team_Composition_23[[#All],[Yellow]:[Red]],7,FALSE)</f>
        <v>6.4976028163952499E-3</v>
      </c>
      <c r="Q56" s="31"/>
      <c r="R56" s="45" t="s">
        <v>62</v>
      </c>
      <c r="S56" s="46">
        <f t="shared" ref="S56:S60" si="9">COUNTIFS(C:C,R56,F:F,"Yellow")</f>
        <v>3</v>
      </c>
      <c r="T56" s="47">
        <f t="shared" ref="T56:T60" si="10">COUNTIFS(C:C,R56,F:F,"Red")</f>
        <v>2</v>
      </c>
      <c r="U56" s="31"/>
      <c r="V56" s="31"/>
      <c r="W56" s="31"/>
      <c r="X56" s="31"/>
      <c r="Y56" s="31"/>
      <c r="Z56" s="31"/>
      <c r="AA56" s="31"/>
      <c r="AB56" s="45" t="s">
        <v>62</v>
      </c>
      <c r="AC56" s="50">
        <f t="shared" ref="AC56:AC60" si="11">COUNTIFS(C:C,AB56,D:D,"Best Regards")</f>
        <v>3</v>
      </c>
      <c r="AD56" s="51">
        <f t="shared" ref="AD56:AD60" si="12">COUNTIFS(C:C,AB56,D:D,"Unhinged肉")</f>
        <v>0</v>
      </c>
    </row>
    <row r="57" spans="1:30" ht="22.5" customHeight="1">
      <c r="A57" s="32">
        <v>59</v>
      </c>
      <c r="B57" s="54" t="str">
        <f>VLOOKUP(C57,Lists!I:J,2,FALSE)</f>
        <v>Tank</v>
      </c>
      <c r="C57" s="34" t="str">
        <f>VLOOKUP(E57&amp;D57,Lists!C:E,3,FALSE)</f>
        <v>SnS/Longbow</v>
      </c>
      <c r="D57" s="35" t="s">
        <v>34</v>
      </c>
      <c r="E57" s="36" t="s">
        <v>114</v>
      </c>
      <c r="F57" s="35" t="s">
        <v>476</v>
      </c>
      <c r="G57" s="32">
        <v>0</v>
      </c>
      <c r="H57" s="32">
        <v>22</v>
      </c>
      <c r="I57" s="84">
        <f t="shared" si="0"/>
        <v>22</v>
      </c>
      <c r="J57" s="37">
        <v>50854</v>
      </c>
      <c r="K57" s="37">
        <v>209473</v>
      </c>
      <c r="L57" s="37">
        <v>102346</v>
      </c>
      <c r="M57" s="38">
        <f>I57/(HLOOKUP(F57,Team_Composition_23[[#All],[Yellow]:[Red]],10,FALSE)+HLOOKUP(F57,Team_Composition_23[[#All],[Yellow]:[Red]],11,FALSE))</f>
        <v>5.4986253436640842E-3</v>
      </c>
      <c r="N57" s="38">
        <f>J57/HLOOKUP(F57,Team_Composition_23[[#All],[Yellow]:[Red]],6,FALSE)</f>
        <v>1.1463003524669587E-3</v>
      </c>
      <c r="O57" s="38">
        <f>K57/HLOOKUP(F57,Team_Composition_23[[#All],[Yellow]:[Red]],8,FALSE)</f>
        <v>1.1957065690083256E-2</v>
      </c>
      <c r="P57" s="38">
        <f>L57/HLOOKUP(F57,Team_Composition_23[[#All],[Yellow]:[Red]],7,FALSE)</f>
        <v>7.9063566501817641E-3</v>
      </c>
      <c r="Q57" s="31"/>
      <c r="R57" s="45" t="s">
        <v>70</v>
      </c>
      <c r="S57" s="46">
        <f t="shared" si="9"/>
        <v>1</v>
      </c>
      <c r="T57" s="47">
        <f t="shared" si="10"/>
        <v>0</v>
      </c>
      <c r="U57" s="31"/>
      <c r="V57" s="31"/>
      <c r="W57" s="31"/>
      <c r="X57" s="31"/>
      <c r="Y57" s="31"/>
      <c r="Z57" s="31"/>
      <c r="AA57" s="31"/>
      <c r="AB57" s="45" t="s">
        <v>70</v>
      </c>
      <c r="AC57" s="50">
        <f t="shared" si="11"/>
        <v>1</v>
      </c>
      <c r="AD57" s="51">
        <f t="shared" si="12"/>
        <v>0</v>
      </c>
    </row>
    <row r="58" spans="1:30" ht="22.5" customHeight="1">
      <c r="A58" s="32">
        <v>60</v>
      </c>
      <c r="B58" s="33" t="str">
        <f>VLOOKUP(C58,Lists!I:J,2,FALSE)</f>
        <v>Healer</v>
      </c>
      <c r="C58" s="34" t="str">
        <f>VLOOKUP(E58&amp;D58,Lists!C:E,3,FALSE)</f>
        <v>Wand/Longbow</v>
      </c>
      <c r="D58" s="35" t="s">
        <v>34</v>
      </c>
      <c r="E58" s="36" t="s">
        <v>180</v>
      </c>
      <c r="F58" s="35" t="s">
        <v>476</v>
      </c>
      <c r="G58" s="32">
        <v>0</v>
      </c>
      <c r="H58" s="32">
        <v>22</v>
      </c>
      <c r="I58" s="84">
        <f t="shared" si="0"/>
        <v>22</v>
      </c>
      <c r="J58" s="37">
        <v>31699</v>
      </c>
      <c r="K58" s="37">
        <v>173426</v>
      </c>
      <c r="L58" s="37">
        <v>745178</v>
      </c>
      <c r="M58" s="38">
        <f>I58/(HLOOKUP(F58,Team_Composition_23[[#All],[Yellow]:[Red]],10,FALSE)+HLOOKUP(F58,Team_Composition_23[[#All],[Yellow]:[Red]],11,FALSE))</f>
        <v>5.4986253436640842E-3</v>
      </c>
      <c r="N58" s="38">
        <f>J58/HLOOKUP(F58,Team_Composition_23[[#All],[Yellow]:[Red]],6,FALSE)</f>
        <v>7.1452736997778198E-4</v>
      </c>
      <c r="O58" s="38">
        <f>K58/HLOOKUP(F58,Team_Composition_23[[#All],[Yellow]:[Red]],8,FALSE)</f>
        <v>9.8994432426536046E-3</v>
      </c>
      <c r="P58" s="38">
        <f>L58/HLOOKUP(F58,Team_Composition_23[[#All],[Yellow]:[Red]],7,FALSE)</f>
        <v>5.7565933557434064E-2</v>
      </c>
      <c r="Q58" s="31"/>
      <c r="R58" s="45" t="s">
        <v>14</v>
      </c>
      <c r="S58" s="46">
        <f t="shared" si="9"/>
        <v>10</v>
      </c>
      <c r="T58" s="47">
        <f t="shared" si="10"/>
        <v>8</v>
      </c>
      <c r="U58" s="31"/>
      <c r="V58" s="31"/>
      <c r="W58" s="31"/>
      <c r="X58" s="31"/>
      <c r="Y58" s="31"/>
      <c r="Z58" s="31"/>
      <c r="AA58" s="31"/>
      <c r="AB58" s="45" t="s">
        <v>14</v>
      </c>
      <c r="AC58" s="50">
        <f t="shared" si="11"/>
        <v>9</v>
      </c>
      <c r="AD58" s="51">
        <f t="shared" si="12"/>
        <v>0</v>
      </c>
    </row>
    <row r="59" spans="1:30" ht="22.5" customHeight="1">
      <c r="A59" s="32">
        <v>43</v>
      </c>
      <c r="B59" s="56" t="str">
        <f>VLOOKUP(C59,Lists!I:J,2,FALSE)</f>
        <v>Tank</v>
      </c>
      <c r="C59" s="34" t="str">
        <f>VLOOKUP(E59&amp;D59,Lists!C:E,3,FALSE)</f>
        <v>SnS/Greatsword</v>
      </c>
      <c r="D59" s="35" t="s">
        <v>30</v>
      </c>
      <c r="E59" s="36" t="s">
        <v>408</v>
      </c>
      <c r="F59" s="35" t="s">
        <v>483</v>
      </c>
      <c r="G59" s="32">
        <v>1</v>
      </c>
      <c r="H59" s="32">
        <v>20</v>
      </c>
      <c r="I59" s="84">
        <f t="shared" si="0"/>
        <v>21</v>
      </c>
      <c r="J59" s="37">
        <v>78565</v>
      </c>
      <c r="K59" s="37">
        <v>323687</v>
      </c>
      <c r="L59" s="37">
        <v>40320</v>
      </c>
      <c r="M59" s="38">
        <f>I59/(HLOOKUP(F59,Team_Composition_23[[#All],[Yellow]:[Red]],10,FALSE)+HLOOKUP(F59,Team_Composition_23[[#All],[Yellow]:[Red]],11,FALSE))</f>
        <v>2.5578562728380026E-2</v>
      </c>
      <c r="N59" s="38">
        <f>J59/HLOOKUP(F59,Team_Composition_23[[#All],[Yellow]:[Red]],6,FALSE)</f>
        <v>4.4524339339335082E-3</v>
      </c>
      <c r="O59" s="38">
        <f>K59/HLOOKUP(F59,Team_Composition_23[[#All],[Yellow]:[Red]],8,FALSE)</f>
        <v>7.3538589589979882E-3</v>
      </c>
      <c r="P59" s="38">
        <f>L59/HLOOKUP(F59,Team_Composition_23[[#All],[Yellow]:[Red]],7,FALSE)</f>
        <v>1.6614191725547397E-3</v>
      </c>
      <c r="Q59" s="31"/>
      <c r="R59" s="45" t="s">
        <v>73</v>
      </c>
      <c r="S59" s="46">
        <f t="shared" si="9"/>
        <v>1</v>
      </c>
      <c r="T59" s="47">
        <f t="shared" si="10"/>
        <v>1</v>
      </c>
      <c r="U59" s="31"/>
      <c r="V59" s="31"/>
      <c r="W59" s="31"/>
      <c r="X59" s="31"/>
      <c r="Y59" s="31"/>
      <c r="Z59" s="31"/>
      <c r="AA59" s="31"/>
      <c r="AB59" s="45" t="s">
        <v>73</v>
      </c>
      <c r="AC59" s="50">
        <f t="shared" si="11"/>
        <v>1</v>
      </c>
      <c r="AD59" s="51">
        <f t="shared" si="12"/>
        <v>0</v>
      </c>
    </row>
    <row r="60" spans="1:30" ht="22.5" customHeight="1">
      <c r="A60" s="32">
        <v>63</v>
      </c>
      <c r="B60" s="62" t="str">
        <f>VLOOKUP(C60,Lists!I:J,2,FALSE)</f>
        <v>Healer</v>
      </c>
      <c r="C60" s="34" t="str">
        <f>VLOOKUP(E60&amp;D60,Lists!C:E,3,FALSE)</f>
        <v>Wand/Longbow</v>
      </c>
      <c r="D60" s="35" t="s">
        <v>30</v>
      </c>
      <c r="E60" s="36" t="s">
        <v>414</v>
      </c>
      <c r="F60" s="35" t="s">
        <v>483</v>
      </c>
      <c r="G60" s="32">
        <v>0</v>
      </c>
      <c r="H60" s="32">
        <v>21</v>
      </c>
      <c r="I60" s="84">
        <f t="shared" si="0"/>
        <v>21</v>
      </c>
      <c r="J60" s="37">
        <v>41952</v>
      </c>
      <c r="K60" s="37">
        <v>427501</v>
      </c>
      <c r="L60" s="37">
        <v>1129924</v>
      </c>
      <c r="M60" s="38">
        <f>I60/(HLOOKUP(F60,Team_Composition_23[[#All],[Yellow]:[Red]],10,FALSE)+HLOOKUP(F60,Team_Composition_23[[#All],[Yellow]:[Red]],11,FALSE))</f>
        <v>2.5578562728380026E-2</v>
      </c>
      <c r="N60" s="38">
        <f>J60/HLOOKUP(F60,Team_Composition_23[[#All],[Yellow]:[Red]],6,FALSE)</f>
        <v>2.3775028116384974E-3</v>
      </c>
      <c r="O60" s="38">
        <f>K60/HLOOKUP(F60,Team_Composition_23[[#All],[Yellow]:[Red]],8,FALSE)</f>
        <v>9.7124137170494923E-3</v>
      </c>
      <c r="P60" s="38">
        <f>L60/HLOOKUP(F60,Team_Composition_23[[#All],[Yellow]:[Red]],7,FALSE)</f>
        <v>4.6559459254209866E-2</v>
      </c>
      <c r="Q60" s="31"/>
      <c r="R60" s="45" t="s">
        <v>75</v>
      </c>
      <c r="S60" s="46">
        <f t="shared" si="9"/>
        <v>0</v>
      </c>
      <c r="T60" s="47">
        <f t="shared" si="10"/>
        <v>0</v>
      </c>
      <c r="U60" s="31"/>
      <c r="V60" s="31"/>
      <c r="W60" s="31"/>
      <c r="X60" s="31"/>
      <c r="Y60" s="31"/>
      <c r="Z60" s="31"/>
      <c r="AA60" s="31"/>
      <c r="AB60" s="45" t="s">
        <v>75</v>
      </c>
      <c r="AC60" s="50">
        <f t="shared" si="11"/>
        <v>0</v>
      </c>
      <c r="AD60" s="51">
        <f t="shared" si="12"/>
        <v>0</v>
      </c>
    </row>
    <row r="61" spans="1:30" ht="22.5" customHeight="1">
      <c r="A61" s="32">
        <v>61</v>
      </c>
      <c r="B61" s="40" t="str">
        <f>VLOOKUP(C61,Lists!I:J,2,FALSE)</f>
        <v>Tank</v>
      </c>
      <c r="C61" s="34" t="str">
        <f>VLOOKUP(E61&amp;D61,Lists!C:E,3,FALSE)</f>
        <v>SnS/Spear</v>
      </c>
      <c r="D61" s="35" t="s">
        <v>34</v>
      </c>
      <c r="E61" s="36" t="s">
        <v>79</v>
      </c>
      <c r="F61" s="35" t="s">
        <v>476</v>
      </c>
      <c r="G61" s="32">
        <v>0</v>
      </c>
      <c r="H61" s="32">
        <v>21</v>
      </c>
      <c r="I61" s="84">
        <f t="shared" si="0"/>
        <v>21</v>
      </c>
      <c r="J61" s="37">
        <v>68180</v>
      </c>
      <c r="K61" s="37">
        <v>242439</v>
      </c>
      <c r="L61" s="37">
        <v>31454</v>
      </c>
      <c r="M61" s="38">
        <f>I61/(HLOOKUP(F61,Team_Composition_23[[#All],[Yellow]:[Red]],10,FALSE)+HLOOKUP(F61,Team_Composition_23[[#All],[Yellow]:[Red]],11,FALSE))</f>
        <v>5.2486878280429894E-3</v>
      </c>
      <c r="N61" s="38">
        <f>J61/HLOOKUP(F61,Team_Composition_23[[#All],[Yellow]:[Red]],6,FALSE)</f>
        <v>1.5368458337829325E-3</v>
      </c>
      <c r="O61" s="38">
        <f>K61/HLOOKUP(F61,Team_Composition_23[[#All],[Yellow]:[Red]],8,FALSE)</f>
        <v>1.3838819555924125E-2</v>
      </c>
      <c r="P61" s="38">
        <f>L61/HLOOKUP(F61,Team_Composition_23[[#All],[Yellow]:[Red]],7,FALSE)</f>
        <v>2.429860884400145E-3</v>
      </c>
      <c r="Q61" s="31"/>
      <c r="R61" s="48"/>
      <c r="S61" s="63"/>
      <c r="T61" s="63"/>
      <c r="U61" s="31"/>
      <c r="V61" s="31"/>
      <c r="W61" s="31"/>
      <c r="X61" s="31"/>
      <c r="Y61" s="31"/>
      <c r="Z61" s="31"/>
      <c r="AA61" s="31"/>
      <c r="AB61" s="48"/>
      <c r="AC61" s="63"/>
      <c r="AD61" s="63"/>
    </row>
    <row r="62" spans="1:30" ht="22.5" customHeight="1">
      <c r="A62" s="32">
        <v>62</v>
      </c>
      <c r="B62" s="60" t="str">
        <f>VLOOKUP(C62,Lists!I:J,2,FALSE)</f>
        <v>Tank</v>
      </c>
      <c r="C62" s="34" t="str">
        <f>VLOOKUP(E62&amp;D62,Lists!C:E,3,FALSE)</f>
        <v>SnS/Spear</v>
      </c>
      <c r="D62" s="35" t="s">
        <v>34</v>
      </c>
      <c r="E62" s="36" t="s">
        <v>61</v>
      </c>
      <c r="F62" s="35" t="s">
        <v>476</v>
      </c>
      <c r="G62" s="32">
        <v>0</v>
      </c>
      <c r="H62" s="32">
        <v>21</v>
      </c>
      <c r="I62" s="84">
        <f t="shared" si="0"/>
        <v>21</v>
      </c>
      <c r="J62" s="37">
        <v>66061</v>
      </c>
      <c r="K62" s="37">
        <v>112431</v>
      </c>
      <c r="L62" s="37">
        <v>2114</v>
      </c>
      <c r="M62" s="38">
        <f>I62/(HLOOKUP(F62,Team_Composition_23[[#All],[Yellow]:[Red]],10,FALSE)+HLOOKUP(F62,Team_Composition_23[[#All],[Yellow]:[Red]],11,FALSE))</f>
        <v>5.2486878280429894E-3</v>
      </c>
      <c r="N62" s="38">
        <f>J62/HLOOKUP(F62,Team_Composition_23[[#All],[Yellow]:[Red]],6,FALSE)</f>
        <v>1.4890814406795878E-3</v>
      </c>
      <c r="O62" s="38">
        <f>K62/HLOOKUP(F62,Team_Composition_23[[#All],[Yellow]:[Red]],8,FALSE)</f>
        <v>6.4177476457669986E-3</v>
      </c>
      <c r="P62" s="38">
        <f>L62/HLOOKUP(F62,Team_Composition_23[[#All],[Yellow]:[Red]],7,FALSE)</f>
        <v>1.6330914699630908E-4</v>
      </c>
      <c r="Q62" s="31"/>
      <c r="R62" s="31"/>
      <c r="S62" s="64"/>
      <c r="T62" s="64"/>
      <c r="U62" s="31"/>
      <c r="V62" s="31"/>
      <c r="W62" s="31"/>
      <c r="X62" s="31"/>
      <c r="Y62" s="31"/>
      <c r="Z62" s="31"/>
      <c r="AA62" s="31"/>
      <c r="AB62" s="31"/>
      <c r="AC62" s="64"/>
      <c r="AD62" s="64"/>
    </row>
    <row r="63" spans="1:30" ht="22.5" customHeight="1">
      <c r="A63" s="32">
        <v>64</v>
      </c>
      <c r="B63" s="40" t="str">
        <f>VLOOKUP(C63,Lists!I:J,2,FALSE)</f>
        <v>Healer</v>
      </c>
      <c r="C63" s="34" t="str">
        <f>VLOOKUP(E63&amp;D63,Lists!C:E,3,FALSE)</f>
        <v>Wand/Longbow</v>
      </c>
      <c r="D63" s="35" t="s">
        <v>30</v>
      </c>
      <c r="E63" s="36" t="s">
        <v>420</v>
      </c>
      <c r="F63" s="35" t="s">
        <v>483</v>
      </c>
      <c r="G63" s="32">
        <v>0</v>
      </c>
      <c r="H63" s="32">
        <v>20</v>
      </c>
      <c r="I63" s="84">
        <f t="shared" si="0"/>
        <v>20</v>
      </c>
      <c r="J63" s="37">
        <v>24037</v>
      </c>
      <c r="K63" s="37">
        <v>523641</v>
      </c>
      <c r="L63" s="37">
        <v>801557</v>
      </c>
      <c r="M63" s="38">
        <f>I63/(HLOOKUP(F63,Team_Composition_23[[#All],[Yellow]:[Red]],10,FALSE)+HLOOKUP(F63,Team_Composition_23[[#All],[Yellow]:[Red]],11,FALSE))</f>
        <v>2.4360535931790498E-2</v>
      </c>
      <c r="N63" s="38">
        <f>J63/HLOOKUP(F63,Team_Composition_23[[#All],[Yellow]:[Red]],6,FALSE)</f>
        <v>1.3622243297901069E-3</v>
      </c>
      <c r="O63" s="38">
        <f>K63/HLOOKUP(F63,Team_Composition_23[[#All],[Yellow]:[Red]],8,FALSE)</f>
        <v>1.1896622537045558E-2</v>
      </c>
      <c r="P63" s="38">
        <f>L63/HLOOKUP(F63,Team_Composition_23[[#All],[Yellow]:[Red]],7,FALSE)</f>
        <v>3.3028823603558022E-2</v>
      </c>
      <c r="Q63" s="31"/>
      <c r="R63" s="227" t="s">
        <v>11</v>
      </c>
      <c r="S63" s="228"/>
      <c r="T63" s="228"/>
      <c r="U63" s="31"/>
      <c r="V63" s="31"/>
      <c r="W63" s="31"/>
      <c r="X63" s="31"/>
      <c r="Y63" s="31"/>
      <c r="Z63" s="31"/>
      <c r="AA63" s="31"/>
      <c r="AB63" s="227" t="s">
        <v>11</v>
      </c>
      <c r="AC63" s="228"/>
      <c r="AD63" s="228"/>
    </row>
    <row r="64" spans="1:30" ht="22.5" customHeight="1">
      <c r="A64" s="32">
        <v>65</v>
      </c>
      <c r="B64" s="62" t="str">
        <f>VLOOKUP(C64,Lists!I:J,2,FALSE)</f>
        <v>Healer</v>
      </c>
      <c r="C64" s="34" t="str">
        <f>VLOOKUP(E64&amp;D64,Lists!C:E,3,FALSE)</f>
        <v>Wand/Orb</v>
      </c>
      <c r="D64" s="35" t="s">
        <v>34</v>
      </c>
      <c r="E64" s="36" t="s">
        <v>181</v>
      </c>
      <c r="F64" s="35" t="s">
        <v>476</v>
      </c>
      <c r="G64" s="32">
        <v>0</v>
      </c>
      <c r="H64" s="32">
        <v>20</v>
      </c>
      <c r="I64" s="84">
        <f t="shared" si="0"/>
        <v>20</v>
      </c>
      <c r="J64" s="37">
        <v>1053</v>
      </c>
      <c r="K64" s="37">
        <v>202442</v>
      </c>
      <c r="L64" s="37">
        <v>402154</v>
      </c>
      <c r="M64" s="38">
        <f>I64/(HLOOKUP(F64,Team_Composition_23[[#All],[Yellow]:[Red]],10,FALSE)+HLOOKUP(F64,Team_Composition_23[[#All],[Yellow]:[Red]],11,FALSE))</f>
        <v>4.9987503124218945E-3</v>
      </c>
      <c r="N64" s="38">
        <f>J64/HLOOKUP(F64,Team_Composition_23[[#All],[Yellow]:[Red]],6,FALSE)</f>
        <v>2.3735680008410501E-5</v>
      </c>
      <c r="O64" s="38">
        <f>K64/HLOOKUP(F64,Team_Composition_23[[#All],[Yellow]:[Red]],8,FALSE)</f>
        <v>1.1555724567996039E-2</v>
      </c>
      <c r="P64" s="38">
        <f>L64/HLOOKUP(F64,Team_Composition_23[[#All],[Yellow]:[Red]],7,FALSE)</f>
        <v>3.1066900047849427E-2</v>
      </c>
      <c r="Q64" s="31"/>
      <c r="R64" s="41" t="s">
        <v>482</v>
      </c>
      <c r="S64" s="42" t="s">
        <v>476</v>
      </c>
      <c r="T64" s="42" t="s">
        <v>483</v>
      </c>
      <c r="U64" s="31"/>
      <c r="V64" s="31"/>
      <c r="W64" s="31"/>
      <c r="X64" s="31"/>
      <c r="Y64" s="31"/>
      <c r="Z64" s="31"/>
      <c r="AA64" s="31"/>
      <c r="AB64" s="41" t="s">
        <v>482</v>
      </c>
      <c r="AC64" s="42" t="s">
        <v>485</v>
      </c>
      <c r="AD64" s="42" t="s">
        <v>36</v>
      </c>
    </row>
    <row r="65" spans="1:30" ht="22.5" customHeight="1">
      <c r="A65" s="32">
        <v>39</v>
      </c>
      <c r="B65" s="59" t="str">
        <f>VLOOKUP(C65,Lists!I:J,2,FALSE)</f>
        <v>Tank</v>
      </c>
      <c r="C65" s="34" t="str">
        <f>VLOOKUP(E65&amp;D65,Lists!C:E,3,FALSE)</f>
        <v>SnS/Greatsword</v>
      </c>
      <c r="D65" s="35" t="s">
        <v>34</v>
      </c>
      <c r="E65" s="36" t="s">
        <v>166</v>
      </c>
      <c r="F65" s="35" t="s">
        <v>476</v>
      </c>
      <c r="G65" s="32">
        <v>2</v>
      </c>
      <c r="H65" s="32">
        <v>17</v>
      </c>
      <c r="I65" s="84">
        <f t="shared" si="0"/>
        <v>19</v>
      </c>
      <c r="J65" s="37">
        <v>78896</v>
      </c>
      <c r="K65" s="37">
        <v>505637</v>
      </c>
      <c r="L65" s="37">
        <v>58303</v>
      </c>
      <c r="M65" s="38">
        <f>I65/(HLOOKUP(F65,Team_Composition_23[[#All],[Yellow]:[Red]],10,FALSE)+HLOOKUP(F65,Team_Composition_23[[#All],[Yellow]:[Red]],11,FALSE))</f>
        <v>4.7488127968007996E-3</v>
      </c>
      <c r="N65" s="38">
        <f>J65/HLOOKUP(F65,Team_Composition_23[[#All],[Yellow]:[Red]],6,FALSE)</f>
        <v>1.7783952611049904E-3</v>
      </c>
      <c r="O65" s="38">
        <f>K65/HLOOKUP(F65,Team_Composition_23[[#All],[Yellow]:[Red]],8,FALSE)</f>
        <v>2.8862597205065222E-2</v>
      </c>
      <c r="P65" s="38">
        <f>L65/HLOOKUP(F65,Team_Composition_23[[#All],[Yellow]:[Red]],7,FALSE)</f>
        <v>4.5039797527558229E-3</v>
      </c>
      <c r="Q65" s="31"/>
      <c r="R65" s="45" t="s">
        <v>468</v>
      </c>
      <c r="S65" s="46">
        <f>SUMIFS(Scoreboard_34[Damage Dealt],Scoreboard_34[Role],"Healer",Scoreboard_34[Team],"Yellow")</f>
        <v>248336</v>
      </c>
      <c r="T65" s="47">
        <f>SUMIFS(Scoreboard_34[Damage Dealt],Scoreboard_34[Role],"Healer",Scoreboard_34[Team],"Red")</f>
        <v>537452</v>
      </c>
      <c r="U65" s="31"/>
      <c r="V65" s="31"/>
      <c r="W65" s="31"/>
      <c r="X65" s="31"/>
      <c r="Y65" s="31"/>
      <c r="Z65" s="31"/>
      <c r="AA65" s="31"/>
      <c r="AB65" s="45" t="s">
        <v>468</v>
      </c>
      <c r="AC65" s="50">
        <f>SUMIFS(Scoreboard_34[Damage Dealt],Scoreboard_34[Role],"Healer",Scoreboard_34[Guild],"Best Regards")</f>
        <v>248336</v>
      </c>
      <c r="AD65" s="51">
        <f>SUMIFS(Scoreboard_34[Damage Dealt],Scoreboard_34[Role],"Healer",Scoreboard_34[Guild],"Unhinged肉")</f>
        <v>0</v>
      </c>
    </row>
    <row r="66" spans="1:30" ht="22.5" customHeight="1">
      <c r="A66" s="32">
        <v>66</v>
      </c>
      <c r="B66" s="33" t="str">
        <f>VLOOKUP(C66,Lists!I:J,2,FALSE)</f>
        <v>Tank</v>
      </c>
      <c r="C66" s="34" t="str">
        <f>VLOOKUP(E66&amp;D66,Lists!C:E,3,FALSE)</f>
        <v>SnS/Greatsword</v>
      </c>
      <c r="D66" s="35" t="s">
        <v>34</v>
      </c>
      <c r="E66" s="36" t="s">
        <v>123</v>
      </c>
      <c r="F66" s="35" t="s">
        <v>476</v>
      </c>
      <c r="G66" s="32">
        <v>0</v>
      </c>
      <c r="H66" s="32">
        <v>19</v>
      </c>
      <c r="I66" s="84">
        <f t="shared" si="0"/>
        <v>19</v>
      </c>
      <c r="J66" s="37">
        <v>106184</v>
      </c>
      <c r="K66" s="37">
        <v>446677</v>
      </c>
      <c r="L66" s="37">
        <v>18503</v>
      </c>
      <c r="M66" s="38">
        <f>I66/(HLOOKUP(F66,Team_Composition_23[[#All],[Yellow]:[Red]],10,FALSE)+HLOOKUP(F66,Team_Composition_23[[#All],[Yellow]:[Red]],11,FALSE))</f>
        <v>4.7488127968007996E-3</v>
      </c>
      <c r="N66" s="38">
        <f>J66/HLOOKUP(F66,Team_Composition_23[[#All],[Yellow]:[Red]],6,FALSE)</f>
        <v>2.3934942507246541E-3</v>
      </c>
      <c r="O66" s="38">
        <f>K66/HLOOKUP(F66,Team_Composition_23[[#All],[Yellow]:[Red]],8,FALSE)</f>
        <v>2.5497062777777177E-2</v>
      </c>
      <c r="P66" s="38">
        <f>L66/HLOOKUP(F66,Team_Composition_23[[#All],[Yellow]:[Red]],7,FALSE)</f>
        <v>1.4293799181044026E-3</v>
      </c>
      <c r="Q66" s="31"/>
      <c r="R66" s="45" t="s">
        <v>469</v>
      </c>
      <c r="S66" s="46">
        <f>SUMIFS(Scoreboard_34[Damage Taken],Scoreboard_34[Role],"Healer",Scoreboard_34[Team],"Yellow")</f>
        <v>4494302</v>
      </c>
      <c r="T66" s="47">
        <f>SUMIFS(Scoreboard_34[Damage Taken],Scoreboard_34[Role],"Healer",Scoreboard_34[Team],"Red")</f>
        <v>6123862</v>
      </c>
      <c r="U66" s="31"/>
      <c r="V66" s="31"/>
      <c r="W66" s="31"/>
      <c r="X66" s="31"/>
      <c r="Y66" s="31"/>
      <c r="Z66" s="31"/>
      <c r="AA66" s="31"/>
      <c r="AB66" s="45" t="s">
        <v>469</v>
      </c>
      <c r="AC66" s="50">
        <f>SUMIFS(Scoreboard_34[Damage Taken],Scoreboard_34[Role],"Healer",Scoreboard_34[Guild],"Best Regards")</f>
        <v>4494302</v>
      </c>
      <c r="AD66" s="51">
        <f>SUMIFS(Scoreboard_34[Damage Taken],Scoreboard_34[Role],"Healer",Scoreboard_34[Guild],"Unhinged肉")</f>
        <v>0</v>
      </c>
    </row>
    <row r="67" spans="1:30" ht="22.5" customHeight="1">
      <c r="A67" s="32">
        <v>68</v>
      </c>
      <c r="B67" s="52" t="str">
        <f>VLOOKUP(C67,Lists!I:J,2,FALSE)</f>
        <v>Healer</v>
      </c>
      <c r="C67" s="34" t="str">
        <f>VLOOKUP(E67&amp;D67,Lists!C:E,3,FALSE)</f>
        <v>Wand/Longbow</v>
      </c>
      <c r="D67" s="35" t="s">
        <v>30</v>
      </c>
      <c r="E67" s="36" t="s">
        <v>191</v>
      </c>
      <c r="F67" s="35" t="s">
        <v>483</v>
      </c>
      <c r="G67" s="32">
        <v>0</v>
      </c>
      <c r="H67" s="32">
        <v>17</v>
      </c>
      <c r="I67" s="84">
        <f t="shared" si="0"/>
        <v>17</v>
      </c>
      <c r="J67" s="37">
        <v>7816</v>
      </c>
      <c r="K67" s="37">
        <v>259521</v>
      </c>
      <c r="L67" s="37">
        <v>415946</v>
      </c>
      <c r="M67" s="38">
        <f>I67/(HLOOKUP(F67,Team_Composition_23[[#All],[Yellow]:[Red]],10,FALSE)+HLOOKUP(F67,Team_Composition_23[[#All],[Yellow]:[Red]],11,FALSE))</f>
        <v>2.0706455542021926E-2</v>
      </c>
      <c r="N67" s="38">
        <f>J67/HLOOKUP(F67,Team_Composition_23[[#All],[Yellow]:[Red]],6,FALSE)</f>
        <v>4.4294817829344238E-4</v>
      </c>
      <c r="O67" s="38">
        <f>K67/HLOOKUP(F67,Team_Composition_23[[#All],[Yellow]:[Red]],8,FALSE)</f>
        <v>5.8960688285229776E-3</v>
      </c>
      <c r="P67" s="38">
        <f>L67/HLOOKUP(F67,Team_Composition_23[[#All],[Yellow]:[Red]],7,FALSE)</f>
        <v>1.7139401268538041E-2</v>
      </c>
      <c r="Q67" s="31"/>
      <c r="R67" s="45" t="s">
        <v>470</v>
      </c>
      <c r="S67" s="46">
        <f>SUMIFS(Scoreboard_34[Amount Healed],Scoreboard_34[Role],"Healer",Scoreboard_34[Team],"Yellow")</f>
        <v>11067179</v>
      </c>
      <c r="T67" s="47">
        <f>SUMIFS(Scoreboard_34[Amount Healed],Scoreboard_34[Role],"Healer",Scoreboard_34[Team],"Red")</f>
        <v>9273519</v>
      </c>
      <c r="U67" s="31"/>
      <c r="V67" s="31"/>
      <c r="W67" s="31"/>
      <c r="X67" s="31"/>
      <c r="Y67" s="31"/>
      <c r="Z67" s="31"/>
      <c r="AA67" s="31"/>
      <c r="AB67" s="45" t="s">
        <v>470</v>
      </c>
      <c r="AC67" s="50">
        <f>SUMIFS(Scoreboard_34[Amount Healed],Scoreboard_34[Role],"Healer",Scoreboard_34[Guild],"Best Regards")</f>
        <v>11067179</v>
      </c>
      <c r="AD67" s="51">
        <f>SUMIFS(Scoreboard_34[Amount Healed],Scoreboard_34[Role],"Healer",Scoreboard_34[Guild],"Unhinged肉")</f>
        <v>0</v>
      </c>
    </row>
    <row r="68" spans="1:30" ht="22.5" customHeight="1">
      <c r="A68" s="32">
        <v>67</v>
      </c>
      <c r="B68" s="57" t="str">
        <f>VLOOKUP(C68,Lists!I:J,2,FALSE)</f>
        <v>Tank</v>
      </c>
      <c r="C68" s="34" t="str">
        <f>VLOOKUP(E68&amp;D68,Lists!C:E,3,FALSE)</f>
        <v>SnS/Greatsword</v>
      </c>
      <c r="D68" s="35" t="s">
        <v>34</v>
      </c>
      <c r="E68" s="36" t="s">
        <v>163</v>
      </c>
      <c r="F68" s="35" t="s">
        <v>476</v>
      </c>
      <c r="G68" s="32">
        <v>0</v>
      </c>
      <c r="H68" s="32">
        <v>17</v>
      </c>
      <c r="I68" s="84">
        <f t="shared" si="0"/>
        <v>17</v>
      </c>
      <c r="J68" s="37">
        <v>20069</v>
      </c>
      <c r="K68" s="37">
        <v>299888</v>
      </c>
      <c r="L68" s="37">
        <v>17767</v>
      </c>
      <c r="M68" s="38">
        <f>I68/(HLOOKUP(F68,Team_Composition_23[[#All],[Yellow]:[Red]],10,FALSE)+HLOOKUP(F68,Team_Composition_23[[#All],[Yellow]:[Red]],11,FALSE))</f>
        <v>4.2489377655586099E-3</v>
      </c>
      <c r="N68" s="38">
        <f>J68/HLOOKUP(F68,Team_Composition_23[[#All],[Yellow]:[Red]],6,FALSE)</f>
        <v>4.5237546257245048E-4</v>
      </c>
      <c r="O68" s="38">
        <f>K68/HLOOKUP(F68,Team_Composition_23[[#All],[Yellow]:[Red]],8,FALSE)</f>
        <v>1.7118103601264541E-2</v>
      </c>
      <c r="P68" s="38">
        <f>L68/HLOOKUP(F68,Team_Composition_23[[#All],[Yellow]:[Red]],7,FALSE)</f>
        <v>1.3725229965389895E-3</v>
      </c>
      <c r="Q68" s="31"/>
      <c r="R68" s="45" t="s">
        <v>465</v>
      </c>
      <c r="S68" s="46">
        <f>SUMIFS(Scoreboard_34[Kills],Scoreboard_34[Role],"Healer",Scoreboard_34[Team],"Yellow")</f>
        <v>1</v>
      </c>
      <c r="T68" s="47">
        <f>SUMIFS(Scoreboard_34[Kills],Scoreboard_34[Role],"Healer",Scoreboard_34[Team],"Red")</f>
        <v>1</v>
      </c>
      <c r="U68" s="31"/>
      <c r="V68" s="31"/>
      <c r="W68" s="31"/>
      <c r="X68" s="31"/>
      <c r="Y68" s="31"/>
      <c r="Z68" s="31"/>
      <c r="AA68" s="31"/>
      <c r="AB68" s="45" t="s">
        <v>465</v>
      </c>
      <c r="AC68" s="50">
        <f>SUMIFS(Scoreboard_34[Kills],Scoreboard_34[Role],"Healer",Scoreboard_34[Guild],"Best Regards")</f>
        <v>1</v>
      </c>
      <c r="AD68" s="51">
        <f>SUMIFS(Scoreboard_34[Kills],Scoreboard_34[Role],"Healer",Scoreboard_34[Guild],"Unhinged肉")</f>
        <v>0</v>
      </c>
    </row>
    <row r="69" spans="1:30" ht="22.5" customHeight="1">
      <c r="A69" s="32">
        <v>69</v>
      </c>
      <c r="B69" s="52" t="str">
        <f>VLOOKUP(C69,Lists!I:J,2,FALSE)</f>
        <v>Healer</v>
      </c>
      <c r="C69" s="34" t="str">
        <f>VLOOKUP(E69&amp;D69,Lists!C:E,3,FALSE)</f>
        <v>Wand/Orb</v>
      </c>
      <c r="D69" s="35" t="s">
        <v>30</v>
      </c>
      <c r="E69" s="36" t="s">
        <v>445</v>
      </c>
      <c r="F69" s="35" t="s">
        <v>483</v>
      </c>
      <c r="G69" s="32">
        <v>0</v>
      </c>
      <c r="H69" s="32">
        <v>16</v>
      </c>
      <c r="I69" s="84">
        <f t="shared" si="0"/>
        <v>16</v>
      </c>
      <c r="J69" s="37">
        <v>6526</v>
      </c>
      <c r="K69" s="37">
        <v>235181</v>
      </c>
      <c r="L69" s="37">
        <v>570528</v>
      </c>
      <c r="M69" s="38">
        <f>I69/(HLOOKUP(F69,Team_Composition_23[[#All],[Yellow]:[Red]],10,FALSE)+HLOOKUP(F69,Team_Composition_23[[#All],[Yellow]:[Red]],11,FALSE))</f>
        <v>1.9488428745432398E-2</v>
      </c>
      <c r="N69" s="38">
        <f>J69/HLOOKUP(F69,Team_Composition_23[[#All],[Yellow]:[Red]],6,FALSE)</f>
        <v>3.6984132696302522E-4</v>
      </c>
      <c r="O69" s="38">
        <f>K69/HLOOKUP(F69,Team_Composition_23[[#All],[Yellow]:[Red]],8,FALSE)</f>
        <v>5.3430873153265529E-3</v>
      </c>
      <c r="P69" s="38">
        <f>L69/HLOOKUP(F69,Team_Composition_23[[#All],[Yellow]:[Red]],7,FALSE)</f>
        <v>2.3509081291649567E-2</v>
      </c>
      <c r="Q69" s="31"/>
      <c r="R69" s="45" t="s">
        <v>466</v>
      </c>
      <c r="S69" s="46">
        <f>SUMIFS(Scoreboard_34[Assists],Scoreboard_34[Role],"Healer",Scoreboard_34[Team],"Yellow")</f>
        <v>582</v>
      </c>
      <c r="T69" s="47">
        <f>SUMIFS(Scoreboard_34[Assists],Scoreboard_34[Role],"Healer",Scoreboard_34[Team],"Red")</f>
        <v>288</v>
      </c>
      <c r="U69" s="31"/>
      <c r="V69" s="31"/>
      <c r="W69" s="31"/>
      <c r="X69" s="31"/>
      <c r="Y69" s="31"/>
      <c r="Z69" s="31"/>
      <c r="AA69" s="31"/>
      <c r="AB69" s="45" t="s">
        <v>466</v>
      </c>
      <c r="AC69" s="50">
        <f>SUMIFS(Scoreboard_34[Assists],Scoreboard_34[Role],"Healer",Scoreboard_34[Guild],"Best Regards")</f>
        <v>582</v>
      </c>
      <c r="AD69" s="51">
        <f>SUMIFS(Scoreboard_34[Assists],Scoreboard_34[Role],"Healer",Scoreboard_34[Guild],"Unhinged肉")</f>
        <v>0</v>
      </c>
    </row>
    <row r="70" spans="1:30" ht="22.5" customHeight="1">
      <c r="A70" s="32">
        <v>70</v>
      </c>
      <c r="B70" s="57" t="str">
        <f>VLOOKUP(C70,Lists!I:J,2,FALSE)</f>
        <v>Healer</v>
      </c>
      <c r="C70" s="34" t="str">
        <f>VLOOKUP(E70&amp;D70,Lists!C:E,3,FALSE)</f>
        <v>Wand/Orb</v>
      </c>
      <c r="D70" s="35" t="s">
        <v>30</v>
      </c>
      <c r="E70" s="36" t="s">
        <v>202</v>
      </c>
      <c r="F70" s="35" t="s">
        <v>483</v>
      </c>
      <c r="G70" s="32">
        <v>0</v>
      </c>
      <c r="H70" s="32">
        <v>16</v>
      </c>
      <c r="I70" s="84">
        <f t="shared" si="0"/>
        <v>16</v>
      </c>
      <c r="J70" s="37">
        <v>1573</v>
      </c>
      <c r="K70" s="37">
        <v>323681</v>
      </c>
      <c r="L70" s="37">
        <v>425387</v>
      </c>
      <c r="M70" s="38">
        <f>I70/(HLOOKUP(F70,Team_Composition_23[[#All],[Yellow]:[Red]],10,FALSE)+HLOOKUP(F70,Team_Composition_23[[#All],[Yellow]:[Red]],11,FALSE))</f>
        <v>1.9488428745432398E-2</v>
      </c>
      <c r="N70" s="38">
        <f>J70/HLOOKUP(F70,Team_Composition_23[[#All],[Yellow]:[Red]],6,FALSE)</f>
        <v>8.9145021040888542E-5</v>
      </c>
      <c r="O70" s="38">
        <f>K70/HLOOKUP(F70,Team_Composition_23[[#All],[Yellow]:[Red]],8,FALSE)</f>
        <v>7.3537226447383669E-3</v>
      </c>
      <c r="P70" s="38">
        <f>L70/HLOOKUP(F70,Team_Composition_23[[#All],[Yellow]:[Red]],7,FALSE)</f>
        <v>1.7528425534611685E-2</v>
      </c>
      <c r="Q70" s="31"/>
      <c r="R70" s="45" t="s">
        <v>10</v>
      </c>
      <c r="S70" s="46">
        <f t="shared" ref="S70:S72" si="13">COUNTIFS(C:C,R70,F:F,"Yellow")</f>
        <v>6</v>
      </c>
      <c r="T70" s="47">
        <f t="shared" ref="T70:T72" si="14">COUNTIFS(C:C,R70,F:F,"Red")</f>
        <v>5</v>
      </c>
      <c r="U70" s="31"/>
      <c r="V70" s="31"/>
      <c r="W70" s="31"/>
      <c r="X70" s="31"/>
      <c r="Y70" s="31"/>
      <c r="Z70" s="31"/>
      <c r="AA70" s="31"/>
      <c r="AB70" s="45" t="s">
        <v>10</v>
      </c>
      <c r="AC70" s="50">
        <f t="shared" ref="AC70:AC72" si="15">COUNTIFS(C:C,AB70,D:D,"Best Regards")</f>
        <v>6</v>
      </c>
      <c r="AD70" s="51">
        <f t="shared" ref="AD70:AD72" si="16">COUNTIFS(C:C,AB70,D:D,"Unhinged肉")</f>
        <v>0</v>
      </c>
    </row>
    <row r="71" spans="1:30" ht="22.5" customHeight="1">
      <c r="A71" s="32">
        <v>71</v>
      </c>
      <c r="B71" s="52" t="str">
        <f>VLOOKUP(C71,Lists!I:J,2,FALSE)</f>
        <v>Healer</v>
      </c>
      <c r="C71" s="34" t="str">
        <f>VLOOKUP(E71&amp;D71,Lists!C:E,3,FALSE)</f>
        <v>Wand/Orb</v>
      </c>
      <c r="D71" s="35" t="s">
        <v>30</v>
      </c>
      <c r="E71" s="36" t="s">
        <v>442</v>
      </c>
      <c r="F71" s="35" t="s">
        <v>483</v>
      </c>
      <c r="G71" s="32">
        <v>0</v>
      </c>
      <c r="H71" s="32">
        <v>16</v>
      </c>
      <c r="I71" s="84">
        <f t="shared" si="0"/>
        <v>16</v>
      </c>
      <c r="J71" s="37">
        <v>349202</v>
      </c>
      <c r="K71" s="37">
        <v>492121</v>
      </c>
      <c r="L71" s="171">
        <v>0</v>
      </c>
      <c r="M71" s="38">
        <f>I71/(HLOOKUP(F71,Team_Composition_23[[#All],[Yellow]:[Red]],10,FALSE)+HLOOKUP(F71,Team_Composition_23[[#All],[Yellow]:[Red]],11,FALSE))</f>
        <v>1.9488428745432398E-2</v>
      </c>
      <c r="N71" s="38">
        <f>J71/HLOOKUP(F71,Team_Composition_23[[#All],[Yellow]:[Red]],6,FALSE)</f>
        <v>1.9789967983166155E-2</v>
      </c>
      <c r="O71" s="38">
        <f>K71/HLOOKUP(F71,Team_Composition_23[[#All],[Yellow]:[Red]],8,FALSE)</f>
        <v>1.118051829316917E-2</v>
      </c>
      <c r="P71" s="38">
        <f>L71/HLOOKUP(F71,Team_Composition_23[[#All],[Yellow]:[Red]],7,FALSE)</f>
        <v>0</v>
      </c>
      <c r="Q71" s="31"/>
      <c r="R71" s="45" t="s">
        <v>9</v>
      </c>
      <c r="S71" s="46">
        <f t="shared" si="13"/>
        <v>10</v>
      </c>
      <c r="T71" s="47">
        <f t="shared" si="14"/>
        <v>11</v>
      </c>
      <c r="U71" s="31"/>
      <c r="V71" s="31"/>
      <c r="W71" s="31"/>
      <c r="X71" s="31"/>
      <c r="Y71" s="31"/>
      <c r="Z71" s="31"/>
      <c r="AA71" s="31"/>
      <c r="AB71" s="45" t="s">
        <v>9</v>
      </c>
      <c r="AC71" s="50">
        <f t="shared" si="15"/>
        <v>10</v>
      </c>
      <c r="AD71" s="51">
        <f t="shared" si="16"/>
        <v>0</v>
      </c>
    </row>
    <row r="72" spans="1:30" ht="22.5" customHeight="1">
      <c r="A72" s="32">
        <v>72</v>
      </c>
      <c r="B72" s="55" t="str">
        <f>VLOOKUP(C72,Lists!I:J,2,FALSE)</f>
        <v>Tank</v>
      </c>
      <c r="C72" s="34" t="str">
        <f>VLOOKUP(E72&amp;D72,Lists!C:E,3,FALSE)</f>
        <v>SnS/Dagger</v>
      </c>
      <c r="D72" s="35" t="s">
        <v>34</v>
      </c>
      <c r="E72" s="36" t="s">
        <v>177</v>
      </c>
      <c r="F72" s="35" t="s">
        <v>476</v>
      </c>
      <c r="G72" s="32">
        <v>0</v>
      </c>
      <c r="H72" s="32">
        <v>15</v>
      </c>
      <c r="I72" s="84">
        <f t="shared" si="0"/>
        <v>15</v>
      </c>
      <c r="J72" s="37">
        <v>15653</v>
      </c>
      <c r="K72" s="37">
        <v>111348</v>
      </c>
      <c r="L72" s="37">
        <v>6935</v>
      </c>
      <c r="M72" s="38">
        <f>I72/(HLOOKUP(F72,Team_Composition_23[[#All],[Yellow]:[Red]],10,FALSE)+HLOOKUP(F72,Team_Composition_23[[#All],[Yellow]:[Red]],11,FALSE))</f>
        <v>3.7490627343164211E-3</v>
      </c>
      <c r="N72" s="38">
        <f>J72/HLOOKUP(F72,Team_Composition_23[[#All],[Yellow]:[Red]],6,FALSE)</f>
        <v>3.528343771810537E-4</v>
      </c>
      <c r="O72" s="38">
        <f>K72/HLOOKUP(F72,Team_Composition_23[[#All],[Yellow]:[Red]],8,FALSE)</f>
        <v>6.3559282125113517E-3</v>
      </c>
      <c r="P72" s="38">
        <f>L72/HLOOKUP(F72,Team_Composition_23[[#All],[Yellow]:[Red]],7,FALSE)</f>
        <v>5.3573743350019093E-4</v>
      </c>
      <c r="Q72" s="31"/>
      <c r="R72" s="45" t="s">
        <v>18</v>
      </c>
      <c r="S72" s="46">
        <f t="shared" si="13"/>
        <v>0</v>
      </c>
      <c r="T72" s="47">
        <f t="shared" si="14"/>
        <v>0</v>
      </c>
      <c r="U72" s="31"/>
      <c r="V72" s="31"/>
      <c r="W72" s="31"/>
      <c r="X72" s="31"/>
      <c r="Y72" s="31"/>
      <c r="Z72" s="31"/>
      <c r="AA72" s="31"/>
      <c r="AB72" s="45" t="s">
        <v>18</v>
      </c>
      <c r="AC72" s="50">
        <f t="shared" si="15"/>
        <v>0</v>
      </c>
      <c r="AD72" s="51">
        <f t="shared" si="16"/>
        <v>0</v>
      </c>
    </row>
    <row r="73" spans="1:30" ht="22.5" customHeight="1">
      <c r="A73" s="32">
        <v>73</v>
      </c>
      <c r="B73" s="54" t="str">
        <f>VLOOKUP(C73,Lists!I:J,2,FALSE)</f>
        <v>Healer</v>
      </c>
      <c r="C73" s="34" t="str">
        <f>VLOOKUP(E73&amp;D73,Lists!C:E,3,FALSE)</f>
        <v>Wand/Orb</v>
      </c>
      <c r="D73" s="35" t="s">
        <v>30</v>
      </c>
      <c r="E73" s="36" t="s">
        <v>199</v>
      </c>
      <c r="F73" s="35" t="s">
        <v>483</v>
      </c>
      <c r="G73" s="32">
        <v>0</v>
      </c>
      <c r="H73" s="32">
        <v>14</v>
      </c>
      <c r="I73" s="84">
        <f t="shared" si="0"/>
        <v>14</v>
      </c>
      <c r="J73" s="37">
        <v>1222</v>
      </c>
      <c r="K73" s="37">
        <v>276305</v>
      </c>
      <c r="L73" s="37">
        <v>552026</v>
      </c>
      <c r="M73" s="38">
        <f>I73/(HLOOKUP(F73,Team_Composition_23[[#All],[Yellow]:[Red]],10,FALSE)+HLOOKUP(F73,Team_Composition_23[[#All],[Yellow]:[Red]],11,FALSE))</f>
        <v>1.705237515225335E-2</v>
      </c>
      <c r="N73" s="38">
        <f>J73/HLOOKUP(F73,Team_Composition_23[[#All],[Yellow]:[Red]],6,FALSE)</f>
        <v>6.9253156841682012E-5</v>
      </c>
      <c r="O73" s="38">
        <f>K73/HLOOKUP(F73,Team_Composition_23[[#All],[Yellow]:[Red]],8,FALSE)</f>
        <v>6.2773852507698458E-3</v>
      </c>
      <c r="P73" s="38">
        <f>L73/HLOOKUP(F73,Team_Composition_23[[#All],[Yellow]:[Red]],7,FALSE)</f>
        <v>2.2746690975910287E-2</v>
      </c>
      <c r="Q73" s="31"/>
      <c r="R73" s="31"/>
      <c r="S73" s="31"/>
      <c r="T73" s="31"/>
      <c r="U73" s="31"/>
      <c r="V73" s="31"/>
      <c r="W73" s="31"/>
      <c r="X73" s="31"/>
      <c r="Y73" s="31"/>
      <c r="Z73" s="31"/>
      <c r="AA73" s="31"/>
      <c r="AB73" s="31"/>
      <c r="AC73" s="31"/>
      <c r="AD73" s="31"/>
    </row>
    <row r="74" spans="1:30" ht="22.5" customHeight="1">
      <c r="A74" s="32">
        <v>74</v>
      </c>
      <c r="B74" s="62" t="str">
        <f>VLOOKUP(C74,Lists!I:J,2,FALSE)</f>
        <v>Healer</v>
      </c>
      <c r="C74" s="34" t="str">
        <f>VLOOKUP(E74&amp;D74,Lists!C:E,3,FALSE)</f>
        <v>Wand/Orb</v>
      </c>
      <c r="D74" s="35" t="s">
        <v>30</v>
      </c>
      <c r="E74" s="36" t="s">
        <v>195</v>
      </c>
      <c r="F74" s="35" t="s">
        <v>483</v>
      </c>
      <c r="G74" s="32">
        <v>0</v>
      </c>
      <c r="H74" s="32">
        <v>13</v>
      </c>
      <c r="I74" s="84">
        <f t="shared" si="0"/>
        <v>13</v>
      </c>
      <c r="J74" s="37">
        <v>4372</v>
      </c>
      <c r="K74" s="37">
        <v>366533</v>
      </c>
      <c r="L74" s="37">
        <v>589158</v>
      </c>
      <c r="M74" s="38">
        <f>I74/(HLOOKUP(F74,Team_Composition_23[[#All],[Yellow]:[Red]],10,FALSE)+HLOOKUP(F74,Team_Composition_23[[#All],[Yellow]:[Red]],11,FALSE))</f>
        <v>1.5834348355663823E-2</v>
      </c>
      <c r="N74" s="38">
        <f>J74/HLOOKUP(F74,Team_Composition_23[[#All],[Yellow]:[Red]],6,FALSE)</f>
        <v>2.477698868345612E-4</v>
      </c>
      <c r="O74" s="38">
        <f>K74/HLOOKUP(F74,Team_Composition_23[[#All],[Yellow]:[Red]],8,FALSE)</f>
        <v>8.3272790869525493E-3</v>
      </c>
      <c r="P74" s="38">
        <f>L74/HLOOKUP(F74,Team_Composition_23[[#All],[Yellow]:[Red]],7,FALSE)</f>
        <v>2.4276745953968386E-2</v>
      </c>
      <c r="Q74" s="31"/>
    </row>
    <row r="75" spans="1:30" ht="22.5" customHeight="1">
      <c r="A75" s="32">
        <v>40</v>
      </c>
      <c r="B75" s="52" t="str">
        <f>VLOOKUP(C75,Lists!I:J,2,FALSE)</f>
        <v>KS</v>
      </c>
      <c r="C75" s="34" t="str">
        <f>VLOOKUP(E75&amp;D75,Lists!C:E,3,FALSE)</f>
        <v>Greatsword/Dagger</v>
      </c>
      <c r="D75" s="35" t="s">
        <v>30</v>
      </c>
      <c r="E75" s="36" t="s">
        <v>394</v>
      </c>
      <c r="F75" s="35" t="s">
        <v>483</v>
      </c>
      <c r="G75" s="32">
        <v>2</v>
      </c>
      <c r="H75" s="32">
        <v>10</v>
      </c>
      <c r="I75" s="84">
        <f t="shared" si="0"/>
        <v>12</v>
      </c>
      <c r="J75" s="37">
        <v>121111</v>
      </c>
      <c r="K75" s="37">
        <v>67388</v>
      </c>
      <c r="L75" s="37">
        <v>2292</v>
      </c>
      <c r="M75" s="38">
        <f>I75/(HLOOKUP(F75,Team_Composition_23[[#All],[Yellow]:[Red]],10,FALSE)+HLOOKUP(F75,Team_Composition_23[[#All],[Yellow]:[Red]],11,FALSE))</f>
        <v>1.4616321559074299E-2</v>
      </c>
      <c r="N75" s="38">
        <f>J75/HLOOKUP(F75,Team_Composition_23[[#All],[Yellow]:[Red]],6,FALSE)</f>
        <v>6.8635999003706632E-3</v>
      </c>
      <c r="O75" s="38">
        <f>K75/HLOOKUP(F75,Team_Composition_23[[#All],[Yellow]:[Red]],8,FALSE)</f>
        <v>1.5309908878915633E-3</v>
      </c>
      <c r="P75" s="38">
        <f>L75/HLOOKUP(F75,Team_Composition_23[[#All],[Yellow]:[Red]],7,FALSE)</f>
        <v>9.444376843986765E-5</v>
      </c>
      <c r="Q75" s="31"/>
      <c r="R75" s="227" t="s">
        <v>78</v>
      </c>
      <c r="S75" s="228"/>
      <c r="T75" s="228"/>
      <c r="U75" s="31"/>
      <c r="V75" s="31"/>
      <c r="W75" s="31"/>
      <c r="X75" s="31"/>
      <c r="Y75" s="31"/>
      <c r="Z75" s="31"/>
      <c r="AA75" s="31"/>
      <c r="AB75" s="227" t="s">
        <v>78</v>
      </c>
      <c r="AC75" s="228"/>
      <c r="AD75" s="228"/>
    </row>
    <row r="76" spans="1:30" ht="22.5" customHeight="1">
      <c r="A76" s="32">
        <v>75</v>
      </c>
      <c r="B76" s="57" t="str">
        <f>VLOOKUP(C76,Lists!I:J,2,FALSE)</f>
        <v>Ranged DPS</v>
      </c>
      <c r="C76" s="34" t="str">
        <f>VLOOKUP(E76&amp;D76,Lists!C:E,3,FALSE)</f>
        <v>Orb/Wand</v>
      </c>
      <c r="D76" s="35" t="s">
        <v>30</v>
      </c>
      <c r="E76" s="36" t="s">
        <v>412</v>
      </c>
      <c r="F76" s="35" t="s">
        <v>483</v>
      </c>
      <c r="G76" s="32">
        <v>0</v>
      </c>
      <c r="H76" s="32">
        <v>12</v>
      </c>
      <c r="I76" s="84">
        <f t="shared" si="0"/>
        <v>12</v>
      </c>
      <c r="J76" s="37">
        <v>7931</v>
      </c>
      <c r="K76" s="37">
        <v>246032</v>
      </c>
      <c r="L76" s="37">
        <v>263463</v>
      </c>
      <c r="M76" s="38">
        <f>I76/(HLOOKUP(F76,Team_Composition_23[[#All],[Yellow]:[Red]],10,FALSE)+HLOOKUP(F76,Team_Composition_23[[#All],[Yellow]:[Red]],11,FALSE))</f>
        <v>1.4616321559074299E-2</v>
      </c>
      <c r="N76" s="38">
        <f>J76/HLOOKUP(F76,Team_Composition_23[[#All],[Yellow]:[Red]],6,FALSE)</f>
        <v>4.4946545573762686E-4</v>
      </c>
      <c r="O76" s="38">
        <f>K76/HLOOKUP(F76,Team_Composition_23[[#All],[Yellow]:[Red]],8,FALSE)</f>
        <v>5.5896116538513849E-3</v>
      </c>
      <c r="P76" s="38">
        <f>L76/HLOOKUP(F76,Team_Composition_23[[#All],[Yellow]:[Red]],7,FALSE)</f>
        <v>1.085621228816442E-2</v>
      </c>
      <c r="Q76" s="31"/>
      <c r="R76" s="27" t="s">
        <v>482</v>
      </c>
      <c r="S76" s="72" t="s">
        <v>476</v>
      </c>
      <c r="T76" s="72" t="s">
        <v>483</v>
      </c>
      <c r="U76" s="31"/>
      <c r="V76" s="31"/>
      <c r="W76" s="31"/>
      <c r="X76" s="31"/>
      <c r="Y76" s="31"/>
      <c r="Z76" s="31"/>
      <c r="AA76" s="31"/>
      <c r="AB76" s="27" t="s">
        <v>482</v>
      </c>
      <c r="AC76" s="72" t="s">
        <v>485</v>
      </c>
      <c r="AD76" s="72" t="s">
        <v>36</v>
      </c>
    </row>
    <row r="77" spans="1:30" ht="22.5" customHeight="1">
      <c r="A77" s="32">
        <v>76</v>
      </c>
      <c r="B77" s="52" t="str">
        <f>VLOOKUP(C77,Lists!I:J,2,FALSE)</f>
        <v>Healer</v>
      </c>
      <c r="C77" s="34" t="str">
        <f>VLOOKUP(E77&amp;D77,Lists!C:E,3,FALSE)</f>
        <v>Wand/Orb</v>
      </c>
      <c r="D77" s="35" t="s">
        <v>30</v>
      </c>
      <c r="E77" s="36" t="s">
        <v>417</v>
      </c>
      <c r="F77" s="35" t="s">
        <v>483</v>
      </c>
      <c r="G77" s="32">
        <v>0</v>
      </c>
      <c r="H77" s="32">
        <v>12</v>
      </c>
      <c r="I77" s="84">
        <f t="shared" si="0"/>
        <v>12</v>
      </c>
      <c r="J77" s="37">
        <v>3866</v>
      </c>
      <c r="K77" s="37">
        <v>299670</v>
      </c>
      <c r="L77" s="37">
        <v>387069</v>
      </c>
      <c r="M77" s="38">
        <f>I77/(HLOOKUP(F77,Team_Composition_23[[#All],[Yellow]:[Red]],10,FALSE)+HLOOKUP(F77,Team_Composition_23[[#All],[Yellow]:[Red]],11,FALSE))</f>
        <v>1.4616321559074299E-2</v>
      </c>
      <c r="N77" s="38">
        <f>J77/HLOOKUP(F77,Team_Composition_23[[#All],[Yellow]:[Red]],6,FALSE)</f>
        <v>2.1909386608014948E-4</v>
      </c>
      <c r="O77" s="38">
        <f>K77/HLOOKUP(F77,Team_Composition_23[[#All],[Yellow]:[Red]],8,FALSE)</f>
        <v>6.8082156967778354E-3</v>
      </c>
      <c r="P77" s="38">
        <f>L77/HLOOKUP(F77,Team_Composition_23[[#All],[Yellow]:[Red]],7,FALSE)</f>
        <v>1.5949500439027545E-2</v>
      </c>
      <c r="Q77" s="31"/>
      <c r="R77" s="74" t="s">
        <v>468</v>
      </c>
      <c r="S77" s="75">
        <f>SUMIFS('BR v HR Diagon 2 242026'!$J$2:$J$163,'BR v HR Diagon 2 242026'!$B$2:$B$163,"KS",'BR v HR Diagon 2 242026'!$F$2:$F$163,"Yellow")</f>
        <v>6123386</v>
      </c>
      <c r="T77" s="76">
        <f>SUMIFS('BR v HR Diagon 2 242026'!$J$2:$J$163,'BR v HR Diagon 2 242026'!$B$2:$B$163,"KS",'BR v HR Diagon 2 242026'!$F$2:$F$163,"Red")</f>
        <v>4544929</v>
      </c>
      <c r="U77" s="31"/>
      <c r="V77" s="31"/>
      <c r="W77" s="31"/>
      <c r="X77" s="31"/>
      <c r="Y77" s="31"/>
      <c r="Z77" s="31"/>
      <c r="AA77" s="31"/>
      <c r="AB77" s="74" t="s">
        <v>468</v>
      </c>
      <c r="AC77" s="75">
        <f>SUMIFS('BR v HR Diagon 2 242026'!$J$2:$J$163,'BR v HR Diagon 2 242026'!$B$2:$B$163,"KS",'BR v HR Diagon 2 242026'!$D$2:$D$163,"Best Regards")</f>
        <v>6123386</v>
      </c>
      <c r="AD77" s="76">
        <f>SUMIFS('BR v HR Diagon 2 242026'!$J$2:$J$163,'BR v HR Diagon 2 242026'!$B$2:$B$163,"KS",'BR v HR Diagon 2 242026'!$D$2:$D$163,"Unhinged肉")</f>
        <v>0</v>
      </c>
    </row>
    <row r="78" spans="1:30" ht="22.5" customHeight="1">
      <c r="A78" s="32">
        <v>78</v>
      </c>
      <c r="B78" s="57" t="str">
        <f>VLOOKUP(C78,Lists!I:J,2,FALSE)</f>
        <v>Healer</v>
      </c>
      <c r="C78" s="34" t="str">
        <f>VLOOKUP(E78&amp;D78,Lists!C:E,3,FALSE)</f>
        <v>Wand/Orb</v>
      </c>
      <c r="D78" s="35" t="s">
        <v>30</v>
      </c>
      <c r="E78" s="36" t="s">
        <v>419</v>
      </c>
      <c r="F78" s="35" t="s">
        <v>483</v>
      </c>
      <c r="G78" s="32">
        <v>0</v>
      </c>
      <c r="H78" s="32">
        <v>11</v>
      </c>
      <c r="I78" s="84">
        <f t="shared" si="0"/>
        <v>11</v>
      </c>
      <c r="J78" s="37">
        <v>6392</v>
      </c>
      <c r="K78" s="37">
        <v>338651</v>
      </c>
      <c r="L78" s="37">
        <v>390883</v>
      </c>
      <c r="M78" s="38">
        <f>I78/(HLOOKUP(F78,Team_Composition_23[[#All],[Yellow]:[Red]],10,FALSE)+HLOOKUP(F78,Team_Composition_23[[#All],[Yellow]:[Red]],11,FALSE))</f>
        <v>1.3398294762484775E-2</v>
      </c>
      <c r="N78" s="38">
        <f>J78/HLOOKUP(F78,Team_Composition_23[[#All],[Yellow]:[Red]],6,FALSE)</f>
        <v>3.6224728194110594E-4</v>
      </c>
      <c r="O78" s="38">
        <f>K78/HLOOKUP(F78,Team_Composition_23[[#All],[Yellow]:[Red]],8,FALSE)</f>
        <v>7.6938267224931113E-3</v>
      </c>
      <c r="P78" s="38">
        <f>L78/HLOOKUP(F78,Team_Composition_23[[#All],[Yellow]:[Red]],7,FALSE)</f>
        <v>1.6106659484764741E-2</v>
      </c>
      <c r="Q78" s="31"/>
      <c r="R78" s="78" t="s">
        <v>469</v>
      </c>
      <c r="S78" s="75">
        <f>SUMIFS('BR v HR Diagon 2 242026'!$K$2:$K$163,'BR v HR Diagon 2 242026'!$B$2:$B$163,"KS",'BR v HR Diagon 2 242026'!$F$2:$F$163,"Yellow")</f>
        <v>2448507</v>
      </c>
      <c r="T78" s="76">
        <f>SUMIFS('BR v HR Diagon 2 242026'!$K$2:$K$163,'BR v HR Diagon 2 242026'!$B$2:$B$163,"KS",'BR v HR Diagon 2 242026'!$F$2:$F$163,"Red")</f>
        <v>2275092</v>
      </c>
      <c r="U78" s="31"/>
      <c r="V78" s="31"/>
      <c r="W78" s="31"/>
      <c r="X78" s="31"/>
      <c r="Y78" s="31"/>
      <c r="Z78" s="31"/>
      <c r="AA78" s="31"/>
      <c r="AB78" s="78" t="s">
        <v>469</v>
      </c>
      <c r="AC78" s="75">
        <f>SUMIFS('BR v HR Diagon 2 242026'!$K$2:$K$163,'BR v HR Diagon 2 242026'!$B$2:$B$163,"KS",'BR v HR Diagon 2 242026'!$D$2:$D$163,"Best Regards")</f>
        <v>2448507</v>
      </c>
      <c r="AD78" s="76">
        <f>SUMIFS('BR v HR Diagon 2 242026'!$K$2:$K$163,'BR v HR Diagon 2 242026'!$B$2:$B$163,"KS",'BR v HR Diagon 2 242026'!$D$2:$D$163,"Unhinged肉")</f>
        <v>0</v>
      </c>
    </row>
    <row r="79" spans="1:30" ht="22.5" customHeight="1">
      <c r="A79" s="32">
        <v>77</v>
      </c>
      <c r="B79" s="59" t="str">
        <f>VLOOKUP(C79,Lists!I:J,2,FALSE)</f>
        <v>Tank</v>
      </c>
      <c r="C79" s="34" t="str">
        <f>VLOOKUP(E79&amp;D79,Lists!C:E,3,FALSE)</f>
        <v>SnS/Greatsword</v>
      </c>
      <c r="D79" s="35" t="s">
        <v>34</v>
      </c>
      <c r="E79" s="36" t="s">
        <v>118</v>
      </c>
      <c r="F79" s="35" t="s">
        <v>476</v>
      </c>
      <c r="G79" s="32">
        <v>0</v>
      </c>
      <c r="H79" s="32">
        <v>11</v>
      </c>
      <c r="I79" s="84">
        <f t="shared" si="0"/>
        <v>11</v>
      </c>
      <c r="J79" s="37">
        <v>11981</v>
      </c>
      <c r="K79" s="37">
        <v>134564</v>
      </c>
      <c r="L79" s="37">
        <v>3896</v>
      </c>
      <c r="M79" s="38">
        <f>I79/(HLOOKUP(F79,Team_Composition_23[[#All],[Yellow]:[Red]],10,FALSE)+HLOOKUP(F79,Team_Composition_23[[#All],[Yellow]:[Red]],11,FALSE))</f>
        <v>2.7493126718320421E-3</v>
      </c>
      <c r="N79" s="38">
        <f>J79/HLOOKUP(F79,Team_Composition_23[[#All],[Yellow]:[Red]],6,FALSE)</f>
        <v>2.7006380074146838E-4</v>
      </c>
      <c r="O79" s="38">
        <f>K79/HLOOKUP(F79,Team_Composition_23[[#All],[Yellow]:[Red]],8,FALSE)</f>
        <v>7.6811359340839304E-3</v>
      </c>
      <c r="P79" s="38">
        <f>L79/HLOOKUP(F79,Team_Composition_23[[#All],[Yellow]:[Red]],7,FALSE)</f>
        <v>3.0097087828648072E-4</v>
      </c>
      <c r="Q79" s="31"/>
      <c r="R79" s="74" t="s">
        <v>470</v>
      </c>
      <c r="S79" s="75">
        <f>SUMIFS('BR v HR Diagon 2 242026'!$L$2:$L$163,'BR v HR Diagon 2 242026'!$B$2:$B$163,"KS",'BR v HR Diagon 2 242026'!$F$2:$F$163,"Yellow")</f>
        <v>84223</v>
      </c>
      <c r="T79" s="76">
        <f>SUMIFS('BR v HR Diagon 2 242026'!$L$2:$L$163,'BR v HR Diagon 2 242026'!$B$2:$B$163,"KS",'BR v HR Diagon 2 242026'!$F$2:$F$163,"Red")</f>
        <v>174255</v>
      </c>
      <c r="U79" s="31"/>
      <c r="V79" s="31"/>
      <c r="W79" s="31"/>
      <c r="X79" s="31"/>
      <c r="Y79" s="31"/>
      <c r="Z79" s="31"/>
      <c r="AA79" s="31"/>
      <c r="AB79" s="74" t="s">
        <v>470</v>
      </c>
      <c r="AC79" s="75">
        <f>SUMIFS('BR v HR Diagon 2 242026'!$L$2:$L$163,'BR v HR Diagon 2 242026'!$B$2:$B$163,"KS",'BR v HR Diagon 2 242026'!$D$2:$D$163,"Best Regards")</f>
        <v>84223</v>
      </c>
      <c r="AD79" s="76">
        <f>SUMIFS('BR v HR Diagon 2 242026'!$L$2:$L$163,'BR v HR Diagon 2 242026'!$B$2:$B$163,"KS",'BR v HR Diagon 2 242026'!$D$2:$D$163,"Unhinged肉")</f>
        <v>0</v>
      </c>
    </row>
    <row r="80" spans="1:30" ht="22.5" customHeight="1">
      <c r="A80" s="32">
        <v>79</v>
      </c>
      <c r="B80" s="55" t="str">
        <f>VLOOKUP(C80,Lists!I:J,2,FALSE)</f>
        <v>Tank</v>
      </c>
      <c r="C80" s="34" t="str">
        <f>VLOOKUP(E80&amp;D80,Lists!C:E,3,FALSE)</f>
        <v>SnS/Longbow</v>
      </c>
      <c r="D80" s="35" t="s">
        <v>30</v>
      </c>
      <c r="E80" s="36" t="s">
        <v>409</v>
      </c>
      <c r="F80" s="35" t="s">
        <v>483</v>
      </c>
      <c r="G80" s="32">
        <v>0</v>
      </c>
      <c r="H80" s="32">
        <v>10</v>
      </c>
      <c r="I80" s="84">
        <f t="shared" si="0"/>
        <v>10</v>
      </c>
      <c r="J80" s="37">
        <v>71935</v>
      </c>
      <c r="K80" s="37">
        <v>947868</v>
      </c>
      <c r="L80" s="37">
        <v>440343</v>
      </c>
      <c r="M80" s="38">
        <f>I80/(HLOOKUP(F80,Team_Composition_23[[#All],[Yellow]:[Red]],10,FALSE)+HLOOKUP(F80,Team_Composition_23[[#All],[Yellow]:[Red]],11,FALSE))</f>
        <v>1.2180267965895249E-2</v>
      </c>
      <c r="N80" s="38">
        <f>J80/HLOOKUP(F80,Team_Composition_23[[#All],[Yellow]:[Red]],6,FALSE)</f>
        <v>4.0766987212818295E-3</v>
      </c>
      <c r="O80" s="38">
        <f>K80/HLOOKUP(F80,Team_Composition_23[[#All],[Yellow]:[Red]],8,FALSE)</f>
        <v>2.153465410642845E-2</v>
      </c>
      <c r="P80" s="38">
        <f>L80/HLOOKUP(F80,Team_Composition_23[[#All],[Yellow]:[Red]],7,FALSE)</f>
        <v>1.8144699967764678E-2</v>
      </c>
      <c r="Q80" s="31"/>
      <c r="R80" s="78" t="s">
        <v>465</v>
      </c>
      <c r="S80" s="75">
        <f>SUMIFS('BR v HR Diagon 2 242026'!$G$2:$G$163,'BR v HR Diagon 2 242026'!$B$2:$B$163,"KS",'BR v HR Diagon 2 242026'!$F$2:$F$163,"Yellow")</f>
        <v>153</v>
      </c>
      <c r="T80" s="76">
        <f>SUMIFS('BR v HR Diagon 2 242026'!$G$2:$G$163,'BR v HR Diagon 2 242026'!$B$2:$B$163,"KS",'BR v HR Diagon 2 242026'!$F$2:$F$163,"Red")</f>
        <v>114</v>
      </c>
      <c r="U80" s="31"/>
      <c r="V80" s="31"/>
      <c r="W80" s="31"/>
      <c r="X80" s="31"/>
      <c r="Y80" s="31"/>
      <c r="Z80" s="31"/>
      <c r="AA80" s="31"/>
      <c r="AB80" s="78" t="s">
        <v>465</v>
      </c>
      <c r="AC80" s="75">
        <f>SUMIFS('BR v HR Diagon 2 242026'!$G$2:$G$163,'BR v HR Diagon 2 242026'!$B$2:$B$163,"KS",'BR v HR Diagon 2 242026'!$D$2:$D$163,"Best Regards")</f>
        <v>153</v>
      </c>
      <c r="AD80" s="76">
        <f>SUMIFS('BR v HR Diagon 2 242026'!$G$2:$G$163,'BR v HR Diagon 2 242026'!$B$2:$B$163,"KS",'BR v HR Diagon 2 242026'!$D$2:$D$163,"Unhinged肉")</f>
        <v>0</v>
      </c>
    </row>
    <row r="81" spans="1:30" ht="22.5" customHeight="1">
      <c r="A81" s="32">
        <v>80</v>
      </c>
      <c r="B81" s="59" t="str">
        <f>VLOOKUP(C81,Lists!I:J,2,FALSE)</f>
        <v>Ranged DPS</v>
      </c>
      <c r="C81" s="34" t="str">
        <f>VLOOKUP(E81&amp;D81,Lists!C:E,3,FALSE)</f>
        <v>SnS/Wand</v>
      </c>
      <c r="D81" s="35" t="s">
        <v>30</v>
      </c>
      <c r="E81" s="36" t="s">
        <v>424</v>
      </c>
      <c r="F81" s="35" t="s">
        <v>483</v>
      </c>
      <c r="G81" s="32">
        <v>0</v>
      </c>
      <c r="H81" s="32">
        <v>10</v>
      </c>
      <c r="I81" s="84">
        <f t="shared" si="0"/>
        <v>10</v>
      </c>
      <c r="J81" s="37">
        <v>40167</v>
      </c>
      <c r="K81" s="37">
        <v>212235</v>
      </c>
      <c r="L81" s="37">
        <v>177471</v>
      </c>
      <c r="M81" s="38">
        <f>I81/(HLOOKUP(F81,Team_Composition_23[[#All],[Yellow]:[Red]],10,FALSE)+HLOOKUP(F81,Team_Composition_23[[#All],[Yellow]:[Red]],11,FALSE))</f>
        <v>1.2180267965895249E-2</v>
      </c>
      <c r="N81" s="38">
        <f>J81/HLOOKUP(F81,Team_Composition_23[[#All],[Yellow]:[Red]],6,FALSE)</f>
        <v>2.2763433313091994E-3</v>
      </c>
      <c r="O81" s="38">
        <f>K81/HLOOKUP(F81,Team_Composition_23[[#All],[Yellow]:[Red]],8,FALSE)</f>
        <v>4.8217761484487731E-3</v>
      </c>
      <c r="P81" s="38">
        <f>L81/HLOOKUP(F81,Team_Composition_23[[#All],[Yellow]:[Red]],7,FALSE)</f>
        <v>7.3128403266979718E-3</v>
      </c>
      <c r="Q81" s="31"/>
      <c r="R81" s="79" t="s">
        <v>466</v>
      </c>
      <c r="S81" s="80">
        <f>SUMIFS('BR v HR Diagon 2 242026'!$H$2:$H$163,'BR v HR Diagon 2 242026'!$B$2:$B$163,"KS",'BR v HR Diagon 2 242026'!$F$2:$F$163,"Yellow")</f>
        <v>197</v>
      </c>
      <c r="T81" s="81">
        <f>SUMIFS('BR v HR Diagon 2 242026'!$H$2:$H$163,'BR v HR Diagon 2 242026'!$B$2:$B$163,"KS",'BR v HR Diagon 2 242026'!$F$2:$F$163,"Red")</f>
        <v>127</v>
      </c>
      <c r="U81" s="31"/>
      <c r="V81" s="31"/>
      <c r="W81" s="31"/>
      <c r="X81" s="31"/>
      <c r="Y81" s="31"/>
      <c r="Z81" s="31"/>
      <c r="AA81" s="31"/>
      <c r="AB81" s="79" t="s">
        <v>466</v>
      </c>
      <c r="AC81" s="80">
        <f>SUMIFS('BR v HR Diagon 2 242026'!$H$2:$H$163,'BR v HR Diagon 2 242026'!$B$2:$B$163,"KS",'BR v HR Diagon 2 242026'!$D$2:$D$163,"Best Regards")</f>
        <v>197</v>
      </c>
      <c r="AD81" s="81">
        <f>SUMIFS('BR v HR Diagon 2 242026'!$H$2:$H$163,'BR v HR Diagon 2 242026'!$B$2:$B$163,"KS",'BR v HR Diagon 2 242026'!$D$2:$D$163,"Unhinged肉")</f>
        <v>0</v>
      </c>
    </row>
    <row r="82" spans="1:30" ht="22.5" customHeight="1">
      <c r="A82" s="32">
        <v>81</v>
      </c>
      <c r="B82" s="34" t="str">
        <f>VLOOKUP(C82,Lists!I:J,2,FALSE)</f>
        <v>Melee DPS</v>
      </c>
      <c r="C82" s="34" t="str">
        <f>VLOOKUP(E82&amp;D82,Lists!C:E,3,FALSE)</f>
        <v>Greatsword/Spear</v>
      </c>
      <c r="D82" s="35" t="s">
        <v>30</v>
      </c>
      <c r="E82" s="36" t="s">
        <v>223</v>
      </c>
      <c r="F82" s="35" t="s">
        <v>483</v>
      </c>
      <c r="G82" s="32">
        <v>0</v>
      </c>
      <c r="H82" s="32">
        <v>10</v>
      </c>
      <c r="I82" s="84">
        <f t="shared" si="0"/>
        <v>10</v>
      </c>
      <c r="J82" s="37">
        <v>37590</v>
      </c>
      <c r="K82" s="37">
        <v>464308</v>
      </c>
      <c r="L82" s="37">
        <v>70085</v>
      </c>
      <c r="M82" s="38">
        <f>I82/(HLOOKUP(F82,Team_Composition_23[[#All],[Yellow]:[Red]],10,FALSE)+HLOOKUP(F82,Team_Composition_23[[#All],[Yellow]:[Red]],11,FALSE))</f>
        <v>1.2180267965895249E-2</v>
      </c>
      <c r="N82" s="38">
        <f>J82/HLOOKUP(F82,Team_Composition_23[[#All],[Yellow]:[Red]],6,FALSE)</f>
        <v>2.1302996445816914E-3</v>
      </c>
      <c r="O82" s="38">
        <f>K82/HLOOKUP(F82,Team_Composition_23[[#All],[Yellow]:[Red]],8,FALSE)</f>
        <v>1.0548633542695375E-2</v>
      </c>
      <c r="P82" s="38">
        <f>L82/HLOOKUP(F82,Team_Composition_23[[#All],[Yellow]:[Red]],7,FALSE)</f>
        <v>2.8879107814607872E-3</v>
      </c>
      <c r="Q82" s="31"/>
      <c r="R82" s="78" t="s">
        <v>54</v>
      </c>
      <c r="S82" s="75">
        <f t="shared" ref="S82:S84" si="17">COUNTIFS(C:C,R82,F:F,"Yellow")</f>
        <v>3</v>
      </c>
      <c r="T82" s="76">
        <f t="shared" ref="T82:T84" si="18">COUNTIFS(C:C,R82,F:F,"Red")</f>
        <v>2</v>
      </c>
      <c r="U82" s="31"/>
      <c r="V82" s="31"/>
      <c r="W82" s="31"/>
      <c r="X82" s="31"/>
      <c r="Y82" s="31"/>
      <c r="Z82" s="31"/>
      <c r="AA82" s="31"/>
      <c r="AB82" s="78" t="s">
        <v>54</v>
      </c>
      <c r="AC82" s="75">
        <f t="shared" ref="AC82:AC84" si="19">COUNTIFS(M:M,AB82,P:P,"KS")</f>
        <v>0</v>
      </c>
      <c r="AD82" s="76">
        <f t="shared" ref="AD82:AD84" si="20">COUNTIFS(M:M,AB82,P:P,"KS")</f>
        <v>0</v>
      </c>
    </row>
    <row r="83" spans="1:30" ht="22.5" customHeight="1">
      <c r="A83" s="32">
        <v>82</v>
      </c>
      <c r="B83" s="59" t="str">
        <f>VLOOKUP(C83,Lists!I:J,2,FALSE)</f>
        <v>Tank</v>
      </c>
      <c r="C83" s="34" t="str">
        <f>VLOOKUP(E83&amp;D83,Lists!C:E,3,FALSE)</f>
        <v>SnS/Greatsword</v>
      </c>
      <c r="D83" s="35" t="s">
        <v>34</v>
      </c>
      <c r="E83" s="36" t="s">
        <v>148</v>
      </c>
      <c r="F83" s="35" t="s">
        <v>476</v>
      </c>
      <c r="G83" s="32">
        <v>0</v>
      </c>
      <c r="H83" s="32">
        <v>10</v>
      </c>
      <c r="I83" s="84">
        <f t="shared" si="0"/>
        <v>10</v>
      </c>
      <c r="J83" s="37">
        <v>24830</v>
      </c>
      <c r="K83" s="37">
        <v>309015</v>
      </c>
      <c r="L83" s="37">
        <v>8832</v>
      </c>
      <c r="M83" s="38">
        <f>I83/(HLOOKUP(F83,Team_Composition_23[[#All],[Yellow]:[Red]],10,FALSE)+HLOOKUP(F83,Team_Composition_23[[#All],[Yellow]:[Red]],11,FALSE))</f>
        <v>2.4993751562109472E-3</v>
      </c>
      <c r="N83" s="38">
        <f>J83/HLOOKUP(F83,Team_Composition_23[[#All],[Yellow]:[Red]],6,FALSE)</f>
        <v>5.596931952600501E-4</v>
      </c>
      <c r="O83" s="38">
        <f>K83/HLOOKUP(F83,Team_Composition_23[[#All],[Yellow]:[Red]],8,FALSE)</f>
        <v>1.7639087873955486E-2</v>
      </c>
      <c r="P83" s="38">
        <f>L83/HLOOKUP(F83,Team_Composition_23[[#All],[Yellow]:[Red]],7,FALSE)</f>
        <v>6.8228305878495835E-4</v>
      </c>
      <c r="Q83" s="31"/>
      <c r="R83" s="74" t="s">
        <v>69</v>
      </c>
      <c r="S83" s="75">
        <f t="shared" si="17"/>
        <v>2</v>
      </c>
      <c r="T83" s="76">
        <f t="shared" si="18"/>
        <v>4</v>
      </c>
      <c r="U83" s="31"/>
      <c r="V83" s="31"/>
      <c r="W83" s="31"/>
      <c r="X83" s="31"/>
      <c r="Y83" s="31"/>
      <c r="Z83" s="31"/>
      <c r="AA83" s="31"/>
      <c r="AB83" s="74" t="s">
        <v>69</v>
      </c>
      <c r="AC83" s="75">
        <f t="shared" si="19"/>
        <v>0</v>
      </c>
      <c r="AD83" s="76">
        <f t="shared" si="20"/>
        <v>0</v>
      </c>
    </row>
    <row r="84" spans="1:30" ht="22.5" customHeight="1">
      <c r="A84" s="32">
        <v>83</v>
      </c>
      <c r="B84" s="57" t="str">
        <f>VLOOKUP(C84,Lists!I:J,2,FALSE)</f>
        <v>Tank</v>
      </c>
      <c r="C84" s="34" t="str">
        <f>VLOOKUP(E84&amp;D84,Lists!C:E,3,FALSE)</f>
        <v>SnS/Greatsword</v>
      </c>
      <c r="D84" s="35" t="s">
        <v>34</v>
      </c>
      <c r="E84" s="36" t="s">
        <v>109</v>
      </c>
      <c r="F84" s="35" t="s">
        <v>476</v>
      </c>
      <c r="G84" s="32">
        <v>0</v>
      </c>
      <c r="H84" s="32">
        <v>10</v>
      </c>
      <c r="I84" s="84">
        <f t="shared" si="0"/>
        <v>10</v>
      </c>
      <c r="J84" s="37">
        <v>16795</v>
      </c>
      <c r="K84" s="37">
        <v>449092</v>
      </c>
      <c r="L84" s="37">
        <v>20855</v>
      </c>
      <c r="M84" s="38">
        <f>I84/(HLOOKUP(F84,Team_Composition_23[[#All],[Yellow]:[Red]],10,FALSE)+HLOOKUP(F84,Team_Composition_23[[#All],[Yellow]:[Red]],11,FALSE))</f>
        <v>2.4993751562109472E-3</v>
      </c>
      <c r="N84" s="38">
        <f>J84/HLOOKUP(F84,Team_Composition_23[[#All],[Yellow]:[Red]],6,FALSE)</f>
        <v>3.78576206781818E-4</v>
      </c>
      <c r="O84" s="38">
        <f>K84/HLOOKUP(F84,Team_Composition_23[[#All],[Yellow]:[Red]],8,FALSE)</f>
        <v>2.5634914976588246E-2</v>
      </c>
      <c r="P84" s="38">
        <f>L84/HLOOKUP(F84,Team_Composition_23[[#All],[Yellow]:[Red]],7,FALSE)</f>
        <v>1.6110748631069187E-3</v>
      </c>
      <c r="Q84" s="31"/>
      <c r="R84" s="78" t="s">
        <v>81</v>
      </c>
      <c r="S84" s="75">
        <f t="shared" si="17"/>
        <v>1</v>
      </c>
      <c r="T84" s="76">
        <f t="shared" si="18"/>
        <v>0</v>
      </c>
      <c r="U84" s="31"/>
      <c r="V84" s="31"/>
      <c r="W84" s="31"/>
      <c r="X84" s="31"/>
      <c r="Y84" s="31"/>
      <c r="Z84" s="31"/>
      <c r="AA84" s="31"/>
      <c r="AB84" s="78" t="s">
        <v>81</v>
      </c>
      <c r="AC84" s="75">
        <f t="shared" si="19"/>
        <v>0</v>
      </c>
      <c r="AD84" s="76">
        <f t="shared" si="20"/>
        <v>0</v>
      </c>
    </row>
    <row r="85" spans="1:30" ht="22.5" customHeight="1">
      <c r="A85" s="32">
        <v>87</v>
      </c>
      <c r="B85" s="59" t="str">
        <f>VLOOKUP(C85,Lists!I:J,2,FALSE)</f>
        <v>Healer</v>
      </c>
      <c r="C85" s="34" t="s">
        <v>9</v>
      </c>
      <c r="D85" s="35" t="s">
        <v>516</v>
      </c>
      <c r="E85" s="36" t="s">
        <v>188</v>
      </c>
      <c r="F85" s="35" t="s">
        <v>483</v>
      </c>
      <c r="G85" s="32">
        <v>0</v>
      </c>
      <c r="H85" s="32">
        <v>9</v>
      </c>
      <c r="I85" s="84">
        <f t="shared" si="0"/>
        <v>9</v>
      </c>
      <c r="J85" s="37">
        <v>603</v>
      </c>
      <c r="K85" s="37">
        <v>610191</v>
      </c>
      <c r="L85" s="37">
        <v>923363</v>
      </c>
      <c r="M85" s="38">
        <f>I85/(HLOOKUP(F85,Team_Composition_23[[#All],[Yellow]:[Red]],10,FALSE)+HLOOKUP(F85,Team_Composition_23[[#All],[Yellow]:[Red]],11,FALSE))</f>
        <v>1.0962241169305725E-2</v>
      </c>
      <c r="N85" s="38">
        <f>J85/HLOOKUP(F85,Team_Composition_23[[#All],[Yellow]:[Red]],6,FALSE)</f>
        <v>3.4173202598636868E-5</v>
      </c>
      <c r="O85" s="38">
        <f>K85/HLOOKUP(F85,Team_Composition_23[[#All],[Yellow]:[Red]],8,FALSE)</f>
        <v>1.3862955732080502E-2</v>
      </c>
      <c r="P85" s="38">
        <f>L85/HLOOKUP(F85,Team_Composition_23[[#All],[Yellow]:[Red]],7,FALSE)</f>
        <v>3.8047941255646381E-2</v>
      </c>
      <c r="Q85" s="31"/>
      <c r="R85" s="31"/>
      <c r="S85" s="31"/>
      <c r="T85" s="31"/>
      <c r="U85" s="31"/>
      <c r="V85" s="31"/>
      <c r="W85" s="31"/>
      <c r="X85" s="31"/>
      <c r="Y85" s="31"/>
      <c r="Z85" s="31"/>
      <c r="AA85" s="31"/>
      <c r="AB85" s="31"/>
      <c r="AC85" s="31"/>
      <c r="AD85" s="31"/>
    </row>
    <row r="86" spans="1:30" ht="22.5" customHeight="1">
      <c r="A86" s="32">
        <v>84</v>
      </c>
      <c r="B86" s="60" t="str">
        <f>VLOOKUP(C86,Lists!I:J,2,FALSE)</f>
        <v>Tank</v>
      </c>
      <c r="C86" s="34" t="str">
        <f>VLOOKUP(E86&amp;D86,Lists!C:E,3,FALSE)</f>
        <v>SnS/Greatsword</v>
      </c>
      <c r="D86" s="35" t="s">
        <v>30</v>
      </c>
      <c r="E86" s="36" t="s">
        <v>447</v>
      </c>
      <c r="F86" s="35" t="s">
        <v>483</v>
      </c>
      <c r="G86" s="32">
        <v>0</v>
      </c>
      <c r="H86" s="32">
        <v>9</v>
      </c>
      <c r="I86" s="84">
        <f t="shared" si="0"/>
        <v>9</v>
      </c>
      <c r="J86" s="37">
        <v>187980</v>
      </c>
      <c r="K86" s="37">
        <v>588852</v>
      </c>
      <c r="L86" s="37">
        <v>102747</v>
      </c>
      <c r="M86" s="38">
        <f>I86/(HLOOKUP(F86,Team_Composition_23[[#All],[Yellow]:[Red]],10,FALSE)+HLOOKUP(F86,Team_Composition_23[[#All],[Yellow]:[Red]],11,FALSE))</f>
        <v>1.0962241169305725E-2</v>
      </c>
      <c r="N86" s="38">
        <f>J86/HLOOKUP(F86,Team_Composition_23[[#All],[Yellow]:[Red]],6,FALSE)</f>
        <v>1.0653198382241722E-2</v>
      </c>
      <c r="O86" s="38">
        <f>K86/HLOOKUP(F86,Team_Composition_23[[#All],[Yellow]:[Red]],8,FALSE)</f>
        <v>1.3378154067737917E-2</v>
      </c>
      <c r="P86" s="38">
        <f>L86/HLOOKUP(F86,Team_Composition_23[[#All],[Yellow]:[Red]],7,FALSE)</f>
        <v>4.2337756875615541E-3</v>
      </c>
      <c r="Q86" s="31"/>
      <c r="R86" s="31"/>
      <c r="S86" s="31"/>
      <c r="T86" s="31"/>
      <c r="U86" s="31"/>
      <c r="V86" s="31"/>
      <c r="W86" s="31"/>
      <c r="X86" s="31"/>
      <c r="Y86" s="31"/>
      <c r="Z86" s="31"/>
      <c r="AA86" s="31"/>
      <c r="AB86" s="31"/>
      <c r="AC86" s="31"/>
      <c r="AD86" s="31"/>
    </row>
    <row r="87" spans="1:30" ht="22.5" customHeight="1">
      <c r="A87" s="32">
        <v>85</v>
      </c>
      <c r="B87" s="59" t="str">
        <f>VLOOKUP(C87,Lists!I:J,2,FALSE)</f>
        <v>Tank</v>
      </c>
      <c r="C87" s="34" t="str">
        <f>VLOOKUP(E87&amp;D87,Lists!C:E,3,FALSE)</f>
        <v>SnS/Greatsword</v>
      </c>
      <c r="D87" s="35" t="s">
        <v>30</v>
      </c>
      <c r="E87" s="36" t="s">
        <v>431</v>
      </c>
      <c r="F87" s="35" t="s">
        <v>483</v>
      </c>
      <c r="G87" s="32">
        <v>0</v>
      </c>
      <c r="H87" s="32">
        <v>9</v>
      </c>
      <c r="I87" s="84">
        <f t="shared" si="0"/>
        <v>9</v>
      </c>
      <c r="J87" s="37">
        <v>83042</v>
      </c>
      <c r="K87" s="37">
        <v>422370</v>
      </c>
      <c r="L87" s="37">
        <v>44048</v>
      </c>
      <c r="M87" s="38">
        <f>I87/(HLOOKUP(F87,Team_Composition_23[[#All],[Yellow]:[Red]],10,FALSE)+HLOOKUP(F87,Team_Composition_23[[#All],[Yellow]:[Red]],11,FALSE))</f>
        <v>1.0962241169305725E-2</v>
      </c>
      <c r="N87" s="38">
        <f>J87/HLOOKUP(F87,Team_Composition_23[[#All],[Yellow]:[Red]],6,FALSE)</f>
        <v>4.7061543784344987E-3</v>
      </c>
      <c r="O87" s="38">
        <f>K87/HLOOKUP(F87,Team_Composition_23[[#All],[Yellow]:[Red]],8,FALSE)</f>
        <v>9.5958423060301477E-3</v>
      </c>
      <c r="P87" s="38">
        <f>L87/HLOOKUP(F87,Team_Composition_23[[#All],[Yellow]:[Red]],7,FALSE)</f>
        <v>1.8150345166838089E-3</v>
      </c>
      <c r="Q87" s="31"/>
      <c r="R87" s="31"/>
      <c r="S87" s="31"/>
      <c r="T87" s="31"/>
      <c r="U87" s="31"/>
      <c r="V87" s="31"/>
      <c r="W87" s="31"/>
      <c r="X87" s="31"/>
      <c r="Y87" s="31"/>
      <c r="Z87" s="31"/>
      <c r="AA87" s="31"/>
      <c r="AB87" s="31"/>
      <c r="AC87" s="31"/>
      <c r="AD87" s="31"/>
    </row>
    <row r="88" spans="1:30" ht="22.5" customHeight="1">
      <c r="A88" s="32">
        <v>86</v>
      </c>
      <c r="B88" s="57" t="str">
        <f>VLOOKUP(C88,Lists!I:J,2,FALSE)</f>
        <v>Tank</v>
      </c>
      <c r="C88" s="34" t="str">
        <f>VLOOKUP(E88&amp;D88,Lists!C:E,3,FALSE)</f>
        <v>SnS/Greatsword</v>
      </c>
      <c r="D88" s="35" t="s">
        <v>30</v>
      </c>
      <c r="E88" s="98" t="s">
        <v>176</v>
      </c>
      <c r="F88" s="35" t="s">
        <v>476</v>
      </c>
      <c r="G88" s="32">
        <v>0</v>
      </c>
      <c r="H88" s="32">
        <v>9</v>
      </c>
      <c r="I88" s="84">
        <f t="shared" si="0"/>
        <v>9</v>
      </c>
      <c r="J88" s="37">
        <v>28531</v>
      </c>
      <c r="K88" s="37">
        <v>326156</v>
      </c>
      <c r="L88" s="37">
        <v>40557</v>
      </c>
      <c r="M88" s="38">
        <f>I88/(HLOOKUP(F88,Team_Composition_23[[#All],[Yellow]:[Red]],10,FALSE)+HLOOKUP(F88,Team_Composition_23[[#All],[Yellow]:[Red]],11,FALSE))</f>
        <v>2.2494376405898524E-3</v>
      </c>
      <c r="N88" s="38">
        <f>J88/HLOOKUP(F88,Team_Composition_23[[#All],[Yellow]:[Red]],6,FALSE)</f>
        <v>6.4311746089264958E-4</v>
      </c>
      <c r="O88" s="38">
        <f>K88/HLOOKUP(F88,Team_Composition_23[[#All],[Yellow]:[Red]],8,FALSE)</f>
        <v>1.8617524536407051E-2</v>
      </c>
      <c r="P88" s="38">
        <f>L88/HLOOKUP(F88,Team_Composition_23[[#All],[Yellow]:[Red]],7,FALSE)</f>
        <v>3.1330790325114983E-3</v>
      </c>
      <c r="Q88" s="31"/>
      <c r="R88" s="31"/>
      <c r="S88" s="31"/>
      <c r="T88" s="31"/>
      <c r="U88" s="31"/>
      <c r="V88" s="31"/>
      <c r="W88" s="31"/>
      <c r="X88" s="31"/>
      <c r="Y88" s="31"/>
      <c r="Z88" s="31"/>
      <c r="AA88" s="31"/>
      <c r="AB88" s="31"/>
      <c r="AC88" s="31"/>
      <c r="AD88" s="31"/>
    </row>
    <row r="89" spans="1:30" ht="22.5" customHeight="1">
      <c r="A89" s="32">
        <v>88</v>
      </c>
      <c r="B89" s="56" t="str">
        <f>VLOOKUP(C89,Lists!I:J,2,FALSE)</f>
        <v>Tank</v>
      </c>
      <c r="C89" s="34" t="str">
        <f>VLOOKUP(E89&amp;D89,Lists!C:E,3,FALSE)</f>
        <v>SnS/Greatsword</v>
      </c>
      <c r="D89" s="35" t="s">
        <v>30</v>
      </c>
      <c r="E89" s="36" t="s">
        <v>422</v>
      </c>
      <c r="F89" s="35" t="s">
        <v>483</v>
      </c>
      <c r="G89" s="32">
        <v>0</v>
      </c>
      <c r="H89" s="32">
        <v>7</v>
      </c>
      <c r="I89" s="84">
        <f t="shared" si="0"/>
        <v>7</v>
      </c>
      <c r="J89" s="37">
        <v>44565</v>
      </c>
      <c r="K89" s="37">
        <v>160403</v>
      </c>
      <c r="L89" s="37">
        <v>38223</v>
      </c>
      <c r="M89" s="38">
        <f>I89/(HLOOKUP(F89,Team_Composition_23[[#All],[Yellow]:[Red]],10,FALSE)+HLOOKUP(F89,Team_Composition_23[[#All],[Yellow]:[Red]],11,FALSE))</f>
        <v>8.5261875761266752E-3</v>
      </c>
      <c r="N89" s="38">
        <f>J89/HLOOKUP(F89,Team_Composition_23[[#All],[Yellow]:[Red]],6,FALSE)</f>
        <v>2.5255866895659237E-3</v>
      </c>
      <c r="O89" s="38">
        <f>K89/HLOOKUP(F89,Team_Composition_23[[#All],[Yellow]:[Red]],8,FALSE)</f>
        <v>3.6442026976682856E-3</v>
      </c>
      <c r="P89" s="38">
        <f>L89/HLOOKUP(F89,Team_Composition_23[[#All],[Yellow]:[Red]],7,FALSE)</f>
        <v>1.5750105414821384E-3</v>
      </c>
      <c r="Q89" s="31"/>
      <c r="R89" s="31"/>
      <c r="S89" s="31"/>
      <c r="T89" s="31"/>
      <c r="U89" s="31"/>
      <c r="V89" s="31"/>
      <c r="W89" s="31"/>
      <c r="X89" s="31"/>
      <c r="Y89" s="31"/>
      <c r="Z89" s="31"/>
      <c r="AA89" s="31"/>
      <c r="AB89" s="31"/>
      <c r="AC89" s="31"/>
      <c r="AD89" s="31"/>
    </row>
    <row r="90" spans="1:30" ht="22.5" customHeight="1">
      <c r="A90" s="32">
        <v>89</v>
      </c>
      <c r="B90" s="33" t="str">
        <f>VLOOKUP(C90,Lists!I:J,2,FALSE)</f>
        <v>Tank</v>
      </c>
      <c r="C90" s="34" t="str">
        <f>VLOOKUP(E90&amp;D90,Lists!C:E,3,FALSE)</f>
        <v>SnS/Spear</v>
      </c>
      <c r="D90" s="35" t="s">
        <v>30</v>
      </c>
      <c r="E90" s="36" t="s">
        <v>421</v>
      </c>
      <c r="F90" s="35" t="s">
        <v>483</v>
      </c>
      <c r="G90" s="32">
        <v>0</v>
      </c>
      <c r="H90" s="32">
        <v>7</v>
      </c>
      <c r="I90" s="84">
        <f t="shared" si="0"/>
        <v>7</v>
      </c>
      <c r="J90" s="37">
        <v>27729</v>
      </c>
      <c r="K90" s="37">
        <v>361170</v>
      </c>
      <c r="L90" s="37">
        <v>20841</v>
      </c>
      <c r="M90" s="38">
        <f>I90/(HLOOKUP(F90,Team_Composition_23[[#All],[Yellow]:[Red]],10,FALSE)+HLOOKUP(F90,Team_Composition_23[[#All],[Yellow]:[Red]],11,FALSE))</f>
        <v>8.5261875761266752E-3</v>
      </c>
      <c r="N90" s="38">
        <f>J90/HLOOKUP(F90,Team_Composition_23[[#All],[Yellow]:[Red]],6,FALSE)</f>
        <v>1.5714572717373163E-3</v>
      </c>
      <c r="O90" s="38">
        <f>K90/HLOOKUP(F90,Team_Composition_23[[#All],[Yellow]:[Red]],8,FALSE)</f>
        <v>8.2054368578945193E-3</v>
      </c>
      <c r="P90" s="38">
        <f>L90/HLOOKUP(F90,Team_Composition_23[[#All],[Yellow]:[Red]],7,FALSE)</f>
        <v>8.5877075831382267E-4</v>
      </c>
      <c r="Q90" s="31"/>
      <c r="R90" s="31"/>
      <c r="S90" s="31"/>
      <c r="T90" s="31"/>
      <c r="U90" s="31"/>
      <c r="V90" s="31"/>
      <c r="W90" s="31"/>
      <c r="X90" s="31"/>
      <c r="Y90" s="31"/>
      <c r="Z90" s="31"/>
      <c r="AA90" s="31"/>
      <c r="AB90" s="31"/>
      <c r="AC90" s="31"/>
      <c r="AD90" s="31"/>
    </row>
    <row r="91" spans="1:30" ht="22.5" customHeight="1">
      <c r="A91" s="32">
        <v>90</v>
      </c>
      <c r="B91" s="40" t="str">
        <f>VLOOKUP(C91,Lists!I:J,2,FALSE)</f>
        <v>Healer</v>
      </c>
      <c r="C91" s="34" t="str">
        <f>VLOOKUP(E91&amp;D91,Lists!C:E,3,FALSE)</f>
        <v>Wand/Longbow</v>
      </c>
      <c r="D91" s="35" t="s">
        <v>30</v>
      </c>
      <c r="E91" s="36" t="s">
        <v>426</v>
      </c>
      <c r="F91" s="35" t="s">
        <v>483</v>
      </c>
      <c r="G91" s="32">
        <v>0</v>
      </c>
      <c r="H91" s="32">
        <v>7</v>
      </c>
      <c r="I91" s="84">
        <f t="shared" si="0"/>
        <v>7</v>
      </c>
      <c r="J91" s="37">
        <v>20447</v>
      </c>
      <c r="K91" s="37">
        <v>1002095</v>
      </c>
      <c r="L91" s="37">
        <v>1283186</v>
      </c>
      <c r="M91" s="38">
        <f>I91/(HLOOKUP(F91,Team_Composition_23[[#All],[Yellow]:[Red]],10,FALSE)+HLOOKUP(F91,Team_Composition_23[[#All],[Yellow]:[Red]],11,FALSE))</f>
        <v>8.5261875761266752E-3</v>
      </c>
      <c r="N91" s="38">
        <f>J91/HLOOKUP(F91,Team_Composition_23[[#All],[Yellow]:[Red]],6,FALSE)</f>
        <v>1.158771929576E-3</v>
      </c>
      <c r="O91" s="38">
        <f>K91/HLOOKUP(F91,Team_Composition_23[[#All],[Yellow]:[Red]],8,FALSE)</f>
        <v>2.276663966584104E-2</v>
      </c>
      <c r="P91" s="38">
        <f>L91/HLOOKUP(F91,Team_Composition_23[[#All],[Yellow]:[Red]],7,FALSE)</f>
        <v>5.2874747578219902E-2</v>
      </c>
      <c r="Q91" s="31"/>
      <c r="R91" s="31"/>
      <c r="S91" s="31"/>
      <c r="T91" s="31"/>
      <c r="U91" s="31"/>
      <c r="V91" s="31"/>
      <c r="W91" s="31"/>
      <c r="X91" s="31"/>
      <c r="Y91" s="31"/>
      <c r="Z91" s="31"/>
      <c r="AA91" s="31"/>
      <c r="AB91" s="31"/>
      <c r="AC91" s="31"/>
      <c r="AD91" s="31"/>
    </row>
    <row r="92" spans="1:30" ht="22.5" customHeight="1">
      <c r="A92" s="32">
        <v>91</v>
      </c>
      <c r="B92" s="62" t="str">
        <f>VLOOKUP(C92,Lists!I:J,2,FALSE)</f>
        <v>Tank</v>
      </c>
      <c r="C92" s="34" t="str">
        <f>VLOOKUP(E92&amp;D92,Lists!C:E,3,FALSE)</f>
        <v>SnS/Spear</v>
      </c>
      <c r="D92" s="35" t="s">
        <v>30</v>
      </c>
      <c r="E92" s="36" t="s">
        <v>427</v>
      </c>
      <c r="F92" s="35" t="s">
        <v>483</v>
      </c>
      <c r="G92" s="32">
        <v>0</v>
      </c>
      <c r="H92" s="32">
        <v>7</v>
      </c>
      <c r="I92" s="84">
        <f t="shared" si="0"/>
        <v>7</v>
      </c>
      <c r="J92" s="37">
        <v>19311</v>
      </c>
      <c r="K92" s="37">
        <v>154062</v>
      </c>
      <c r="L92" s="37">
        <v>61661</v>
      </c>
      <c r="M92" s="38">
        <f>I92/(HLOOKUP(F92,Team_Composition_23[[#All],[Yellow]:[Red]],10,FALSE)+HLOOKUP(F92,Team_Composition_23[[#All],[Yellow]:[Red]],11,FALSE))</f>
        <v>8.5261875761266752E-3</v>
      </c>
      <c r="N92" s="38">
        <f>J92/HLOOKUP(F92,Team_Composition_23[[#All],[Yellow]:[Red]],6,FALSE)</f>
        <v>1.0943925628230126E-3</v>
      </c>
      <c r="O92" s="38">
        <f>K92/HLOOKUP(F92,Team_Composition_23[[#All],[Yellow]:[Red]],8,FALSE)</f>
        <v>3.5001412442920107E-3</v>
      </c>
      <c r="P92" s="38">
        <f>L92/HLOOKUP(F92,Team_Composition_23[[#All],[Yellow]:[Red]],7,FALSE)</f>
        <v>2.5407928471948863E-3</v>
      </c>
      <c r="Q92" s="31"/>
      <c r="R92" s="31"/>
      <c r="S92" s="31"/>
      <c r="T92" s="31"/>
      <c r="U92" s="31"/>
      <c r="V92" s="31"/>
      <c r="W92" s="31"/>
      <c r="X92" s="31"/>
      <c r="Y92" s="31"/>
      <c r="Z92" s="31"/>
      <c r="AA92" s="31"/>
      <c r="AB92" s="31"/>
      <c r="AC92" s="31"/>
      <c r="AD92" s="31"/>
    </row>
    <row r="93" spans="1:30" ht="22.5" customHeight="1">
      <c r="A93" s="32">
        <v>92</v>
      </c>
      <c r="B93" s="73" t="str">
        <f>VLOOKUP(C93,Lists!I:J,2,FALSE)</f>
        <v>Tank</v>
      </c>
      <c r="C93" s="34" t="str">
        <f>VLOOKUP(E93&amp;D93,Lists!C:E,3,FALSE)</f>
        <v>SnS/Spear</v>
      </c>
      <c r="D93" s="35" t="s">
        <v>34</v>
      </c>
      <c r="E93" s="36" t="s">
        <v>175</v>
      </c>
      <c r="F93" s="35" t="s">
        <v>476</v>
      </c>
      <c r="G93" s="32">
        <v>0</v>
      </c>
      <c r="H93" s="32">
        <v>7</v>
      </c>
      <c r="I93" s="84">
        <f t="shared" si="0"/>
        <v>7</v>
      </c>
      <c r="J93" s="37">
        <v>18274</v>
      </c>
      <c r="K93" s="37">
        <v>260041</v>
      </c>
      <c r="L93" s="37">
        <v>23764</v>
      </c>
      <c r="M93" s="38">
        <f>I93/(HLOOKUP(F93,Team_Composition_23[[#All],[Yellow]:[Red]],10,FALSE)+HLOOKUP(F93,Team_Composition_23[[#All],[Yellow]:[Red]],11,FALSE))</f>
        <v>1.7495626093476631E-3</v>
      </c>
      <c r="N93" s="38">
        <f>J93/HLOOKUP(F93,Team_Composition_23[[#All],[Yellow]:[Red]],6,FALSE)</f>
        <v>4.1191435562553985E-4</v>
      </c>
      <c r="O93" s="38">
        <f>K93/HLOOKUP(F93,Team_Composition_23[[#All],[Yellow]:[Red]],8,FALSE)</f>
        <v>1.4843570861709813E-2</v>
      </c>
      <c r="P93" s="38">
        <f>L93/HLOOKUP(F93,Team_Composition_23[[#All],[Yellow]:[Red]],7,FALSE)</f>
        <v>1.8357987555441292E-3</v>
      </c>
      <c r="Q93" s="31"/>
      <c r="R93" s="31"/>
      <c r="S93" s="31"/>
      <c r="T93" s="31"/>
      <c r="U93" s="31"/>
      <c r="V93" s="31"/>
      <c r="W93" s="31"/>
      <c r="X93" s="31"/>
      <c r="Y93" s="31"/>
      <c r="Z93" s="31"/>
      <c r="AA93" s="31"/>
      <c r="AB93" s="31"/>
      <c r="AC93" s="31"/>
      <c r="AD93" s="31"/>
    </row>
    <row r="94" spans="1:30" ht="22.5" customHeight="1">
      <c r="A94" s="32">
        <v>93</v>
      </c>
      <c r="B94" s="60" t="str">
        <f>VLOOKUP(C94,Lists!I:J,2,FALSE)</f>
        <v>Healer</v>
      </c>
      <c r="C94" s="34" t="str">
        <f>VLOOKUP(E94&amp;D94,Lists!C:E,3,FALSE)</f>
        <v>Wand/Orb</v>
      </c>
      <c r="D94" s="35" t="s">
        <v>30</v>
      </c>
      <c r="E94" s="36" t="s">
        <v>429</v>
      </c>
      <c r="F94" s="35" t="s">
        <v>483</v>
      </c>
      <c r="G94" s="32">
        <v>0</v>
      </c>
      <c r="H94" s="32">
        <v>6</v>
      </c>
      <c r="I94" s="84">
        <f t="shared" si="0"/>
        <v>6</v>
      </c>
      <c r="J94" s="37">
        <v>10155</v>
      </c>
      <c r="K94" s="37">
        <v>342370</v>
      </c>
      <c r="L94" s="37">
        <v>672309</v>
      </c>
      <c r="M94" s="38">
        <f>I94/(HLOOKUP(F94,Team_Composition_23[[#All],[Yellow]:[Red]],10,FALSE)+HLOOKUP(F94,Team_Composition_23[[#All],[Yellow]:[Red]],11,FALSE))</f>
        <v>7.3081607795371494E-3</v>
      </c>
      <c r="N94" s="38">
        <f>J94/HLOOKUP(F94,Team_Composition_23[[#All],[Yellow]:[Red]],6,FALSE)</f>
        <v>5.7550393431037711E-4</v>
      </c>
      <c r="O94" s="38">
        <f>K94/HLOOKUP(F94,Team_Composition_23[[#All],[Yellow]:[Red]],8,FALSE)</f>
        <v>7.7783188444149479E-3</v>
      </c>
      <c r="P94" s="38">
        <f>L94/HLOOKUP(F94,Team_Composition_23[[#All],[Yellow]:[Red]],7,FALSE)</f>
        <v>2.7703052144868665E-2</v>
      </c>
      <c r="Q94" s="31"/>
      <c r="R94" s="31"/>
      <c r="S94" s="31"/>
      <c r="T94" s="31"/>
      <c r="U94" s="31"/>
      <c r="V94" s="31"/>
      <c r="W94" s="31"/>
      <c r="X94" s="31"/>
      <c r="Y94" s="31"/>
      <c r="Z94" s="31"/>
      <c r="AA94" s="31"/>
      <c r="AB94" s="31"/>
      <c r="AC94" s="31"/>
      <c r="AD94" s="31"/>
    </row>
    <row r="95" spans="1:30" ht="22.5" customHeight="1">
      <c r="A95" s="32">
        <v>94</v>
      </c>
      <c r="B95" s="56" t="str">
        <f>VLOOKUP(C95,Lists!I:J,2,FALSE)</f>
        <v>Tank</v>
      </c>
      <c r="C95" s="34" t="str">
        <f>VLOOKUP(E95&amp;D95,Lists!C:E,3,FALSE)</f>
        <v>SnS/Greatsword</v>
      </c>
      <c r="D95" s="35" t="s">
        <v>30</v>
      </c>
      <c r="E95" s="36" t="s">
        <v>438</v>
      </c>
      <c r="F95" s="35" t="s">
        <v>483</v>
      </c>
      <c r="G95" s="32">
        <v>0</v>
      </c>
      <c r="H95" s="32">
        <v>3</v>
      </c>
      <c r="I95" s="84">
        <f t="shared" si="0"/>
        <v>3</v>
      </c>
      <c r="J95" s="37">
        <v>21583</v>
      </c>
      <c r="K95" s="37">
        <v>602874</v>
      </c>
      <c r="L95" s="37">
        <v>62739</v>
      </c>
      <c r="M95" s="38">
        <f>I95/(HLOOKUP(F95,Team_Composition_23[[#All],[Yellow]:[Red]],10,FALSE)+HLOOKUP(F95,Team_Composition_23[[#All],[Yellow]:[Red]],11,FALSE))</f>
        <v>3.6540803897685747E-3</v>
      </c>
      <c r="N95" s="38">
        <f>J95/HLOOKUP(F95,Team_Composition_23[[#All],[Yellow]:[Red]],6,FALSE)</f>
        <v>1.2231512963289876E-3</v>
      </c>
      <c r="O95" s="38">
        <f>K95/HLOOKUP(F95,Team_Composition_23[[#All],[Yellow]:[Red]],8,FALSE)</f>
        <v>1.3696720492472522E-2</v>
      </c>
      <c r="P95" s="38">
        <f>L95/HLOOKUP(F95,Team_Composition_23[[#All],[Yellow]:[Red]],7,FALSE)</f>
        <v>2.5852127347944401E-3</v>
      </c>
      <c r="Q95" s="31"/>
      <c r="R95" s="31"/>
      <c r="S95" s="31"/>
      <c r="T95" s="31"/>
      <c r="U95" s="31"/>
      <c r="V95" s="31"/>
      <c r="W95" s="31"/>
      <c r="X95" s="31"/>
      <c r="Y95" s="31"/>
      <c r="Z95" s="31"/>
      <c r="AA95" s="31"/>
      <c r="AB95" s="31"/>
      <c r="AC95" s="31"/>
      <c r="AD95" s="31"/>
    </row>
    <row r="96" spans="1:30" ht="22.5" customHeight="1">
      <c r="A96" s="32">
        <v>95</v>
      </c>
      <c r="B96" s="57" t="str">
        <f>VLOOKUP(C96,Lists!I:J,2,FALSE)</f>
        <v>Healer</v>
      </c>
      <c r="C96" s="34" t="str">
        <f>VLOOKUP(E96&amp;D96,Lists!C:E,3,FALSE)</f>
        <v>Wand/Orb</v>
      </c>
      <c r="D96" s="35" t="s">
        <v>34</v>
      </c>
      <c r="E96" s="36" t="s">
        <v>74</v>
      </c>
      <c r="F96" s="35" t="s">
        <v>476</v>
      </c>
      <c r="G96" s="32">
        <v>0</v>
      </c>
      <c r="H96" s="32">
        <v>2</v>
      </c>
      <c r="I96" s="84">
        <f t="shared" si="0"/>
        <v>2</v>
      </c>
      <c r="J96" s="37">
        <v>5493</v>
      </c>
      <c r="K96" s="37">
        <v>363050</v>
      </c>
      <c r="L96" s="37">
        <v>189327</v>
      </c>
      <c r="M96" s="38">
        <f>I96/(HLOOKUP(F96,Team_Composition_23[[#All],[Yellow]:[Red]],10,FALSE)+HLOOKUP(F96,Team_Composition_23[[#All],[Yellow]:[Red]],11,FALSE))</f>
        <v>4.9987503124218949E-4</v>
      </c>
      <c r="N96" s="38">
        <f>J96/HLOOKUP(F96,Team_Composition_23[[#All],[Yellow]:[Red]],6,FALSE)</f>
        <v>1.2381774955954309E-4</v>
      </c>
      <c r="O96" s="38">
        <f>K96/HLOOKUP(F96,Team_Composition_23[[#All],[Yellow]:[Red]],8,FALSE)</f>
        <v>2.0723495146318265E-2</v>
      </c>
      <c r="P96" s="38">
        <f>L96/HLOOKUP(F96,Team_Composition_23[[#All],[Yellow]:[Red]],7,FALSE)</f>
        <v>1.4625747811433401E-2</v>
      </c>
      <c r="Q96" s="31"/>
      <c r="R96" s="31"/>
      <c r="S96" s="31"/>
      <c r="T96" s="31"/>
      <c r="U96" s="31"/>
      <c r="V96" s="31"/>
      <c r="W96" s="31"/>
      <c r="X96" s="31"/>
      <c r="Y96" s="31"/>
      <c r="Z96" s="31"/>
      <c r="AA96" s="31"/>
      <c r="AB96" s="31"/>
      <c r="AC96" s="31"/>
      <c r="AD96" s="31"/>
    </row>
    <row r="97" spans="1:30" ht="22.5" customHeight="1">
      <c r="A97" s="32">
        <v>96</v>
      </c>
      <c r="B97" s="65" t="str">
        <f>VLOOKUP(C97,Lists!I:J,2,FALSE)</f>
        <v>Healer</v>
      </c>
      <c r="C97" s="34" t="str">
        <f>VLOOKUP(E97&amp;D97,Lists!C:E,3,FALSE)</f>
        <v>Wand/Orb</v>
      </c>
      <c r="D97" s="35" t="s">
        <v>34</v>
      </c>
      <c r="E97" s="36" t="s">
        <v>134</v>
      </c>
      <c r="F97" s="35" t="s">
        <v>476</v>
      </c>
      <c r="G97" s="32">
        <v>0</v>
      </c>
      <c r="H97" s="32">
        <v>0</v>
      </c>
      <c r="I97" s="84">
        <f t="shared" si="0"/>
        <v>0</v>
      </c>
      <c r="J97" s="37">
        <v>2624</v>
      </c>
      <c r="K97" s="37">
        <v>401990</v>
      </c>
      <c r="L97" s="37">
        <v>282871</v>
      </c>
      <c r="M97" s="38">
        <f>I97/(HLOOKUP(F97,Team_Composition_23[[#All],[Yellow]:[Red]],10,FALSE)+HLOOKUP(F97,Team_Composition_23[[#All],[Yellow]:[Red]],11,FALSE))</f>
        <v>0</v>
      </c>
      <c r="N97" s="38">
        <f>J97/HLOOKUP(F97,Team_Composition_23[[#All],[Yellow]:[Red]],6,FALSE)</f>
        <v>5.9147601464453134E-5</v>
      </c>
      <c r="O97" s="38">
        <f>K97/HLOOKUP(F97,Team_Composition_23[[#All],[Yellow]:[Red]],8,FALSE)</f>
        <v>2.2946254824042087E-2</v>
      </c>
      <c r="P97" s="38">
        <f>L97/HLOOKUP(F97,Team_Composition_23[[#All],[Yellow]:[Red]],7,FALSE)</f>
        <v>2.1852138940394016E-2</v>
      </c>
      <c r="Q97" s="31"/>
      <c r="R97" s="31"/>
      <c r="S97" s="31"/>
      <c r="T97" s="31"/>
      <c r="U97" s="31"/>
      <c r="V97" s="31"/>
      <c r="W97" s="31"/>
      <c r="X97" s="31"/>
      <c r="Y97" s="31"/>
      <c r="Z97" s="31"/>
      <c r="AA97" s="31"/>
      <c r="AB97" s="31"/>
      <c r="AC97" s="31"/>
      <c r="AD97" s="31"/>
    </row>
    <row r="98" spans="1:30" ht="22.5" customHeight="1">
      <c r="A98" s="82"/>
      <c r="B98" s="57"/>
      <c r="C98" s="34"/>
      <c r="D98" s="13"/>
      <c r="E98" s="83"/>
      <c r="F98" s="13"/>
      <c r="G98" s="82"/>
      <c r="H98" s="82"/>
      <c r="I98" s="84"/>
      <c r="J98" s="85"/>
      <c r="K98" s="85"/>
      <c r="L98" s="85"/>
      <c r="M98" s="38"/>
      <c r="N98" s="38"/>
      <c r="O98" s="38"/>
      <c r="P98" s="38"/>
      <c r="Q98" s="31"/>
      <c r="R98" s="31"/>
      <c r="S98" s="31"/>
      <c r="T98" s="31"/>
      <c r="U98" s="31"/>
      <c r="V98" s="31"/>
      <c r="W98" s="31"/>
      <c r="X98" s="31"/>
      <c r="Y98" s="31"/>
      <c r="Z98" s="31"/>
      <c r="AA98" s="31"/>
      <c r="AB98" s="31"/>
      <c r="AC98" s="31"/>
      <c r="AD98" s="31"/>
    </row>
    <row r="99" spans="1:30" ht="22.5" customHeight="1">
      <c r="A99" s="82"/>
      <c r="B99" s="53"/>
      <c r="C99" s="34"/>
      <c r="D99" s="13"/>
      <c r="E99" s="83"/>
      <c r="F99" s="13"/>
      <c r="G99" s="82"/>
      <c r="H99" s="82"/>
      <c r="I99" s="84"/>
      <c r="J99" s="85"/>
      <c r="K99" s="85"/>
      <c r="L99" s="85"/>
      <c r="M99" s="38"/>
      <c r="N99" s="38"/>
      <c r="O99" s="38"/>
      <c r="P99" s="38"/>
      <c r="Q99" s="31"/>
      <c r="R99" s="31"/>
      <c r="S99" s="31"/>
      <c r="T99" s="31"/>
      <c r="U99" s="31"/>
      <c r="V99" s="31"/>
      <c r="W99" s="31"/>
      <c r="X99" s="31"/>
      <c r="Y99" s="31"/>
      <c r="Z99" s="31"/>
      <c r="AA99" s="31"/>
      <c r="AB99" s="31"/>
      <c r="AC99" s="31"/>
      <c r="AD99" s="31"/>
    </row>
    <row r="100" spans="1:30" ht="22.5" customHeight="1">
      <c r="A100" s="82"/>
      <c r="B100" s="34"/>
      <c r="C100" s="34"/>
      <c r="D100" s="13"/>
      <c r="E100" s="83"/>
      <c r="F100" s="13"/>
      <c r="G100" s="82"/>
      <c r="H100" s="82"/>
      <c r="I100" s="84"/>
      <c r="J100" s="85"/>
      <c r="K100" s="85"/>
      <c r="L100" s="85"/>
      <c r="M100" s="38"/>
      <c r="N100" s="38"/>
      <c r="O100" s="38"/>
      <c r="P100" s="38"/>
      <c r="Q100" s="31"/>
      <c r="R100" s="31"/>
      <c r="S100" s="31"/>
      <c r="T100" s="31"/>
      <c r="U100" s="31"/>
      <c r="V100" s="31"/>
      <c r="W100" s="31"/>
      <c r="X100" s="31"/>
      <c r="Y100" s="31"/>
      <c r="Z100" s="31"/>
      <c r="AA100" s="31"/>
      <c r="AB100" s="31"/>
      <c r="AC100" s="31"/>
      <c r="AD100" s="31"/>
    </row>
    <row r="101" spans="1:30" ht="22.5" customHeight="1">
      <c r="A101" s="82"/>
      <c r="B101" s="65"/>
      <c r="C101" s="34"/>
      <c r="D101" s="13"/>
      <c r="E101" s="83"/>
      <c r="F101" s="13"/>
      <c r="G101" s="82"/>
      <c r="H101" s="82"/>
      <c r="I101" s="84"/>
      <c r="J101" s="85"/>
      <c r="K101" s="85"/>
      <c r="L101" s="85"/>
      <c r="M101" s="38"/>
      <c r="N101" s="38"/>
      <c r="O101" s="38"/>
      <c r="P101" s="38"/>
      <c r="Q101" s="31"/>
      <c r="R101" s="31"/>
      <c r="S101" s="31"/>
      <c r="T101" s="31"/>
      <c r="U101" s="31"/>
      <c r="V101" s="31"/>
      <c r="W101" s="31"/>
      <c r="X101" s="31"/>
      <c r="Y101" s="31"/>
      <c r="Z101" s="31"/>
      <c r="AA101" s="31"/>
      <c r="AB101" s="31"/>
      <c r="AC101" s="31"/>
      <c r="AD101" s="31"/>
    </row>
    <row r="102" spans="1:30" ht="22.5" customHeight="1">
      <c r="A102" s="82"/>
      <c r="B102" s="34"/>
      <c r="C102" s="34"/>
      <c r="D102" s="13"/>
      <c r="E102" s="83"/>
      <c r="F102" s="13"/>
      <c r="G102" s="82"/>
      <c r="H102" s="82"/>
      <c r="I102" s="84"/>
      <c r="J102" s="85"/>
      <c r="K102" s="85"/>
      <c r="L102" s="85"/>
      <c r="M102" s="38"/>
      <c r="N102" s="38"/>
      <c r="O102" s="38"/>
      <c r="P102" s="38"/>
      <c r="Q102" s="31"/>
      <c r="R102" s="31"/>
      <c r="S102" s="31"/>
      <c r="T102" s="31"/>
      <c r="U102" s="31"/>
      <c r="V102" s="31"/>
      <c r="W102" s="31"/>
      <c r="X102" s="31"/>
      <c r="Y102" s="31"/>
      <c r="Z102" s="31"/>
      <c r="AA102" s="31"/>
      <c r="AB102" s="31"/>
      <c r="AC102" s="31"/>
      <c r="AD102" s="31"/>
    </row>
    <row r="103" spans="1:30" ht="22.5" customHeight="1">
      <c r="A103" s="82"/>
      <c r="B103" s="53"/>
      <c r="C103" s="34"/>
      <c r="D103" s="13"/>
      <c r="E103" s="83"/>
      <c r="F103" s="13"/>
      <c r="G103" s="82"/>
      <c r="H103" s="82"/>
      <c r="I103" s="84"/>
      <c r="J103" s="85"/>
      <c r="K103" s="85"/>
      <c r="L103" s="85"/>
      <c r="M103" s="38"/>
      <c r="N103" s="38"/>
      <c r="O103" s="38"/>
      <c r="P103" s="38"/>
      <c r="Q103" s="31"/>
      <c r="R103" s="31"/>
      <c r="S103" s="31"/>
      <c r="T103" s="31"/>
      <c r="U103" s="31"/>
      <c r="V103" s="31"/>
      <c r="W103" s="31"/>
      <c r="X103" s="31"/>
      <c r="Y103" s="31"/>
      <c r="Z103" s="31"/>
      <c r="AA103" s="31"/>
      <c r="AB103" s="31"/>
      <c r="AC103" s="31"/>
      <c r="AD103" s="31"/>
    </row>
    <row r="104" spans="1:30" ht="22.5" customHeight="1">
      <c r="A104" s="82"/>
      <c r="B104" s="66"/>
      <c r="C104" s="34"/>
      <c r="D104" s="13"/>
      <c r="E104" s="83"/>
      <c r="F104" s="13"/>
      <c r="G104" s="82"/>
      <c r="H104" s="82"/>
      <c r="I104" s="84"/>
      <c r="J104" s="85"/>
      <c r="K104" s="85"/>
      <c r="L104" s="85"/>
      <c r="M104" s="38"/>
      <c r="N104" s="38"/>
      <c r="O104" s="38"/>
      <c r="P104" s="38"/>
      <c r="Q104" s="31"/>
      <c r="R104" s="31"/>
      <c r="S104" s="31"/>
      <c r="T104" s="31"/>
      <c r="U104" s="31"/>
      <c r="V104" s="31"/>
      <c r="W104" s="31"/>
      <c r="X104" s="31"/>
      <c r="Y104" s="31"/>
      <c r="Z104" s="31"/>
      <c r="AA104" s="31"/>
      <c r="AB104" s="31"/>
      <c r="AC104" s="31"/>
      <c r="AD104" s="31"/>
    </row>
    <row r="105" spans="1:30" ht="22.5" customHeight="1">
      <c r="A105" s="82"/>
      <c r="B105" s="53"/>
      <c r="C105" s="34"/>
      <c r="D105" s="13"/>
      <c r="E105" s="83"/>
      <c r="F105" s="13"/>
      <c r="G105" s="82"/>
      <c r="H105" s="82"/>
      <c r="I105" s="84"/>
      <c r="J105" s="85"/>
      <c r="K105" s="85"/>
      <c r="L105" s="85"/>
      <c r="M105" s="38"/>
      <c r="N105" s="38"/>
      <c r="O105" s="38"/>
      <c r="P105" s="38"/>
      <c r="Q105" s="31"/>
      <c r="R105" s="31"/>
      <c r="S105" s="31"/>
      <c r="T105" s="31"/>
      <c r="U105" s="31"/>
      <c r="V105" s="31"/>
      <c r="W105" s="31"/>
      <c r="X105" s="31"/>
      <c r="Y105" s="31"/>
      <c r="Z105" s="31"/>
      <c r="AA105" s="31"/>
      <c r="AB105" s="31"/>
      <c r="AC105" s="31"/>
      <c r="AD105" s="31"/>
    </row>
    <row r="106" spans="1:30" ht="22.5" customHeight="1">
      <c r="A106" s="82"/>
      <c r="B106" s="34"/>
      <c r="C106" s="34"/>
      <c r="D106" s="13"/>
      <c r="E106" s="83"/>
      <c r="F106" s="13"/>
      <c r="G106" s="82"/>
      <c r="H106" s="82"/>
      <c r="I106" s="84"/>
      <c r="J106" s="85"/>
      <c r="K106" s="85"/>
      <c r="L106" s="85"/>
      <c r="M106" s="38"/>
      <c r="N106" s="38"/>
      <c r="O106" s="38"/>
      <c r="P106" s="38"/>
      <c r="Q106" s="31"/>
      <c r="R106" s="31"/>
      <c r="S106" s="31"/>
      <c r="T106" s="31"/>
      <c r="U106" s="31"/>
      <c r="V106" s="31"/>
      <c r="W106" s="31"/>
      <c r="X106" s="31"/>
      <c r="Y106" s="31"/>
      <c r="Z106" s="31"/>
      <c r="AA106" s="31"/>
      <c r="AB106" s="31"/>
      <c r="AC106" s="31"/>
      <c r="AD106" s="31"/>
    </row>
    <row r="107" spans="1:30" ht="22.5" customHeight="1">
      <c r="A107" s="82"/>
      <c r="B107" s="53"/>
      <c r="C107" s="34"/>
      <c r="D107" s="13"/>
      <c r="E107" s="83"/>
      <c r="F107" s="13"/>
      <c r="G107" s="82"/>
      <c r="H107" s="82"/>
      <c r="I107" s="84"/>
      <c r="J107" s="85"/>
      <c r="K107" s="85"/>
      <c r="L107" s="85"/>
      <c r="M107" s="38"/>
      <c r="N107" s="38"/>
      <c r="O107" s="38"/>
      <c r="P107" s="38"/>
      <c r="Q107" s="31"/>
      <c r="R107" s="31"/>
      <c r="S107" s="31"/>
      <c r="T107" s="31"/>
      <c r="U107" s="31"/>
      <c r="V107" s="31"/>
      <c r="W107" s="31"/>
      <c r="X107" s="31"/>
      <c r="Y107" s="31"/>
      <c r="Z107" s="31"/>
      <c r="AA107" s="31"/>
      <c r="AB107" s="31"/>
      <c r="AC107" s="31"/>
      <c r="AD107" s="31"/>
    </row>
    <row r="108" spans="1:30" ht="22.5" customHeight="1">
      <c r="A108" s="82"/>
      <c r="B108" s="34"/>
      <c r="C108" s="34"/>
      <c r="D108" s="13"/>
      <c r="E108" s="83"/>
      <c r="F108" s="13"/>
      <c r="G108" s="82"/>
      <c r="H108" s="82"/>
      <c r="I108" s="84"/>
      <c r="J108" s="85"/>
      <c r="K108" s="85"/>
      <c r="L108" s="85"/>
      <c r="M108" s="38"/>
      <c r="N108" s="38"/>
      <c r="O108" s="38"/>
      <c r="P108" s="38"/>
      <c r="Q108" s="31"/>
      <c r="R108" s="31"/>
      <c r="S108" s="31"/>
      <c r="T108" s="31"/>
      <c r="U108" s="31"/>
      <c r="V108" s="31"/>
      <c r="W108" s="31"/>
      <c r="X108" s="31"/>
      <c r="Y108" s="31"/>
      <c r="Z108" s="31"/>
      <c r="AA108" s="31"/>
      <c r="AB108" s="31"/>
      <c r="AC108" s="31"/>
      <c r="AD108" s="31"/>
    </row>
    <row r="109" spans="1:30" ht="22.5" customHeight="1">
      <c r="A109" s="82"/>
      <c r="B109" s="53" t="e">
        <f>VLOOKUP(C109,Lists!I:J,2,FALSE)</f>
        <v>#N/A</v>
      </c>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B00-000000000000}">
      <formula1>#REF!</formula1>
    </dataValidation>
    <dataValidation type="list" allowBlank="1" sqref="F2:F163" xr:uid="{00000000-0002-0000-0B00-000002000000}">
      <formula1>"Yellow,Red"</formula1>
    </dataValidation>
    <dataValidation type="custom" allowBlank="1" showDropDown="1" sqref="AC4:AD14 S4:T14 AC17:AD25 S17:T25 S30:T46 AC30:AD46 S51:T60 AC51:AD60 S65:T72 AC65:AD72 S77:T84 AC77:AD84 A2:A163 G2:L163" xr:uid="{00000000-0002-0000-0B00-000003000000}">
      <formula1>AND(ISNUMBER(A2),(NOT(OR(NOT(ISERROR(DATEVALUE(A2))), AND(ISNUMBER(A2), LEFT(CELL("format", A2))="D")))))</formula1>
    </dataValidation>
    <dataValidation allowBlank="1" showDropDown="1" sqref="E2:E163" xr:uid="{00000000-0002-0000-0B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82">
        <v>1</v>
      </c>
      <c r="B2" s="68" t="str">
        <f>VLOOKUP(C2,Lists!I:J,2,FALSE)</f>
        <v>Ranged DPS</v>
      </c>
      <c r="C2" s="34" t="str">
        <f>VLOOKUP(E2&amp;D2,Lists!C:E,3,FALSE)</f>
        <v>Staff/Dagger</v>
      </c>
      <c r="D2" s="13" t="s">
        <v>34</v>
      </c>
      <c r="E2" s="83" t="s">
        <v>158</v>
      </c>
      <c r="F2" s="13" t="s">
        <v>476</v>
      </c>
      <c r="G2" s="82">
        <v>86</v>
      </c>
      <c r="H2" s="82">
        <v>156</v>
      </c>
      <c r="I2" s="84">
        <f t="shared" ref="I2:I97" si="0">SUM(G2:H2)</f>
        <v>242</v>
      </c>
      <c r="J2" s="85">
        <v>5142524</v>
      </c>
      <c r="K2" s="85">
        <v>696063</v>
      </c>
      <c r="L2" s="85">
        <v>34024</v>
      </c>
      <c r="M2" s="38">
        <f>I2/(HLOOKUP(F2,Team_Composition_23[[#All],[Yellow]:[Red]],10,FALSE)+HLOOKUP(F2,Team_Composition_23[[#All],[Yellow]:[Red]],11,FALSE))</f>
        <v>6.0484878780304924E-2</v>
      </c>
      <c r="N2" s="38">
        <f>J2/HLOOKUP(F2,Team_Composition_23[[#All],[Yellow]:[Red]],6,FALSE)</f>
        <v>0.11591766771089383</v>
      </c>
      <c r="O2" s="38">
        <f>K2/HLOOKUP(F2,Team_Composition_23[[#All],[Yellow]:[Red]],8,FALSE)</f>
        <v>3.9732428596699433E-2</v>
      </c>
      <c r="P2" s="38">
        <f>L2/HLOOKUP(F2,Team_Composition_23[[#All],[Yellow]:[Red]],7,FALSE)</f>
        <v>2.6283966023663294E-3</v>
      </c>
      <c r="Q2" s="31"/>
      <c r="R2" s="227" t="s">
        <v>477</v>
      </c>
      <c r="S2" s="228"/>
      <c r="T2" s="228"/>
      <c r="U2" s="31"/>
      <c r="V2" s="229" t="s">
        <v>478</v>
      </c>
      <c r="W2" s="228"/>
      <c r="X2" s="39"/>
      <c r="Y2" s="229" t="s">
        <v>479</v>
      </c>
      <c r="Z2" s="228"/>
      <c r="AA2" s="31"/>
      <c r="AB2" s="227" t="s">
        <v>480</v>
      </c>
      <c r="AC2" s="228"/>
      <c r="AD2" s="228"/>
    </row>
    <row r="3" spans="1:30" ht="22.5" customHeight="1">
      <c r="A3" s="82">
        <v>3</v>
      </c>
      <c r="B3" s="52" t="str">
        <f>VLOOKUP(C3,Lists!I:J,2,FALSE)</f>
        <v>Ranged DPS</v>
      </c>
      <c r="C3" s="34" t="str">
        <f>VLOOKUP(E3&amp;D3,Lists!C:E,3,FALSE)</f>
        <v>Staff/Orb</v>
      </c>
      <c r="D3" s="13" t="s">
        <v>34</v>
      </c>
      <c r="E3" s="83" t="s">
        <v>156</v>
      </c>
      <c r="F3" s="13" t="s">
        <v>476</v>
      </c>
      <c r="G3" s="82">
        <v>62</v>
      </c>
      <c r="H3" s="82">
        <v>145</v>
      </c>
      <c r="I3" s="84">
        <f t="shared" si="0"/>
        <v>207</v>
      </c>
      <c r="J3" s="85">
        <v>4050655</v>
      </c>
      <c r="K3" s="85">
        <v>720257</v>
      </c>
      <c r="L3" s="85">
        <v>20271</v>
      </c>
      <c r="M3" s="38">
        <f>I3/(HLOOKUP(F3,Team_Composition_23[[#All],[Yellow]:[Red]],10,FALSE)+HLOOKUP(F3,Team_Composition_23[[#All],[Yellow]:[Red]],11,FALSE))</f>
        <v>5.1737065733566609E-2</v>
      </c>
      <c r="N3" s="38">
        <f>J3/HLOOKUP(F3,Team_Composition_23[[#All],[Yellow]:[Red]],6,FALSE)</f>
        <v>9.1305841314784461E-2</v>
      </c>
      <c r="O3" s="38">
        <f>K3/HLOOKUP(F3,Team_Composition_23[[#All],[Yellow]:[Red]],8,FALSE)</f>
        <v>4.1113462177666309E-2</v>
      </c>
      <c r="P3" s="38">
        <f>L3/HLOOKUP(F3,Team_Composition_23[[#All],[Yellow]:[Red]],7,FALSE)</f>
        <v>1.5659601318647974E-3</v>
      </c>
      <c r="Q3" s="31"/>
      <c r="R3" s="41" t="s">
        <v>482</v>
      </c>
      <c r="S3" s="42" t="s">
        <v>476</v>
      </c>
      <c r="T3" s="42" t="s">
        <v>483</v>
      </c>
      <c r="U3" s="31"/>
      <c r="V3" s="43" t="s">
        <v>1</v>
      </c>
      <c r="W3" s="44" t="s">
        <v>467</v>
      </c>
      <c r="X3" s="31"/>
      <c r="Y3" s="43" t="s">
        <v>1</v>
      </c>
      <c r="Z3" s="44" t="s">
        <v>484</v>
      </c>
      <c r="AA3" s="31"/>
      <c r="AB3" s="41" t="s">
        <v>482</v>
      </c>
      <c r="AC3" s="42" t="s">
        <v>485</v>
      </c>
      <c r="AD3" s="42" t="s">
        <v>36</v>
      </c>
    </row>
    <row r="4" spans="1:30" ht="22.5" customHeight="1">
      <c r="A4" s="82">
        <v>5</v>
      </c>
      <c r="B4" s="62" t="str">
        <f>VLOOKUP(C4,Lists!I:J,2,FALSE)</f>
        <v>Melee DPS</v>
      </c>
      <c r="C4" s="34" t="str">
        <f>VLOOKUP(E4&amp;D4,Lists!C:E,3,FALSE)</f>
        <v>Spear/Dagger</v>
      </c>
      <c r="D4" s="13" t="s">
        <v>34</v>
      </c>
      <c r="E4" s="83" t="s">
        <v>104</v>
      </c>
      <c r="F4" s="13" t="s">
        <v>476</v>
      </c>
      <c r="G4" s="82">
        <v>60</v>
      </c>
      <c r="H4" s="82">
        <v>146</v>
      </c>
      <c r="I4" s="84">
        <f t="shared" si="0"/>
        <v>206</v>
      </c>
      <c r="J4" s="85">
        <v>3546861</v>
      </c>
      <c r="K4" s="85">
        <v>1333604</v>
      </c>
      <c r="L4" s="85">
        <v>22115</v>
      </c>
      <c r="M4" s="38">
        <f>I4/(HLOOKUP(F4,Team_Composition_23[[#All],[Yellow]:[Red]],10,FALSE)+HLOOKUP(F4,Team_Composition_23[[#All],[Yellow]:[Red]],11,FALSE))</f>
        <v>5.1487128217945516E-2</v>
      </c>
      <c r="N4" s="38">
        <f>J4/HLOOKUP(F4,Team_Composition_23[[#All],[Yellow]:[Red]],6,FALSE)</f>
        <v>7.9949817407702642E-2</v>
      </c>
      <c r="O4" s="38">
        <f>K4/HLOOKUP(F4,Team_Composition_23[[#All],[Yellow]:[Red]],8,FALSE)</f>
        <v>7.6124324531361032E-2</v>
      </c>
      <c r="P4" s="38">
        <f>L4/HLOOKUP(F4,Team_Composition_23[[#All],[Yellow]:[Red]],7,FALSE)</f>
        <v>1.708411440786838E-3</v>
      </c>
      <c r="Q4" s="31"/>
      <c r="R4" s="45" t="s">
        <v>25</v>
      </c>
      <c r="S4" s="46">
        <f>COUNTIFS(Scoreboard_32[Role],R4,Scoreboard_32[Team],"Yellow")</f>
        <v>5</v>
      </c>
      <c r="T4" s="47">
        <f>COUNTIFS(Scoreboard_32[Role],R4,Scoreboard_32[Team],"Red")</f>
        <v>7</v>
      </c>
      <c r="U4" s="31"/>
      <c r="V4" s="48" t="str">
        <f ca="1">IFERROR(__xludf.DUMMYFUNCTION("query(A1:P238, ""Select E,I where B!='Healer' Order by I Desc Limit 10"", 0)"),"Ceviche")</f>
        <v>Ceviche</v>
      </c>
      <c r="W4" s="49">
        <f ca="1">IFERROR(__xludf.DUMMYFUNCTION("""COMPUTED_VALUE"""),242)</f>
        <v>242</v>
      </c>
      <c r="X4" s="31"/>
      <c r="Y4" s="48" t="str">
        <f ca="1">IFERROR(__xludf.DUMMYFUNCTION("query(A1:P238, ""Select E,J Order by J Desc Limit 10"", 0)"),"Ceviche")</f>
        <v>Ceviche</v>
      </c>
      <c r="Z4" s="49">
        <f ca="1">IFERROR(__xludf.DUMMYFUNCTION("""COMPUTED_VALUE"""),5142524)</f>
        <v>5142524</v>
      </c>
      <c r="AA4" s="31"/>
      <c r="AB4" s="45" t="s">
        <v>25</v>
      </c>
      <c r="AC4" s="50">
        <f>COUNTIFS(Scoreboard_32[Role],AB4,Scoreboard_32[Guild],"Best Regards")</f>
        <v>5</v>
      </c>
      <c r="AD4" s="51">
        <f>COUNTIFS(Scoreboard_32[Role],AB4,Scoreboard_32[Guild],"Unhinged肉")</f>
        <v>0</v>
      </c>
    </row>
    <row r="5" spans="1:30" ht="22.5" customHeight="1">
      <c r="A5" s="82">
        <v>2</v>
      </c>
      <c r="B5" s="73" t="s">
        <v>25</v>
      </c>
      <c r="C5" s="34" t="str">
        <f>VLOOKUP(E5&amp;D5,Lists!C:E,3,FALSE)</f>
        <v>Greatsword/Spear</v>
      </c>
      <c r="D5" s="13" t="s">
        <v>34</v>
      </c>
      <c r="E5" s="83" t="s">
        <v>145</v>
      </c>
      <c r="F5" s="13" t="s">
        <v>476</v>
      </c>
      <c r="G5" s="82">
        <v>64</v>
      </c>
      <c r="H5" s="82">
        <v>140</v>
      </c>
      <c r="I5" s="84">
        <f t="shared" si="0"/>
        <v>204</v>
      </c>
      <c r="J5" s="85">
        <v>2921133</v>
      </c>
      <c r="K5" s="85">
        <v>1740095</v>
      </c>
      <c r="L5" s="85">
        <v>30345</v>
      </c>
      <c r="M5" s="38">
        <f>I5/(HLOOKUP(F5,Team_Composition_23[[#All],[Yellow]:[Red]],10,FALSE)+HLOOKUP(F5,Team_Composition_23[[#All],[Yellow]:[Red]],11,FALSE))</f>
        <v>5.0987253186703323E-2</v>
      </c>
      <c r="N5" s="38">
        <f>J5/HLOOKUP(F5,Team_Composition_23[[#All],[Yellow]:[Red]],6,FALSE)</f>
        <v>6.5845278395069512E-2</v>
      </c>
      <c r="O5" s="38">
        <f>K5/HLOOKUP(F5,Team_Composition_23[[#All],[Yellow]:[Red]],8,FALSE)</f>
        <v>9.9327503888259686E-2</v>
      </c>
      <c r="P5" s="38">
        <f>L5/HLOOKUP(F5,Team_Composition_23[[#All],[Yellow]:[Red]],7,FALSE)</f>
        <v>2.3441892457913903E-3</v>
      </c>
      <c r="Q5" s="31"/>
      <c r="R5" s="45" t="s">
        <v>39</v>
      </c>
      <c r="S5" s="46">
        <f>COUNTIFS(Scoreboard_32[Role],R5,Scoreboard_32[Team],"Yellow")</f>
        <v>8</v>
      </c>
      <c r="T5" s="47">
        <f>COUNTIFS(Scoreboard_32[Role],R5,Scoreboard_32[Team],"Red")</f>
        <v>8</v>
      </c>
      <c r="U5" s="31"/>
      <c r="V5" s="48" t="str">
        <f ca="1">IFERROR(__xludf.DUMMYFUNCTION("""COMPUTED_VALUE"""),"Ryujin")</f>
        <v>Ryujin</v>
      </c>
      <c r="W5" s="49">
        <f ca="1">IFERROR(__xludf.DUMMYFUNCTION("""COMPUTED_VALUE"""),207)</f>
        <v>207</v>
      </c>
      <c r="X5" s="31"/>
      <c r="Y5" s="48" t="str">
        <f ca="1">IFERROR(__xludf.DUMMYFUNCTION("""COMPUTED_VALUE"""),"Ryujin")</f>
        <v>Ryujin</v>
      </c>
      <c r="Z5" s="49">
        <f ca="1">IFERROR(__xludf.DUMMYFUNCTION("""COMPUTED_VALUE"""),4050655)</f>
        <v>4050655</v>
      </c>
      <c r="AA5" s="31"/>
      <c r="AB5" s="45" t="s">
        <v>39</v>
      </c>
      <c r="AC5" s="50">
        <f>COUNTIFS(Scoreboard_32[Role],AB5,Scoreboard_32[Guild],"Best Regards")</f>
        <v>8</v>
      </c>
      <c r="AD5" s="51">
        <f>COUNTIFS(Scoreboard_32[Role],AB5,Scoreboard_32[Guild],"Unhinged肉")</f>
        <v>0</v>
      </c>
    </row>
    <row r="6" spans="1:30" ht="22.5" customHeight="1">
      <c r="A6" s="82">
        <v>4</v>
      </c>
      <c r="B6" s="60" t="str">
        <f>VLOOKUP(C6,Lists!I:J,2,FALSE)</f>
        <v>Ranged DPS</v>
      </c>
      <c r="C6" s="34" t="str">
        <f>VLOOKUP(E6&amp;D6,Lists!C:E,3,FALSE)</f>
        <v>Crossbow/SnS</v>
      </c>
      <c r="D6" s="13" t="s">
        <v>34</v>
      </c>
      <c r="E6" s="83" t="s">
        <v>167</v>
      </c>
      <c r="F6" s="13" t="s">
        <v>476</v>
      </c>
      <c r="G6" s="82">
        <v>61</v>
      </c>
      <c r="H6" s="82">
        <v>125</v>
      </c>
      <c r="I6" s="84">
        <f t="shared" si="0"/>
        <v>186</v>
      </c>
      <c r="J6" s="85">
        <v>3200253</v>
      </c>
      <c r="K6" s="85">
        <v>626480</v>
      </c>
      <c r="L6" s="85">
        <v>1280</v>
      </c>
      <c r="M6" s="38">
        <f>I6/(HLOOKUP(F6,Team_Composition_23[[#All],[Yellow]:[Red]],10,FALSE)+HLOOKUP(F6,Team_Composition_23[[#All],[Yellow]:[Red]],11,FALSE))</f>
        <v>4.6488377905523619E-2</v>
      </c>
      <c r="N6" s="38">
        <f>J6/HLOOKUP(F6,Team_Composition_23[[#All],[Yellow]:[Red]],6,FALSE)</f>
        <v>7.2136924172797462E-2</v>
      </c>
      <c r="O6" s="38">
        <f>K6/HLOOKUP(F6,Team_Composition_23[[#All],[Yellow]:[Red]],8,FALSE)</f>
        <v>3.5760515739610151E-2</v>
      </c>
      <c r="P6" s="38">
        <f>L6/HLOOKUP(F6,Team_Composition_23[[#All],[Yellow]:[Red]],7,FALSE)</f>
        <v>9.8881602722457722E-5</v>
      </c>
      <c r="Q6" s="31"/>
      <c r="R6" s="45" t="s">
        <v>67</v>
      </c>
      <c r="S6" s="46">
        <f>COUNTIFS(Scoreboard_32[Role],R6,Scoreboard_32[Team],"Yellow")</f>
        <v>14</v>
      </c>
      <c r="T6" s="47">
        <f>COUNTIFS(Scoreboard_32[Role],R6,Scoreboard_32[Team],"Red")</f>
        <v>10</v>
      </c>
      <c r="U6" s="31"/>
      <c r="V6" s="48" t="str">
        <f ca="1">IFERROR(__xludf.DUMMYFUNCTION("""COMPUTED_VALUE"""),"Superluigi")</f>
        <v>Superluigi</v>
      </c>
      <c r="W6" s="49">
        <f ca="1">IFERROR(__xludf.DUMMYFUNCTION("""COMPUTED_VALUE"""),206)</f>
        <v>206</v>
      </c>
      <c r="X6" s="31"/>
      <c r="Y6" s="48" t="str">
        <f ca="1">IFERROR(__xludf.DUMMYFUNCTION("""COMPUTED_VALUE"""),"Superluigi")</f>
        <v>Superluigi</v>
      </c>
      <c r="Z6" s="49">
        <f ca="1">IFERROR(__xludf.DUMMYFUNCTION("""COMPUTED_VALUE"""),3546861)</f>
        <v>3546861</v>
      </c>
      <c r="AA6" s="31"/>
      <c r="AB6" s="45" t="s">
        <v>67</v>
      </c>
      <c r="AC6" s="50">
        <f>COUNTIFS(Scoreboard_32[Role],AB6,Scoreboard_32[Guild],"Best Regards")</f>
        <v>13</v>
      </c>
      <c r="AD6" s="51">
        <f>COUNTIFS(Scoreboard_32[Role],AB6,Scoreboard_32[Guild],"Unhinged肉")</f>
        <v>0</v>
      </c>
    </row>
    <row r="7" spans="1:30" ht="22.5" customHeight="1">
      <c r="A7" s="82">
        <v>13</v>
      </c>
      <c r="B7" s="54" t="str">
        <f>VLOOKUP(C7,Lists!I:J,2,FALSE)</f>
        <v>Melee DPS</v>
      </c>
      <c r="C7" s="34" t="str">
        <f>VLOOKUP(E7&amp;D7,Lists!C:E,3,FALSE)</f>
        <v>Greatsword/Spear</v>
      </c>
      <c r="D7" s="13" t="s">
        <v>34</v>
      </c>
      <c r="E7" s="83" t="s">
        <v>147</v>
      </c>
      <c r="F7" s="13" t="s">
        <v>476</v>
      </c>
      <c r="G7" s="82">
        <v>40</v>
      </c>
      <c r="H7" s="82">
        <v>131</v>
      </c>
      <c r="I7" s="84">
        <f t="shared" si="0"/>
        <v>171</v>
      </c>
      <c r="J7" s="85">
        <v>2349745</v>
      </c>
      <c r="K7" s="85">
        <v>2114533</v>
      </c>
      <c r="L7" s="85">
        <v>61788</v>
      </c>
      <c r="M7" s="38">
        <f>I7/(HLOOKUP(F7,Team_Composition_23[[#All],[Yellow]:[Red]],10,FALSE)+HLOOKUP(F7,Team_Composition_23[[#All],[Yellow]:[Red]],11,FALSE))</f>
        <v>4.2739315171207201E-2</v>
      </c>
      <c r="N7" s="38">
        <f>J7/HLOOKUP(F7,Team_Composition_23[[#All],[Yellow]:[Red]],6,FALSE)</f>
        <v>5.2965617684104967E-2</v>
      </c>
      <c r="O7" s="38">
        <f>K7/HLOOKUP(F7,Team_Composition_23[[#All],[Yellow]:[Red]],8,FALSE)</f>
        <v>0.12070104493108332</v>
      </c>
      <c r="P7" s="38">
        <f>L7/HLOOKUP(F7,Team_Composition_23[[#All],[Yellow]:[Red]],7,FALSE)</f>
        <v>4.7732003664181389E-3</v>
      </c>
      <c r="Q7" s="31"/>
      <c r="R7" s="45" t="s">
        <v>11</v>
      </c>
      <c r="S7" s="46">
        <f>COUNTIFS(Scoreboard_32[Role],R7,Scoreboard_32[Team],"Yellow")</f>
        <v>16</v>
      </c>
      <c r="T7" s="47">
        <f>COUNTIFS(Scoreboard_32[Role],R7,Scoreboard_32[Team],"Red")</f>
        <v>19</v>
      </c>
      <c r="U7" s="31"/>
      <c r="V7" s="48" t="str">
        <f ca="1">IFERROR(__xludf.DUMMYFUNCTION("""COMPUTED_VALUE"""),"B")</f>
        <v>B</v>
      </c>
      <c r="W7" s="49">
        <f ca="1">IFERROR(__xludf.DUMMYFUNCTION("""COMPUTED_VALUE"""),204)</f>
        <v>204</v>
      </c>
      <c r="X7" s="31"/>
      <c r="Y7" s="48" t="str">
        <f ca="1">IFERROR(__xludf.DUMMYFUNCTION("""COMPUTED_VALUE"""),"SuperSaiyanAndy")</f>
        <v>SuperSaiyanAndy</v>
      </c>
      <c r="Z7" s="49">
        <f ca="1">IFERROR(__xludf.DUMMYFUNCTION("""COMPUTED_VALUE"""),3376323)</f>
        <v>3376323</v>
      </c>
      <c r="AA7" s="31"/>
      <c r="AB7" s="45" t="s">
        <v>11</v>
      </c>
      <c r="AC7" s="50">
        <f>COUNTIFS(Scoreboard_32[Role],AB7,Scoreboard_32[Guild],"Best Regards")</f>
        <v>16</v>
      </c>
      <c r="AD7" s="51">
        <f>COUNTIFS(Scoreboard_32[Role],AB7,Scoreboard_32[Guild],"Unhinged肉")</f>
        <v>0</v>
      </c>
    </row>
    <row r="8" spans="1:30" ht="22.5" customHeight="1">
      <c r="A8" s="82">
        <v>6</v>
      </c>
      <c r="B8" s="69" t="str">
        <f>VLOOKUP(C8,Lists!I:J,2,FALSE)</f>
        <v>Ranged DPS</v>
      </c>
      <c r="C8" s="34" t="str">
        <f>VLOOKUP(E8&amp;D8,Lists!C:E,3,FALSE)</f>
        <v>Staff/Dagger</v>
      </c>
      <c r="D8" s="13" t="s">
        <v>34</v>
      </c>
      <c r="E8" s="83" t="s">
        <v>31</v>
      </c>
      <c r="F8" s="13" t="s">
        <v>476</v>
      </c>
      <c r="G8" s="82">
        <v>58</v>
      </c>
      <c r="H8" s="82">
        <v>102</v>
      </c>
      <c r="I8" s="84">
        <f t="shared" si="0"/>
        <v>160</v>
      </c>
      <c r="J8" s="85">
        <v>2910374</v>
      </c>
      <c r="K8" s="85">
        <v>519219</v>
      </c>
      <c r="L8" s="85">
        <v>0</v>
      </c>
      <c r="M8" s="38">
        <f>I8/(HLOOKUP(F8,Team_Composition_23[[#All],[Yellow]:[Red]],10,FALSE)+HLOOKUP(F8,Team_Composition_23[[#All],[Yellow]:[Red]],11,FALSE))</f>
        <v>3.9990002499375156E-2</v>
      </c>
      <c r="N8" s="38">
        <f>J8/HLOOKUP(F8,Team_Composition_23[[#All],[Yellow]:[Red]],6,FALSE)</f>
        <v>6.560275970446125E-2</v>
      </c>
      <c r="O8" s="38">
        <f>K8/HLOOKUP(F8,Team_Composition_23[[#All],[Yellow]:[Red]],8,FALSE)</f>
        <v>2.9637880254444905E-2</v>
      </c>
      <c r="P8" s="38">
        <f>L8/HLOOKUP(F8,Team_Composition_23[[#All],[Yellow]:[Red]],7,FALSE)</f>
        <v>0</v>
      </c>
      <c r="Q8" s="31"/>
      <c r="R8" s="45" t="s">
        <v>468</v>
      </c>
      <c r="S8" s="46">
        <f>SUMIFS(Scoreboard_32[Damage Dealt],Scoreboard_32[Team],"Yellow")</f>
        <v>43671199</v>
      </c>
      <c r="T8" s="47">
        <f>SUMIFS(Scoreboard_32[Damage Dealt],Scoreboard_32[Team],"Red")</f>
        <v>33871632</v>
      </c>
      <c r="U8" s="31"/>
      <c r="V8" s="48" t="str">
        <f ca="1">IFERROR(__xludf.DUMMYFUNCTION("""COMPUTED_VALUE"""),"charigueya")</f>
        <v>charigueya</v>
      </c>
      <c r="W8" s="49">
        <f ca="1">IFERROR(__xludf.DUMMYFUNCTION("""COMPUTED_VALUE"""),186)</f>
        <v>186</v>
      </c>
      <c r="X8" s="31"/>
      <c r="Y8" s="48" t="str">
        <f ca="1">IFERROR(__xludf.DUMMYFUNCTION("""COMPUTED_VALUE"""),"Artayy")</f>
        <v>Artayy</v>
      </c>
      <c r="Z8" s="49">
        <f ca="1">IFERROR(__xludf.DUMMYFUNCTION("""COMPUTED_VALUE"""),3358667)</f>
        <v>3358667</v>
      </c>
      <c r="AA8" s="31"/>
      <c r="AB8" s="45" t="s">
        <v>468</v>
      </c>
      <c r="AC8" s="50">
        <f>SUMIFS(Scoreboard_32[Damage Dealt],Scoreboard_32[Guild],"Best Regards")</f>
        <v>43624771</v>
      </c>
      <c r="AD8" s="51">
        <f>SUMIFS(Scoreboard_32[Damage Dealt],Scoreboard_32[Guild],"Unhinged肉")</f>
        <v>0</v>
      </c>
    </row>
    <row r="9" spans="1:30" ht="22.5" customHeight="1">
      <c r="A9" s="82">
        <v>10</v>
      </c>
      <c r="B9" s="59" t="str">
        <f>VLOOKUP(C9,Lists!I:J,2,FALSE)</f>
        <v>Ranged DPS</v>
      </c>
      <c r="C9" s="34" t="str">
        <f>VLOOKUP(E9&amp;D9,Lists!C:E,3,FALSE)</f>
        <v>Crossbow/SnS</v>
      </c>
      <c r="D9" s="13" t="s">
        <v>34</v>
      </c>
      <c r="E9" s="83" t="s">
        <v>141</v>
      </c>
      <c r="F9" s="13" t="s">
        <v>476</v>
      </c>
      <c r="G9" s="82">
        <v>46</v>
      </c>
      <c r="H9" s="82">
        <v>107</v>
      </c>
      <c r="I9" s="84">
        <f t="shared" si="0"/>
        <v>153</v>
      </c>
      <c r="J9" s="85">
        <v>2526974</v>
      </c>
      <c r="K9" s="85">
        <v>410753</v>
      </c>
      <c r="L9" s="85">
        <v>19308</v>
      </c>
      <c r="M9" s="38">
        <f>I9/(HLOOKUP(F9,Team_Composition_23[[#All],[Yellow]:[Red]],10,FALSE)+HLOOKUP(F9,Team_Composition_23[[#All],[Yellow]:[Red]],11,FALSE))</f>
        <v>3.824043989002749E-2</v>
      </c>
      <c r="N9" s="38">
        <f>J9/HLOOKUP(F9,Team_Composition_23[[#All],[Yellow]:[Red]],6,FALSE)</f>
        <v>5.696053775268102E-2</v>
      </c>
      <c r="O9" s="38">
        <f>K9/HLOOKUP(F9,Team_Composition_23[[#All],[Yellow]:[Red]],8,FALSE)</f>
        <v>2.3446461374013679E-2</v>
      </c>
      <c r="P9" s="38">
        <f>L9/HLOOKUP(F9,Team_Composition_23[[#All],[Yellow]:[Red]],7,FALSE)</f>
        <v>1.4915671760665733E-3</v>
      </c>
      <c r="Q9" s="31"/>
      <c r="R9" s="45" t="s">
        <v>470</v>
      </c>
      <c r="S9" s="46">
        <f>SUMIFS(Scoreboard_32[Amount Healed],Scoreboard_32[Team],"Yellow")</f>
        <v>22909758</v>
      </c>
      <c r="T9" s="47">
        <f>SUMIFS(Scoreboard_32[Amount Healed],Scoreboard_32[Team],"Red")</f>
        <v>25667690</v>
      </c>
      <c r="U9" s="31"/>
      <c r="V9" s="48" t="str">
        <f ca="1">IFERROR(__xludf.DUMMYFUNCTION("""COMPUTED_VALUE"""),"K")</f>
        <v>K</v>
      </c>
      <c r="W9" s="49">
        <f ca="1">IFERROR(__xludf.DUMMYFUNCTION("""COMPUTED_VALUE"""),171)</f>
        <v>171</v>
      </c>
      <c r="X9" s="31"/>
      <c r="Y9" s="48" t="str">
        <f ca="1">IFERROR(__xludf.DUMMYFUNCTION("""COMPUTED_VALUE"""),"charigueya")</f>
        <v>charigueya</v>
      </c>
      <c r="Z9" s="49">
        <f ca="1">IFERROR(__xludf.DUMMYFUNCTION("""COMPUTED_VALUE"""),3200253)</f>
        <v>3200253</v>
      </c>
      <c r="AA9" s="31"/>
      <c r="AB9" s="45" t="s">
        <v>470</v>
      </c>
      <c r="AC9" s="50">
        <f>SUMIFS(Scoreboard_32[Amount Healed],Scoreboard_32[Guild],"Best Regards")</f>
        <v>22859643</v>
      </c>
      <c r="AD9" s="51">
        <f>SUMIFS(Scoreboard_32[Amount Healed],Scoreboard_32[Guild],"Unhinged肉")</f>
        <v>0</v>
      </c>
    </row>
    <row r="10" spans="1:30" ht="22.5" customHeight="1">
      <c r="A10" s="82">
        <v>14</v>
      </c>
      <c r="B10" s="69" t="str">
        <f>VLOOKUP(C10,Lists!I:J,2,FALSE)</f>
        <v>Melee DPS</v>
      </c>
      <c r="C10" s="34" t="str">
        <f>VLOOKUP(E10&amp;D10,Lists!C:E,3,FALSE)</f>
        <v>Spear/Dagger</v>
      </c>
      <c r="D10" s="13" t="s">
        <v>34</v>
      </c>
      <c r="E10" s="83" t="s">
        <v>169</v>
      </c>
      <c r="F10" s="13" t="s">
        <v>476</v>
      </c>
      <c r="G10" s="82">
        <v>36</v>
      </c>
      <c r="H10" s="82">
        <v>111</v>
      </c>
      <c r="I10" s="84">
        <f t="shared" si="0"/>
        <v>147</v>
      </c>
      <c r="J10" s="85">
        <v>1966561</v>
      </c>
      <c r="K10" s="85">
        <v>840223</v>
      </c>
      <c r="L10" s="85">
        <v>0</v>
      </c>
      <c r="M10" s="38">
        <f>I10/(HLOOKUP(F10,Team_Composition_23[[#All],[Yellow]:[Red]],10,FALSE)+HLOOKUP(F10,Team_Composition_23[[#All],[Yellow]:[Red]],11,FALSE))</f>
        <v>3.6740814796300925E-2</v>
      </c>
      <c r="N10" s="38">
        <f>J10/HLOOKUP(F10,Team_Composition_23[[#All],[Yellow]:[Red]],6,FALSE)</f>
        <v>4.4328264589762356E-2</v>
      </c>
      <c r="O10" s="38">
        <f>K10/HLOOKUP(F10,Team_Composition_23[[#All],[Yellow]:[Red]],8,FALSE)</f>
        <v>4.7961320100055008E-2</v>
      </c>
      <c r="P10" s="38">
        <f>L10/HLOOKUP(F10,Team_Composition_23[[#All],[Yellow]:[Red]],7,FALSE)</f>
        <v>0</v>
      </c>
      <c r="Q10" s="31"/>
      <c r="R10" s="45" t="s">
        <v>469</v>
      </c>
      <c r="S10" s="46">
        <f>SUMIFS(Scoreboard_32[Damage Taken],Scoreboard_32[Team],"Yellow")</f>
        <v>33862176</v>
      </c>
      <c r="T10" s="47">
        <f>SUMIFS(Scoreboard_32[Damage Taken],Scoreboard_32[Team],"Red")</f>
        <v>43680655</v>
      </c>
      <c r="U10" s="31"/>
      <c r="V10" s="48" t="str">
        <f ca="1">IFERROR(__xludf.DUMMYFUNCTION("""COMPUTED_VALUE"""),"CLEM")</f>
        <v>CLEM</v>
      </c>
      <c r="W10" s="49">
        <f ca="1">IFERROR(__xludf.DUMMYFUNCTION("""COMPUTED_VALUE"""),160)</f>
        <v>160</v>
      </c>
      <c r="X10" s="31"/>
      <c r="Y10" s="48" t="str">
        <f ca="1">IFERROR(__xludf.DUMMYFUNCTION("""COMPUTED_VALUE"""),"B")</f>
        <v>B</v>
      </c>
      <c r="Z10" s="49">
        <f ca="1">IFERROR(__xludf.DUMMYFUNCTION("""COMPUTED_VALUE"""),2921133)</f>
        <v>2921133</v>
      </c>
      <c r="AA10" s="31"/>
      <c r="AB10" s="45" t="s">
        <v>469</v>
      </c>
      <c r="AC10" s="50">
        <f>SUMIFS(Scoreboard_32[Damage Taken],Scoreboard_32[Guild],"Best Regards")</f>
        <v>32953923</v>
      </c>
      <c r="AD10" s="51">
        <f>SUMIFS(Scoreboard_32[Damage Taken],Scoreboard_32[Guild],"Unhinged肉")</f>
        <v>0</v>
      </c>
    </row>
    <row r="11" spans="1:30" ht="22.5" customHeight="1">
      <c r="A11" s="82">
        <v>21</v>
      </c>
      <c r="B11" s="54" t="str">
        <f>VLOOKUP(C11,Lists!I:J,2,FALSE)</f>
        <v>Ranged DPS</v>
      </c>
      <c r="C11" s="34" t="str">
        <f>VLOOKUP(E11&amp;D11,Lists!C:E,3,FALSE)</f>
        <v>Staff/Orb</v>
      </c>
      <c r="D11" s="13" t="s">
        <v>34</v>
      </c>
      <c r="E11" s="83" t="s">
        <v>160</v>
      </c>
      <c r="F11" s="13" t="s">
        <v>476</v>
      </c>
      <c r="G11" s="82">
        <v>28</v>
      </c>
      <c r="H11" s="82">
        <v>114</v>
      </c>
      <c r="I11" s="84">
        <f t="shared" si="0"/>
        <v>142</v>
      </c>
      <c r="J11" s="85">
        <v>2261305</v>
      </c>
      <c r="K11" s="85">
        <v>1027596</v>
      </c>
      <c r="L11" s="85">
        <v>25219</v>
      </c>
      <c r="M11" s="38">
        <f>I11/(HLOOKUP(F11,Team_Composition_23[[#All],[Yellow]:[Red]],10,FALSE)+HLOOKUP(F11,Team_Composition_23[[#All],[Yellow]:[Red]],11,FALSE))</f>
        <v>3.5491127218195452E-2</v>
      </c>
      <c r="N11" s="38">
        <f>J11/HLOOKUP(F11,Team_Composition_23[[#All],[Yellow]:[Red]],6,FALSE)</f>
        <v>5.0972091055478355E-2</v>
      </c>
      <c r="O11" s="38">
        <f>K11/HLOOKUP(F11,Team_Composition_23[[#All],[Yellow]:[Red]],8,FALSE)</f>
        <v>5.8656881196463471E-2</v>
      </c>
      <c r="P11" s="38">
        <f>L11/HLOOKUP(F11,Team_Composition_23[[#All],[Yellow]:[Red]],7,FALSE)</f>
        <v>1.948199327388798E-3</v>
      </c>
      <c r="Q11" s="31"/>
      <c r="R11" s="45" t="s">
        <v>495</v>
      </c>
      <c r="S11" s="46">
        <f ca="1">IFERROR(DIVIDE(SUMIFS(Scoreboard_32[Amount Healed],Scoreboard_32[Team],"Yellow"), SUMIFS(Scoreboard_32[Damage Taken],Scoreboard_32[Team],"Yellow"))*(100),0)</f>
        <v>0</v>
      </c>
      <c r="T11" s="47">
        <f ca="1">IFERROR(DIVIDE(SUMIFS(Scoreboard_32[Amount Healed],Scoreboard_32[Team],"Red"), SUMIFS(Scoreboard_32[Damage Taken],Scoreboard_32[Team],"Red"))*(100),0)</f>
        <v>0</v>
      </c>
      <c r="U11" s="31"/>
      <c r="V11" s="48" t="str">
        <f ca="1">IFERROR(__xludf.DUMMYFUNCTION("""COMPUTED_VALUE"""),"Thundercats")</f>
        <v>Thundercats</v>
      </c>
      <c r="W11" s="49">
        <f ca="1">IFERROR(__xludf.DUMMYFUNCTION("""COMPUTED_VALUE"""),153)</f>
        <v>153</v>
      </c>
      <c r="X11" s="31"/>
      <c r="Y11" s="48" t="str">
        <f ca="1">IFERROR(__xludf.DUMMYFUNCTION("""COMPUTED_VALUE"""),"CLEM")</f>
        <v>CLEM</v>
      </c>
      <c r="Z11" s="49">
        <f ca="1">IFERROR(__xludf.DUMMYFUNCTION("""COMPUTED_VALUE"""),2910374)</f>
        <v>2910374</v>
      </c>
      <c r="AA11" s="31"/>
      <c r="AB11" s="45" t="s">
        <v>495</v>
      </c>
      <c r="AC11" s="50">
        <f ca="1">IFERROR(DIVIDE(SUMIFS(Scoreboard_32[Amount Healed],Scoreboard_32[Guild],"Best Regards"), SUMIFS(Scoreboard_32[Damage Taken],Scoreboard_32[Guild],"Best Regards"))*(100),0)</f>
        <v>0</v>
      </c>
      <c r="AD11" s="51">
        <f ca="1">IFERROR(DIVIDE(SUMIFS(Scoreboard_32[Amount Healed],Scoreboard_32[Guild],"Unhinged肉"), SUMIFS(Scoreboard_32[Damage Taken],Scoreboard_32[Guild],"Unhinged肉"))*(100),0)</f>
        <v>0</v>
      </c>
    </row>
    <row r="12" spans="1:30" ht="22.5" customHeight="1">
      <c r="A12" s="82">
        <v>11</v>
      </c>
      <c r="B12" s="71" t="str">
        <f>VLOOKUP(C12,Lists!I:J,2,FALSE)</f>
        <v>KS</v>
      </c>
      <c r="C12" s="34" t="str">
        <f>VLOOKUP(E12&amp;D12,Lists!C:E,3,FALSE)</f>
        <v>Greatsword/Dagger</v>
      </c>
      <c r="D12" s="13" t="s">
        <v>34</v>
      </c>
      <c r="E12" s="83" t="s">
        <v>98</v>
      </c>
      <c r="F12" s="13" t="s">
        <v>476</v>
      </c>
      <c r="G12" s="82">
        <v>46</v>
      </c>
      <c r="H12" s="82">
        <v>95</v>
      </c>
      <c r="I12" s="84">
        <f t="shared" si="0"/>
        <v>141</v>
      </c>
      <c r="J12" s="85">
        <v>1976350</v>
      </c>
      <c r="K12" s="85">
        <v>624299</v>
      </c>
      <c r="L12" s="85">
        <v>26505</v>
      </c>
      <c r="M12" s="38">
        <f>I12/(HLOOKUP(F12,Team_Composition_23[[#All],[Yellow]:[Red]],10,FALSE)+HLOOKUP(F12,Team_Composition_23[[#All],[Yellow]:[Red]],11,FALSE))</f>
        <v>3.5241189702574359E-2</v>
      </c>
      <c r="N12" s="38">
        <f>J12/HLOOKUP(F12,Team_Composition_23[[#All],[Yellow]:[Red]],6,FALSE)</f>
        <v>4.4548918503914618E-2</v>
      </c>
      <c r="O12" s="38">
        <f>K12/HLOOKUP(F12,Team_Composition_23[[#All],[Yellow]:[Red]],8,FALSE)</f>
        <v>3.5636020648261525E-2</v>
      </c>
      <c r="P12" s="38">
        <f>L12/HLOOKUP(F12,Team_Composition_23[[#All],[Yellow]:[Red]],7,FALSE)</f>
        <v>2.0475444376240174E-3</v>
      </c>
      <c r="Q12" s="31"/>
      <c r="R12" s="45" t="s">
        <v>465</v>
      </c>
      <c r="S12" s="46">
        <f>SUMIFS(Scoreboard_32[Kills],Scoreboard_32[Team],"Yellow")</f>
        <v>819</v>
      </c>
      <c r="T12" s="47">
        <f>SUMIFS(Scoreboard_32[Kills],Scoreboard_32[Team],"Red")</f>
        <v>451</v>
      </c>
      <c r="U12" s="31"/>
      <c r="V12" s="48" t="str">
        <f ca="1">IFERROR(__xludf.DUMMYFUNCTION("""COMPUTED_VALUE"""),"H612")</f>
        <v>H612</v>
      </c>
      <c r="W12" s="49">
        <f ca="1">IFERROR(__xludf.DUMMYFUNCTION("""COMPUTED_VALUE"""),147)</f>
        <v>147</v>
      </c>
      <c r="X12" s="31"/>
      <c r="Y12" s="48" t="str">
        <f ca="1">IFERROR(__xludf.DUMMYFUNCTION("""COMPUTED_VALUE"""),"GUNWALLET")</f>
        <v>GUNWALLET</v>
      </c>
      <c r="Z12" s="49">
        <f ca="1">IFERROR(__xludf.DUMMYFUNCTION("""COMPUTED_VALUE"""),2802046)</f>
        <v>2802046</v>
      </c>
      <c r="AA12" s="31"/>
      <c r="AB12" s="45" t="s">
        <v>465</v>
      </c>
      <c r="AC12" s="50">
        <f>SUMIFS(Scoreboard_32[Kills],Scoreboard_32[Guild],"Best Regards")</f>
        <v>819</v>
      </c>
      <c r="AD12" s="51">
        <f>SUMIFS(Scoreboard_32[Kills],Scoreboard_32[Guild],"Unhinged肉")</f>
        <v>0</v>
      </c>
    </row>
    <row r="13" spans="1:30" ht="22.5" customHeight="1">
      <c r="A13" s="82">
        <v>53</v>
      </c>
      <c r="B13" s="54" t="str">
        <f>VLOOKUP(C13,Lists!I:J,2,FALSE)</f>
        <v>Healer</v>
      </c>
      <c r="C13" s="34" t="str">
        <f>VLOOKUP(E13&amp;D13,Lists!C:E,3,FALSE)</f>
        <v>Wand/Orb</v>
      </c>
      <c r="D13" s="13" t="s">
        <v>34</v>
      </c>
      <c r="E13" s="83" t="s">
        <v>151</v>
      </c>
      <c r="F13" s="13" t="s">
        <v>476</v>
      </c>
      <c r="G13" s="82">
        <v>0</v>
      </c>
      <c r="H13" s="82">
        <v>124</v>
      </c>
      <c r="I13" s="84">
        <f t="shared" si="0"/>
        <v>124</v>
      </c>
      <c r="J13" s="85">
        <v>14140</v>
      </c>
      <c r="K13" s="85">
        <v>524048</v>
      </c>
      <c r="L13" s="85">
        <v>1070395</v>
      </c>
      <c r="M13" s="38">
        <f>I13/(HLOOKUP(F13,Team_Composition_23[[#All],[Yellow]:[Red]],10,FALSE)+HLOOKUP(F13,Team_Composition_23[[#All],[Yellow]:[Red]],11,FALSE))</f>
        <v>3.0992251937015745E-2</v>
      </c>
      <c r="N13" s="38">
        <f>J13/HLOOKUP(F13,Team_Composition_23[[#All],[Yellow]:[Red]],6,FALSE)</f>
        <v>3.1872983411103937E-4</v>
      </c>
      <c r="O13" s="38">
        <f>K13/HLOOKUP(F13,Team_Composition_23[[#All],[Yellow]:[Red]],8,FALSE)</f>
        <v>2.9913527570411221E-2</v>
      </c>
      <c r="P13" s="38">
        <f>L13/HLOOKUP(F13,Team_Composition_23[[#All],[Yellow]:[Red]],7,FALSE)</f>
        <v>8.2689354020394637E-2</v>
      </c>
      <c r="Q13" s="31"/>
      <c r="R13" s="45" t="s">
        <v>466</v>
      </c>
      <c r="S13" s="46">
        <f>SUMIFS(Scoreboard_32[Assists],Scoreboard_32[Team],"Yellow")</f>
        <v>3428</v>
      </c>
      <c r="T13" s="47">
        <f>SUMIFS(Scoreboard_32[Assists],Scoreboard_32[Team],"Red")</f>
        <v>1910</v>
      </c>
      <c r="U13" s="31"/>
      <c r="V13" s="48" t="str">
        <f ca="1">IFERROR(__xludf.DUMMYFUNCTION("""COMPUTED_VALUE"""),"EnoughCrazy")</f>
        <v>EnoughCrazy</v>
      </c>
      <c r="W13" s="49">
        <f ca="1">IFERROR(__xludf.DUMMYFUNCTION("""COMPUTED_VALUE"""),142)</f>
        <v>142</v>
      </c>
      <c r="X13" s="31"/>
      <c r="Y13" s="48" t="str">
        <f ca="1">IFERROR(__xludf.DUMMYFUNCTION("""COMPUTED_VALUE"""),"Thundercats")</f>
        <v>Thundercats</v>
      </c>
      <c r="Z13" s="49">
        <f ca="1">IFERROR(__xludf.DUMMYFUNCTION("""COMPUTED_VALUE"""),2526974)</f>
        <v>2526974</v>
      </c>
      <c r="AA13" s="31"/>
      <c r="AB13" s="45" t="s">
        <v>466</v>
      </c>
      <c r="AC13" s="50">
        <f>SUMIFS(Scoreboard_32[Assists],Scoreboard_32[Guild],"Best Regards")</f>
        <v>3404</v>
      </c>
      <c r="AD13" s="51">
        <f>SUMIFS(Scoreboard_32[Assists],Scoreboard_32[Guild],"Unhinged肉")</f>
        <v>0</v>
      </c>
    </row>
    <row r="14" spans="1:30" ht="22.5" customHeight="1">
      <c r="A14" s="82">
        <v>54</v>
      </c>
      <c r="B14" s="57" t="str">
        <f>VLOOKUP(C14,Lists!I:J,2,FALSE)</f>
        <v>Healer</v>
      </c>
      <c r="C14" s="34" t="str">
        <f>VLOOKUP(E14&amp;D14,Lists!C:E,3,FALSE)</f>
        <v>Wand/Orb</v>
      </c>
      <c r="D14" s="13" t="s">
        <v>34</v>
      </c>
      <c r="E14" s="83" t="s">
        <v>139</v>
      </c>
      <c r="F14" s="13" t="s">
        <v>476</v>
      </c>
      <c r="G14" s="82">
        <v>0</v>
      </c>
      <c r="H14" s="82">
        <v>123</v>
      </c>
      <c r="I14" s="84">
        <f t="shared" si="0"/>
        <v>123</v>
      </c>
      <c r="J14" s="85">
        <v>9505</v>
      </c>
      <c r="K14" s="85">
        <v>175784</v>
      </c>
      <c r="L14" s="85">
        <v>705737</v>
      </c>
      <c r="M14" s="38">
        <f>I14/(HLOOKUP(F14,Team_Composition_23[[#All],[Yellow]:[Red]],10,FALSE)+HLOOKUP(F14,Team_Composition_23[[#All],[Yellow]:[Red]],11,FALSE))</f>
        <v>3.0742314421394652E-2</v>
      </c>
      <c r="N14" s="38">
        <f>J14/HLOOKUP(F14,Team_Composition_23[[#All],[Yellow]:[Red]],6,FALSE)</f>
        <v>2.1425226826205299E-4</v>
      </c>
      <c r="O14" s="38">
        <f>K14/HLOOKUP(F14,Team_Composition_23[[#All],[Yellow]:[Red]],8,FALSE)</f>
        <v>1.0034041787082799E-2</v>
      </c>
      <c r="P14" s="38">
        <f>L14/HLOOKUP(F14,Team_Composition_23[[#All],[Yellow]:[Red]],7,FALSE)</f>
        <v>5.451906692229621E-2</v>
      </c>
      <c r="Q14" s="31"/>
      <c r="R14" s="48"/>
      <c r="S14" s="58">
        <f t="shared" ref="S14:T14" si="1">SUM(S4:S7)</f>
        <v>43</v>
      </c>
      <c r="T14" s="58">
        <f t="shared" si="1"/>
        <v>44</v>
      </c>
      <c r="U14" s="31"/>
      <c r="V14" s="31"/>
      <c r="W14" s="31"/>
      <c r="X14" s="31"/>
      <c r="Y14" s="31"/>
      <c r="Z14" s="31"/>
      <c r="AA14" s="31"/>
      <c r="AB14" s="48"/>
      <c r="AC14" s="58"/>
      <c r="AD14" s="58"/>
    </row>
    <row r="15" spans="1:30" ht="22.5" customHeight="1">
      <c r="A15" s="82">
        <v>8</v>
      </c>
      <c r="B15" s="52" t="str">
        <f>VLOOKUP(C15,Lists!I:J,2,FALSE)</f>
        <v>KS</v>
      </c>
      <c r="C15" s="34" t="str">
        <f>VLOOKUP(E15&amp;D15,Lists!C:E,3,FALSE)</f>
        <v>Longbow/Dagger</v>
      </c>
      <c r="D15" s="13" t="s">
        <v>34</v>
      </c>
      <c r="E15" s="83" t="s">
        <v>51</v>
      </c>
      <c r="F15" s="13" t="s">
        <v>476</v>
      </c>
      <c r="G15" s="82">
        <v>49</v>
      </c>
      <c r="H15" s="82">
        <v>72</v>
      </c>
      <c r="I15" s="84">
        <f t="shared" si="0"/>
        <v>121</v>
      </c>
      <c r="J15" s="85">
        <v>1756608</v>
      </c>
      <c r="K15" s="85">
        <v>525081</v>
      </c>
      <c r="L15" s="85">
        <v>0</v>
      </c>
      <c r="M15" s="38">
        <f>I15/(HLOOKUP(F15,Team_Composition_23[[#All],[Yellow]:[Red]],10,FALSE)+HLOOKUP(F15,Team_Composition_23[[#All],[Yellow]:[Red]],11,FALSE))</f>
        <v>3.0242439390152462E-2</v>
      </c>
      <c r="N15" s="38">
        <f>J15/HLOOKUP(F15,Team_Composition_23[[#All],[Yellow]:[Red]],6,FALSE)</f>
        <v>3.9595712619386471E-2</v>
      </c>
      <c r="O15" s="38">
        <f>K15/HLOOKUP(F15,Team_Composition_23[[#All],[Yellow]:[Red]],8,FALSE)</f>
        <v>2.9972492920875751E-2</v>
      </c>
      <c r="P15" s="38">
        <f>L15/HLOOKUP(F15,Team_Composition_23[[#All],[Yellow]:[Red]],7,FALSE)</f>
        <v>0</v>
      </c>
      <c r="Q15" s="31"/>
      <c r="R15" s="227" t="s">
        <v>25</v>
      </c>
      <c r="S15" s="228"/>
      <c r="T15" s="228"/>
      <c r="U15" s="31"/>
      <c r="V15" s="229" t="s">
        <v>496</v>
      </c>
      <c r="W15" s="228"/>
      <c r="X15" s="31"/>
      <c r="Y15" s="229" t="s">
        <v>497</v>
      </c>
      <c r="Z15" s="228"/>
      <c r="AA15" s="31"/>
      <c r="AB15" s="227" t="s">
        <v>25</v>
      </c>
      <c r="AC15" s="228"/>
      <c r="AD15" s="228"/>
    </row>
    <row r="16" spans="1:30" ht="22.5" customHeight="1">
      <c r="A16" s="82">
        <v>33</v>
      </c>
      <c r="B16" s="55" t="str">
        <f>VLOOKUP(C16,Lists!I:J,2,FALSE)</f>
        <v>Ranged DPS</v>
      </c>
      <c r="C16" s="34" t="str">
        <f>VLOOKUP(E16&amp;D16,Lists!C:E,3,FALSE)</f>
        <v>SnS/Wand</v>
      </c>
      <c r="D16" s="13" t="s">
        <v>34</v>
      </c>
      <c r="E16" s="83" t="s">
        <v>162</v>
      </c>
      <c r="F16" s="13" t="s">
        <v>476</v>
      </c>
      <c r="G16" s="82">
        <v>14</v>
      </c>
      <c r="H16" s="82">
        <v>100</v>
      </c>
      <c r="I16" s="84">
        <f t="shared" si="0"/>
        <v>114</v>
      </c>
      <c r="J16" s="85">
        <v>1158889</v>
      </c>
      <c r="K16" s="85">
        <v>577329</v>
      </c>
      <c r="L16" s="85">
        <v>51694</v>
      </c>
      <c r="M16" s="38">
        <f>I16/(HLOOKUP(F16,Team_Composition_23[[#All],[Yellow]:[Red]],10,FALSE)+HLOOKUP(F16,Team_Composition_23[[#All],[Yellow]:[Red]],11,FALSE))</f>
        <v>2.84928767808048E-2</v>
      </c>
      <c r="N16" s="38">
        <f>J16/HLOOKUP(F16,Team_Composition_23[[#All],[Yellow]:[Red]],6,FALSE)</f>
        <v>2.6122524662171735E-2</v>
      </c>
      <c r="O16" s="38">
        <f>K16/HLOOKUP(F16,Team_Composition_23[[#All],[Yellow]:[Red]],8,FALSE)</f>
        <v>3.295489527428392E-2</v>
      </c>
      <c r="P16" s="38">
        <f>L16/HLOOKUP(F16,Team_Composition_23[[#All],[Yellow]:[Red]],7,FALSE)</f>
        <v>3.993426227449008E-3</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82">
        <v>7</v>
      </c>
      <c r="B17" s="67" t="str">
        <f>VLOOKUP(C17,Lists!I:J,2,FALSE)</f>
        <v>KS</v>
      </c>
      <c r="C17" s="34" t="str">
        <f>VLOOKUP(E17&amp;D17,Lists!C:E,3,FALSE)</f>
        <v>Crossbow/Dagger</v>
      </c>
      <c r="D17" s="13" t="s">
        <v>34</v>
      </c>
      <c r="E17" s="83" t="s">
        <v>504</v>
      </c>
      <c r="F17" s="13" t="s">
        <v>476</v>
      </c>
      <c r="G17" s="82">
        <v>56</v>
      </c>
      <c r="H17" s="82">
        <v>56</v>
      </c>
      <c r="I17" s="84">
        <f t="shared" si="0"/>
        <v>112</v>
      </c>
      <c r="J17" s="85">
        <v>1909234</v>
      </c>
      <c r="K17" s="85">
        <v>578466</v>
      </c>
      <c r="L17" s="85">
        <v>0</v>
      </c>
      <c r="M17" s="38">
        <f>I17/(HLOOKUP(F17,Team_Composition_23[[#All],[Yellow]:[Red]],10,FALSE)+HLOOKUP(F17,Team_Composition_23[[#All],[Yellow]:[Red]],11,FALSE))</f>
        <v>2.799300174956261E-2</v>
      </c>
      <c r="N17" s="38">
        <f>J17/HLOOKUP(F17,Team_Composition_23[[#All],[Yellow]:[Red]],6,FALSE)</f>
        <v>4.3036056301213307E-2</v>
      </c>
      <c r="O17" s="38">
        <f>K17/HLOOKUP(F17,Team_Composition_23[[#All],[Yellow]:[Red]],8,FALSE)</f>
        <v>3.3019797116953978E-2</v>
      </c>
      <c r="P17" s="38">
        <f>L17/HLOOKUP(F17,Team_Composition_23[[#All],[Yellow]:[Red]],7,FALSE)</f>
        <v>0</v>
      </c>
      <c r="Q17" s="31"/>
      <c r="R17" s="45" t="s">
        <v>468</v>
      </c>
      <c r="S17" s="46">
        <f>SUMIFS(Scoreboard_32[Damage Dealt],Scoreboard_32[Role],"Melee DPS",Scoreboard_32[Team],"Yellow")</f>
        <v>11523795</v>
      </c>
      <c r="T17" s="47">
        <f>SUMIFS(Scoreboard_32[Damage Dealt],Scoreboard_32[Role],"Melee DPS",Scoreboard_32[Team],"Red")</f>
        <v>10478604</v>
      </c>
      <c r="U17" s="31"/>
      <c r="V17" s="48" t="str">
        <f ca="1">IFERROR(__xludf.DUMMYFUNCTION("query(A1:P238, ""Select E,K Order by K Desc Limit 10"", 0)"),"K")</f>
        <v>K</v>
      </c>
      <c r="W17" s="49">
        <f ca="1">IFERROR(__xludf.DUMMYFUNCTION("""COMPUTED_VALUE"""),2114533)</f>
        <v>2114533</v>
      </c>
      <c r="X17" s="31"/>
      <c r="Y17" s="48" t="str">
        <f ca="1">IFERROR(__xludf.DUMMYFUNCTION("query(A1:P238, ""Select E,L Order by L Desc Limit 10"", 0)"),"Z")</f>
        <v>Z</v>
      </c>
      <c r="Z17" s="49">
        <f ca="1">IFERROR(__xludf.DUMMYFUNCTION("""COMPUTED_VALUE"""),3587994)</f>
        <v>3587994</v>
      </c>
      <c r="AA17" s="31"/>
      <c r="AB17" s="45" t="s">
        <v>468</v>
      </c>
      <c r="AC17" s="50">
        <f>SUMIFS(Scoreboard_32[Damage Dealt],Scoreboard_32[Role],"Melee DPS",Scoreboard_32[Guild],"Best Regards")</f>
        <v>11523795</v>
      </c>
      <c r="AD17" s="51">
        <f>SUMIFS(Scoreboard_32[Damage Dealt],Scoreboard_32[Role],"Melee DPS",Scoreboard_32[Guild],"Unhinged肉")</f>
        <v>0</v>
      </c>
    </row>
    <row r="18" spans="1:30" ht="22.5" customHeight="1">
      <c r="A18" s="82">
        <v>12</v>
      </c>
      <c r="B18" s="69" t="str">
        <f>VLOOKUP(C18,Lists!I:J,2,FALSE)</f>
        <v>Ranged DPS</v>
      </c>
      <c r="C18" s="34" t="str">
        <f>VLOOKUP(E18&amp;D18,Lists!C:E,3,FALSE)</f>
        <v>Orb/Wand</v>
      </c>
      <c r="D18" s="13" t="s">
        <v>30</v>
      </c>
      <c r="E18" s="83" t="s">
        <v>412</v>
      </c>
      <c r="F18" s="13" t="s">
        <v>483</v>
      </c>
      <c r="G18" s="82">
        <v>43</v>
      </c>
      <c r="H18" s="82">
        <v>67</v>
      </c>
      <c r="I18" s="84">
        <f t="shared" si="0"/>
        <v>110</v>
      </c>
      <c r="J18" s="85">
        <v>3358667</v>
      </c>
      <c r="K18" s="85">
        <v>1182760</v>
      </c>
      <c r="L18" s="85">
        <v>0</v>
      </c>
      <c r="M18" s="38">
        <f>I18/(HLOOKUP(F18,Team_Composition_23[[#All],[Yellow]:[Red]],10,FALSE)+HLOOKUP(F18,Team_Composition_23[[#All],[Yellow]:[Red]],11,FALSE))</f>
        <v>0.13398294762484775</v>
      </c>
      <c r="N18" s="38">
        <f>J18/HLOOKUP(F18,Team_Composition_23[[#All],[Yellow]:[Red]],6,FALSE)</f>
        <v>0.19034230157936302</v>
      </c>
      <c r="O18" s="38">
        <f>K18/HLOOKUP(F18,Team_Composition_23[[#All],[Yellow]:[Red]],8,FALSE)</f>
        <v>2.6871175618249917E-2</v>
      </c>
      <c r="P18" s="38">
        <f>L18/HLOOKUP(F18,Team_Composition_23[[#All],[Yellow]:[Red]],7,FALSE)</f>
        <v>0</v>
      </c>
      <c r="Q18" s="31"/>
      <c r="R18" s="45" t="s">
        <v>469</v>
      </c>
      <c r="S18" s="46">
        <f>SUMIFS(Scoreboard_32[Damage Taken],Scoreboard_32[Role],"Melee DPS",Scoreboard_32[Team],"Yellow")</f>
        <v>7115029</v>
      </c>
      <c r="T18" s="47">
        <f>SUMIFS(Scoreboard_32[Damage Taken],Scoreboard_32[Role],"Melee DPS",Scoreboard_32[Team],"Red")</f>
        <v>9135178</v>
      </c>
      <c r="U18" s="31"/>
      <c r="V18" s="48" t="str">
        <f ca="1">IFERROR(__xludf.DUMMYFUNCTION("""COMPUTED_VALUE"""),"Basileus")</f>
        <v>Basileus</v>
      </c>
      <c r="W18" s="49">
        <f ca="1">IFERROR(__xludf.DUMMYFUNCTION("""COMPUTED_VALUE"""),1910442)</f>
        <v>1910442</v>
      </c>
      <c r="X18" s="31"/>
      <c r="Y18" s="48" t="str">
        <f ca="1">IFERROR(__xludf.DUMMYFUNCTION("""COMPUTED_VALUE"""),"Jisoo")</f>
        <v>Jisoo</v>
      </c>
      <c r="Z18" s="49">
        <f ca="1">IFERROR(__xludf.DUMMYFUNCTION("""COMPUTED_VALUE"""),3152563)</f>
        <v>3152563</v>
      </c>
      <c r="AA18" s="31"/>
      <c r="AB18" s="45" t="s">
        <v>469</v>
      </c>
      <c r="AC18" s="50">
        <f>SUMIFS(Scoreboard_32[Damage Taken],Scoreboard_32[Role],"Melee DPS",Scoreboard_32[Guild],"Best Regards")</f>
        <v>7115029</v>
      </c>
      <c r="AD18" s="51">
        <f>SUMIFS(Scoreboard_32[Damage Taken],Scoreboard_32[Role],"Melee DPS",Scoreboard_32[Guild],"Unhinged肉")</f>
        <v>0</v>
      </c>
    </row>
    <row r="19" spans="1:30" ht="22.5" customHeight="1">
      <c r="A19" s="82">
        <v>22</v>
      </c>
      <c r="B19" s="54" t="str">
        <f>VLOOKUP(C19,Lists!I:J,2,FALSE)</f>
        <v>Melee DPS</v>
      </c>
      <c r="C19" s="34" t="str">
        <f>VLOOKUP(E19&amp;D19,Lists!C:E,3,FALSE)</f>
        <v>Greatsword/Spear</v>
      </c>
      <c r="D19" s="13" t="s">
        <v>30</v>
      </c>
      <c r="E19" s="83" t="s">
        <v>398</v>
      </c>
      <c r="F19" s="13" t="s">
        <v>483</v>
      </c>
      <c r="G19" s="82">
        <v>23</v>
      </c>
      <c r="H19" s="82">
        <v>81</v>
      </c>
      <c r="I19" s="84">
        <f t="shared" si="0"/>
        <v>104</v>
      </c>
      <c r="J19" s="85">
        <v>1889933</v>
      </c>
      <c r="K19" s="85">
        <v>1455436</v>
      </c>
      <c r="L19" s="85">
        <v>19313</v>
      </c>
      <c r="M19" s="38">
        <f>I19/(HLOOKUP(F19,Team_Composition_23[[#All],[Yellow]:[Red]],10,FALSE)+HLOOKUP(F19,Team_Composition_23[[#All],[Yellow]:[Red]],11,FALSE))</f>
        <v>0.12667478684531058</v>
      </c>
      <c r="N19" s="38">
        <f>J19/HLOOKUP(F19,Team_Composition_23[[#All],[Yellow]:[Red]],6,FALSE)</f>
        <v>0.10710624097321654</v>
      </c>
      <c r="O19" s="38">
        <f>K19/HLOOKUP(F19,Team_Composition_23[[#All],[Yellow]:[Red]],8,FALSE)</f>
        <v>3.3066113460992246E-2</v>
      </c>
      <c r="P19" s="38">
        <f>L19/HLOOKUP(F19,Team_Composition_23[[#All],[Yellow]:[Red]],7,FALSE)</f>
        <v>7.9580824602057767E-4</v>
      </c>
      <c r="Q19" s="31"/>
      <c r="R19" s="45" t="s">
        <v>470</v>
      </c>
      <c r="S19" s="46">
        <f>SUMIFS(Scoreboard_32[Amount Healed],Scoreboard_32[Role],"Melee DPS",Scoreboard_32[Team],"Yellow")</f>
        <v>133537</v>
      </c>
      <c r="T19" s="47">
        <f>SUMIFS(Scoreboard_32[Amount Healed],Scoreboard_32[Role],"Melee DPS",Scoreboard_32[Team],"Red")</f>
        <v>238808</v>
      </c>
      <c r="U19" s="31"/>
      <c r="V19" s="48" t="str">
        <f ca="1">IFERROR(__xludf.DUMMYFUNCTION("""COMPUTED_VALUE"""),"B")</f>
        <v>B</v>
      </c>
      <c r="W19" s="49">
        <f ca="1">IFERROR(__xludf.DUMMYFUNCTION("""COMPUTED_VALUE"""),1740095)</f>
        <v>1740095</v>
      </c>
      <c r="X19" s="31"/>
      <c r="Y19" s="48" t="str">
        <f ca="1">IFERROR(__xludf.DUMMYFUNCTION("""COMPUTED_VALUE"""),"EgirlWaifu")</f>
        <v>EgirlWaifu</v>
      </c>
      <c r="Z19" s="49">
        <f ca="1">IFERROR(__xludf.DUMMYFUNCTION("""COMPUTED_VALUE"""),2908787)</f>
        <v>2908787</v>
      </c>
      <c r="AA19" s="31"/>
      <c r="AB19" s="45" t="s">
        <v>470</v>
      </c>
      <c r="AC19" s="50">
        <f>SUMIFS(Scoreboard_32[Amount Healed],Scoreboard_32[Role],"Melee DPS",Scoreboard_32[Guild],"Best Regards")</f>
        <v>133537</v>
      </c>
      <c r="AD19" s="51">
        <f>SUMIFS(Scoreboard_32[Amount Healed],Scoreboard_32[Role],"Melee DPS",Scoreboard_32[Guild],"Unhinged肉")</f>
        <v>0</v>
      </c>
    </row>
    <row r="20" spans="1:30" ht="22.5" customHeight="1">
      <c r="A20" s="82">
        <v>15</v>
      </c>
      <c r="B20" s="68" t="s">
        <v>25</v>
      </c>
      <c r="C20" s="34" t="str">
        <f>VLOOKUP(E20&amp;D20,Lists!C:E,3,FALSE)</f>
        <v>Staff/Orb</v>
      </c>
      <c r="D20" s="13" t="s">
        <v>30</v>
      </c>
      <c r="E20" s="83" t="s">
        <v>397</v>
      </c>
      <c r="F20" s="13" t="s">
        <v>483</v>
      </c>
      <c r="G20" s="82">
        <v>36</v>
      </c>
      <c r="H20" s="82">
        <v>66</v>
      </c>
      <c r="I20" s="84">
        <f t="shared" si="0"/>
        <v>102</v>
      </c>
      <c r="J20" s="85">
        <v>3376323</v>
      </c>
      <c r="K20" s="85">
        <v>1335540</v>
      </c>
      <c r="L20" s="85">
        <v>0</v>
      </c>
      <c r="M20" s="38">
        <f>I20/(HLOOKUP(F20,Team_Composition_23[[#All],[Yellow]:[Red]],10,FALSE)+HLOOKUP(F20,Team_Composition_23[[#All],[Yellow]:[Red]],11,FALSE))</f>
        <v>0.12423873325213154</v>
      </c>
      <c r="N20" s="38">
        <f>J20/HLOOKUP(F20,Team_Composition_23[[#All],[Yellow]:[Red]],6,FALSE)</f>
        <v>0.19134290201896753</v>
      </c>
      <c r="O20" s="38">
        <f>K20/HLOOKUP(F20,Team_Composition_23[[#All],[Yellow]:[Red]],8,FALSE)</f>
        <v>3.0342191049069545E-2</v>
      </c>
      <c r="P20" s="38">
        <f>L20/HLOOKUP(F20,Team_Composition_23[[#All],[Yellow]:[Red]],7,FALSE)</f>
        <v>0</v>
      </c>
      <c r="Q20" s="31"/>
      <c r="R20" s="45" t="s">
        <v>465</v>
      </c>
      <c r="S20" s="46">
        <f>SUMIFS(Scoreboard_32[Kills],Scoreboard_32[Role],"Melee DPS",Scoreboard_32[Team],"Yellow")</f>
        <v>219</v>
      </c>
      <c r="T20" s="47">
        <f>SUMIFS(Scoreboard_32[Kills],Scoreboard_32[Role],"Melee DPS",Scoreboard_32[Team],"Red")</f>
        <v>137</v>
      </c>
      <c r="U20" s="31"/>
      <c r="V20" s="48" t="str">
        <f ca="1">IFERROR(__xludf.DUMMYFUNCTION("""COMPUTED_VALUE"""),"Anrenn")</f>
        <v>Anrenn</v>
      </c>
      <c r="W20" s="49">
        <f ca="1">IFERROR(__xludf.DUMMYFUNCTION("""COMPUTED_VALUE"""),1593792)</f>
        <v>1593792</v>
      </c>
      <c r="X20" s="31"/>
      <c r="Y20" s="48" t="str">
        <f ca="1">IFERROR(__xludf.DUMMYFUNCTION("""COMPUTED_VALUE"""),"Raye")</f>
        <v>Raye</v>
      </c>
      <c r="Z20" s="49">
        <f ca="1">IFERROR(__xludf.DUMMYFUNCTION("""COMPUTED_VALUE"""),2455576)</f>
        <v>2455576</v>
      </c>
      <c r="AA20" s="31"/>
      <c r="AB20" s="45" t="s">
        <v>465</v>
      </c>
      <c r="AC20" s="50">
        <f>SUMIFS(Scoreboard_32[Kills],Scoreboard_32[Role],"Melee DPS",Scoreboard_32[Guild],"Best Regards")</f>
        <v>219</v>
      </c>
      <c r="AD20" s="51">
        <f>SUMIFS(Scoreboard_32[Kills],Scoreboard_32[Role],"Melee DPS",Scoreboard_32[Guild],"Unhinged肉")</f>
        <v>0</v>
      </c>
    </row>
    <row r="21" spans="1:30" ht="22.5" customHeight="1">
      <c r="A21" s="82">
        <v>55</v>
      </c>
      <c r="B21" s="59" t="str">
        <f>VLOOKUP(C21,Lists!I:J,2,FALSE)</f>
        <v>Healer</v>
      </c>
      <c r="C21" s="34" t="str">
        <f>VLOOKUP(E21&amp;D21,Lists!C:E,3,FALSE)</f>
        <v>Wand/Orb</v>
      </c>
      <c r="D21" s="13" t="s">
        <v>34</v>
      </c>
      <c r="E21" s="83" t="s">
        <v>144</v>
      </c>
      <c r="F21" s="13" t="s">
        <v>476</v>
      </c>
      <c r="G21" s="82">
        <v>0</v>
      </c>
      <c r="H21" s="82">
        <v>99</v>
      </c>
      <c r="I21" s="84">
        <f t="shared" si="0"/>
        <v>99</v>
      </c>
      <c r="J21" s="85">
        <v>13939</v>
      </c>
      <c r="K21" s="85">
        <v>355577</v>
      </c>
      <c r="L21" s="85">
        <v>1028860</v>
      </c>
      <c r="M21" s="38">
        <f>I21/(HLOOKUP(F21,Team_Composition_23[[#All],[Yellow]:[Red]],10,FALSE)+HLOOKUP(F21,Team_Composition_23[[#All],[Yellow]:[Red]],11,FALSE))</f>
        <v>2.4743814046488379E-2</v>
      </c>
      <c r="N21" s="38">
        <f>J21/HLOOKUP(F21,Team_Composition_23[[#All],[Yellow]:[Red]],6,FALSE)</f>
        <v>3.1419909177325163E-4</v>
      </c>
      <c r="O21" s="38">
        <f>K21/HLOOKUP(F21,Team_Composition_23[[#All],[Yellow]:[Red]],8,FALSE)</f>
        <v>2.0296923932357554E-2</v>
      </c>
      <c r="P21" s="38">
        <f>L21/HLOOKUP(F21,Team_Composition_23[[#All],[Yellow]:[Red]],7,FALSE)</f>
        <v>7.9480723263303008E-2</v>
      </c>
      <c r="Q21" s="31"/>
      <c r="R21" s="45" t="s">
        <v>466</v>
      </c>
      <c r="S21" s="46">
        <f>SUMIFS(Scoreboard_32[Assists],Scoreboard_32[Role],"Melee DPS",Scoreboard_32[Team],"Yellow")</f>
        <v>578</v>
      </c>
      <c r="T21" s="47">
        <f>SUMIFS(Scoreboard_32[Assists],Scoreboard_32[Role],"Melee DPS",Scoreboard_32[Team],"Red")</f>
        <v>373</v>
      </c>
      <c r="U21" s="31"/>
      <c r="V21" s="48" t="str">
        <f ca="1">IFERROR(__xludf.DUMMYFUNCTION("""COMPUTED_VALUE"""),"Flacco")</f>
        <v>Flacco</v>
      </c>
      <c r="W21" s="49">
        <f ca="1">IFERROR(__xludf.DUMMYFUNCTION("""COMPUTED_VALUE"""),1564661)</f>
        <v>1564661</v>
      </c>
      <c r="X21" s="31"/>
      <c r="Y21" s="48" t="str">
        <f ca="1">IFERROR(__xludf.DUMMYFUNCTION("""COMPUTED_VALUE"""),"Niyaa")</f>
        <v>Niyaa</v>
      </c>
      <c r="Z21" s="49">
        <f ca="1">IFERROR(__xludf.DUMMYFUNCTION("""COMPUTED_VALUE"""),1962113)</f>
        <v>1962113</v>
      </c>
      <c r="AA21" s="31"/>
      <c r="AB21" s="45" t="s">
        <v>466</v>
      </c>
      <c r="AC21" s="50">
        <f>SUMIFS(Scoreboard_32[Assists],Scoreboard_32[Role],"Melee DPS",Scoreboard_32[Guild],"Best Regards")</f>
        <v>578</v>
      </c>
      <c r="AD21" s="51">
        <f>SUMIFS(Scoreboard_32[Assists],Scoreboard_32[Role],"Melee DPS",Scoreboard_32[Guild],"Unhinged肉")</f>
        <v>0</v>
      </c>
    </row>
    <row r="22" spans="1:30" ht="22.5" customHeight="1">
      <c r="A22" s="82">
        <v>18</v>
      </c>
      <c r="B22" s="66" t="str">
        <f>VLOOKUP(C22,Lists!I:J,2,FALSE)</f>
        <v>Ranged DPS</v>
      </c>
      <c r="C22" s="34" t="str">
        <f>VLOOKUP(E22&amp;D22,Lists!C:E,3,FALSE)</f>
        <v>Crossbow/SnS</v>
      </c>
      <c r="D22" s="13" t="s">
        <v>30</v>
      </c>
      <c r="E22" s="83" t="s">
        <v>399</v>
      </c>
      <c r="F22" s="13" t="s">
        <v>483</v>
      </c>
      <c r="G22" s="82">
        <v>31</v>
      </c>
      <c r="H22" s="82">
        <v>67</v>
      </c>
      <c r="I22" s="84">
        <f t="shared" si="0"/>
        <v>98</v>
      </c>
      <c r="J22" s="85">
        <v>2310772</v>
      </c>
      <c r="K22" s="85">
        <v>857994</v>
      </c>
      <c r="L22" s="85">
        <v>62109</v>
      </c>
      <c r="M22" s="38">
        <f>I22/(HLOOKUP(F22,Team_Composition_23[[#All],[Yellow]:[Red]],10,FALSE)+HLOOKUP(F22,Team_Composition_23[[#All],[Yellow]:[Red]],11,FALSE))</f>
        <v>0.11936662606577345</v>
      </c>
      <c r="N22" s="38">
        <f>J22/HLOOKUP(F22,Team_Composition_23[[#All],[Yellow]:[Red]],6,FALSE)</f>
        <v>0.13095601942828741</v>
      </c>
      <c r="O22" s="38">
        <f>K22/HLOOKUP(F22,Team_Composition_23[[#All],[Yellow]:[Red]],8,FALSE)</f>
        <v>1.9492802811563393E-2</v>
      </c>
      <c r="P22" s="38">
        <f>L22/HLOOKUP(F22,Team_Composition_23[[#All],[Yellow]:[Red]],7,FALSE)</f>
        <v>2.5592530602232722E-3</v>
      </c>
      <c r="Q22" s="31"/>
      <c r="R22" s="45" t="s">
        <v>24</v>
      </c>
      <c r="S22" s="46">
        <f t="shared" ref="S22:S25" si="2">COUNTIFS(C:C,R22,F:F,"Yellow")</f>
        <v>2</v>
      </c>
      <c r="T22" s="47">
        <f t="shared" ref="T22:T25" si="3">COUNTIFS(C:C,R22,F:F,"Red")</f>
        <v>2</v>
      </c>
      <c r="U22" s="31"/>
      <c r="V22" s="48" t="str">
        <f ca="1">IFERROR(__xludf.DUMMYFUNCTION("""COMPUTED_VALUE"""),"DiegoLASCR")</f>
        <v>DiegoLASCR</v>
      </c>
      <c r="W22" s="49">
        <f ca="1">IFERROR(__xludf.DUMMYFUNCTION("""COMPUTED_VALUE"""),1498385)</f>
        <v>1498385</v>
      </c>
      <c r="X22" s="31"/>
      <c r="Y22" s="48" t="str">
        <f ca="1">IFERROR(__xludf.DUMMYFUNCTION("""COMPUTED_VALUE"""),"Dusk")</f>
        <v>Dusk</v>
      </c>
      <c r="Z22" s="49">
        <f ca="1">IFERROR(__xludf.DUMMYFUNCTION("""COMPUTED_VALUE"""),1794174)</f>
        <v>1794174</v>
      </c>
      <c r="AA22" s="31"/>
      <c r="AB22" s="45" t="s">
        <v>24</v>
      </c>
      <c r="AC22" s="50">
        <f t="shared" ref="AC22:AC25" si="4">COUNTIFS(C:C,AB22,D:D,"Best Regards")</f>
        <v>2</v>
      </c>
      <c r="AD22" s="51">
        <f t="shared" ref="AD22:AD25" si="5">COUNTIFS(C:C,AB22,D:D,"Unhinged肉")</f>
        <v>0</v>
      </c>
    </row>
    <row r="23" spans="1:30" ht="22.5" customHeight="1">
      <c r="A23" s="82">
        <v>9</v>
      </c>
      <c r="B23" s="65" t="str">
        <f>VLOOKUP(C23,Lists!I:J,2,FALSE)</f>
        <v>KS</v>
      </c>
      <c r="C23" s="34" t="str">
        <f>VLOOKUP(E23&amp;D23,Lists!C:E,3,FALSE)</f>
        <v>Crossbow/Dagger</v>
      </c>
      <c r="D23" s="13" t="s">
        <v>34</v>
      </c>
      <c r="E23" s="83" t="s">
        <v>152</v>
      </c>
      <c r="F23" s="13" t="s">
        <v>476</v>
      </c>
      <c r="G23" s="82">
        <v>49</v>
      </c>
      <c r="H23" s="82">
        <v>47</v>
      </c>
      <c r="I23" s="84">
        <f t="shared" si="0"/>
        <v>96</v>
      </c>
      <c r="J23" s="85">
        <v>1931585</v>
      </c>
      <c r="K23" s="85">
        <v>796997</v>
      </c>
      <c r="L23" s="85">
        <v>0</v>
      </c>
      <c r="M23" s="38">
        <f>I23/(HLOOKUP(F23,Team_Composition_23[[#All],[Yellow]:[Red]],10,FALSE)+HLOOKUP(F23,Team_Composition_23[[#All],[Yellow]:[Red]],11,FALSE))</f>
        <v>2.3994001499625092E-2</v>
      </c>
      <c r="N23" s="38">
        <f>J23/HLOOKUP(F23,Team_Composition_23[[#All],[Yellow]:[Red]],6,FALSE)</f>
        <v>4.3539870340973973E-2</v>
      </c>
      <c r="O23" s="38">
        <f>K23/HLOOKUP(F23,Team_Composition_23[[#All],[Yellow]:[Red]],8,FALSE)</f>
        <v>4.5493908445476433E-2</v>
      </c>
      <c r="P23" s="38">
        <f>L23/HLOOKUP(F23,Team_Composition_23[[#All],[Yellow]:[Red]],7,FALSE)</f>
        <v>0</v>
      </c>
      <c r="Q23" s="31"/>
      <c r="R23" s="45" t="s">
        <v>69</v>
      </c>
      <c r="S23" s="46">
        <f t="shared" si="2"/>
        <v>2</v>
      </c>
      <c r="T23" s="47">
        <f t="shared" si="3"/>
        <v>4</v>
      </c>
      <c r="U23" s="31"/>
      <c r="V23" s="48" t="str">
        <f ca="1">IFERROR(__xludf.DUMMYFUNCTION("""COMPUTED_VALUE"""),"P")</f>
        <v>P</v>
      </c>
      <c r="W23" s="49">
        <f ca="1">IFERROR(__xludf.DUMMYFUNCTION("""COMPUTED_VALUE"""),1490548)</f>
        <v>1490548</v>
      </c>
      <c r="X23" s="31"/>
      <c r="Y23" s="48" t="str">
        <f ca="1">IFERROR(__xludf.DUMMYFUNCTION("""COMPUTED_VALUE"""),"Reinnier")</f>
        <v>Reinnier</v>
      </c>
      <c r="Z23" s="49">
        <f ca="1">IFERROR(__xludf.DUMMYFUNCTION("""COMPUTED_VALUE"""),1742228)</f>
        <v>1742228</v>
      </c>
      <c r="AA23" s="31"/>
      <c r="AB23" s="45" t="s">
        <v>69</v>
      </c>
      <c r="AC23" s="50">
        <f t="shared" si="4"/>
        <v>2</v>
      </c>
      <c r="AD23" s="51">
        <f t="shared" si="5"/>
        <v>0</v>
      </c>
    </row>
    <row r="24" spans="1:30" ht="22.5" customHeight="1">
      <c r="A24" s="82">
        <v>38</v>
      </c>
      <c r="B24" s="66" t="str">
        <f>VLOOKUP(C24,Lists!I:J,2,FALSE)</f>
        <v>Healer</v>
      </c>
      <c r="C24" s="34" t="str">
        <f>VLOOKUP(E24&amp;D24,Lists!C:E,3,FALSE)</f>
        <v>Wand/Longbow</v>
      </c>
      <c r="D24" s="13" t="s">
        <v>34</v>
      </c>
      <c r="E24" s="83" t="s">
        <v>149</v>
      </c>
      <c r="F24" s="13" t="s">
        <v>476</v>
      </c>
      <c r="G24" s="82">
        <v>2</v>
      </c>
      <c r="H24" s="82">
        <v>93</v>
      </c>
      <c r="I24" s="84">
        <f t="shared" si="0"/>
        <v>95</v>
      </c>
      <c r="J24" s="85">
        <v>96926</v>
      </c>
      <c r="K24" s="85">
        <v>1079069</v>
      </c>
      <c r="L24" s="85">
        <v>3587994</v>
      </c>
      <c r="M24" s="38">
        <f>I24/(HLOOKUP(F24,Team_Composition_23[[#All],[Yellow]:[Red]],10,FALSE)+HLOOKUP(F24,Team_Composition_23[[#All],[Yellow]:[Red]],11,FALSE))</f>
        <v>2.3744063984003999E-2</v>
      </c>
      <c r="N24" s="38">
        <f>J24/HLOOKUP(F24,Team_Composition_23[[#All],[Yellow]:[Red]],6,FALSE)</f>
        <v>2.1848096111065493E-3</v>
      </c>
      <c r="O24" s="38">
        <f>K24/HLOOKUP(F24,Team_Composition_23[[#All],[Yellow]:[Red]],8,FALSE)</f>
        <v>6.1595045266609291E-2</v>
      </c>
      <c r="P24" s="38">
        <f>L24/HLOOKUP(F24,Team_Composition_23[[#All],[Yellow]:[Red]],7,FALSE)</f>
        <v>0.27717702912387654</v>
      </c>
      <c r="Q24" s="31"/>
      <c r="R24" s="45" t="s">
        <v>23</v>
      </c>
      <c r="S24" s="46">
        <f t="shared" si="2"/>
        <v>3</v>
      </c>
      <c r="T24" s="47">
        <f t="shared" si="3"/>
        <v>3</v>
      </c>
      <c r="U24" s="31"/>
      <c r="V24" s="48" t="str">
        <f ca="1">IFERROR(__xludf.DUMMYFUNCTION("""COMPUTED_VALUE"""),"nightghost1")</f>
        <v>nightghost1</v>
      </c>
      <c r="W24" s="49">
        <f ca="1">IFERROR(__xludf.DUMMYFUNCTION("""COMPUTED_VALUE"""),1455436)</f>
        <v>1455436</v>
      </c>
      <c r="X24" s="31"/>
      <c r="Y24" s="48" t="str">
        <f ca="1">IFERROR(__xludf.DUMMYFUNCTION("""COMPUTED_VALUE"""),"Oddly")</f>
        <v>Oddly</v>
      </c>
      <c r="Z24" s="49">
        <f ca="1">IFERROR(__xludf.DUMMYFUNCTION("""COMPUTED_VALUE"""),1557676)</f>
        <v>1557676</v>
      </c>
      <c r="AA24" s="31"/>
      <c r="AB24" s="45" t="s">
        <v>23</v>
      </c>
      <c r="AC24" s="50">
        <f t="shared" si="4"/>
        <v>3</v>
      </c>
      <c r="AD24" s="51">
        <f t="shared" si="5"/>
        <v>0</v>
      </c>
    </row>
    <row r="25" spans="1:30" ht="22.5" customHeight="1">
      <c r="A25" s="82">
        <v>56</v>
      </c>
      <c r="B25" s="56" t="str">
        <f>VLOOKUP(C25,Lists!I:J,2,FALSE)</f>
        <v>Healer</v>
      </c>
      <c r="C25" s="34" t="str">
        <f>VLOOKUP(E25&amp;D25,Lists!C:E,3,FALSE)</f>
        <v>Wand/Orb</v>
      </c>
      <c r="D25" s="13" t="s">
        <v>34</v>
      </c>
      <c r="E25" s="83" t="s">
        <v>181</v>
      </c>
      <c r="F25" s="13" t="s">
        <v>476</v>
      </c>
      <c r="G25" s="82">
        <v>0</v>
      </c>
      <c r="H25" s="82">
        <v>93</v>
      </c>
      <c r="I25" s="84">
        <f t="shared" si="0"/>
        <v>93</v>
      </c>
      <c r="J25" s="85">
        <v>9539</v>
      </c>
      <c r="K25" s="85">
        <v>282055</v>
      </c>
      <c r="L25" s="85">
        <v>712961</v>
      </c>
      <c r="M25" s="38">
        <f>I25/(HLOOKUP(F25,Team_Composition_23[[#All],[Yellow]:[Red]],10,FALSE)+HLOOKUP(F25,Team_Composition_23[[#All],[Yellow]:[Red]],11,FALSE))</f>
        <v>2.3244188952761809E-2</v>
      </c>
      <c r="N25" s="38">
        <f>J25/HLOOKUP(F25,Team_Composition_23[[#All],[Yellow]:[Red]],6,FALSE)</f>
        <v>2.1501866248834547E-4</v>
      </c>
      <c r="O25" s="38">
        <f>K25/HLOOKUP(F25,Team_Composition_23[[#All],[Yellow]:[Red]],8,FALSE)</f>
        <v>1.610016643298388E-2</v>
      </c>
      <c r="P25" s="38">
        <f>L25/HLOOKUP(F25,Team_Composition_23[[#All],[Yellow]:[Red]],7,FALSE)</f>
        <v>5.5077129967661079E-2</v>
      </c>
      <c r="Q25" s="31"/>
      <c r="R25" s="45" t="s">
        <v>33</v>
      </c>
      <c r="S25" s="46">
        <f t="shared" si="2"/>
        <v>0</v>
      </c>
      <c r="T25" s="47">
        <f t="shared" si="3"/>
        <v>0</v>
      </c>
      <c r="U25" s="31"/>
      <c r="V25" s="48" t="str">
        <f ca="1">IFERROR(__xludf.DUMMYFUNCTION("""COMPUTED_VALUE"""),"Niyaa")</f>
        <v>Niyaa</v>
      </c>
      <c r="W25" s="49">
        <f ca="1">IFERROR(__xludf.DUMMYFUNCTION("""COMPUTED_VALUE"""),1366244)</f>
        <v>1366244</v>
      </c>
      <c r="X25" s="31"/>
      <c r="Y25" s="48" t="str">
        <f ca="1">IFERROR(__xludf.DUMMYFUNCTION("""COMPUTED_VALUE"""),"Mostley")</f>
        <v>Mostley</v>
      </c>
      <c r="Z25" s="49">
        <f ca="1">IFERROR(__xludf.DUMMYFUNCTION("""COMPUTED_VALUE"""),1553186)</f>
        <v>1553186</v>
      </c>
      <c r="AA25" s="31"/>
      <c r="AB25" s="45" t="s">
        <v>33</v>
      </c>
      <c r="AC25" s="50">
        <f t="shared" si="4"/>
        <v>0</v>
      </c>
      <c r="AD25" s="51">
        <f t="shared" si="5"/>
        <v>0</v>
      </c>
    </row>
    <row r="26" spans="1:30" ht="22.5" customHeight="1">
      <c r="A26" s="82">
        <v>19</v>
      </c>
      <c r="B26" s="57" t="str">
        <f>VLOOKUP(C26,Lists!I:J,2,FALSE)</f>
        <v>Ranged DPS</v>
      </c>
      <c r="C26" s="34" t="str">
        <f>VLOOKUP(E26&amp;D26,Lists!C:E,3,FALSE)</f>
        <v>Staff/Dagger</v>
      </c>
      <c r="D26" s="13" t="s">
        <v>30</v>
      </c>
      <c r="E26" s="83" t="s">
        <v>224</v>
      </c>
      <c r="F26" s="13" t="s">
        <v>483</v>
      </c>
      <c r="G26" s="82">
        <v>30</v>
      </c>
      <c r="H26" s="82">
        <v>59</v>
      </c>
      <c r="I26" s="84">
        <f t="shared" si="0"/>
        <v>89</v>
      </c>
      <c r="J26" s="85">
        <v>2802046</v>
      </c>
      <c r="K26" s="85">
        <v>1341945</v>
      </c>
      <c r="L26" s="85">
        <v>50643</v>
      </c>
      <c r="M26" s="38">
        <f>I26/(HLOOKUP(F26,Team_Composition_23[[#All],[Yellow]:[Red]],10,FALSE)+HLOOKUP(F26,Team_Composition_23[[#All],[Yellow]:[Red]],11,FALSE))</f>
        <v>0.10840438489646773</v>
      </c>
      <c r="N26" s="38">
        <f>J26/HLOOKUP(F26,Team_Composition_23[[#All],[Yellow]:[Red]],6,FALSE)</f>
        <v>0.15879748863797685</v>
      </c>
      <c r="O26" s="38">
        <f>K26/HLOOKUP(F26,Team_Composition_23[[#All],[Yellow]:[Red]],8,FALSE)</f>
        <v>3.0487706521215109E-2</v>
      </c>
      <c r="P26" s="38">
        <f>L26/HLOOKUP(F26,Team_Composition_23[[#All],[Yellow]:[Red]],7,FALSE)</f>
        <v>2.0867869830280181E-3</v>
      </c>
      <c r="Q26" s="31"/>
      <c r="R26" s="48"/>
      <c r="S26" s="63"/>
      <c r="T26" s="63"/>
      <c r="U26" s="31"/>
      <c r="V26" s="48" t="str">
        <f ca="1">IFERROR(__xludf.DUMMYFUNCTION("""COMPUTED_VALUE"""),"Params")</f>
        <v>Params</v>
      </c>
      <c r="W26" s="49">
        <f ca="1">IFERROR(__xludf.DUMMYFUNCTION("""COMPUTED_VALUE"""),1347587)</f>
        <v>1347587</v>
      </c>
      <c r="X26" s="31"/>
      <c r="Y26" s="48" t="str">
        <f ca="1">IFERROR(__xludf.DUMMYFUNCTION("""COMPUTED_VALUE"""),"BombaTrix")</f>
        <v>BombaTrix</v>
      </c>
      <c r="Z26" s="49">
        <f ca="1">IFERROR(__xludf.DUMMYFUNCTION("""COMPUTED_VALUE"""),1532628)</f>
        <v>1532628</v>
      </c>
      <c r="AA26" s="31"/>
      <c r="AB26" s="48"/>
      <c r="AC26" s="63"/>
      <c r="AD26" s="63"/>
    </row>
    <row r="27" spans="1:30" ht="22.5" customHeight="1">
      <c r="A27" s="82">
        <v>30</v>
      </c>
      <c r="B27" s="67" t="str">
        <f>VLOOKUP(C27,Lists!I:J,2,FALSE)</f>
        <v>Melee DPS</v>
      </c>
      <c r="C27" s="34" t="str">
        <f>VLOOKUP(E27&amp;D27,Lists!C:E,3,FALSE)</f>
        <v>Greatsword/Spear</v>
      </c>
      <c r="D27" s="13" t="s">
        <v>30</v>
      </c>
      <c r="E27" s="83" t="s">
        <v>222</v>
      </c>
      <c r="F27" s="13" t="s">
        <v>483</v>
      </c>
      <c r="G27" s="82">
        <v>16</v>
      </c>
      <c r="H27" s="82">
        <v>69</v>
      </c>
      <c r="I27" s="84">
        <f t="shared" si="0"/>
        <v>85</v>
      </c>
      <c r="J27" s="85">
        <v>1189145</v>
      </c>
      <c r="K27" s="85">
        <v>1347587</v>
      </c>
      <c r="L27" s="85">
        <v>59003</v>
      </c>
      <c r="M27" s="38">
        <f>I27/(HLOOKUP(F27,Team_Composition_23[[#All],[Yellow]:[Red]],10,FALSE)+HLOOKUP(F27,Team_Composition_23[[#All],[Yellow]:[Red]],11,FALSE))</f>
        <v>0.10353227771010962</v>
      </c>
      <c r="N27" s="38">
        <f>J27/HLOOKUP(F27,Team_Composition_23[[#All],[Yellow]:[Red]],6,FALSE)</f>
        <v>6.7391199011867395E-2</v>
      </c>
      <c r="O27" s="38">
        <f>K27/HLOOKUP(F27,Team_Composition_23[[#All],[Yellow]:[Red]],8,FALSE)</f>
        <v>3.0615887363345522E-2</v>
      </c>
      <c r="P27" s="38">
        <f>L27/HLOOKUP(F27,Team_Composition_23[[#All],[Yellow]:[Red]],7,FALSE)</f>
        <v>2.4312677440041495E-3</v>
      </c>
      <c r="Q27" s="31"/>
      <c r="R27" s="31"/>
      <c r="S27" s="64"/>
      <c r="T27" s="64"/>
      <c r="U27" s="31"/>
      <c r="V27" s="31"/>
      <c r="W27" s="31"/>
      <c r="X27" s="31"/>
      <c r="Y27" s="31"/>
      <c r="Z27" s="31"/>
      <c r="AA27" s="31"/>
      <c r="AB27" s="31"/>
      <c r="AC27" s="64"/>
      <c r="AD27" s="64"/>
    </row>
    <row r="28" spans="1:30" ht="22.5" customHeight="1">
      <c r="A28" s="82">
        <v>28</v>
      </c>
      <c r="B28" s="68" t="str">
        <f>VLOOKUP(C28,Lists!I:J,2,FALSE)</f>
        <v>Ranged DPS</v>
      </c>
      <c r="C28" s="34" t="str">
        <f>VLOOKUP(E28&amp;D28,Lists!C:E,3,FALSE)</f>
        <v>Crossbow/SnS</v>
      </c>
      <c r="D28" s="13" t="s">
        <v>30</v>
      </c>
      <c r="E28" s="83" t="s">
        <v>405</v>
      </c>
      <c r="F28" s="13" t="s">
        <v>483</v>
      </c>
      <c r="G28" s="82">
        <v>20</v>
      </c>
      <c r="H28" s="82">
        <v>62</v>
      </c>
      <c r="I28" s="84">
        <f t="shared" si="0"/>
        <v>82</v>
      </c>
      <c r="J28" s="85">
        <v>2311636</v>
      </c>
      <c r="K28" s="85">
        <v>828651</v>
      </c>
      <c r="L28" s="85">
        <v>43611</v>
      </c>
      <c r="M28" s="38">
        <f>I28/(HLOOKUP(F28,Team_Composition_23[[#All],[Yellow]:[Red]],10,FALSE)+HLOOKUP(F28,Team_Composition_23[[#All],[Yellow]:[Red]],11,FALSE))</f>
        <v>9.9878197320341047E-2</v>
      </c>
      <c r="N28" s="38">
        <f>J28/HLOOKUP(F28,Team_Composition_23[[#All],[Yellow]:[Red]],6,FALSE)</f>
        <v>0.13100498401708546</v>
      </c>
      <c r="O28" s="38">
        <f>K28/HLOOKUP(F28,Team_Composition_23[[#All],[Yellow]:[Red]],8,FALSE)</f>
        <v>1.8826157924886209E-2</v>
      </c>
      <c r="P28" s="38">
        <f>L28/HLOOKUP(F28,Team_Composition_23[[#All],[Yellow]:[Red]],7,FALSE)</f>
        <v>1.7970275678146021E-3</v>
      </c>
      <c r="Q28" s="31"/>
      <c r="R28" s="227" t="s">
        <v>39</v>
      </c>
      <c r="S28" s="228"/>
      <c r="T28" s="228"/>
      <c r="U28" s="31"/>
      <c r="V28" s="31"/>
      <c r="W28" s="31"/>
      <c r="X28" s="31"/>
      <c r="Y28" s="31"/>
      <c r="Z28" s="31"/>
      <c r="AA28" s="31"/>
      <c r="AB28" s="227" t="s">
        <v>39</v>
      </c>
      <c r="AC28" s="228"/>
      <c r="AD28" s="228"/>
    </row>
    <row r="29" spans="1:30" ht="22.5" customHeight="1">
      <c r="A29" s="82">
        <v>31</v>
      </c>
      <c r="B29" s="52" t="str">
        <f>VLOOKUP(C29,Lists!I:J,2,FALSE)</f>
        <v>Melee DPS</v>
      </c>
      <c r="C29" s="34" t="str">
        <f>VLOOKUP(E29&amp;D29,Lists!C:E,3,FALSE)</f>
        <v>Spear/Dagger</v>
      </c>
      <c r="D29" s="13" t="s">
        <v>30</v>
      </c>
      <c r="E29" s="83" t="s">
        <v>217</v>
      </c>
      <c r="F29" s="13" t="s">
        <v>483</v>
      </c>
      <c r="G29" s="82">
        <v>16</v>
      </c>
      <c r="H29" s="82">
        <v>66</v>
      </c>
      <c r="I29" s="84">
        <f t="shared" si="0"/>
        <v>82</v>
      </c>
      <c r="J29" s="85">
        <v>1341337</v>
      </c>
      <c r="K29" s="85">
        <v>1593792</v>
      </c>
      <c r="L29" s="85">
        <v>0</v>
      </c>
      <c r="M29" s="38">
        <f>I29/(HLOOKUP(F29,Team_Composition_23[[#All],[Yellow]:[Red]],10,FALSE)+HLOOKUP(F29,Team_Composition_23[[#All],[Yellow]:[Red]],11,FALSE))</f>
        <v>9.9878197320341047E-2</v>
      </c>
      <c r="N29" s="38">
        <f>J29/HLOOKUP(F29,Team_Composition_23[[#All],[Yellow]:[Red]],6,FALSE)</f>
        <v>7.6016220653478905E-2</v>
      </c>
      <c r="O29" s="38">
        <f>K29/HLOOKUP(F29,Team_Composition_23[[#All],[Yellow]:[Red]],8,FALSE)</f>
        <v>3.6209429411682648E-2</v>
      </c>
      <c r="P29" s="38">
        <f>L29/HLOOKUP(F29,Team_Composition_23[[#All],[Yellow]:[Red]],7,FALSE)</f>
        <v>0</v>
      </c>
      <c r="Q29" s="31"/>
      <c r="R29" s="41" t="s">
        <v>482</v>
      </c>
      <c r="S29" s="42" t="s">
        <v>476</v>
      </c>
      <c r="T29" s="42" t="s">
        <v>483</v>
      </c>
      <c r="U29" s="31"/>
      <c r="V29" s="31"/>
      <c r="W29" s="31"/>
      <c r="X29" s="31"/>
      <c r="Y29" s="31"/>
      <c r="Z29" s="31"/>
      <c r="AA29" s="31"/>
      <c r="AB29" s="41" t="s">
        <v>482</v>
      </c>
      <c r="AC29" s="42" t="s">
        <v>485</v>
      </c>
      <c r="AD29" s="42" t="s">
        <v>36</v>
      </c>
    </row>
    <row r="30" spans="1:30" ht="22.5" customHeight="1">
      <c r="A30" s="82">
        <v>46</v>
      </c>
      <c r="B30" s="69" t="str">
        <f>VLOOKUP(C30,Lists!I:J,2,FALSE)</f>
        <v>Healer</v>
      </c>
      <c r="C30" s="34" t="str">
        <f>VLOOKUP(E30&amp;D30,Lists!C:E,3,FALSE)</f>
        <v>Wand/Orb</v>
      </c>
      <c r="D30" s="13" t="s">
        <v>34</v>
      </c>
      <c r="E30" s="83" t="s">
        <v>121</v>
      </c>
      <c r="F30" s="13" t="s">
        <v>476</v>
      </c>
      <c r="G30" s="82">
        <v>1</v>
      </c>
      <c r="H30" s="82">
        <v>80</v>
      </c>
      <c r="I30" s="84">
        <f t="shared" si="0"/>
        <v>81</v>
      </c>
      <c r="J30" s="85">
        <v>20018</v>
      </c>
      <c r="K30" s="85">
        <v>442520</v>
      </c>
      <c r="L30" s="85">
        <v>799678</v>
      </c>
      <c r="M30" s="38">
        <f>I30/(HLOOKUP(F30,Team_Composition_23[[#All],[Yellow]:[Red]],10,FALSE)+HLOOKUP(F30,Team_Composition_23[[#All],[Yellow]:[Red]],11,FALSE))</f>
        <v>2.0244938765308671E-2</v>
      </c>
      <c r="N30" s="38">
        <f>J30/HLOOKUP(F30,Team_Composition_23[[#All],[Yellow]:[Red]],6,FALSE)</f>
        <v>4.5122587123301176E-4</v>
      </c>
      <c r="O30" s="38">
        <f>K30/HLOOKUP(F30,Team_Composition_23[[#All],[Yellow]:[Red]],8,FALSE)</f>
        <v>2.5259774334523505E-2</v>
      </c>
      <c r="P30" s="38">
        <f>L30/HLOOKUP(F30,Team_Composition_23[[#All],[Yellow]:[Red]],7,FALSE)</f>
        <v>6.1776126798351212E-2</v>
      </c>
      <c r="Q30" s="31"/>
      <c r="R30" s="45" t="s">
        <v>468</v>
      </c>
      <c r="S30" s="46">
        <f>SUMIFS(Scoreboard_32[Damage Dealt],Scoreboard_32[Role],"Ranged DPS",Scoreboard_32[Team],"Yellow")</f>
        <v>21333005</v>
      </c>
      <c r="T30" s="47">
        <f>SUMIFS(Scoreboard_32[Damage Dealt],Scoreboard_32[Role],"Ranged DPS",Scoreboard_32[Team],"Red")</f>
        <v>15799469</v>
      </c>
      <c r="U30" s="31"/>
      <c r="V30" s="31"/>
      <c r="W30" s="31"/>
      <c r="X30" s="31"/>
      <c r="Y30" s="31"/>
      <c r="Z30" s="31"/>
      <c r="AA30" s="31"/>
      <c r="AB30" s="45" t="s">
        <v>468</v>
      </c>
      <c r="AC30" s="50">
        <f>SUMIFS(Scoreboard_32[Damage Dealt],Scoreboard_32[Role],"Ranged DPS",Scoreboard_32[Guild],"Best Regards")</f>
        <v>21333005</v>
      </c>
      <c r="AD30" s="51">
        <f>SUMIFS(Scoreboard_32[Damage Dealt],Scoreboard_32[Role],"Ranged DPS",Scoreboard_32[Guild],"Unhinged肉")</f>
        <v>0</v>
      </c>
    </row>
    <row r="31" spans="1:30" ht="22.5" customHeight="1">
      <c r="A31" s="82">
        <v>23</v>
      </c>
      <c r="B31" s="65" t="str">
        <f>VLOOKUP(C31,Lists!I:J,2,FALSE)</f>
        <v>Ranged DPS</v>
      </c>
      <c r="C31" s="34" t="str">
        <f>VLOOKUP(E31&amp;D31,Lists!C:E,3,FALSE)</f>
        <v>Staff/Orb</v>
      </c>
      <c r="D31" s="13" t="s">
        <v>30</v>
      </c>
      <c r="E31" s="83" t="s">
        <v>517</v>
      </c>
      <c r="F31" s="13" t="s">
        <v>483</v>
      </c>
      <c r="G31" s="82">
        <v>23</v>
      </c>
      <c r="H31" s="82">
        <v>55</v>
      </c>
      <c r="I31" s="84">
        <f t="shared" si="0"/>
        <v>78</v>
      </c>
      <c r="J31" s="85">
        <v>2108873</v>
      </c>
      <c r="K31" s="85">
        <v>866334</v>
      </c>
      <c r="L31" s="85">
        <v>24802</v>
      </c>
      <c r="M31" s="38">
        <f>I31/(HLOOKUP(F31,Team_Composition_23[[#All],[Yellow]:[Red]],10,FALSE)+HLOOKUP(F31,Team_Composition_23[[#All],[Yellow]:[Red]],11,FALSE))</f>
        <v>9.5006090133982951E-2</v>
      </c>
      <c r="N31" s="38">
        <f>J31/HLOOKUP(F31,Team_Composition_23[[#All],[Yellow]:[Red]],6,FALSE)</f>
        <v>0.11951400378738827</v>
      </c>
      <c r="O31" s="38">
        <f>K31/HLOOKUP(F31,Team_Composition_23[[#All],[Yellow]:[Red]],8,FALSE)</f>
        <v>1.9682279632436777E-2</v>
      </c>
      <c r="P31" s="38">
        <f>L31/HLOOKUP(F31,Team_Composition_23[[#All],[Yellow]:[Red]],7,FALSE)</f>
        <v>1.0219870614509587E-3</v>
      </c>
      <c r="Q31" s="31"/>
      <c r="R31" s="45" t="s">
        <v>469</v>
      </c>
      <c r="S31" s="46">
        <f>SUMIFS(Scoreboard_32[Damage Taken],Scoreboard_32[Role],"Ranged DPS",Scoreboard_32[Team],"Yellow")</f>
        <v>4855119</v>
      </c>
      <c r="T31" s="47">
        <f>SUMIFS(Scoreboard_32[Damage Taken],Scoreboard_32[Role],"Ranged DPS",Scoreboard_32[Team],"Red")</f>
        <v>7421418</v>
      </c>
      <c r="U31" s="31"/>
      <c r="V31" s="31"/>
      <c r="W31" s="31"/>
      <c r="X31" s="31"/>
      <c r="Y31" s="31"/>
      <c r="Z31" s="31"/>
      <c r="AA31" s="31"/>
      <c r="AB31" s="45" t="s">
        <v>469</v>
      </c>
      <c r="AC31" s="50">
        <f>SUMIFS(Scoreboard_32[Damage Taken],Scoreboard_32[Role],"Ranged DPS",Scoreboard_32[Guild],"Best Regards")</f>
        <v>4855119</v>
      </c>
      <c r="AD31" s="51">
        <f>SUMIFS(Scoreboard_32[Damage Taken],Scoreboard_32[Role],"Ranged DPS",Scoreboard_32[Guild],"Unhinged肉")</f>
        <v>0</v>
      </c>
    </row>
    <row r="32" spans="1:30" ht="22.5" customHeight="1">
      <c r="A32" s="82">
        <v>57</v>
      </c>
      <c r="B32" s="33" t="str">
        <f>VLOOKUP(C32,Lists!I:J,2,FALSE)</f>
        <v>Healer</v>
      </c>
      <c r="C32" s="34" t="str">
        <f>VLOOKUP(E32&amp;D32,Lists!C:E,3,FALSE)</f>
        <v>Wand/Longbow</v>
      </c>
      <c r="D32" s="13" t="s">
        <v>34</v>
      </c>
      <c r="E32" s="83" t="s">
        <v>44</v>
      </c>
      <c r="F32" s="13" t="s">
        <v>476</v>
      </c>
      <c r="G32" s="82">
        <v>0</v>
      </c>
      <c r="H32" s="82">
        <v>78</v>
      </c>
      <c r="I32" s="84">
        <f t="shared" si="0"/>
        <v>78</v>
      </c>
      <c r="J32" s="85">
        <v>82650</v>
      </c>
      <c r="K32" s="85">
        <v>823054</v>
      </c>
      <c r="L32" s="85">
        <v>2908787</v>
      </c>
      <c r="M32" s="38">
        <f>I32/(HLOOKUP(F32,Team_Composition_23[[#All],[Yellow]:[Red]],10,FALSE)+HLOOKUP(F32,Team_Composition_23[[#All],[Yellow]:[Red]],11,FALSE))</f>
        <v>1.9495126218445388E-2</v>
      </c>
      <c r="N32" s="38">
        <f>J32/HLOOKUP(F32,Team_Composition_23[[#All],[Yellow]:[Red]],6,FALSE)</f>
        <v>1.8630142000903398E-3</v>
      </c>
      <c r="O32" s="38">
        <f>K32/HLOOKUP(F32,Team_Composition_23[[#All],[Yellow]:[Red]],8,FALSE)</f>
        <v>4.6981285151240414E-2</v>
      </c>
      <c r="P32" s="38">
        <f>L32/HLOOKUP(F32,Team_Composition_23[[#All],[Yellow]:[Red]],7,FALSE)</f>
        <v>0.22470743792050754</v>
      </c>
      <c r="Q32" s="31"/>
      <c r="R32" s="45" t="s">
        <v>470</v>
      </c>
      <c r="S32" s="46">
        <f>SUMIFS(Scoreboard_32[Amount Healed],Scoreboard_32[Role],"Ranged DPS",Scoreboard_32[Team],"Yellow")</f>
        <v>417850</v>
      </c>
      <c r="T32" s="47">
        <f>SUMIFS(Scoreboard_32[Amount Healed],Scoreboard_32[Role],"Ranged DPS",Scoreboard_32[Team],"Red")</f>
        <v>447689</v>
      </c>
      <c r="U32" s="31"/>
      <c r="V32" s="31"/>
      <c r="W32" s="31"/>
      <c r="X32" s="31"/>
      <c r="Y32" s="31"/>
      <c r="Z32" s="31"/>
      <c r="AA32" s="31"/>
      <c r="AB32" s="45" t="s">
        <v>470</v>
      </c>
      <c r="AC32" s="50">
        <f>SUMIFS(Scoreboard_32[Amount Healed],Scoreboard_32[Role],"Ranged DPS",Scoreboard_32[Guild],"Best Regards")</f>
        <v>417850</v>
      </c>
      <c r="AD32" s="51">
        <f>SUMIFS(Scoreboard_32[Amount Healed],Scoreboard_32[Role],"Ranged DPS",Scoreboard_32[Guild],"Unhinged肉")</f>
        <v>0</v>
      </c>
    </row>
    <row r="33" spans="1:30" ht="22.5" customHeight="1">
      <c r="A33" s="82">
        <v>16</v>
      </c>
      <c r="B33" s="52" t="str">
        <f>VLOOKUP(C33,Lists!I:J,2,FALSE)</f>
        <v>KS</v>
      </c>
      <c r="C33" s="34" t="str">
        <f>VLOOKUP(E33&amp;D33,Lists!C:E,3,FALSE)</f>
        <v>Greatsword/Dagger</v>
      </c>
      <c r="D33" s="13" t="s">
        <v>30</v>
      </c>
      <c r="E33" s="83" t="s">
        <v>394</v>
      </c>
      <c r="F33" s="13" t="s">
        <v>483</v>
      </c>
      <c r="G33" s="82">
        <v>33</v>
      </c>
      <c r="H33" s="82">
        <v>44</v>
      </c>
      <c r="I33" s="84">
        <f t="shared" si="0"/>
        <v>77</v>
      </c>
      <c r="J33" s="85">
        <v>1326834</v>
      </c>
      <c r="K33" s="85">
        <v>979432</v>
      </c>
      <c r="L33" s="85">
        <v>62351</v>
      </c>
      <c r="M33" s="38">
        <f>I33/(HLOOKUP(F33,Team_Composition_23[[#All],[Yellow]:[Red]],10,FALSE)+HLOOKUP(F33,Team_Composition_23[[#All],[Yellow]:[Red]],11,FALSE))</f>
        <v>9.3788063337393424E-2</v>
      </c>
      <c r="N33" s="38">
        <f>J33/HLOOKUP(F33,Team_Composition_23[[#All],[Yellow]:[Red]],6,FALSE)</f>
        <v>7.5194306959800589E-2</v>
      </c>
      <c r="O33" s="38">
        <f>K33/HLOOKUP(F33,Team_Composition_23[[#All],[Yellow]:[Red]],8,FALSE)</f>
        <v>2.2251757988208727E-2</v>
      </c>
      <c r="P33" s="38">
        <f>L33/HLOOKUP(F33,Team_Composition_23[[#All],[Yellow]:[Red]],7,FALSE)</f>
        <v>2.569224871725213E-3</v>
      </c>
      <c r="Q33" s="31"/>
      <c r="R33" s="45" t="s">
        <v>465</v>
      </c>
      <c r="S33" s="46">
        <f>SUMIFS(Scoreboard_32[Kills],Scoreboard_32[Role],"Ranged DPS",Scoreboard_32[Team],"Yellow")</f>
        <v>357</v>
      </c>
      <c r="T33" s="47">
        <f>SUMIFS(Scoreboard_32[Kills],Scoreboard_32[Role],"Ranged DPS",Scoreboard_32[Team],"Red")</f>
        <v>191</v>
      </c>
      <c r="U33" s="31"/>
      <c r="V33" s="31"/>
      <c r="W33" s="31"/>
      <c r="X33" s="31"/>
      <c r="Y33" s="31"/>
      <c r="Z33" s="31"/>
      <c r="AA33" s="31"/>
      <c r="AB33" s="45" t="s">
        <v>465</v>
      </c>
      <c r="AC33" s="50">
        <f>SUMIFS(Scoreboard_32[Kills],Scoreboard_32[Role],"Ranged DPS",Scoreboard_32[Guild],"Best Regards")</f>
        <v>357</v>
      </c>
      <c r="AD33" s="51">
        <f>SUMIFS(Scoreboard_32[Kills],Scoreboard_32[Role],"Ranged DPS",Scoreboard_32[Guild],"Unhinged肉")</f>
        <v>0</v>
      </c>
    </row>
    <row r="34" spans="1:30" ht="22.5" customHeight="1">
      <c r="A34" s="82">
        <v>47</v>
      </c>
      <c r="B34" s="34" t="str">
        <f>VLOOKUP(C34,Lists!I:J,2,FALSE)</f>
        <v>Healer</v>
      </c>
      <c r="C34" s="34" t="str">
        <f>VLOOKUP(E34&amp;D34,Lists!C:E,3,FALSE)</f>
        <v>Wand/Orb</v>
      </c>
      <c r="D34" s="13" t="s">
        <v>34</v>
      </c>
      <c r="E34" s="83" t="s">
        <v>164</v>
      </c>
      <c r="F34" s="13" t="s">
        <v>476</v>
      </c>
      <c r="G34" s="82">
        <v>1</v>
      </c>
      <c r="H34" s="82">
        <v>76</v>
      </c>
      <c r="I34" s="84">
        <f t="shared" si="0"/>
        <v>77</v>
      </c>
      <c r="J34" s="85">
        <v>5569</v>
      </c>
      <c r="K34" s="85">
        <v>370658</v>
      </c>
      <c r="L34" s="85">
        <v>707434</v>
      </c>
      <c r="M34" s="38">
        <f>I34/(HLOOKUP(F34,Team_Composition_23[[#All],[Yellow]:[Red]],10,FALSE)+HLOOKUP(F34,Team_Composition_23[[#All],[Yellow]:[Red]],11,FALSE))</f>
        <v>1.9245188702824295E-2</v>
      </c>
      <c r="N34" s="38">
        <f>J34/HLOOKUP(F34,Team_Composition_23[[#All],[Yellow]:[Red]],6,FALSE)</f>
        <v>1.2553086606537328E-4</v>
      </c>
      <c r="O34" s="38">
        <f>K34/HLOOKUP(F34,Team_Composition_23[[#All],[Yellow]:[Red]],8,FALSE)</f>
        <v>2.1157772383814999E-2</v>
      </c>
      <c r="P34" s="38">
        <f>L34/HLOOKUP(F34,Team_Composition_23[[#All],[Yellow]:[Red]],7,FALSE)</f>
        <v>5.4650162297155594E-2</v>
      </c>
      <c r="Q34" s="31"/>
      <c r="R34" s="45" t="s">
        <v>466</v>
      </c>
      <c r="S34" s="46">
        <f>SUMIFS(Scoreboard_32[Assists],Scoreboard_32[Role],"Ranged DPS",Scoreboard_32[Team],"Yellow")</f>
        <v>878</v>
      </c>
      <c r="T34" s="47">
        <f>SUMIFS(Scoreboard_32[Assists],Scoreboard_32[Role],"Ranged DPS",Scoreboard_32[Team],"Red")</f>
        <v>403</v>
      </c>
      <c r="U34" s="31"/>
      <c r="V34" s="31"/>
      <c r="W34" s="31"/>
      <c r="X34" s="31"/>
      <c r="Y34" s="31"/>
      <c r="Z34" s="31"/>
      <c r="AA34" s="31"/>
      <c r="AB34" s="45" t="s">
        <v>466</v>
      </c>
      <c r="AC34" s="50">
        <f>SUMIFS(Scoreboard_32[Assists],Scoreboard_32[Role],"Ranged DPS",Scoreboard_32[Guild],"Best Regards")</f>
        <v>878</v>
      </c>
      <c r="AD34" s="51">
        <f>SUMIFS(Scoreboard_32[Assists],Scoreboard_32[Role],"Ranged DPS",Scoreboard_32[Team],"Unhinged肉")</f>
        <v>0</v>
      </c>
    </row>
    <row r="35" spans="1:30" ht="22.5" customHeight="1">
      <c r="A35" s="82">
        <v>58</v>
      </c>
      <c r="B35" s="52" t="str">
        <f>VLOOKUP(C35,Lists!I:J,2,FALSE)</f>
        <v>Healer</v>
      </c>
      <c r="C35" s="34" t="str">
        <f>VLOOKUP(E35&amp;D35,Lists!C:E,3,FALSE)</f>
        <v>Wand/Orb</v>
      </c>
      <c r="D35" s="13" t="s">
        <v>34</v>
      </c>
      <c r="E35" s="83" t="s">
        <v>146</v>
      </c>
      <c r="F35" s="13" t="s">
        <v>476</v>
      </c>
      <c r="G35" s="82">
        <v>0</v>
      </c>
      <c r="H35" s="82">
        <v>77</v>
      </c>
      <c r="I35" s="84">
        <f t="shared" si="0"/>
        <v>77</v>
      </c>
      <c r="J35" s="85">
        <v>11948</v>
      </c>
      <c r="K35" s="85">
        <v>472967</v>
      </c>
      <c r="L35" s="85">
        <v>1794174</v>
      </c>
      <c r="M35" s="38">
        <f>I35/(HLOOKUP(F35,Team_Composition_23[[#All],[Yellow]:[Red]],10,FALSE)+HLOOKUP(F35,Team_Composition_23[[#All],[Yellow]:[Red]],11,FALSE))</f>
        <v>1.9245188702824295E-2</v>
      </c>
      <c r="N35" s="38">
        <f>J35/HLOOKUP(F35,Team_Composition_23[[#All],[Yellow]:[Red]],6,FALSE)</f>
        <v>2.6931994752183157E-4</v>
      </c>
      <c r="O35" s="38">
        <f>K35/HLOOKUP(F35,Team_Composition_23[[#All],[Yellow]:[Red]],8,FALSE)</f>
        <v>2.6997739509347779E-2</v>
      </c>
      <c r="P35" s="38">
        <f>L35/HLOOKUP(F35,Team_Composition_23[[#All],[Yellow]:[Red]],7,FALSE)</f>
        <v>0.13860218803356475</v>
      </c>
      <c r="Q35" s="31"/>
      <c r="R35" s="45" t="s">
        <v>54</v>
      </c>
      <c r="S35" s="46">
        <f t="shared" ref="S35:S46" si="6">COUNTIFS(C:C,R35,F:F,"Yellow")</f>
        <v>2</v>
      </c>
      <c r="T35" s="47">
        <f t="shared" ref="T35:T46" si="7">COUNTIFS(C:C,R35,F:F,"Red")</f>
        <v>2</v>
      </c>
      <c r="U35" s="31"/>
      <c r="V35" s="31"/>
      <c r="W35" s="31"/>
      <c r="X35" s="31"/>
      <c r="Y35" s="31"/>
      <c r="Z35" s="31"/>
      <c r="AA35" s="31"/>
      <c r="AB35" s="45" t="s">
        <v>54</v>
      </c>
      <c r="AC35" s="50">
        <f t="shared" ref="AC35:AC46" si="8">COUNTIFS(C:C,AB35,D:D,"Best Regards")</f>
        <v>2</v>
      </c>
      <c r="AD35" s="51">
        <f t="shared" ref="AD35:AD46" si="9">COUNTIFS(C:C,AB35,D:D,"Unhinged肉")</f>
        <v>0</v>
      </c>
    </row>
    <row r="36" spans="1:30" ht="22.5" customHeight="1">
      <c r="A36" s="82">
        <v>59</v>
      </c>
      <c r="B36" s="55" t="str">
        <f>VLOOKUP(C36,Lists!I:J,2,FALSE)</f>
        <v>Healer</v>
      </c>
      <c r="C36" s="34" t="str">
        <f>VLOOKUP(E36&amp;D36,Lists!C:E,3,FALSE)</f>
        <v>Wand/Longbow</v>
      </c>
      <c r="D36" s="13" t="s">
        <v>34</v>
      </c>
      <c r="E36" s="83" t="s">
        <v>165</v>
      </c>
      <c r="F36" s="13" t="s">
        <v>476</v>
      </c>
      <c r="G36" s="82">
        <v>0</v>
      </c>
      <c r="H36" s="82">
        <v>76</v>
      </c>
      <c r="I36" s="84">
        <f t="shared" si="0"/>
        <v>76</v>
      </c>
      <c r="J36" s="85">
        <v>50496</v>
      </c>
      <c r="K36" s="85">
        <v>491951</v>
      </c>
      <c r="L36" s="85">
        <v>1742228</v>
      </c>
      <c r="M36" s="38">
        <f>I36/(HLOOKUP(F36,Team_Composition_23[[#All],[Yellow]:[Red]],10,FALSE)+HLOOKUP(F36,Team_Composition_23[[#All],[Yellow]:[Red]],11,FALSE))</f>
        <v>1.8995251187203199E-2</v>
      </c>
      <c r="N36" s="38">
        <f>J36/HLOOKUP(F36,Team_Composition_23[[#All],[Yellow]:[Red]],6,FALSE)</f>
        <v>1.1382306720842323E-3</v>
      </c>
      <c r="O36" s="38">
        <f>K36/HLOOKUP(F36,Team_Composition_23[[#All],[Yellow]:[Red]],8,FALSE)</f>
        <v>2.8081377663480008E-2</v>
      </c>
      <c r="P36" s="38">
        <f>L36/HLOOKUP(F36,Team_Composition_23[[#All],[Yellow]:[Red]],7,FALSE)</f>
        <v>0.13458929449057974</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82">
        <v>35</v>
      </c>
      <c r="B37" s="40" t="str">
        <f>VLOOKUP(C37,Lists!I:J,2,FALSE)</f>
        <v>Tank</v>
      </c>
      <c r="C37" s="34" t="str">
        <f>VLOOKUP(E37&amp;D37,Lists!C:E,3,FALSE)</f>
        <v>SnS/Greatsword</v>
      </c>
      <c r="D37" s="13" t="s">
        <v>34</v>
      </c>
      <c r="E37" s="83" t="s">
        <v>173</v>
      </c>
      <c r="F37" s="13" t="s">
        <v>476</v>
      </c>
      <c r="G37" s="82">
        <v>11</v>
      </c>
      <c r="H37" s="82">
        <v>61</v>
      </c>
      <c r="I37" s="84">
        <f t="shared" si="0"/>
        <v>72</v>
      </c>
      <c r="J37" s="85">
        <v>623585</v>
      </c>
      <c r="K37" s="85">
        <v>600879</v>
      </c>
      <c r="L37" s="85">
        <v>30945</v>
      </c>
      <c r="M37" s="38">
        <f>I37/(HLOOKUP(F37,Team_Composition_23[[#All],[Yellow]:[Red]],10,FALSE)+HLOOKUP(F37,Team_Composition_23[[#All],[Yellow]:[Red]],11,FALSE))</f>
        <v>1.7995501124718819E-2</v>
      </c>
      <c r="N37" s="38">
        <f>J37/HLOOKUP(F37,Team_Composition_23[[#All],[Yellow]:[Red]],6,FALSE)</f>
        <v>1.405623363537005E-2</v>
      </c>
      <c r="O37" s="38">
        <f>K37/HLOOKUP(F37,Team_Composition_23[[#All],[Yellow]:[Red]],8,FALSE)</f>
        <v>3.4299168268901177E-2</v>
      </c>
      <c r="P37" s="38">
        <f>L37/HLOOKUP(F37,Team_Composition_23[[#All],[Yellow]:[Red]],7,FALSE)</f>
        <v>2.3905399970675424E-3</v>
      </c>
      <c r="Q37" s="31"/>
      <c r="R37" s="45" t="s">
        <v>45</v>
      </c>
      <c r="S37" s="46">
        <f t="shared" si="6"/>
        <v>3</v>
      </c>
      <c r="T37" s="47">
        <f t="shared" si="7"/>
        <v>3</v>
      </c>
      <c r="U37" s="31"/>
      <c r="V37" s="31"/>
      <c r="W37" s="31"/>
      <c r="X37" s="31"/>
      <c r="Y37" s="31"/>
      <c r="Z37" s="31"/>
      <c r="AA37" s="31"/>
      <c r="AB37" s="45" t="s">
        <v>45</v>
      </c>
      <c r="AC37" s="50">
        <f t="shared" si="8"/>
        <v>3</v>
      </c>
      <c r="AD37" s="51">
        <f t="shared" si="9"/>
        <v>0</v>
      </c>
    </row>
    <row r="38" spans="1:30" ht="22.5" customHeight="1">
      <c r="A38" s="82">
        <v>60</v>
      </c>
      <c r="B38" s="33" t="str">
        <f>VLOOKUP(C38,Lists!I:J,2,FALSE)</f>
        <v>Healer</v>
      </c>
      <c r="C38" s="34" t="str">
        <f>VLOOKUP(E38&amp;D38,Lists!C:E,3,FALSE)</f>
        <v>Wand/Longbow</v>
      </c>
      <c r="D38" s="13" t="s">
        <v>34</v>
      </c>
      <c r="E38" s="83" t="s">
        <v>180</v>
      </c>
      <c r="F38" s="13" t="s">
        <v>476</v>
      </c>
      <c r="G38" s="82">
        <v>0</v>
      </c>
      <c r="H38" s="82">
        <v>71</v>
      </c>
      <c r="I38" s="84">
        <f t="shared" si="0"/>
        <v>71</v>
      </c>
      <c r="J38" s="85">
        <v>42783</v>
      </c>
      <c r="K38" s="85">
        <v>336174</v>
      </c>
      <c r="L38" s="85">
        <v>1532628</v>
      </c>
      <c r="M38" s="38">
        <f>I38/(HLOOKUP(F38,Team_Composition_23[[#All],[Yellow]:[Red]],10,FALSE)+HLOOKUP(F38,Team_Composition_23[[#All],[Yellow]:[Red]],11,FALSE))</f>
        <v>1.7745563609097726E-2</v>
      </c>
      <c r="N38" s="38">
        <f>J38/HLOOKUP(F38,Team_Composition_23[[#All],[Yellow]:[Red]],6,FALSE)</f>
        <v>9.6437188774912291E-4</v>
      </c>
      <c r="O38" s="38">
        <f>K38/HLOOKUP(F38,Team_Composition_23[[#All],[Yellow]:[Red]],8,FALSE)</f>
        <v>1.9189368564435743E-2</v>
      </c>
      <c r="P38" s="38">
        <f>L38/HLOOKUP(F38,Team_Composition_23[[#All],[Yellow]:[Red]],7,FALSE)</f>
        <v>0.1183974320447773</v>
      </c>
      <c r="Q38" s="31"/>
      <c r="R38" s="45" t="s">
        <v>81</v>
      </c>
      <c r="S38" s="46">
        <f t="shared" si="6"/>
        <v>1</v>
      </c>
      <c r="T38" s="47">
        <f t="shared" si="7"/>
        <v>0</v>
      </c>
      <c r="U38" s="31"/>
      <c r="V38" s="31"/>
      <c r="W38" s="31"/>
      <c r="X38" s="31"/>
      <c r="Y38" s="31"/>
      <c r="Z38" s="31"/>
      <c r="AA38" s="31"/>
      <c r="AB38" s="45" t="s">
        <v>81</v>
      </c>
      <c r="AC38" s="50">
        <f t="shared" si="8"/>
        <v>1</v>
      </c>
      <c r="AD38" s="51">
        <f t="shared" si="9"/>
        <v>0</v>
      </c>
    </row>
    <row r="39" spans="1:30" ht="22.5" customHeight="1">
      <c r="A39" s="82">
        <v>29</v>
      </c>
      <c r="B39" s="54" t="str">
        <f>VLOOKUP(C39,Lists!I:J,2,FALSE)</f>
        <v>Melee DPS</v>
      </c>
      <c r="C39" s="34" t="str">
        <f>VLOOKUP(E39&amp;D39,Lists!C:E,3,FALSE)</f>
        <v>Greatsword/Spear</v>
      </c>
      <c r="D39" s="13" t="s">
        <v>34</v>
      </c>
      <c r="E39" s="83" t="s">
        <v>179</v>
      </c>
      <c r="F39" s="13" t="s">
        <v>476</v>
      </c>
      <c r="G39" s="82">
        <v>19</v>
      </c>
      <c r="H39" s="82">
        <v>50</v>
      </c>
      <c r="I39" s="84">
        <f t="shared" si="0"/>
        <v>69</v>
      </c>
      <c r="J39" s="85">
        <v>739495</v>
      </c>
      <c r="K39" s="85">
        <v>1086574</v>
      </c>
      <c r="L39" s="85">
        <v>19289</v>
      </c>
      <c r="M39" s="38">
        <f>I39/(HLOOKUP(F39,Team_Composition_23[[#All],[Yellow]:[Red]],10,FALSE)+HLOOKUP(F39,Team_Composition_23[[#All],[Yellow]:[Red]],11,FALSE))</f>
        <v>1.7245688577855536E-2</v>
      </c>
      <c r="N39" s="38">
        <f>J39/HLOOKUP(F39,Team_Composition_23[[#All],[Yellow]:[Red]],6,FALSE)</f>
        <v>1.6668961716827656E-2</v>
      </c>
      <c r="O39" s="38">
        <f>K39/HLOOKUP(F39,Team_Composition_23[[#All],[Yellow]:[Red]],8,FALSE)</f>
        <v>6.202344309355632E-2</v>
      </c>
      <c r="P39" s="38">
        <f>L39/HLOOKUP(F39,Team_Composition_23[[#All],[Yellow]:[Red]],7,FALSE)</f>
        <v>1.4900994022761618E-3</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82">
        <v>61</v>
      </c>
      <c r="B40" s="62" t="str">
        <f>VLOOKUP(C40,Lists!I:J,2,FALSE)</f>
        <v>Healer</v>
      </c>
      <c r="C40" s="34" t="str">
        <f>VLOOKUP(E40&amp;D40,Lists!C:E,3,FALSE)</f>
        <v>Wand/Orb</v>
      </c>
      <c r="D40" s="13" t="s">
        <v>30</v>
      </c>
      <c r="E40" s="83" t="s">
        <v>200</v>
      </c>
      <c r="F40" s="13" t="s">
        <v>483</v>
      </c>
      <c r="G40" s="82">
        <v>0</v>
      </c>
      <c r="H40" s="82">
        <v>69</v>
      </c>
      <c r="I40" s="84">
        <f t="shared" si="0"/>
        <v>69</v>
      </c>
      <c r="J40" s="85">
        <v>2147</v>
      </c>
      <c r="K40" s="85">
        <v>311520</v>
      </c>
      <c r="L40" s="85">
        <v>698945</v>
      </c>
      <c r="M40" s="38">
        <f>I40/(HLOOKUP(F40,Team_Composition_23[[#All],[Yellow]:[Red]],10,FALSE)+HLOOKUP(F40,Team_Composition_23[[#All],[Yellow]:[Red]],11,FALSE))</f>
        <v>8.4043848964677217E-2</v>
      </c>
      <c r="N40" s="38">
        <f>J40/HLOOKUP(F40,Team_Composition_23[[#All],[Yellow]:[Red]],6,FALSE)</f>
        <v>1.2167473628403542E-4</v>
      </c>
      <c r="O40" s="38">
        <f>K40/HLOOKUP(F40,Team_Composition_23[[#All],[Yellow]:[Red]],8,FALSE)</f>
        <v>7.077436359529587E-3</v>
      </c>
      <c r="P40" s="38">
        <f>L40/HLOOKUP(F40,Team_Composition_23[[#All],[Yellow]:[Red]],7,FALSE)</f>
        <v>2.8800610703404578E-2</v>
      </c>
      <c r="Q40" s="31"/>
      <c r="R40" s="45" t="s">
        <v>50</v>
      </c>
      <c r="S40" s="46">
        <f t="shared" si="6"/>
        <v>0</v>
      </c>
      <c r="T40" s="47">
        <f t="shared" si="7"/>
        <v>1</v>
      </c>
      <c r="U40" s="31"/>
      <c r="V40" s="31"/>
      <c r="W40" s="31"/>
      <c r="X40" s="31"/>
      <c r="Y40" s="31"/>
      <c r="Z40" s="31"/>
      <c r="AA40" s="31"/>
      <c r="AB40" s="45" t="s">
        <v>50</v>
      </c>
      <c r="AC40" s="50">
        <f t="shared" si="8"/>
        <v>0</v>
      </c>
      <c r="AD40" s="51">
        <f t="shared" si="9"/>
        <v>0</v>
      </c>
    </row>
    <row r="41" spans="1:30" ht="22.5" customHeight="1">
      <c r="A41" s="82">
        <v>27</v>
      </c>
      <c r="B41" s="52" t="str">
        <f>VLOOKUP(C41,Lists!I:J,2,FALSE)</f>
        <v>KS</v>
      </c>
      <c r="C41" s="34" t="str">
        <f>VLOOKUP(E41&amp;D41,Lists!C:E,3,FALSE)</f>
        <v>Greatsword/Dagger</v>
      </c>
      <c r="D41" s="13" t="s">
        <v>30</v>
      </c>
      <c r="E41" s="83" t="s">
        <v>393</v>
      </c>
      <c r="F41" s="13" t="s">
        <v>483</v>
      </c>
      <c r="G41" s="82">
        <v>21</v>
      </c>
      <c r="H41" s="82">
        <v>47</v>
      </c>
      <c r="I41" s="84">
        <f t="shared" si="0"/>
        <v>68</v>
      </c>
      <c r="J41" s="85">
        <v>1225582</v>
      </c>
      <c r="K41" s="85">
        <v>1014759</v>
      </c>
      <c r="L41" s="85">
        <v>44930</v>
      </c>
      <c r="M41" s="38">
        <f>I41/(HLOOKUP(F41,Team_Composition_23[[#All],[Yellow]:[Red]],10,FALSE)+HLOOKUP(F41,Team_Composition_23[[#All],[Yellow]:[Red]],11,FALSE))</f>
        <v>8.2825822168087704E-2</v>
      </c>
      <c r="N41" s="38">
        <f>J41/HLOOKUP(F41,Team_Composition_23[[#All],[Yellow]:[Red]],6,FALSE)</f>
        <v>6.9456155866073913E-2</v>
      </c>
      <c r="O41" s="38">
        <f>K41/HLOOKUP(F41,Team_Composition_23[[#All],[Yellow]:[Red]],8,FALSE)</f>
        <v>2.3054353629814728E-2</v>
      </c>
      <c r="P41" s="38">
        <f>L41/HLOOKUP(F41,Team_Composition_23[[#All],[Yellow]:[Red]],7,FALSE)</f>
        <v>1.851378061083444E-3</v>
      </c>
      <c r="Q41" s="31"/>
      <c r="R41" s="45" t="s">
        <v>52</v>
      </c>
      <c r="S41" s="46">
        <f t="shared" si="6"/>
        <v>1</v>
      </c>
      <c r="T41" s="47">
        <f t="shared" si="7"/>
        <v>1</v>
      </c>
      <c r="U41" s="31"/>
      <c r="V41" s="31"/>
      <c r="W41" s="31"/>
      <c r="X41" s="31"/>
      <c r="Y41" s="31"/>
      <c r="Z41" s="31"/>
      <c r="AA41" s="31"/>
      <c r="AB41" s="45" t="s">
        <v>52</v>
      </c>
      <c r="AC41" s="50">
        <f t="shared" si="8"/>
        <v>1</v>
      </c>
      <c r="AD41" s="51">
        <f t="shared" si="9"/>
        <v>0</v>
      </c>
    </row>
    <row r="42" spans="1:30" ht="22.5" customHeight="1">
      <c r="A42" s="82">
        <v>62</v>
      </c>
      <c r="B42" s="60" t="str">
        <f>VLOOKUP(C42,Lists!I:J,2,FALSE)</f>
        <v>Healer</v>
      </c>
      <c r="C42" s="34" t="str">
        <f>VLOOKUP(E42&amp;D42,Lists!C:E,3,FALSE)</f>
        <v>Wand/Orb</v>
      </c>
      <c r="D42" s="13" t="s">
        <v>34</v>
      </c>
      <c r="E42" s="83" t="s">
        <v>153</v>
      </c>
      <c r="F42" s="13" t="s">
        <v>476</v>
      </c>
      <c r="G42" s="82">
        <v>0</v>
      </c>
      <c r="H42" s="82">
        <v>68</v>
      </c>
      <c r="I42" s="84">
        <f t="shared" si="0"/>
        <v>68</v>
      </c>
      <c r="J42" s="85">
        <v>9584</v>
      </c>
      <c r="K42" s="85">
        <v>597005</v>
      </c>
      <c r="L42" s="85">
        <v>1056393</v>
      </c>
      <c r="M42" s="38">
        <f>I42/(HLOOKUP(F42,Team_Composition_23[[#All],[Yellow]:[Red]],10,FALSE)+HLOOKUP(F42,Team_Composition_23[[#All],[Yellow]:[Red]],11,FALSE))</f>
        <v>1.699575106223444E-2</v>
      </c>
      <c r="N42" s="38">
        <f>J42/HLOOKUP(F42,Team_Composition_23[[#All],[Yellow]:[Red]],6,FALSE)</f>
        <v>2.1603300778785017E-4</v>
      </c>
      <c r="O42" s="38">
        <f>K42/HLOOKUP(F42,Team_Composition_23[[#All],[Yellow]:[Red]],8,FALSE)</f>
        <v>3.4078033934245244E-2</v>
      </c>
      <c r="P42" s="38">
        <f>L42/HLOOKUP(F42,Team_Composition_23[[#All],[Yellow]:[Red]],7,FALSE)</f>
        <v>8.1607681988113509E-2</v>
      </c>
      <c r="Q42" s="31"/>
      <c r="R42" s="45" t="s">
        <v>32</v>
      </c>
      <c r="S42" s="46">
        <f t="shared" si="6"/>
        <v>2</v>
      </c>
      <c r="T42" s="47">
        <f t="shared" si="7"/>
        <v>1</v>
      </c>
      <c r="U42" s="31"/>
      <c r="V42" s="31"/>
      <c r="W42" s="31"/>
      <c r="X42" s="31"/>
      <c r="Y42" s="31"/>
      <c r="Z42" s="31"/>
      <c r="AA42" s="31"/>
      <c r="AB42" s="45" t="s">
        <v>32</v>
      </c>
      <c r="AC42" s="50">
        <f t="shared" si="8"/>
        <v>2</v>
      </c>
      <c r="AD42" s="51">
        <f t="shared" si="9"/>
        <v>0</v>
      </c>
    </row>
    <row r="43" spans="1:30" ht="22.5" customHeight="1">
      <c r="A43" s="82">
        <v>20</v>
      </c>
      <c r="B43" s="73" t="str">
        <f>VLOOKUP(C43,Lists!I:J,2,FALSE)</f>
        <v>KS</v>
      </c>
      <c r="C43" s="34" t="str">
        <f>VLOOKUP(E43&amp;D43,Lists!C:E,3,FALSE)</f>
        <v>Crossbow/Dagger</v>
      </c>
      <c r="D43" s="13" t="s">
        <v>30</v>
      </c>
      <c r="E43" s="83" t="s">
        <v>401</v>
      </c>
      <c r="F43" s="13" t="s">
        <v>483</v>
      </c>
      <c r="G43" s="82">
        <v>30</v>
      </c>
      <c r="H43" s="82">
        <v>37</v>
      </c>
      <c r="I43" s="84">
        <f t="shared" si="0"/>
        <v>67</v>
      </c>
      <c r="J43" s="85">
        <v>1591179</v>
      </c>
      <c r="K43" s="85">
        <v>726517</v>
      </c>
      <c r="L43" s="85">
        <v>0</v>
      </c>
      <c r="M43" s="38">
        <f>I43/(HLOOKUP(F43,Team_Composition_23[[#All],[Yellow]:[Red]],10,FALSE)+HLOOKUP(F43,Team_Composition_23[[#All],[Yellow]:[Red]],11,FALSE))</f>
        <v>8.1607795371498176E-2</v>
      </c>
      <c r="N43" s="38">
        <f>J43/HLOOKUP(F43,Team_Composition_23[[#All],[Yellow]:[Red]],6,FALSE)</f>
        <v>9.0175260924869674E-2</v>
      </c>
      <c r="O43" s="38">
        <f>K43/HLOOKUP(F43,Team_Composition_23[[#All],[Yellow]:[Red]],8,FALSE)</f>
        <v>1.6505771159528622E-2</v>
      </c>
      <c r="P43" s="38">
        <f>L43/HLOOKUP(F43,Team_Composition_23[[#All],[Yellow]:[Red]],7,FALSE)</f>
        <v>0</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82">
        <v>63</v>
      </c>
      <c r="B44" s="62" t="str">
        <f>VLOOKUP(C44,Lists!I:J,2,FALSE)</f>
        <v>Healer</v>
      </c>
      <c r="C44" s="34" t="str">
        <f>VLOOKUP(E44&amp;D44,Lists!C:E,3,FALSE)</f>
        <v>Wand/Orb</v>
      </c>
      <c r="D44" s="13" t="s">
        <v>34</v>
      </c>
      <c r="E44" s="83" t="s">
        <v>96</v>
      </c>
      <c r="F44" s="13" t="s">
        <v>476</v>
      </c>
      <c r="G44" s="82">
        <v>0</v>
      </c>
      <c r="H44" s="82">
        <v>67</v>
      </c>
      <c r="I44" s="84">
        <f t="shared" si="0"/>
        <v>67</v>
      </c>
      <c r="J44" s="85">
        <v>9196</v>
      </c>
      <c r="K44" s="85">
        <v>269977</v>
      </c>
      <c r="L44" s="85">
        <v>1128737</v>
      </c>
      <c r="M44" s="38">
        <f>I44/(HLOOKUP(F44,Team_Composition_23[[#All],[Yellow]:[Red]],10,FALSE)+HLOOKUP(F44,Team_Composition_23[[#All],[Yellow]:[Red]],11,FALSE))</f>
        <v>1.6745813546613347E-2</v>
      </c>
      <c r="N44" s="38">
        <f>J44/HLOOKUP(F44,Team_Composition_23[[#All],[Yellow]:[Red]],6,FALSE)</f>
        <v>2.072870972054539E-4</v>
      </c>
      <c r="O44" s="38">
        <f>K44/HLOOKUP(F44,Team_Composition_23[[#All],[Yellow]:[Red]],8,FALSE)</f>
        <v>1.5410734193961068E-2</v>
      </c>
      <c r="P44" s="38">
        <f>L44/HLOOKUP(F44,Team_Composition_23[[#All],[Yellow]:[Red]],7,FALSE)</f>
        <v>8.7196346571983413E-2</v>
      </c>
      <c r="Q44" s="31"/>
      <c r="R44" s="45" t="s">
        <v>58</v>
      </c>
      <c r="S44" s="46">
        <f t="shared" si="6"/>
        <v>2</v>
      </c>
      <c r="T44" s="47">
        <f t="shared" si="7"/>
        <v>3</v>
      </c>
      <c r="U44" s="31"/>
      <c r="V44" s="31"/>
      <c r="W44" s="31"/>
      <c r="X44" s="31"/>
      <c r="Y44" s="31"/>
      <c r="Z44" s="31"/>
      <c r="AA44" s="31"/>
      <c r="AB44" s="45" t="s">
        <v>58</v>
      </c>
      <c r="AC44" s="50">
        <f t="shared" si="8"/>
        <v>2</v>
      </c>
      <c r="AD44" s="51">
        <f t="shared" si="9"/>
        <v>0</v>
      </c>
    </row>
    <row r="45" spans="1:30" ht="22.5" customHeight="1">
      <c r="A45" s="82">
        <v>64</v>
      </c>
      <c r="B45" s="40" t="str">
        <f>VLOOKUP(C45,Lists!I:J,2,FALSE)</f>
        <v>Healer</v>
      </c>
      <c r="C45" s="34" t="str">
        <f>VLOOKUP(E45&amp;D45,Lists!C:E,3,FALSE)</f>
        <v>Wand/Longbow</v>
      </c>
      <c r="D45" s="13" t="s">
        <v>34</v>
      </c>
      <c r="E45" s="83" t="s">
        <v>106</v>
      </c>
      <c r="F45" s="13" t="s">
        <v>476</v>
      </c>
      <c r="G45" s="82">
        <v>0</v>
      </c>
      <c r="H45" s="82">
        <v>67</v>
      </c>
      <c r="I45" s="84">
        <f t="shared" si="0"/>
        <v>67</v>
      </c>
      <c r="J45" s="85">
        <v>7354</v>
      </c>
      <c r="K45" s="85">
        <v>731574</v>
      </c>
      <c r="L45" s="85">
        <v>1003105</v>
      </c>
      <c r="M45" s="38">
        <f>I45/(HLOOKUP(F45,Team_Composition_23[[#All],[Yellow]:[Red]],10,FALSE)+HLOOKUP(F45,Team_Composition_23[[#All],[Yellow]:[Red]],11,FALSE))</f>
        <v>1.6745813546613347E-2</v>
      </c>
      <c r="N45" s="38">
        <f>J45/HLOOKUP(F45,Team_Composition_23[[#All],[Yellow]:[Red]],6,FALSE)</f>
        <v>1.6576656294572728E-4</v>
      </c>
      <c r="O45" s="38">
        <f>K45/HLOOKUP(F45,Team_Composition_23[[#All],[Yellow]:[Red]],8,FALSE)</f>
        <v>4.1759455276608286E-2</v>
      </c>
      <c r="P45" s="38">
        <f>L45/HLOOKUP(F45,Team_Composition_23[[#All],[Yellow]:[Red]],7,FALSE)</f>
        <v>7.7491117264774187E-2</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82">
        <v>32</v>
      </c>
      <c r="B46" s="60" t="str">
        <f>VLOOKUP(C46,Lists!I:J,2,FALSE)</f>
        <v>KS</v>
      </c>
      <c r="C46" s="34" t="str">
        <f>VLOOKUP(E46&amp;D46,Lists!C:E,3,FALSE)</f>
        <v>Greatsword/Dagger</v>
      </c>
      <c r="D46" s="13" t="s">
        <v>34</v>
      </c>
      <c r="E46" s="36" t="s">
        <v>182</v>
      </c>
      <c r="F46" s="13" t="s">
        <v>476</v>
      </c>
      <c r="G46" s="82">
        <v>16</v>
      </c>
      <c r="H46" s="82">
        <v>48</v>
      </c>
      <c r="I46" s="84">
        <f t="shared" si="0"/>
        <v>64</v>
      </c>
      <c r="J46" s="85">
        <v>817036</v>
      </c>
      <c r="K46" s="85">
        <v>1179954</v>
      </c>
      <c r="L46" s="85">
        <v>29322</v>
      </c>
      <c r="M46" s="38">
        <f>I46/(HLOOKUP(F46,Team_Composition_23[[#All],[Yellow]:[Red]],10,FALSE)+HLOOKUP(F46,Team_Composition_23[[#All],[Yellow]:[Red]],11,FALSE))</f>
        <v>1.5996000999750064E-2</v>
      </c>
      <c r="N46" s="38">
        <f>J46/HLOOKUP(F46,Team_Composition_23[[#All],[Yellow]:[Red]],6,FALSE)</f>
        <v>1.8416813913914226E-2</v>
      </c>
      <c r="O46" s="38">
        <f>K46/HLOOKUP(F46,Team_Composition_23[[#All],[Yellow]:[Red]],8,FALSE)</f>
        <v>6.7353728114250985E-2</v>
      </c>
      <c r="P46" s="38">
        <f>L46/HLOOKUP(F46,Team_Composition_23[[#All],[Yellow]:[Red]],7,FALSE)</f>
        <v>2.265161214865551E-3</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82">
        <v>17</v>
      </c>
      <c r="B47" s="61" t="s">
        <v>25</v>
      </c>
      <c r="C47" s="34" t="str">
        <f>VLOOKUP(E47&amp;D47,Lists!C:E,3,FALSE)</f>
        <v>Crossbow/Dagger</v>
      </c>
      <c r="D47" s="13" t="s">
        <v>30</v>
      </c>
      <c r="E47" s="83" t="s">
        <v>229</v>
      </c>
      <c r="F47" s="13" t="s">
        <v>483</v>
      </c>
      <c r="G47" s="82">
        <v>32</v>
      </c>
      <c r="H47" s="82">
        <v>31</v>
      </c>
      <c r="I47" s="84">
        <f t="shared" si="0"/>
        <v>63</v>
      </c>
      <c r="J47" s="85">
        <v>1448923</v>
      </c>
      <c r="K47" s="85">
        <v>767718</v>
      </c>
      <c r="L47" s="85">
        <v>39282</v>
      </c>
      <c r="M47" s="38">
        <f>I47/(HLOOKUP(F47,Team_Composition_23[[#All],[Yellow]:[Red]],10,FALSE)+HLOOKUP(F47,Team_Composition_23[[#All],[Yellow]:[Red]],11,FALSE))</f>
        <v>7.6735688185140066E-2</v>
      </c>
      <c r="N47" s="38">
        <f>J47/HLOOKUP(F47,Team_Composition_23[[#All],[Yellow]:[Red]],6,FALSE)</f>
        <v>8.2113332054435703E-2</v>
      </c>
      <c r="O47" s="38">
        <f>K47/HLOOKUP(F47,Team_Composition_23[[#All],[Yellow]:[Red]],8,FALSE)</f>
        <v>1.7441818461303722E-2</v>
      </c>
      <c r="P47" s="38">
        <f>L47/HLOOKUP(F47,Team_Composition_23[[#All],[Yellow]:[Red]],7,FALSE)</f>
        <v>1.6186475182612919E-3</v>
      </c>
      <c r="Q47" s="31"/>
      <c r="R47" s="48"/>
      <c r="S47" s="63"/>
      <c r="T47" s="63"/>
      <c r="U47" s="31"/>
      <c r="V47" s="31"/>
      <c r="W47" s="31"/>
      <c r="X47" s="31"/>
      <c r="Y47" s="31"/>
      <c r="Z47" s="31"/>
      <c r="AA47" s="31"/>
      <c r="AB47" s="48"/>
      <c r="AC47" s="63"/>
      <c r="AD47" s="63"/>
    </row>
    <row r="48" spans="1:30" ht="22.5" customHeight="1">
      <c r="A48" s="82">
        <v>25</v>
      </c>
      <c r="B48" s="62" t="str">
        <f>VLOOKUP(C48,Lists!I:J,2,FALSE)</f>
        <v>Ranged DPS</v>
      </c>
      <c r="C48" s="34" t="str">
        <f>VLOOKUP(E48&amp;D48,Lists!C:E,3,FALSE)</f>
        <v>Staff/Orb</v>
      </c>
      <c r="D48" s="13" t="s">
        <v>30</v>
      </c>
      <c r="E48" s="83" t="s">
        <v>231</v>
      </c>
      <c r="F48" s="13" t="s">
        <v>483</v>
      </c>
      <c r="G48" s="82">
        <v>22</v>
      </c>
      <c r="H48" s="82">
        <v>40</v>
      </c>
      <c r="I48" s="84">
        <f t="shared" si="0"/>
        <v>62</v>
      </c>
      <c r="J48" s="85">
        <v>1636595</v>
      </c>
      <c r="K48" s="85">
        <v>957535</v>
      </c>
      <c r="L48" s="85">
        <v>0</v>
      </c>
      <c r="M48" s="38">
        <f>I48/(HLOOKUP(F48,Team_Composition_23[[#All],[Yellow]:[Red]],10,FALSE)+HLOOKUP(F48,Team_Composition_23[[#All],[Yellow]:[Red]],11,FALSE))</f>
        <v>7.5517661388550553E-2</v>
      </c>
      <c r="N48" s="38">
        <f>J48/HLOOKUP(F48,Team_Composition_23[[#All],[Yellow]:[Red]],6,FALSE)</f>
        <v>9.2749075467522563E-2</v>
      </c>
      <c r="O48" s="38">
        <f>K48/HLOOKUP(F48,Team_Composition_23[[#All],[Yellow]:[Red]],8,FALSE)</f>
        <v>2.1754279097721374E-2</v>
      </c>
      <c r="P48" s="38">
        <f>L48/HLOOKUP(F48,Team_Composition_23[[#All],[Yellow]:[Red]],7,FALSE)</f>
        <v>0</v>
      </c>
      <c r="Q48" s="31"/>
      <c r="R48" s="31"/>
      <c r="S48" s="64"/>
      <c r="T48" s="64"/>
      <c r="U48" s="31"/>
      <c r="V48" s="31"/>
      <c r="W48" s="31"/>
      <c r="X48" s="31"/>
      <c r="Y48" s="31"/>
      <c r="Z48" s="31"/>
      <c r="AA48" s="31"/>
      <c r="AB48" s="31"/>
      <c r="AC48" s="64"/>
      <c r="AD48" s="64"/>
    </row>
    <row r="49" spans="1:30" ht="22.5" customHeight="1">
      <c r="A49" s="82">
        <v>26</v>
      </c>
      <c r="B49" s="59" t="str">
        <f>VLOOKUP(C49,Lists!I:J,2,FALSE)</f>
        <v>Ranged DPS</v>
      </c>
      <c r="C49" s="34" t="str">
        <f>VLOOKUP(E49&amp;D49,Lists!C:E,3,FALSE)</f>
        <v>Crossbow/SnS</v>
      </c>
      <c r="D49" s="13" t="s">
        <v>30</v>
      </c>
      <c r="E49" s="83" t="s">
        <v>403</v>
      </c>
      <c r="F49" s="13" t="s">
        <v>483</v>
      </c>
      <c r="G49" s="82">
        <v>22</v>
      </c>
      <c r="H49" s="82">
        <v>39</v>
      </c>
      <c r="I49" s="84">
        <f t="shared" si="0"/>
        <v>61</v>
      </c>
      <c r="J49" s="85">
        <v>1264016</v>
      </c>
      <c r="K49" s="85">
        <v>1072354</v>
      </c>
      <c r="L49" s="85">
        <v>24257</v>
      </c>
      <c r="M49" s="38">
        <f>I49/(HLOOKUP(F49,Team_Composition_23[[#All],[Yellow]:[Red]],10,FALSE)+HLOOKUP(F49,Team_Composition_23[[#All],[Yellow]:[Red]],11,FALSE))</f>
        <v>7.4299634591961025E-2</v>
      </c>
      <c r="N49" s="38">
        <f>J49/HLOOKUP(F49,Team_Composition_23[[#All],[Yellow]:[Red]],6,FALSE)</f>
        <v>7.1634286659898141E-2</v>
      </c>
      <c r="O49" s="38">
        <f>K49/HLOOKUP(F49,Team_Composition_23[[#All],[Yellow]:[Red]],8,FALSE)</f>
        <v>2.4362856926961319E-2</v>
      </c>
      <c r="P49" s="38">
        <f>L49/HLOOKUP(F49,Team_Composition_23[[#All],[Yellow]:[Red]],7,FALSE)</f>
        <v>9.9952988265526602E-4</v>
      </c>
      <c r="Q49" s="31"/>
      <c r="R49" s="227" t="s">
        <v>67</v>
      </c>
      <c r="S49" s="228"/>
      <c r="T49" s="228"/>
      <c r="U49" s="31"/>
      <c r="V49" s="31"/>
      <c r="W49" s="31"/>
      <c r="X49" s="31"/>
      <c r="Y49" s="31"/>
      <c r="Z49" s="31"/>
      <c r="AA49" s="31"/>
      <c r="AB49" s="227" t="s">
        <v>67</v>
      </c>
      <c r="AC49" s="228"/>
      <c r="AD49" s="228"/>
    </row>
    <row r="50" spans="1:30" ht="22.5" customHeight="1">
      <c r="A50" s="82">
        <v>39</v>
      </c>
      <c r="B50" s="33" t="str">
        <f>VLOOKUP(C50,Lists!I:J,2,FALSE)</f>
        <v>Tank</v>
      </c>
      <c r="C50" s="34" t="str">
        <f>VLOOKUP(E50&amp;D50,Lists!C:E,3,FALSE)</f>
        <v>SnS/Greatsword</v>
      </c>
      <c r="D50" s="13" t="s">
        <v>30</v>
      </c>
      <c r="E50" s="83" t="s">
        <v>407</v>
      </c>
      <c r="F50" s="13" t="s">
        <v>483</v>
      </c>
      <c r="G50" s="82">
        <v>2</v>
      </c>
      <c r="H50" s="82">
        <v>53</v>
      </c>
      <c r="I50" s="84">
        <f t="shared" si="0"/>
        <v>55</v>
      </c>
      <c r="J50" s="85">
        <v>248173</v>
      </c>
      <c r="K50" s="85">
        <v>392728</v>
      </c>
      <c r="L50" s="85">
        <v>118444</v>
      </c>
      <c r="M50" s="38">
        <f>I50/(HLOOKUP(F50,Team_Composition_23[[#All],[Yellow]:[Red]],10,FALSE)+HLOOKUP(F50,Team_Composition_23[[#All],[Yellow]:[Red]],11,FALSE))</f>
        <v>6.6991473812423874E-2</v>
      </c>
      <c r="N50" s="38">
        <f>J50/HLOOKUP(F50,Team_Composition_23[[#All],[Yellow]:[Red]],6,FALSE)</f>
        <v>1.4064454740483429E-2</v>
      </c>
      <c r="O50" s="38">
        <f>K50/HLOOKUP(F50,Team_Composition_23[[#All],[Yellow]:[Red]],8,FALSE)</f>
        <v>8.9224044254151754E-3</v>
      </c>
      <c r="P50" s="38">
        <f>L50/HLOOKUP(F50,Team_Composition_23[[#All],[Yellow]:[Red]],7,FALSE)</f>
        <v>4.8805836427101585E-3</v>
      </c>
      <c r="Q50" s="31"/>
      <c r="R50" s="41" t="s">
        <v>482</v>
      </c>
      <c r="S50" s="42" t="s">
        <v>476</v>
      </c>
      <c r="T50" s="42" t="s">
        <v>483</v>
      </c>
      <c r="U50" s="31"/>
      <c r="V50" s="31"/>
      <c r="W50" s="31"/>
      <c r="X50" s="31"/>
      <c r="Y50" s="31"/>
      <c r="Z50" s="31"/>
      <c r="AA50" s="31"/>
      <c r="AB50" s="41" t="s">
        <v>482</v>
      </c>
      <c r="AC50" s="42" t="s">
        <v>485</v>
      </c>
      <c r="AD50" s="42" t="s">
        <v>36</v>
      </c>
    </row>
    <row r="51" spans="1:30" ht="22.5" customHeight="1">
      <c r="A51" s="82">
        <v>24</v>
      </c>
      <c r="B51" s="40" t="str">
        <f>VLOOKUP(C51,Lists!I:J,2,FALSE)</f>
        <v>KS</v>
      </c>
      <c r="C51" s="34" t="str">
        <f>VLOOKUP(E51&amp;D51,Lists!C:E,3,FALSE)</f>
        <v>Greatsword/Dagger</v>
      </c>
      <c r="D51" s="13" t="s">
        <v>30</v>
      </c>
      <c r="E51" s="83" t="s">
        <v>396</v>
      </c>
      <c r="F51" s="13" t="s">
        <v>483</v>
      </c>
      <c r="G51" s="82">
        <v>23</v>
      </c>
      <c r="H51" s="82">
        <v>31</v>
      </c>
      <c r="I51" s="84">
        <f t="shared" si="0"/>
        <v>54</v>
      </c>
      <c r="J51" s="85">
        <v>1084326</v>
      </c>
      <c r="K51" s="85">
        <v>819513</v>
      </c>
      <c r="L51" s="85">
        <v>0</v>
      </c>
      <c r="M51" s="38">
        <f>I51/(HLOOKUP(F51,Team_Composition_23[[#All],[Yellow]:[Red]],10,FALSE)+HLOOKUP(F51,Team_Composition_23[[#All],[Yellow]:[Red]],11,FALSE))</f>
        <v>6.5773447015834346E-2</v>
      </c>
      <c r="N51" s="38">
        <f>J51/HLOOKUP(F51,Team_Composition_23[[#All],[Yellow]:[Red]],6,FALSE)</f>
        <v>6.1450898973415456E-2</v>
      </c>
      <c r="O51" s="38">
        <f>K51/HLOOKUP(F51,Team_Composition_23[[#All],[Yellow]:[Red]],8,FALSE)</f>
        <v>1.8618551307483213E-2</v>
      </c>
      <c r="P51" s="38">
        <f>L51/HLOOKUP(F51,Team_Composition_23[[#All],[Yellow]:[Red]],7,FALSE)</f>
        <v>0</v>
      </c>
      <c r="Q51" s="31"/>
      <c r="R51" s="45" t="s">
        <v>468</v>
      </c>
      <c r="S51" s="46">
        <f>SUMIFS(Scoreboard_32[Damage Dealt],Scoreboard_32[Role],"Tank",Scoreboard_32[Team],"Yellow")</f>
        <v>1909861</v>
      </c>
      <c r="T51" s="47">
        <f>SUMIFS(Scoreboard_32[Damage Dealt],Scoreboard_32[Role],"Tank",Scoreboard_32[Team],"Red")</f>
        <v>1365349</v>
      </c>
      <c r="U51" s="31"/>
      <c r="V51" s="31"/>
      <c r="W51" s="31"/>
      <c r="X51" s="31"/>
      <c r="Y51" s="31"/>
      <c r="Z51" s="31"/>
      <c r="AA51" s="31"/>
      <c r="AB51" s="45" t="s">
        <v>468</v>
      </c>
      <c r="AC51" s="50">
        <f>SUMIFS(Scoreboard_32[Damage Dealt],Scoreboard_32[Role],"Tank",Scoreboard_32[Guild],"Best Regards")</f>
        <v>1863433</v>
      </c>
      <c r="AD51" s="51">
        <f>SUMIFS(Scoreboard_32[Damage Dealt],Scoreboard_32[Role],"Tank",Scoreboard_32[Guild],"Unhinged肉")</f>
        <v>0</v>
      </c>
    </row>
    <row r="52" spans="1:30" ht="22.5" customHeight="1">
      <c r="A52" s="82">
        <v>65</v>
      </c>
      <c r="B52" s="62" t="str">
        <f>VLOOKUP(C52,Lists!I:J,2,FALSE)</f>
        <v>Healer</v>
      </c>
      <c r="C52" s="34" t="str">
        <f>VLOOKUP(E52&amp;D52,Lists!C:E,3,FALSE)</f>
        <v>Wand/Orb</v>
      </c>
      <c r="D52" s="13" t="s">
        <v>30</v>
      </c>
      <c r="E52" s="83" t="s">
        <v>439</v>
      </c>
      <c r="F52" s="13" t="s">
        <v>483</v>
      </c>
      <c r="G52" s="82">
        <v>0</v>
      </c>
      <c r="H52" s="82">
        <v>54</v>
      </c>
      <c r="I52" s="84">
        <f t="shared" si="0"/>
        <v>54</v>
      </c>
      <c r="J52" s="85">
        <v>1930</v>
      </c>
      <c r="K52" s="85">
        <v>461296</v>
      </c>
      <c r="L52" s="85">
        <v>402481</v>
      </c>
      <c r="M52" s="38">
        <f>I52/(HLOOKUP(F52,Team_Composition_23[[#All],[Yellow]:[Red]],10,FALSE)+HLOOKUP(F52,Team_Composition_23[[#All],[Yellow]:[Red]],11,FALSE))</f>
        <v>6.5773447015834346E-2</v>
      </c>
      <c r="N52" s="38">
        <f>J52/HLOOKUP(F52,Team_Composition_23[[#All],[Yellow]:[Red]],6,FALSE)</f>
        <v>1.0937691710674819E-4</v>
      </c>
      <c r="O52" s="38">
        <f>K52/HLOOKUP(F52,Team_Composition_23[[#All],[Yellow]:[Red]],8,FALSE)</f>
        <v>1.0480203784365563E-2</v>
      </c>
      <c r="P52" s="38">
        <f>L52/HLOOKUP(F52,Team_Composition_23[[#All],[Yellow]:[Red]],7,FALSE)</f>
        <v>1.6584564731870144E-2</v>
      </c>
      <c r="Q52" s="31"/>
      <c r="R52" s="45" t="s">
        <v>469</v>
      </c>
      <c r="S52" s="46">
        <f>SUMIFS(Scoreboard_32[Damage Taken],Scoreboard_32[Role],"Tank",Scoreboard_32[Team],"Yellow")</f>
        <v>9832544</v>
      </c>
      <c r="T52" s="47">
        <f>SUMIFS(Scoreboard_32[Damage Taken],Scoreboard_32[Role],"Tank",Scoreboard_32[Team],"Red")</f>
        <v>10515831</v>
      </c>
      <c r="U52" s="31"/>
      <c r="V52" s="31"/>
      <c r="W52" s="31"/>
      <c r="X52" s="31"/>
      <c r="Y52" s="31"/>
      <c r="Z52" s="31"/>
      <c r="AA52" s="31"/>
      <c r="AB52" s="45" t="s">
        <v>469</v>
      </c>
      <c r="AC52" s="50">
        <f>SUMIFS(Scoreboard_32[Damage Taken],Scoreboard_32[Role],"Tank",Scoreboard_32[Guild],"Best Regards")</f>
        <v>8924291</v>
      </c>
      <c r="AD52" s="51">
        <f>SUMIFS(Scoreboard_32[Damage Taken],Scoreboard_32[Role],"Tank",Scoreboard_32[Guild],"Unhinged肉")</f>
        <v>0</v>
      </c>
    </row>
    <row r="53" spans="1:30" ht="22.5" customHeight="1">
      <c r="A53" s="82">
        <v>66</v>
      </c>
      <c r="B53" s="59" t="str">
        <f>VLOOKUP(C53,Lists!I:J,2,FALSE)</f>
        <v>Healer</v>
      </c>
      <c r="C53" s="34" t="str">
        <f>VLOOKUP(E53&amp;D53,Lists!C:E,3,FALSE)</f>
        <v>Wand/Longbow</v>
      </c>
      <c r="D53" s="13" t="s">
        <v>30</v>
      </c>
      <c r="E53" s="83" t="s">
        <v>416</v>
      </c>
      <c r="F53" s="13" t="s">
        <v>483</v>
      </c>
      <c r="G53" s="82">
        <v>0</v>
      </c>
      <c r="H53" s="82">
        <v>53</v>
      </c>
      <c r="I53" s="84">
        <f t="shared" si="0"/>
        <v>53</v>
      </c>
      <c r="J53" s="85">
        <v>8905</v>
      </c>
      <c r="K53" s="85">
        <v>433246</v>
      </c>
      <c r="L53" s="85">
        <v>1239617</v>
      </c>
      <c r="M53" s="38">
        <f>I53/(HLOOKUP(F53,Team_Composition_23[[#All],[Yellow]:[Red]],10,FALSE)+HLOOKUP(F53,Team_Composition_23[[#All],[Yellow]:[Red]],11,FALSE))</f>
        <v>6.4555420219244819E-2</v>
      </c>
      <c r="N53" s="38">
        <f>J53/HLOOKUP(F53,Team_Composition_23[[#All],[Yellow]:[Red]],6,FALSE)</f>
        <v>5.0466396209098059E-4</v>
      </c>
      <c r="O53" s="38">
        <f>K53/HLOOKUP(F53,Team_Composition_23[[#All],[Yellow]:[Red]],8,FALSE)</f>
        <v>9.8429346206367341E-3</v>
      </c>
      <c r="P53" s="38">
        <f>L53/HLOOKUP(F53,Team_Composition_23[[#All],[Yellow]:[Red]],7,FALSE)</f>
        <v>5.107945065537671E-2</v>
      </c>
      <c r="Q53" s="31"/>
      <c r="R53" s="45" t="s">
        <v>470</v>
      </c>
      <c r="S53" s="46">
        <f>SUMIFS(Scoreboard_32[Amount Healed],Scoreboard_32[Role],"Tank",Scoreboard_32[Team],"Yellow")</f>
        <v>696514</v>
      </c>
      <c r="T53" s="47">
        <f>SUMIFS(Scoreboard_32[Amount Healed],Scoreboard_32[Role],"Tank",Scoreboard_32[Team],"Red")</f>
        <v>2840718</v>
      </c>
      <c r="U53" s="31"/>
      <c r="V53" s="31"/>
      <c r="W53" s="31"/>
      <c r="X53" s="31"/>
      <c r="Y53" s="31"/>
      <c r="Z53" s="31"/>
      <c r="AA53" s="31"/>
      <c r="AB53" s="45" t="s">
        <v>470</v>
      </c>
      <c r="AC53" s="50">
        <f>SUMIFS(Scoreboard_32[Amount Healed],Scoreboard_32[Role],"Tank",Scoreboard_32[Guild],"Best Regards")</f>
        <v>646399</v>
      </c>
      <c r="AD53" s="51">
        <f>SUMIFS(Scoreboard_32[Amount Healed],Scoreboard_32[Role],"Tank",Scoreboard_32[Guild],"Unhinged肉")</f>
        <v>0</v>
      </c>
    </row>
    <row r="54" spans="1:30" ht="22.5" customHeight="1">
      <c r="A54" s="82">
        <v>67</v>
      </c>
      <c r="B54" s="57" t="str">
        <f>VLOOKUP(C54,Lists!I:J,2,FALSE)</f>
        <v>Tank</v>
      </c>
      <c r="C54" s="34" t="str">
        <f>VLOOKUP(E54&amp;D54,Lists!C:E,3,FALSE)</f>
        <v>SnS/Greatsword</v>
      </c>
      <c r="D54" s="13" t="s">
        <v>34</v>
      </c>
      <c r="E54" s="83" t="s">
        <v>93</v>
      </c>
      <c r="F54" s="13" t="s">
        <v>476</v>
      </c>
      <c r="G54" s="82">
        <v>0</v>
      </c>
      <c r="H54" s="82">
        <v>52</v>
      </c>
      <c r="I54" s="84">
        <f t="shared" si="0"/>
        <v>52</v>
      </c>
      <c r="J54" s="85">
        <v>176682</v>
      </c>
      <c r="K54" s="85">
        <v>654141</v>
      </c>
      <c r="L54" s="85">
        <v>136376</v>
      </c>
      <c r="M54" s="38">
        <f>I54/(HLOOKUP(F54,Team_Composition_23[[#All],[Yellow]:[Red]],10,FALSE)+HLOOKUP(F54,Team_Composition_23[[#All],[Yellow]:[Red]],11,FALSE))</f>
        <v>1.2996750812296926E-2</v>
      </c>
      <c r="N54" s="38">
        <f>J54/HLOOKUP(F54,Team_Composition_23[[#All],[Yellow]:[Red]],6,FALSE)</f>
        <v>3.9825901379354073E-3</v>
      </c>
      <c r="O54" s="38">
        <f>K54/HLOOKUP(F54,Team_Composition_23[[#All],[Yellow]:[Red]],8,FALSE)</f>
        <v>3.7339451421313251E-2</v>
      </c>
      <c r="P54" s="38">
        <f>L54/HLOOKUP(F54,Team_Composition_23[[#All],[Yellow]:[Red]],7,FALSE)</f>
        <v>1.0535216760060856E-2</v>
      </c>
      <c r="Q54" s="31"/>
      <c r="R54" s="45" t="s">
        <v>465</v>
      </c>
      <c r="S54" s="46">
        <f>SUMIFS(Scoreboard_32[Kills],Scoreboard_32[Role],"Tank",Scoreboard_32[Team],"Yellow")</f>
        <v>23</v>
      </c>
      <c r="T54" s="47">
        <f>SUMIFS(Scoreboard_32[Kills],Scoreboard_32[Role],"Tank",Scoreboard_32[Team],"Red")</f>
        <v>5</v>
      </c>
      <c r="U54" s="31"/>
      <c r="V54" s="31"/>
      <c r="W54" s="31"/>
      <c r="X54" s="31"/>
      <c r="Y54" s="31"/>
      <c r="Z54" s="31"/>
      <c r="AA54" s="31"/>
      <c r="AB54" s="45" t="s">
        <v>465</v>
      </c>
      <c r="AC54" s="50">
        <f>SUMIFS(Scoreboard_32[Kills],Scoreboard_32[Role],"Tank",Scoreboard_32[Guild],"Best Regards")</f>
        <v>23</v>
      </c>
      <c r="AD54" s="51">
        <f>SUMIFS(Scoreboard_32[Kills],Scoreboard_32[Role],"Tank",Scoreboard_32[Guild],"Unhinged肉")</f>
        <v>0</v>
      </c>
    </row>
    <row r="55" spans="1:30" ht="22.5" customHeight="1">
      <c r="A55" s="82">
        <v>34</v>
      </c>
      <c r="B55" s="59" t="str">
        <f>VLOOKUP(C55,Lists!I:J,2,FALSE)</f>
        <v>Melee DPS</v>
      </c>
      <c r="C55" s="34" t="str">
        <f>VLOOKUP(E55&amp;D55,Lists!C:E,3,FALSE)</f>
        <v>Spear/Dagger</v>
      </c>
      <c r="D55" s="13" t="s">
        <v>30</v>
      </c>
      <c r="E55" s="83" t="s">
        <v>228</v>
      </c>
      <c r="F55" s="13" t="s">
        <v>483</v>
      </c>
      <c r="G55" s="82">
        <v>14</v>
      </c>
      <c r="H55" s="82">
        <v>35</v>
      </c>
      <c r="I55" s="84">
        <f t="shared" si="0"/>
        <v>49</v>
      </c>
      <c r="J55" s="85">
        <v>1170627</v>
      </c>
      <c r="K55" s="85">
        <v>1564661</v>
      </c>
      <c r="L55" s="85">
        <v>73450</v>
      </c>
      <c r="M55" s="38">
        <f>I55/(HLOOKUP(F55,Team_Composition_23[[#All],[Yellow]:[Red]],10,FALSE)+HLOOKUP(F55,Team_Composition_23[[#All],[Yellow]:[Red]],11,FALSE))</f>
        <v>5.9683313032886723E-2</v>
      </c>
      <c r="N55" s="38">
        <f>J55/HLOOKUP(F55,Team_Composition_23[[#All],[Yellow]:[Red]],6,FALSE)</f>
        <v>6.6341747327420361E-2</v>
      </c>
      <c r="O55" s="38">
        <f>K55/HLOOKUP(F55,Team_Composition_23[[#All],[Yellow]:[Red]],8,FALSE)</f>
        <v>3.5547600962178745E-2</v>
      </c>
      <c r="P55" s="38">
        <f>L55/HLOOKUP(F55,Team_Composition_23[[#All],[Yellow]:[Red]],7,FALSE)</f>
        <v>3.0265684083369453E-3</v>
      </c>
      <c r="Q55" s="31"/>
      <c r="R55" s="45" t="s">
        <v>466</v>
      </c>
      <c r="S55" s="46">
        <f>SUMIFS(Scoreboard_32[Assists],Scoreboard_32[Role],"Tank",Scoreboard_32[Team],"Yellow")</f>
        <v>436</v>
      </c>
      <c r="T55" s="47">
        <f>SUMIFS(Scoreboard_32[Assists],Scoreboard_32[Role],"Tank",Scoreboard_32[Team],"Red")</f>
        <v>248</v>
      </c>
      <c r="U55" s="31"/>
      <c r="V55" s="31"/>
      <c r="W55" s="31"/>
      <c r="X55" s="31"/>
      <c r="Y55" s="31"/>
      <c r="Z55" s="31"/>
      <c r="AA55" s="31"/>
      <c r="AB55" s="45" t="s">
        <v>466</v>
      </c>
      <c r="AC55" s="50">
        <f>SUMIFS(Scoreboard_32[Assists],Scoreboard_32[Role],"Tank",Scoreboard_32[Guild],"Best Regards")</f>
        <v>412</v>
      </c>
      <c r="AD55" s="51">
        <f>SUMIFS(Scoreboard_32[Assists],Scoreboard_32[Role],"Tank",Scoreboard_32[Guild],"Unhinged肉")</f>
        <v>0</v>
      </c>
    </row>
    <row r="56" spans="1:30" ht="22.5" customHeight="1">
      <c r="A56" s="82">
        <v>68</v>
      </c>
      <c r="B56" s="60" t="str">
        <f>VLOOKUP(C56,Lists!I:J,2,FALSE)</f>
        <v>Tank</v>
      </c>
      <c r="C56" s="34" t="str">
        <f>VLOOKUP(E56&amp;D56,Lists!C:E,3,FALSE)</f>
        <v>SnS/Spear</v>
      </c>
      <c r="D56" s="13" t="s">
        <v>34</v>
      </c>
      <c r="E56" s="83" t="s">
        <v>79</v>
      </c>
      <c r="F56" s="13" t="s">
        <v>476</v>
      </c>
      <c r="G56" s="82">
        <v>0</v>
      </c>
      <c r="H56" s="82">
        <v>48</v>
      </c>
      <c r="I56" s="84">
        <f t="shared" si="0"/>
        <v>48</v>
      </c>
      <c r="J56" s="85">
        <v>239533</v>
      </c>
      <c r="K56" s="85">
        <v>703816</v>
      </c>
      <c r="L56" s="85">
        <v>46254</v>
      </c>
      <c r="M56" s="38">
        <f>I56/(HLOOKUP(F56,Team_Composition_23[[#All],[Yellow]:[Red]],10,FALSE)+HLOOKUP(F56,Team_Composition_23[[#All],[Yellow]:[Red]],11,FALSE))</f>
        <v>1.1997000749812546E-2</v>
      </c>
      <c r="N56" s="38">
        <f>J56/HLOOKUP(F56,Team_Composition_23[[#All],[Yellow]:[Red]],6,FALSE)</f>
        <v>5.3993149472503247E-3</v>
      </c>
      <c r="O56" s="38">
        <f>K56/HLOOKUP(F56,Team_Composition_23[[#All],[Yellow]:[Red]],8,FALSE)</f>
        <v>4.0174982674290413E-2</v>
      </c>
      <c r="P56" s="38">
        <f>L56/HLOOKUP(F56,Team_Composition_23[[#All],[Yellow]:[Red]],7,FALSE)</f>
        <v>3.5731794158785622E-3</v>
      </c>
      <c r="Q56" s="31"/>
      <c r="R56" s="45" t="s">
        <v>62</v>
      </c>
      <c r="S56" s="46">
        <f t="shared" ref="S56:S60" si="10">COUNTIFS(C:C,R56,F:F,"Yellow")</f>
        <v>2</v>
      </c>
      <c r="T56" s="47">
        <f t="shared" ref="T56:T60" si="11">COUNTIFS(C:C,R56,F:F,"Red")</f>
        <v>2</v>
      </c>
      <c r="U56" s="31"/>
      <c r="V56" s="31"/>
      <c r="W56" s="31"/>
      <c r="X56" s="31"/>
      <c r="Y56" s="31"/>
      <c r="Z56" s="31"/>
      <c r="AA56" s="31"/>
      <c r="AB56" s="45" t="s">
        <v>62</v>
      </c>
      <c r="AC56" s="50">
        <f t="shared" ref="AC56:AC60" si="12">COUNTIFS(C:C,AB56,D:D,"Best Regards")</f>
        <v>2</v>
      </c>
      <c r="AD56" s="51">
        <f t="shared" ref="AD56:AD60" si="13">COUNTIFS(C:C,AB56,D:D,"Unhinged肉")</f>
        <v>0</v>
      </c>
    </row>
    <row r="57" spans="1:30" ht="22.5" customHeight="1">
      <c r="A57" s="82">
        <v>69</v>
      </c>
      <c r="B57" s="52" t="str">
        <f>VLOOKUP(C57,Lists!I:J,2,FALSE)</f>
        <v>Healer</v>
      </c>
      <c r="C57" s="34" t="str">
        <f>VLOOKUP(E57&amp;D57,Lists!C:E,3,FALSE)</f>
        <v>Wand/Orb</v>
      </c>
      <c r="D57" s="13" t="s">
        <v>30</v>
      </c>
      <c r="E57" s="83" t="s">
        <v>442</v>
      </c>
      <c r="F57" s="13" t="s">
        <v>483</v>
      </c>
      <c r="G57" s="82">
        <v>0</v>
      </c>
      <c r="H57" s="82">
        <v>48</v>
      </c>
      <c r="I57" s="84">
        <f t="shared" si="0"/>
        <v>48</v>
      </c>
      <c r="J57" s="85">
        <v>834</v>
      </c>
      <c r="K57" s="85">
        <v>463845</v>
      </c>
      <c r="L57" s="85">
        <v>1235144</v>
      </c>
      <c r="M57" s="38">
        <f>I57/(HLOOKUP(F57,Team_Composition_23[[#All],[Yellow]:[Red]],10,FALSE)+HLOOKUP(F57,Team_Composition_23[[#All],[Yellow]:[Red]],11,FALSE))</f>
        <v>5.8465286236297195E-2</v>
      </c>
      <c r="N57" s="38">
        <f>J57/HLOOKUP(F57,Team_Composition_23[[#All],[Yellow]:[Red]],6,FALSE)</f>
        <v>4.7264429464781344E-5</v>
      </c>
      <c r="O57" s="38">
        <f>K57/HLOOKUP(F57,Team_Composition_23[[#All],[Yellow]:[Red]],8,FALSE)</f>
        <v>1.0538114625661277E-2</v>
      </c>
      <c r="P57" s="38">
        <f>L57/HLOOKUP(F57,Team_Composition_23[[#All],[Yellow]:[Red]],7,FALSE)</f>
        <v>5.089513696592142E-2</v>
      </c>
      <c r="Q57" s="31"/>
      <c r="R57" s="45" t="s">
        <v>70</v>
      </c>
      <c r="S57" s="46">
        <f t="shared" si="10"/>
        <v>1</v>
      </c>
      <c r="T57" s="47">
        <f t="shared" si="11"/>
        <v>0</v>
      </c>
      <c r="U57" s="31"/>
      <c r="V57" s="31"/>
      <c r="W57" s="31"/>
      <c r="X57" s="31"/>
      <c r="Y57" s="31"/>
      <c r="Z57" s="31"/>
      <c r="AA57" s="31"/>
      <c r="AB57" s="45" t="s">
        <v>70</v>
      </c>
      <c r="AC57" s="50">
        <f t="shared" si="12"/>
        <v>1</v>
      </c>
      <c r="AD57" s="51">
        <f t="shared" si="13"/>
        <v>0</v>
      </c>
    </row>
    <row r="58" spans="1:30" ht="22.5" customHeight="1">
      <c r="A58" s="82">
        <v>40</v>
      </c>
      <c r="B58" s="60" t="str">
        <f>VLOOKUP(C58,Lists!I:J,2,FALSE)</f>
        <v>Tank</v>
      </c>
      <c r="C58" s="34" t="str">
        <f>VLOOKUP(E58&amp;D58,Lists!C:E,3,FALSE)</f>
        <v>SnS/Spear</v>
      </c>
      <c r="D58" s="13" t="s">
        <v>34</v>
      </c>
      <c r="E58" s="83" t="s">
        <v>61</v>
      </c>
      <c r="F58" s="13" t="s">
        <v>476</v>
      </c>
      <c r="G58" s="82">
        <v>2</v>
      </c>
      <c r="H58" s="82">
        <v>45</v>
      </c>
      <c r="I58" s="84">
        <f t="shared" si="0"/>
        <v>47</v>
      </c>
      <c r="J58" s="85">
        <v>142078</v>
      </c>
      <c r="K58" s="85">
        <v>331887</v>
      </c>
      <c r="L58" s="85">
        <v>7138</v>
      </c>
      <c r="M58" s="38">
        <f>I58/(HLOOKUP(F58,Team_Composition_23[[#All],[Yellow]:[Red]],10,FALSE)+HLOOKUP(F58,Team_Composition_23[[#All],[Yellow]:[Red]],11,FALSE))</f>
        <v>1.1747063234191453E-2</v>
      </c>
      <c r="N58" s="38">
        <f>J58/HLOOKUP(F58,Team_Composition_23[[#All],[Yellow]:[Red]],6,FALSE)</f>
        <v>3.2025811436229316E-3</v>
      </c>
      <c r="O58" s="38">
        <f>K58/HLOOKUP(F58,Team_Composition_23[[#All],[Yellow]:[Red]],8,FALSE)</f>
        <v>1.8944659505925162E-2</v>
      </c>
      <c r="P58" s="38">
        <f>L58/HLOOKUP(F58,Team_Composition_23[[#All],[Yellow]:[Red]],7,FALSE)</f>
        <v>5.5141943768195572E-4</v>
      </c>
      <c r="Q58" s="31"/>
      <c r="R58" s="45" t="s">
        <v>14</v>
      </c>
      <c r="S58" s="46">
        <f t="shared" si="10"/>
        <v>10</v>
      </c>
      <c r="T58" s="47">
        <f t="shared" si="11"/>
        <v>7</v>
      </c>
      <c r="U58" s="31"/>
      <c r="V58" s="31"/>
      <c r="W58" s="31"/>
      <c r="X58" s="31"/>
      <c r="Y58" s="31"/>
      <c r="Z58" s="31"/>
      <c r="AA58" s="31"/>
      <c r="AB58" s="45" t="s">
        <v>14</v>
      </c>
      <c r="AC58" s="50">
        <f t="shared" si="12"/>
        <v>9</v>
      </c>
      <c r="AD58" s="51">
        <f t="shared" si="13"/>
        <v>0</v>
      </c>
    </row>
    <row r="59" spans="1:30" ht="22.5" customHeight="1">
      <c r="A59" s="82">
        <v>48</v>
      </c>
      <c r="B59" s="61" t="str">
        <f>VLOOKUP(C59,Lists!I:J,2,FALSE)</f>
        <v>Tank</v>
      </c>
      <c r="C59" s="34" t="str">
        <f>VLOOKUP(E59&amp;D59,Lists!C:E,3,FALSE)</f>
        <v>SnS/Greatsword</v>
      </c>
      <c r="D59" s="13" t="s">
        <v>30</v>
      </c>
      <c r="E59" s="83" t="s">
        <v>408</v>
      </c>
      <c r="F59" s="13" t="s">
        <v>483</v>
      </c>
      <c r="G59" s="82">
        <v>1</v>
      </c>
      <c r="H59" s="82">
        <v>44</v>
      </c>
      <c r="I59" s="84">
        <f t="shared" si="0"/>
        <v>45</v>
      </c>
      <c r="J59" s="85">
        <v>280580</v>
      </c>
      <c r="K59" s="85">
        <v>906580</v>
      </c>
      <c r="L59" s="85">
        <v>33207</v>
      </c>
      <c r="M59" s="38">
        <f>I59/(HLOOKUP(F59,Team_Composition_23[[#All],[Yellow]:[Red]],10,FALSE)+HLOOKUP(F59,Team_Composition_23[[#All],[Yellow]:[Red]],11,FALSE))</f>
        <v>5.4811205846528627E-2</v>
      </c>
      <c r="N59" s="38">
        <f>J59/HLOOKUP(F59,Team_Composition_23[[#All],[Yellow]:[Red]],6,FALSE)</f>
        <v>1.5901023524254616E-2</v>
      </c>
      <c r="O59" s="38">
        <f>K59/HLOOKUP(F59,Team_Composition_23[[#All],[Yellow]:[Red]],8,FALSE)</f>
        <v>2.0596630247888843E-2</v>
      </c>
      <c r="P59" s="38">
        <f>L59/HLOOKUP(F59,Team_Composition_23[[#All],[Yellow]:[Red]],7,FALSE)</f>
        <v>1.3683220848964594E-3</v>
      </c>
      <c r="Q59" s="31"/>
      <c r="R59" s="45" t="s">
        <v>73</v>
      </c>
      <c r="S59" s="46">
        <f t="shared" si="10"/>
        <v>1</v>
      </c>
      <c r="T59" s="47">
        <f t="shared" si="11"/>
        <v>1</v>
      </c>
      <c r="U59" s="31"/>
      <c r="V59" s="31"/>
      <c r="W59" s="31"/>
      <c r="X59" s="31"/>
      <c r="Y59" s="31"/>
      <c r="Z59" s="31"/>
      <c r="AA59" s="31"/>
      <c r="AB59" s="45" t="s">
        <v>73</v>
      </c>
      <c r="AC59" s="50">
        <f t="shared" si="12"/>
        <v>1</v>
      </c>
      <c r="AD59" s="51">
        <f t="shared" si="13"/>
        <v>0</v>
      </c>
    </row>
    <row r="60" spans="1:30" ht="22.5" customHeight="1">
      <c r="A60" s="82">
        <v>70</v>
      </c>
      <c r="B60" s="57" t="str">
        <f>VLOOKUP(C60,Lists!I:J,2,FALSE)</f>
        <v>Healer</v>
      </c>
      <c r="C60" s="34" t="str">
        <f>VLOOKUP(E60&amp;D60,Lists!C:E,3,FALSE)</f>
        <v>Wand/Orb</v>
      </c>
      <c r="D60" s="13" t="s">
        <v>30</v>
      </c>
      <c r="E60" s="83" t="s">
        <v>441</v>
      </c>
      <c r="F60" s="13" t="s">
        <v>483</v>
      </c>
      <c r="G60" s="82">
        <v>0</v>
      </c>
      <c r="H60" s="82">
        <v>45</v>
      </c>
      <c r="I60" s="84">
        <f t="shared" si="0"/>
        <v>45</v>
      </c>
      <c r="J60" s="85">
        <v>22449</v>
      </c>
      <c r="K60" s="85">
        <v>513021</v>
      </c>
      <c r="L60" s="85">
        <v>758156</v>
      </c>
      <c r="M60" s="38">
        <f>I60/(HLOOKUP(F60,Team_Composition_23[[#All],[Yellow]:[Red]],10,FALSE)+HLOOKUP(F60,Team_Composition_23[[#All],[Yellow]:[Red]],11,FALSE))</f>
        <v>5.4811205846528627E-2</v>
      </c>
      <c r="N60" s="38">
        <f>J60/HLOOKUP(F60,Team_Composition_23[[#All],[Yellow]:[Red]],6,FALSE)</f>
        <v>1.2722292290825855E-3</v>
      </c>
      <c r="O60" s="38">
        <f>K60/HLOOKUP(F60,Team_Composition_23[[#All],[Yellow]:[Red]],8,FALSE)</f>
        <v>1.1655346297516141E-2</v>
      </c>
      <c r="P60" s="38">
        <f>L60/HLOOKUP(F60,Team_Composition_23[[#All],[Yellow]:[Red]],7,FALSE)</f>
        <v>3.1240449260600479E-2</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82">
        <v>71</v>
      </c>
      <c r="B61" s="52" t="str">
        <f>VLOOKUP(C61,Lists!I:J,2,FALSE)</f>
        <v>Healer</v>
      </c>
      <c r="C61" s="34" t="str">
        <f>VLOOKUP(E61&amp;D61,Lists!C:E,3,FALSE)</f>
        <v>Wand/Longbow</v>
      </c>
      <c r="D61" s="13" t="s">
        <v>30</v>
      </c>
      <c r="E61" s="83" t="s">
        <v>191</v>
      </c>
      <c r="F61" s="13" t="s">
        <v>483</v>
      </c>
      <c r="G61" s="82">
        <v>0</v>
      </c>
      <c r="H61" s="82">
        <v>42</v>
      </c>
      <c r="I61" s="84">
        <f t="shared" si="0"/>
        <v>42</v>
      </c>
      <c r="J61" s="85">
        <v>15647</v>
      </c>
      <c r="K61" s="85">
        <v>368680</v>
      </c>
      <c r="L61" s="85">
        <v>1182481</v>
      </c>
      <c r="M61" s="38">
        <f>I61/(HLOOKUP(F61,Team_Composition_23[[#All],[Yellow]:[Red]],10,FALSE)+HLOOKUP(F61,Team_Composition_23[[#All],[Yellow]:[Red]],11,FALSE))</f>
        <v>5.1157125456760051E-2</v>
      </c>
      <c r="N61" s="38">
        <f>J61/HLOOKUP(F61,Team_Composition_23[[#All],[Yellow]:[Red]],6,FALSE)</f>
        <v>8.8674643625351757E-4</v>
      </c>
      <c r="O61" s="38">
        <f>K61/HLOOKUP(F61,Team_Composition_23[[#All],[Yellow]:[Red]],8,FALSE)</f>
        <v>8.3760568728536468E-3</v>
      </c>
      <c r="P61" s="38">
        <f>L61/HLOOKUP(F61,Team_Composition_23[[#All],[Yellow]:[Red]],7,FALSE)</f>
        <v>4.8725114200935053E-2</v>
      </c>
      <c r="Q61" s="31"/>
      <c r="R61" s="48"/>
      <c r="S61" s="63"/>
      <c r="T61" s="63"/>
      <c r="U61" s="31"/>
      <c r="V61" s="31"/>
      <c r="W61" s="31"/>
      <c r="X61" s="31"/>
      <c r="Y61" s="31"/>
      <c r="Z61" s="31"/>
      <c r="AA61" s="31"/>
      <c r="AB61" s="48"/>
      <c r="AC61" s="63"/>
      <c r="AD61" s="63"/>
    </row>
    <row r="62" spans="1:30" ht="22.5" customHeight="1">
      <c r="A62" s="82">
        <v>72</v>
      </c>
      <c r="B62" s="55" t="str">
        <f>VLOOKUP(C62,Lists!I:J,2,FALSE)</f>
        <v>Healer</v>
      </c>
      <c r="C62" s="34" t="str">
        <f>VLOOKUP(E62&amp;D62,Lists!C:E,3,FALSE)</f>
        <v>Wand/Orb</v>
      </c>
      <c r="D62" s="13" t="s">
        <v>30</v>
      </c>
      <c r="E62" s="83" t="s">
        <v>417</v>
      </c>
      <c r="F62" s="13" t="s">
        <v>483</v>
      </c>
      <c r="G62" s="82">
        <v>0</v>
      </c>
      <c r="H62" s="82">
        <v>42</v>
      </c>
      <c r="I62" s="84">
        <f t="shared" si="0"/>
        <v>42</v>
      </c>
      <c r="J62" s="85">
        <v>6789</v>
      </c>
      <c r="K62" s="85">
        <v>424706</v>
      </c>
      <c r="L62" s="85">
        <v>847543</v>
      </c>
      <c r="M62" s="38">
        <f>I62/(HLOOKUP(F62,Team_Composition_23[[#All],[Yellow]:[Red]],10,FALSE)+HLOOKUP(F62,Team_Composition_23[[#All],[Yellow]:[Red]],11,FALSE))</f>
        <v>5.1157125456760051E-2</v>
      </c>
      <c r="N62" s="38">
        <f>J62/HLOOKUP(F62,Team_Composition_23[[#All],[Yellow]:[Red]],6,FALSE)</f>
        <v>3.8474605711798622E-4</v>
      </c>
      <c r="O62" s="38">
        <f>K62/HLOOKUP(F62,Team_Composition_23[[#All],[Yellow]:[Red]],8,FALSE)</f>
        <v>9.6489139911093112E-3</v>
      </c>
      <c r="P62" s="38">
        <f>L62/HLOOKUP(F62,Team_Composition_23[[#All],[Yellow]:[Red]],7,FALSE)</f>
        <v>3.4923715023922663E-2</v>
      </c>
      <c r="Q62" s="31"/>
      <c r="R62" s="31"/>
      <c r="S62" s="64"/>
      <c r="T62" s="64"/>
      <c r="U62" s="31"/>
      <c r="V62" s="31"/>
      <c r="W62" s="31"/>
      <c r="X62" s="31"/>
      <c r="Y62" s="31"/>
      <c r="Z62" s="31"/>
      <c r="AA62" s="31"/>
      <c r="AB62" s="31"/>
      <c r="AC62" s="64"/>
      <c r="AD62" s="64"/>
    </row>
    <row r="63" spans="1:30" ht="22.5" customHeight="1">
      <c r="A63" s="82">
        <v>36</v>
      </c>
      <c r="B63" s="40" t="s">
        <v>11</v>
      </c>
      <c r="C63" s="34" t="str">
        <f>VLOOKUP(E63&amp;D63,Lists!C:E,3,FALSE)</f>
        <v>Greatsword/Dagger</v>
      </c>
      <c r="D63" s="13" t="s">
        <v>30</v>
      </c>
      <c r="E63" s="83" t="s">
        <v>395</v>
      </c>
      <c r="F63" s="13" t="s">
        <v>483</v>
      </c>
      <c r="G63" s="82">
        <v>8</v>
      </c>
      <c r="H63" s="82">
        <v>33</v>
      </c>
      <c r="I63" s="84">
        <f t="shared" si="0"/>
        <v>41</v>
      </c>
      <c r="J63" s="85">
        <v>666018</v>
      </c>
      <c r="K63" s="85">
        <v>1258748</v>
      </c>
      <c r="L63" s="85">
        <v>0</v>
      </c>
      <c r="M63" s="38">
        <f>I63/(HLOOKUP(F63,Team_Composition_23[[#All],[Yellow]:[Red]],10,FALSE)+HLOOKUP(F63,Team_Composition_23[[#All],[Yellow]:[Red]],11,FALSE))</f>
        <v>4.9939098660170524E-2</v>
      </c>
      <c r="N63" s="38">
        <f>J63/HLOOKUP(F63,Team_Composition_23[[#All],[Yellow]:[Red]],6,FALSE)</f>
        <v>3.7744557294094414E-2</v>
      </c>
      <c r="O63" s="38">
        <f>K63/HLOOKUP(F63,Team_Composition_23[[#All],[Yellow]:[Red]],8,FALSE)</f>
        <v>2.8597550278265115E-2</v>
      </c>
      <c r="P63" s="38">
        <f>L63/HLOOKUP(F63,Team_Composition_23[[#All],[Yellow]:[Red]],7,FALSE)</f>
        <v>0</v>
      </c>
      <c r="Q63" s="31"/>
      <c r="R63" s="227" t="s">
        <v>11</v>
      </c>
      <c r="S63" s="228"/>
      <c r="T63" s="228"/>
      <c r="U63" s="31"/>
      <c r="V63" s="31"/>
      <c r="W63" s="31"/>
      <c r="X63" s="31"/>
      <c r="Y63" s="31"/>
      <c r="Z63" s="31"/>
      <c r="AA63" s="31"/>
      <c r="AB63" s="227" t="s">
        <v>11</v>
      </c>
      <c r="AC63" s="228"/>
      <c r="AD63" s="228"/>
    </row>
    <row r="64" spans="1:30" ht="22.5" customHeight="1">
      <c r="A64" s="82">
        <v>49</v>
      </c>
      <c r="B64" s="69" t="str">
        <f>VLOOKUP(C64,Lists!I:J,2,FALSE)</f>
        <v>Tank</v>
      </c>
      <c r="C64" s="34" t="str">
        <f>VLOOKUP(E64&amp;D64,Lists!C:E,3,FALSE)</f>
        <v>SnS/Greatsword</v>
      </c>
      <c r="D64" s="13" t="s">
        <v>34</v>
      </c>
      <c r="E64" s="83" t="s">
        <v>174</v>
      </c>
      <c r="F64" s="13" t="s">
        <v>476</v>
      </c>
      <c r="G64" s="82">
        <v>1</v>
      </c>
      <c r="H64" s="82">
        <v>37</v>
      </c>
      <c r="I64" s="84">
        <f t="shared" si="0"/>
        <v>38</v>
      </c>
      <c r="J64" s="85">
        <v>91765</v>
      </c>
      <c r="K64" s="85">
        <v>432038</v>
      </c>
      <c r="L64" s="85">
        <v>46099</v>
      </c>
      <c r="M64" s="38">
        <f>I64/(HLOOKUP(F64,Team_Composition_23[[#All],[Yellow]:[Red]],10,FALSE)+HLOOKUP(F64,Team_Composition_23[[#All],[Yellow]:[Red]],11,FALSE))</f>
        <v>9.4976255936015993E-3</v>
      </c>
      <c r="N64" s="38">
        <f>J64/HLOOKUP(F64,Team_Composition_23[[#All],[Yellow]:[Red]],6,FALSE)</f>
        <v>2.0684754757566851E-3</v>
      </c>
      <c r="O64" s="38">
        <f>K64/HLOOKUP(F64,Team_Composition_23[[#All],[Yellow]:[Red]],8,FALSE)</f>
        <v>2.4661444418193224E-2</v>
      </c>
      <c r="P64" s="38">
        <f>L64/HLOOKUP(F64,Team_Composition_23[[#All],[Yellow]:[Red]],7,FALSE)</f>
        <v>3.5612054717988895E-3</v>
      </c>
      <c r="Q64" s="31"/>
      <c r="R64" s="41" t="s">
        <v>482</v>
      </c>
      <c r="S64" s="42" t="s">
        <v>476</v>
      </c>
      <c r="T64" s="42" t="s">
        <v>483</v>
      </c>
      <c r="U64" s="31"/>
      <c r="V64" s="31"/>
      <c r="W64" s="31"/>
      <c r="X64" s="31"/>
      <c r="Y64" s="31"/>
      <c r="Z64" s="31"/>
      <c r="AA64" s="31"/>
      <c r="AB64" s="41" t="s">
        <v>482</v>
      </c>
      <c r="AC64" s="42" t="s">
        <v>485</v>
      </c>
      <c r="AD64" s="42" t="s">
        <v>36</v>
      </c>
    </row>
    <row r="65" spans="1:30" ht="22.5" customHeight="1">
      <c r="A65" s="82">
        <v>73</v>
      </c>
      <c r="B65" s="54" t="str">
        <f>VLOOKUP(C65,Lists!I:J,2,FALSE)</f>
        <v>Healer</v>
      </c>
      <c r="C65" s="34" t="str">
        <f>VLOOKUP(E65&amp;D65,Lists!C:E,3,FALSE)</f>
        <v>Wand/Longbow</v>
      </c>
      <c r="D65" s="13" t="s">
        <v>30</v>
      </c>
      <c r="E65" s="83" t="s">
        <v>420</v>
      </c>
      <c r="F65" s="13" t="s">
        <v>483</v>
      </c>
      <c r="G65" s="82">
        <v>0</v>
      </c>
      <c r="H65" s="82">
        <v>37</v>
      </c>
      <c r="I65" s="84">
        <f t="shared" si="0"/>
        <v>37</v>
      </c>
      <c r="J65" s="85">
        <v>38372</v>
      </c>
      <c r="K65" s="85">
        <v>886440</v>
      </c>
      <c r="L65" s="85">
        <v>1553186</v>
      </c>
      <c r="M65" s="38">
        <f>I65/(HLOOKUP(F65,Team_Composition_23[[#All],[Yellow]:[Red]],10,FALSE)+HLOOKUP(F65,Team_Composition_23[[#All],[Yellow]:[Red]],11,FALSE))</f>
        <v>4.5066991473812421E-2</v>
      </c>
      <c r="N65" s="38">
        <f>J65/HLOOKUP(F65,Team_Composition_23[[#All],[Yellow]:[Red]],6,FALSE)</f>
        <v>2.1746171312021457E-3</v>
      </c>
      <c r="O65" s="38">
        <f>K65/HLOOKUP(F65,Team_Composition_23[[#All],[Yellow]:[Red]],8,FALSE)</f>
        <v>2.0139068716427219E-2</v>
      </c>
      <c r="P65" s="38">
        <f>L65/HLOOKUP(F65,Team_Composition_23[[#All],[Yellow]:[Red]],7,FALSE)</f>
        <v>6.4000322394434678E-2</v>
      </c>
      <c r="Q65" s="31"/>
      <c r="R65" s="45" t="s">
        <v>468</v>
      </c>
      <c r="S65" s="46">
        <f>SUMIFS(Scoreboard_32[Damage Dealt],Scoreboard_32[Role],"Healer",Scoreboard_32[Team],"Yellow")</f>
        <v>513725</v>
      </c>
      <c r="T65" s="47">
        <f>SUMIFS(Scoreboard_32[Damage Dealt],Scoreboard_32[Role],"Healer",Scoreboard_32[Team],"Red")</f>
        <v>1000289</v>
      </c>
      <c r="U65" s="31"/>
      <c r="V65" s="31"/>
      <c r="W65" s="31"/>
      <c r="X65" s="31"/>
      <c r="Y65" s="31"/>
      <c r="Z65" s="31"/>
      <c r="AA65" s="31"/>
      <c r="AB65" s="45" t="s">
        <v>468</v>
      </c>
      <c r="AC65" s="50">
        <f>SUMIFS(Scoreboard_32[Damage Dealt],Scoreboard_32[Role],"Healer",Scoreboard_32[Guild],"Best Regards")</f>
        <v>513725</v>
      </c>
      <c r="AD65" s="51">
        <f>SUMIFS(Scoreboard_32[Damage Dealt],Scoreboard_32[Role],"Healer",Scoreboard_32[Guild],"Unhinged肉")</f>
        <v>0</v>
      </c>
    </row>
    <row r="66" spans="1:30" ht="22.5" customHeight="1">
      <c r="A66" s="82">
        <v>50</v>
      </c>
      <c r="B66" s="62" t="str">
        <f>VLOOKUP(C66,Lists!I:J,2,FALSE)</f>
        <v>Healer</v>
      </c>
      <c r="C66" s="34" t="str">
        <f>VLOOKUP(E66&amp;D66,Lists!C:E,3,FALSE)</f>
        <v>Wand/Orb</v>
      </c>
      <c r="D66" s="13" t="s">
        <v>30</v>
      </c>
      <c r="E66" s="83" t="s">
        <v>419</v>
      </c>
      <c r="F66" s="13" t="s">
        <v>483</v>
      </c>
      <c r="G66" s="82">
        <v>1</v>
      </c>
      <c r="H66" s="82">
        <v>35</v>
      </c>
      <c r="I66" s="84">
        <f t="shared" si="0"/>
        <v>36</v>
      </c>
      <c r="J66" s="85">
        <v>12998</v>
      </c>
      <c r="K66" s="85">
        <v>416555</v>
      </c>
      <c r="L66" s="85">
        <v>711174</v>
      </c>
      <c r="M66" s="38">
        <f>I66/(HLOOKUP(F66,Team_Composition_23[[#All],[Yellow]:[Red]],10,FALSE)+HLOOKUP(F66,Team_Composition_23[[#All],[Yellow]:[Red]],11,FALSE))</f>
        <v>4.38489646772229E-2</v>
      </c>
      <c r="N66" s="38">
        <f>J66/HLOOKUP(F66,Team_Composition_23[[#All],[Yellow]:[Red]],6,FALSE)</f>
        <v>7.3662236712617249E-4</v>
      </c>
      <c r="O66" s="38">
        <f>K66/HLOOKUP(F66,Team_Composition_23[[#All],[Yellow]:[Red]],8,FALSE)</f>
        <v>9.4637310694139932E-3</v>
      </c>
      <c r="P66" s="38">
        <f>L66/HLOOKUP(F66,Team_Composition_23[[#All],[Yellow]:[Red]],7,FALSE)</f>
        <v>2.9304516830913802E-2</v>
      </c>
      <c r="Q66" s="31"/>
      <c r="R66" s="45" t="s">
        <v>469</v>
      </c>
      <c r="S66" s="46">
        <f>SUMIFS(Scoreboard_32[Damage Taken],Scoreboard_32[Role],"Healer",Scoreboard_32[Team],"Yellow")</f>
        <v>8354687</v>
      </c>
      <c r="T66" s="47">
        <f>SUMIFS(Scoreboard_32[Damage Taken],Scoreboard_32[Role],"Healer",Scoreboard_32[Team],"Red")</f>
        <v>13068007</v>
      </c>
      <c r="U66" s="31"/>
      <c r="V66" s="31"/>
      <c r="W66" s="31"/>
      <c r="X66" s="31"/>
      <c r="Y66" s="31"/>
      <c r="Z66" s="31"/>
      <c r="AA66" s="31"/>
      <c r="AB66" s="45" t="s">
        <v>469</v>
      </c>
      <c r="AC66" s="50">
        <f>SUMIFS(Scoreboard_32[Damage Taken],Scoreboard_32[Role],"Healer",Scoreboard_32[Guild],"Best Regards")</f>
        <v>8354687</v>
      </c>
      <c r="AD66" s="51">
        <f>SUMIFS(Scoreboard_32[Damage Taken],Scoreboard_32[Role],"Healer",Scoreboard_32[Guild],"Unhinged肉")</f>
        <v>0</v>
      </c>
    </row>
    <row r="67" spans="1:30" ht="22.5" customHeight="1">
      <c r="A67" s="82">
        <v>74</v>
      </c>
      <c r="B67" s="40" t="str">
        <f>VLOOKUP(C67,Lists!I:J,2,FALSE)</f>
        <v>Healer</v>
      </c>
      <c r="C67" s="34" t="str">
        <f>VLOOKUP(E67&amp;D67,Lists!C:E,3,FALSE)</f>
        <v>Wand/Orb</v>
      </c>
      <c r="D67" s="13" t="s">
        <v>30</v>
      </c>
      <c r="E67" s="83" t="s">
        <v>445</v>
      </c>
      <c r="F67" s="13" t="s">
        <v>483</v>
      </c>
      <c r="G67" s="82">
        <v>0</v>
      </c>
      <c r="H67" s="82">
        <v>36</v>
      </c>
      <c r="I67" s="84">
        <f t="shared" si="0"/>
        <v>36</v>
      </c>
      <c r="J67" s="85">
        <v>19912</v>
      </c>
      <c r="K67" s="85">
        <v>429377</v>
      </c>
      <c r="L67" s="85">
        <v>1379820</v>
      </c>
      <c r="M67" s="38">
        <f>I67/(HLOOKUP(F67,Team_Composition_23[[#All],[Yellow]:[Red]],10,FALSE)+HLOOKUP(F67,Team_Composition_23[[#All],[Yellow]:[Red]],11,FALSE))</f>
        <v>4.38489646772229E-2</v>
      </c>
      <c r="N67" s="38">
        <f>J67/HLOOKUP(F67,Team_Composition_23[[#All],[Yellow]:[Red]],6,FALSE)</f>
        <v>1.1284524214660984E-3</v>
      </c>
      <c r="O67" s="38">
        <f>K67/HLOOKUP(F67,Team_Composition_23[[#All],[Yellow]:[Red]],8,FALSE)</f>
        <v>9.7550346422243684E-3</v>
      </c>
      <c r="P67" s="38">
        <f>L67/HLOOKUP(F67,Team_Composition_23[[#All],[Yellow]:[Red]],7,FALSE)</f>
        <v>5.6856632010775822E-2</v>
      </c>
      <c r="Q67" s="31"/>
      <c r="R67" s="45" t="s">
        <v>470</v>
      </c>
      <c r="S67" s="46">
        <f>SUMIFS(Scoreboard_32[Amount Healed],Scoreboard_32[Role],"Healer",Scoreboard_32[Team],"Yellow")</f>
        <v>21606030</v>
      </c>
      <c r="T67" s="47">
        <f>SUMIFS(Scoreboard_32[Amount Healed],Scoreboard_32[Role],"Healer",Scoreboard_32[Team],"Red")</f>
        <v>22033194</v>
      </c>
      <c r="U67" s="31"/>
      <c r="V67" s="31"/>
      <c r="W67" s="31"/>
      <c r="X67" s="31"/>
      <c r="Y67" s="31"/>
      <c r="Z67" s="31"/>
      <c r="AA67" s="31"/>
      <c r="AB67" s="45" t="s">
        <v>470</v>
      </c>
      <c r="AC67" s="50">
        <f>SUMIFS(Scoreboard_32[Amount Healed],Scoreboard_32[Role],"Healer",Scoreboard_32[Guild],"Best Regards")</f>
        <v>21606030</v>
      </c>
      <c r="AD67" s="51">
        <f>SUMIFS(Scoreboard_32[Amount Healed],Scoreboard_32[Role],"Healer",Scoreboard_32[Guild],"Unhinged肉")</f>
        <v>0</v>
      </c>
    </row>
    <row r="68" spans="1:30" ht="22.5" customHeight="1">
      <c r="A68" s="82">
        <v>41</v>
      </c>
      <c r="B68" s="34" t="str">
        <f>VLOOKUP(C68,Lists!I:J,2,FALSE)</f>
        <v>Tank</v>
      </c>
      <c r="C68" s="34" t="str">
        <f>VLOOKUP(E68&amp;D68,Lists!C:E,3,FALSE)</f>
        <v>SnS/Greatsword</v>
      </c>
      <c r="D68" s="13" t="s">
        <v>30</v>
      </c>
      <c r="E68" s="83" t="s">
        <v>209</v>
      </c>
      <c r="F68" s="13" t="s">
        <v>483</v>
      </c>
      <c r="G68" s="82">
        <v>2</v>
      </c>
      <c r="H68" s="82">
        <v>33</v>
      </c>
      <c r="I68" s="84">
        <f t="shared" si="0"/>
        <v>35</v>
      </c>
      <c r="J68" s="85">
        <v>406951</v>
      </c>
      <c r="K68" s="85">
        <v>1498385</v>
      </c>
      <c r="L68" s="85">
        <v>126968</v>
      </c>
      <c r="M68" s="38">
        <f>I68/(HLOOKUP(F68,Team_Composition_23[[#All],[Yellow]:[Red]],10,FALSE)+HLOOKUP(F68,Team_Composition_23[[#All],[Yellow]:[Red]],11,FALSE))</f>
        <v>4.2630937880633372E-2</v>
      </c>
      <c r="N68" s="38">
        <f>J68/HLOOKUP(F68,Team_Composition_23[[#All],[Yellow]:[Red]],6,FALSE)</f>
        <v>2.3062718027724499E-2</v>
      </c>
      <c r="O68" s="38">
        <f>K68/HLOOKUP(F68,Team_Composition_23[[#All],[Yellow]:[Red]],8,FALSE)</f>
        <v>3.4041873650403634E-2</v>
      </c>
      <c r="P68" s="38">
        <f>L68/HLOOKUP(F68,Team_Composition_23[[#All],[Yellow]:[Red]],7,FALSE)</f>
        <v>5.2318221602413242E-3</v>
      </c>
      <c r="Q68" s="31"/>
      <c r="R68" s="45" t="s">
        <v>465</v>
      </c>
      <c r="S68" s="46">
        <f>SUMIFS(Scoreboard_32[Kills],Scoreboard_32[Role],"Healer",Scoreboard_32[Team],"Yellow")</f>
        <v>4</v>
      </c>
      <c r="T68" s="47">
        <f>SUMIFS(Scoreboard_32[Kills],Scoreboard_32[Role],"Healer",Scoreboard_32[Team],"Red")</f>
        <v>11</v>
      </c>
      <c r="U68" s="31"/>
      <c r="V68" s="31"/>
      <c r="W68" s="31"/>
      <c r="X68" s="31"/>
      <c r="Y68" s="31"/>
      <c r="Z68" s="31"/>
      <c r="AA68" s="31"/>
      <c r="AB68" s="45" t="s">
        <v>465</v>
      </c>
      <c r="AC68" s="50">
        <f>SUMIFS(Scoreboard_32[Kills],Scoreboard_32[Role],"Healer",Scoreboard_32[Guild],"Best Regards")</f>
        <v>4</v>
      </c>
      <c r="AD68" s="51">
        <f>SUMIFS(Scoreboard_32[Kills],Scoreboard_32[Role],"Healer",Scoreboard_32[Guild],"Unhinged肉")</f>
        <v>0</v>
      </c>
    </row>
    <row r="69" spans="1:30" ht="22.5" customHeight="1">
      <c r="A69" s="82">
        <v>51</v>
      </c>
      <c r="B69" s="67" t="str">
        <f>VLOOKUP(C69,Lists!I:J,2,FALSE)</f>
        <v>Tank</v>
      </c>
      <c r="C69" s="34" t="str">
        <f>VLOOKUP(E69&amp;D69,Lists!C:E,3,FALSE)</f>
        <v>SnS/Greatsword</v>
      </c>
      <c r="D69" s="13" t="s">
        <v>34</v>
      </c>
      <c r="E69" s="83" t="s">
        <v>150</v>
      </c>
      <c r="F69" s="13" t="s">
        <v>476</v>
      </c>
      <c r="G69" s="82">
        <v>1</v>
      </c>
      <c r="H69" s="82">
        <v>34</v>
      </c>
      <c r="I69" s="84">
        <f t="shared" si="0"/>
        <v>35</v>
      </c>
      <c r="J69" s="85">
        <v>42682</v>
      </c>
      <c r="K69" s="85">
        <v>1490548</v>
      </c>
      <c r="L69" s="85">
        <v>46441</v>
      </c>
      <c r="M69" s="38">
        <f>I69/(HLOOKUP(F69,Team_Composition_23[[#All],[Yellow]:[Red]],10,FALSE)+HLOOKUP(F69,Team_Composition_23[[#All],[Yellow]:[Red]],11,FALSE))</f>
        <v>8.7478130467383147E-3</v>
      </c>
      <c r="N69" s="38">
        <f>J69/HLOOKUP(F69,Team_Composition_23[[#All],[Yellow]:[Red]],6,FALSE)</f>
        <v>9.620952460769012E-4</v>
      </c>
      <c r="O69" s="38">
        <f>K69/HLOOKUP(F69,Team_Composition_23[[#All],[Yellow]:[Red]],8,FALSE)</f>
        <v>8.5082947922750021E-2</v>
      </c>
      <c r="P69" s="38">
        <f>L69/HLOOKUP(F69,Team_Composition_23[[#All],[Yellow]:[Red]],7,FALSE)</f>
        <v>3.5876254000262965E-3</v>
      </c>
      <c r="Q69" s="31"/>
      <c r="R69" s="45" t="s">
        <v>466</v>
      </c>
      <c r="S69" s="46">
        <f>SUMIFS(Scoreboard_32[Assists],Scoreboard_32[Role],"Healer",Scoreboard_32[Team],"Yellow")</f>
        <v>1218</v>
      </c>
      <c r="T69" s="47">
        <f>SUMIFS(Scoreboard_32[Assists],Scoreboard_32[Role],"Healer",Scoreboard_32[Team],"Red")</f>
        <v>727</v>
      </c>
      <c r="U69" s="31"/>
      <c r="V69" s="31"/>
      <c r="W69" s="31"/>
      <c r="X69" s="31"/>
      <c r="Y69" s="31"/>
      <c r="Z69" s="31"/>
      <c r="AA69" s="31"/>
      <c r="AB69" s="45" t="s">
        <v>466</v>
      </c>
      <c r="AC69" s="50">
        <f>SUMIFS(Scoreboard_32[Assists],Scoreboard_32[Role],"Healer",Scoreboard_32[Guild],"Best Regards")</f>
        <v>1218</v>
      </c>
      <c r="AD69" s="51">
        <f>SUMIFS(Scoreboard_32[Assists],Scoreboard_32[Role],"Healer",Scoreboard_32[Guild],"Unhinged肉")</f>
        <v>0</v>
      </c>
    </row>
    <row r="70" spans="1:30" ht="22.5" customHeight="1">
      <c r="A70" s="82">
        <v>75</v>
      </c>
      <c r="B70" s="57" t="str">
        <f>VLOOKUP(C70,Lists!I:J,2,FALSE)</f>
        <v>Healer</v>
      </c>
      <c r="C70" s="34" t="str">
        <f>VLOOKUP(E70&amp;D70,Lists!C:E,3,FALSE)</f>
        <v>Wand/Longbow</v>
      </c>
      <c r="D70" s="13" t="s">
        <v>30</v>
      </c>
      <c r="E70" s="83" t="s">
        <v>414</v>
      </c>
      <c r="F70" s="13" t="s">
        <v>483</v>
      </c>
      <c r="G70" s="82">
        <v>0</v>
      </c>
      <c r="H70" s="82">
        <v>35</v>
      </c>
      <c r="I70" s="84">
        <f t="shared" si="0"/>
        <v>35</v>
      </c>
      <c r="J70" s="85">
        <v>62688</v>
      </c>
      <c r="K70" s="85">
        <v>966992</v>
      </c>
      <c r="L70" s="85">
        <v>2455576</v>
      </c>
      <c r="M70" s="38">
        <f>I70/(HLOOKUP(F70,Team_Composition_23[[#All],[Yellow]:[Red]],10,FALSE)+HLOOKUP(F70,Team_Composition_23[[#All],[Yellow]:[Red]],11,FALSE))</f>
        <v>4.2630937880633372E-2</v>
      </c>
      <c r="N70" s="38">
        <f>J70/HLOOKUP(F70,Team_Composition_23[[#All],[Yellow]:[Red]],6,FALSE)</f>
        <v>3.552652942791622E-3</v>
      </c>
      <c r="O70" s="38">
        <f>K70/HLOOKUP(F70,Team_Composition_23[[#All],[Yellow]:[Red]],8,FALSE)</f>
        <v>2.1969133089927564E-2</v>
      </c>
      <c r="P70" s="38">
        <f>L70/HLOOKUP(F70,Team_Composition_23[[#All],[Yellow]:[Red]],7,FALSE)</f>
        <v>0.10118405372185708</v>
      </c>
      <c r="Q70" s="31"/>
      <c r="R70" s="45" t="s">
        <v>10</v>
      </c>
      <c r="S70" s="46">
        <f t="shared" ref="S70:S72" si="14">COUNTIFS(C:C,R70,F:F,"Yellow")</f>
        <v>7</v>
      </c>
      <c r="T70" s="47">
        <f t="shared" ref="T70:T72" si="15">COUNTIFS(C:C,R70,F:F,"Red")</f>
        <v>5</v>
      </c>
      <c r="U70" s="31"/>
      <c r="V70" s="31"/>
      <c r="W70" s="31"/>
      <c r="X70" s="31"/>
      <c r="Y70" s="31"/>
      <c r="Z70" s="31"/>
      <c r="AA70" s="31"/>
      <c r="AB70" s="45" t="s">
        <v>10</v>
      </c>
      <c r="AC70" s="50">
        <f t="shared" ref="AC70:AC72" si="16">COUNTIFS(C:C,AB70,D:D,"Best Regards")</f>
        <v>7</v>
      </c>
      <c r="AD70" s="51">
        <f t="shared" ref="AD70:AD72" si="17">COUNTIFS(C:C,AB70,D:D,"Unhinged肉")</f>
        <v>0</v>
      </c>
    </row>
    <row r="71" spans="1:30" ht="22.5" customHeight="1">
      <c r="A71" s="82">
        <v>76</v>
      </c>
      <c r="B71" s="52" t="str">
        <f>VLOOKUP(C71,Lists!I:J,2,FALSE)</f>
        <v>Healer</v>
      </c>
      <c r="C71" s="34" t="str">
        <f>VLOOKUP(E71&amp;D71,Lists!C:E,3,FALSE)</f>
        <v>Wand/Orb</v>
      </c>
      <c r="D71" s="13" t="s">
        <v>30</v>
      </c>
      <c r="E71" s="83" t="s">
        <v>202</v>
      </c>
      <c r="F71" s="13" t="s">
        <v>483</v>
      </c>
      <c r="G71" s="82">
        <v>0</v>
      </c>
      <c r="H71" s="82">
        <v>35</v>
      </c>
      <c r="I71" s="84">
        <f t="shared" si="0"/>
        <v>35</v>
      </c>
      <c r="J71" s="85">
        <v>770</v>
      </c>
      <c r="K71" s="85">
        <v>646283</v>
      </c>
      <c r="L71" s="85">
        <v>781488</v>
      </c>
      <c r="M71" s="38">
        <f>I71/(HLOOKUP(F71,Team_Composition_23[[#All],[Yellow]:[Red]],10,FALSE)+HLOOKUP(F71,Team_Composition_23[[#All],[Yellow]:[Red]],11,FALSE))</f>
        <v>4.2630937880633372E-2</v>
      </c>
      <c r="N71" s="38">
        <f>J71/HLOOKUP(F71,Team_Composition_23[[#All],[Yellow]:[Red]],6,FALSE)</f>
        <v>4.3637422887148241E-5</v>
      </c>
      <c r="O71" s="38">
        <f>K71/HLOOKUP(F71,Team_Composition_23[[#All],[Yellow]:[Red]],8,FALSE)</f>
        <v>1.46829314417882E-2</v>
      </c>
      <c r="P71" s="38">
        <f>L71/HLOOKUP(F71,Team_Composition_23[[#All],[Yellow]:[Red]],7,FALSE)</f>
        <v>3.2201863748052048E-2</v>
      </c>
      <c r="Q71" s="31"/>
      <c r="R71" s="45" t="s">
        <v>9</v>
      </c>
      <c r="S71" s="46">
        <f t="shared" si="14"/>
        <v>9</v>
      </c>
      <c r="T71" s="47">
        <f t="shared" si="15"/>
        <v>12</v>
      </c>
      <c r="U71" s="31"/>
      <c r="V71" s="31"/>
      <c r="W71" s="31"/>
      <c r="X71" s="31"/>
      <c r="Y71" s="31"/>
      <c r="Z71" s="31"/>
      <c r="AA71" s="31"/>
      <c r="AB71" s="45" t="s">
        <v>9</v>
      </c>
      <c r="AC71" s="50">
        <f t="shared" si="16"/>
        <v>9</v>
      </c>
      <c r="AD71" s="51">
        <f t="shared" si="17"/>
        <v>0</v>
      </c>
    </row>
    <row r="72" spans="1:30" ht="22.5" customHeight="1">
      <c r="A72" s="82">
        <v>77</v>
      </c>
      <c r="B72" s="33" t="str">
        <f>VLOOKUP(C72,Lists!I:J,2,FALSE)</f>
        <v>Healer</v>
      </c>
      <c r="C72" s="34" t="s">
        <v>9</v>
      </c>
      <c r="D72" s="13" t="s">
        <v>516</v>
      </c>
      <c r="E72" s="83" t="s">
        <v>188</v>
      </c>
      <c r="F72" s="13" t="s">
        <v>483</v>
      </c>
      <c r="G72" s="82">
        <v>0</v>
      </c>
      <c r="H72" s="82">
        <v>35</v>
      </c>
      <c r="I72" s="84">
        <f t="shared" si="0"/>
        <v>35</v>
      </c>
      <c r="J72" s="85">
        <v>550</v>
      </c>
      <c r="K72" s="85">
        <v>1040863</v>
      </c>
      <c r="L72" s="85">
        <v>3152563</v>
      </c>
      <c r="M72" s="38">
        <f>I72/(HLOOKUP(F72,Team_Composition_23[[#All],[Yellow]:[Red]],10,FALSE)+HLOOKUP(F72,Team_Composition_23[[#All],[Yellow]:[Red]],11,FALSE))</f>
        <v>4.2630937880633372E-2</v>
      </c>
      <c r="N72" s="38">
        <f>J72/HLOOKUP(F72,Team_Composition_23[[#All],[Yellow]:[Red]],6,FALSE)</f>
        <v>3.1169587776534454E-5</v>
      </c>
      <c r="O72" s="38">
        <f>K72/HLOOKUP(F72,Team_Composition_23[[#All],[Yellow]:[Red]],8,FALSE)</f>
        <v>2.3647411535339766E-2</v>
      </c>
      <c r="P72" s="38">
        <f>L72/HLOOKUP(F72,Team_Composition_23[[#All],[Yellow]:[Red]],7,FALSE)</f>
        <v>0.12990398340492779</v>
      </c>
      <c r="Q72" s="31"/>
      <c r="R72" s="45" t="s">
        <v>18</v>
      </c>
      <c r="S72" s="46">
        <f t="shared" si="14"/>
        <v>0</v>
      </c>
      <c r="T72" s="47">
        <f t="shared" si="15"/>
        <v>1</v>
      </c>
      <c r="U72" s="31"/>
      <c r="V72" s="31"/>
      <c r="W72" s="31"/>
      <c r="X72" s="31"/>
      <c r="Y72" s="31"/>
      <c r="Z72" s="31"/>
      <c r="AA72" s="31"/>
      <c r="AB72" s="45" t="s">
        <v>18</v>
      </c>
      <c r="AC72" s="50">
        <f t="shared" si="16"/>
        <v>0</v>
      </c>
      <c r="AD72" s="51">
        <f t="shared" si="17"/>
        <v>0</v>
      </c>
    </row>
    <row r="73" spans="1:30" ht="22.5" customHeight="1">
      <c r="A73" s="82">
        <v>78</v>
      </c>
      <c r="B73" s="56" t="str">
        <f>VLOOKUP(C73,Lists!I:J,2,FALSE)</f>
        <v>Tank</v>
      </c>
      <c r="C73" s="34" t="str">
        <f>VLOOKUP(E73&amp;D73,Lists!C:E,3,FALSE)</f>
        <v>SnS/Longbow</v>
      </c>
      <c r="D73" s="13" t="s">
        <v>30</v>
      </c>
      <c r="E73" s="83" t="s">
        <v>409</v>
      </c>
      <c r="F73" s="13" t="s">
        <v>483</v>
      </c>
      <c r="G73" s="82">
        <v>0</v>
      </c>
      <c r="H73" s="82">
        <v>34</v>
      </c>
      <c r="I73" s="84">
        <f t="shared" si="0"/>
        <v>34</v>
      </c>
      <c r="J73" s="85">
        <v>91525</v>
      </c>
      <c r="K73" s="85">
        <v>1910442</v>
      </c>
      <c r="L73" s="85">
        <v>920349</v>
      </c>
      <c r="M73" s="38">
        <f>I73/(HLOOKUP(F73,Team_Composition_23[[#All],[Yellow]:[Red]],10,FALSE)+HLOOKUP(F73,Team_Composition_23[[#All],[Yellow]:[Red]],11,FALSE))</f>
        <v>4.1412911084043852E-2</v>
      </c>
      <c r="N73" s="38">
        <f>J73/HLOOKUP(F73,Team_Composition_23[[#All],[Yellow]:[Red]],6,FALSE)</f>
        <v>5.1869027659042109E-3</v>
      </c>
      <c r="O73" s="38">
        <f>K73/HLOOKUP(F73,Team_Composition_23[[#All],[Yellow]:[Red]],8,FALSE)</f>
        <v>4.3403414463188308E-2</v>
      </c>
      <c r="P73" s="38">
        <f>L73/HLOOKUP(F73,Team_Composition_23[[#All],[Yellow]:[Red]],7,FALSE)</f>
        <v>3.7923746876031304E-2</v>
      </c>
      <c r="Q73" s="31"/>
      <c r="R73" s="31"/>
      <c r="S73" s="31"/>
      <c r="T73" s="31"/>
      <c r="U73" s="31"/>
      <c r="V73" s="31"/>
      <c r="W73" s="31"/>
      <c r="X73" s="31"/>
      <c r="Y73" s="31"/>
      <c r="Z73" s="31"/>
      <c r="AA73" s="31"/>
      <c r="AB73" s="31"/>
      <c r="AC73" s="31"/>
      <c r="AD73" s="31"/>
    </row>
    <row r="74" spans="1:30" ht="22.5" customHeight="1">
      <c r="A74" s="82">
        <v>42</v>
      </c>
      <c r="B74" s="60" t="str">
        <f>VLOOKUP(C74,Lists!I:J,2,FALSE)</f>
        <v>Ranged DPS</v>
      </c>
      <c r="C74" s="34" t="str">
        <f>VLOOKUP(E74&amp;D74,Lists!C:E,3,FALSE)</f>
        <v>Crossbow/SnS</v>
      </c>
      <c r="D74" s="13" t="s">
        <v>34</v>
      </c>
      <c r="E74" s="83" t="s">
        <v>83</v>
      </c>
      <c r="F74" s="13" t="s">
        <v>476</v>
      </c>
      <c r="G74" s="82">
        <v>2</v>
      </c>
      <c r="H74" s="82">
        <v>29</v>
      </c>
      <c r="I74" s="84">
        <f t="shared" si="0"/>
        <v>31</v>
      </c>
      <c r="J74" s="85">
        <v>82031</v>
      </c>
      <c r="K74" s="85">
        <v>277422</v>
      </c>
      <c r="L74" s="85">
        <v>266054</v>
      </c>
      <c r="M74" s="38">
        <f>I74/(HLOOKUP(F74,Team_Composition_23[[#All],[Yellow]:[Red]],10,FALSE)+HLOOKUP(F74,Team_Composition_23[[#All],[Yellow]:[Red]],11,FALSE))</f>
        <v>7.7480629842539362E-3</v>
      </c>
      <c r="N74" s="38">
        <f>J74/HLOOKUP(F74,Team_Composition_23[[#All],[Yellow]:[Red]],6,FALSE)</f>
        <v>1.849061316970486E-3</v>
      </c>
      <c r="O74" s="38">
        <f>K74/HLOOKUP(F74,Team_Composition_23[[#All],[Yellow]:[Red]],8,FALSE)</f>
        <v>1.5835707121558754E-2</v>
      </c>
      <c r="P74" s="38">
        <f>L74/HLOOKUP(F74,Team_Composition_23[[#All],[Yellow]:[Red]],7,FALSE)</f>
        <v>2.0553004633375602E-2</v>
      </c>
      <c r="Q74" s="31"/>
    </row>
    <row r="75" spans="1:30" ht="22.5" customHeight="1">
      <c r="A75" s="82">
        <v>79</v>
      </c>
      <c r="B75" s="54" t="str">
        <f>VLOOKUP(C75,Lists!I:J,2,FALSE)</f>
        <v>Healer</v>
      </c>
      <c r="C75" s="34" t="str">
        <f>VLOOKUP(E75&amp;D75,Lists!C:E,3,FALSE)</f>
        <v>Wand/Orb</v>
      </c>
      <c r="D75" s="13" t="s">
        <v>30</v>
      </c>
      <c r="E75" s="83" t="s">
        <v>429</v>
      </c>
      <c r="F75" s="13" t="s">
        <v>483</v>
      </c>
      <c r="G75" s="82">
        <v>0</v>
      </c>
      <c r="H75" s="82">
        <v>30</v>
      </c>
      <c r="I75" s="84">
        <f t="shared" si="0"/>
        <v>30</v>
      </c>
      <c r="J75" s="85">
        <v>30212</v>
      </c>
      <c r="K75" s="85">
        <v>681863</v>
      </c>
      <c r="L75" s="85">
        <v>1557676</v>
      </c>
      <c r="M75" s="38">
        <f>I75/(HLOOKUP(F75,Team_Composition_23[[#All],[Yellow]:[Red]],10,FALSE)+HLOOKUP(F75,Team_Composition_23[[#All],[Yellow]:[Red]],11,FALSE))</f>
        <v>3.6540803897685749E-2</v>
      </c>
      <c r="N75" s="38">
        <f>J75/HLOOKUP(F75,Team_Composition_23[[#All],[Yellow]:[Red]],6,FALSE)</f>
        <v>1.7121737925539255E-3</v>
      </c>
      <c r="O75" s="38">
        <f>K75/HLOOKUP(F75,Team_Composition_23[[#All],[Yellow]:[Red]],8,FALSE)</f>
        <v>1.5491275001341559E-2</v>
      </c>
      <c r="P75" s="38">
        <f>L75/HLOOKUP(F75,Team_Composition_23[[#All],[Yellow]:[Red]],7,FALSE)</f>
        <v>6.4185336583045066E-2</v>
      </c>
      <c r="Q75" s="31"/>
      <c r="R75" s="227" t="s">
        <v>78</v>
      </c>
      <c r="S75" s="228"/>
      <c r="T75" s="228"/>
      <c r="U75" s="31"/>
      <c r="V75" s="31"/>
      <c r="W75" s="31"/>
      <c r="X75" s="31"/>
      <c r="Y75" s="31"/>
      <c r="Z75" s="31"/>
      <c r="AA75" s="31"/>
      <c r="AB75" s="227" t="s">
        <v>78</v>
      </c>
      <c r="AC75" s="228"/>
      <c r="AD75" s="228"/>
    </row>
    <row r="76" spans="1:30" ht="22.5" customHeight="1">
      <c r="A76" s="82">
        <v>80</v>
      </c>
      <c r="B76" s="33" t="str">
        <f>VLOOKUP(C76,Lists!I:J,2,FALSE)</f>
        <v>Tank</v>
      </c>
      <c r="C76" s="34" t="str">
        <f>VLOOKUP(E76&amp;D76,Lists!C:E,3,FALSE)</f>
        <v>SnS/Greatsword</v>
      </c>
      <c r="D76" s="13" t="s">
        <v>34</v>
      </c>
      <c r="E76" s="83" t="s">
        <v>148</v>
      </c>
      <c r="F76" s="13" t="s">
        <v>476</v>
      </c>
      <c r="G76" s="82">
        <v>0</v>
      </c>
      <c r="H76" s="82">
        <v>29</v>
      </c>
      <c r="I76" s="84">
        <f t="shared" si="0"/>
        <v>29</v>
      </c>
      <c r="J76" s="85">
        <v>86401</v>
      </c>
      <c r="K76" s="85">
        <v>687901</v>
      </c>
      <c r="L76" s="85">
        <v>17545</v>
      </c>
      <c r="M76" s="38">
        <f>I76/(HLOOKUP(F76,Team_Composition_23[[#All],[Yellow]:[Red]],10,FALSE)+HLOOKUP(F76,Team_Composition_23[[#All],[Yellow]:[Red]],11,FALSE))</f>
        <v>7.2481879530117473E-3</v>
      </c>
      <c r="N76" s="38">
        <f>J76/HLOOKUP(F76,Team_Composition_23[[#All],[Yellow]:[Red]],6,FALSE)</f>
        <v>1.9475655160557223E-3</v>
      </c>
      <c r="O76" s="38">
        <f>K76/HLOOKUP(F76,Team_Composition_23[[#All],[Yellow]:[Red]],8,FALSE)</f>
        <v>3.9266528121877101E-2</v>
      </c>
      <c r="P76" s="38">
        <f>L76/HLOOKUP(F76,Team_Composition_23[[#All],[Yellow]:[Red]],7,FALSE)</f>
        <v>1.3553732185668131E-3</v>
      </c>
      <c r="Q76" s="31"/>
      <c r="R76" s="27" t="s">
        <v>482</v>
      </c>
      <c r="S76" s="72" t="s">
        <v>476</v>
      </c>
      <c r="T76" s="72" t="s">
        <v>483</v>
      </c>
      <c r="U76" s="31"/>
      <c r="V76" s="31"/>
      <c r="W76" s="31"/>
      <c r="X76" s="31"/>
      <c r="Y76" s="31"/>
      <c r="Z76" s="31"/>
      <c r="AA76" s="31"/>
      <c r="AB76" s="27" t="s">
        <v>482</v>
      </c>
      <c r="AC76" s="72" t="s">
        <v>485</v>
      </c>
      <c r="AD76" s="72" t="s">
        <v>36</v>
      </c>
    </row>
    <row r="77" spans="1:30" ht="22.5" customHeight="1">
      <c r="A77" s="82">
        <v>43</v>
      </c>
      <c r="B77" s="56" t="str">
        <f>VLOOKUP(C77,Lists!I:J,2,FALSE)</f>
        <v>Healer</v>
      </c>
      <c r="C77" s="34" t="str">
        <f>VLOOKUP(E77&amp;D77,Lists!C:E,3,FALSE)</f>
        <v>Wand/Greatsword</v>
      </c>
      <c r="D77" s="13" t="s">
        <v>30</v>
      </c>
      <c r="E77" s="83" t="s">
        <v>415</v>
      </c>
      <c r="F77" s="13" t="s">
        <v>483</v>
      </c>
      <c r="G77" s="82">
        <v>2</v>
      </c>
      <c r="H77" s="82">
        <v>26</v>
      </c>
      <c r="I77" s="84">
        <f t="shared" si="0"/>
        <v>28</v>
      </c>
      <c r="J77" s="85">
        <v>90871</v>
      </c>
      <c r="K77" s="85">
        <v>1239876</v>
      </c>
      <c r="L77" s="85">
        <v>135471</v>
      </c>
      <c r="M77" s="38">
        <f>I77/(HLOOKUP(F77,Team_Composition_23[[#All],[Yellow]:[Red]],10,FALSE)+HLOOKUP(F77,Team_Composition_23[[#All],[Yellow]:[Red]],11,FALSE))</f>
        <v>3.4104750304506701E-2</v>
      </c>
      <c r="N77" s="38">
        <f>J77/HLOOKUP(F77,Team_Composition_23[[#All],[Yellow]:[Red]],6,FALSE)</f>
        <v>5.1498392924390233E-3</v>
      </c>
      <c r="O77" s="38">
        <f>K77/HLOOKUP(F77,Team_Composition_23[[#All],[Yellow]:[Red]],8,FALSE)</f>
        <v>2.8168796493670087E-2</v>
      </c>
      <c r="P77" s="38">
        <f>L77/HLOOKUP(F77,Team_Composition_23[[#All],[Yellow]:[Red]],7,FALSE)</f>
        <v>5.5821953552867842E-3</v>
      </c>
      <c r="Q77" s="31"/>
      <c r="R77" s="74" t="s">
        <v>468</v>
      </c>
      <c r="S77" s="75">
        <f>SUMIFS('BR v HR Morokai 242026'!$J$2:$J$163,'BR v HR Morokai 242026'!$B$2:$B$163,"KS",'BR v HR Morokai 242026'!$F$2:$F$163,"Yellow")</f>
        <v>8390813</v>
      </c>
      <c r="T77" s="76">
        <f>SUMIFS('BR v HR Morokai 242026'!$J$2:$J$163,'BR v HR Morokai 242026'!$B$2:$B$163,"KS",'BR v HR Morokai 242026'!$F$2:$F$163,"Red")</f>
        <v>5227921</v>
      </c>
      <c r="U77" s="31"/>
      <c r="V77" s="31"/>
      <c r="W77" s="31"/>
      <c r="X77" s="31"/>
      <c r="Y77" s="31"/>
      <c r="Z77" s="31"/>
      <c r="AA77" s="31"/>
      <c r="AB77" s="74" t="s">
        <v>468</v>
      </c>
      <c r="AC77" s="75">
        <f>SUMIFS('BR v HR Morokai 242026'!$J$2:$J$163,'BR v HR Morokai 242026'!$B$2:$B$163,"KS",'BR v HR Morokai 242026'!$D$2:$D$163,"Best Regards")</f>
        <v>8390813</v>
      </c>
      <c r="AD77" s="76">
        <f>SUMIFS('BR v HR Morokai 242026'!$J$2:$J$163,'BR v HR Morokai 242026'!$B$2:$B$163,"KS",'BR v HR Morokai 242026'!$D$2:$D$163,"Unhinged肉")</f>
        <v>0</v>
      </c>
    </row>
    <row r="78" spans="1:30" ht="22.5" customHeight="1">
      <c r="A78" s="82">
        <v>81</v>
      </c>
      <c r="B78" s="34" t="str">
        <f>VLOOKUP(C78,Lists!I:J,2,FALSE)</f>
        <v>Tank</v>
      </c>
      <c r="C78" s="34" t="str">
        <f>VLOOKUP(E78&amp;D78,Lists!C:E,3,FALSE)</f>
        <v>SnS/Greatsword</v>
      </c>
      <c r="D78" s="13" t="s">
        <v>30</v>
      </c>
      <c r="E78" s="83" t="s">
        <v>437</v>
      </c>
      <c r="F78" s="13" t="s">
        <v>483</v>
      </c>
      <c r="G78" s="82">
        <v>0</v>
      </c>
      <c r="H78" s="82">
        <v>28</v>
      </c>
      <c r="I78" s="84">
        <f t="shared" si="0"/>
        <v>28</v>
      </c>
      <c r="J78" s="85">
        <v>8296</v>
      </c>
      <c r="K78" s="85">
        <v>1262475</v>
      </c>
      <c r="L78" s="85">
        <v>1332430</v>
      </c>
      <c r="M78" s="38">
        <f>I78/(HLOOKUP(F78,Team_Composition_23[[#All],[Yellow]:[Red]],10,FALSE)+HLOOKUP(F78,Team_Composition_23[[#All],[Yellow]:[Red]],11,FALSE))</f>
        <v>3.4104750304506701E-2</v>
      </c>
      <c r="N78" s="38">
        <f>J78/HLOOKUP(F78,Team_Composition_23[[#All],[Yellow]:[Red]],6,FALSE)</f>
        <v>4.7015072762569067E-4</v>
      </c>
      <c r="O78" s="38">
        <f>K78/HLOOKUP(F78,Team_Composition_23[[#All],[Yellow]:[Red]],8,FALSE)</f>
        <v>2.868222415253311E-2</v>
      </c>
      <c r="P78" s="38">
        <f>L78/HLOOKUP(F78,Team_Composition_23[[#All],[Yellow]:[Red]],7,FALSE)</f>
        <v>5.4903887601366864E-2</v>
      </c>
      <c r="Q78" s="31"/>
      <c r="R78" s="78" t="s">
        <v>469</v>
      </c>
      <c r="S78" s="75">
        <f>SUMIFS('BR v HR Morokai 242026'!$K$2:$K$163,'BR v HR Morokai 242026'!$B$2:$B$163,"KS",'BR v HR Morokai 242026'!$F$2:$F$163,"Yellow")</f>
        <v>3704797</v>
      </c>
      <c r="T78" s="76">
        <f>SUMIFS('BR v HR Morokai 242026'!$K$2:$K$163,'BR v HR Morokai 242026'!$B$2:$B$163,"KS",'BR v HR Morokai 242026'!$F$2:$F$163,"Red")</f>
        <v>3540221</v>
      </c>
      <c r="U78" s="31"/>
      <c r="V78" s="31"/>
      <c r="W78" s="31"/>
      <c r="X78" s="31"/>
      <c r="Y78" s="31"/>
      <c r="Z78" s="31"/>
      <c r="AA78" s="31"/>
      <c r="AB78" s="78" t="s">
        <v>469</v>
      </c>
      <c r="AC78" s="75">
        <f>SUMIFS('BR v HR Morokai 242026'!$K$2:$K$163,'BR v HR Morokai 242026'!$B$2:$B$163,"KS",'BR v HR Morokai 242026'!$D$2:$D$163,"Best Regards")</f>
        <v>3704797</v>
      </c>
      <c r="AD78" s="76">
        <f>SUMIFS('BR v HR Morokai 242026'!$K$2:$K$163,'BR v HR Morokai 242026'!$B$2:$B$163,"KS",'BR v HR Morokai 242026'!$D$2:$D$163,"Unhinged肉")</f>
        <v>0</v>
      </c>
    </row>
    <row r="79" spans="1:30" ht="22.5" customHeight="1">
      <c r="A79" s="82">
        <v>82</v>
      </c>
      <c r="B79" s="59" t="str">
        <f>VLOOKUP(C79,Lists!I:J,2,FALSE)</f>
        <v>Healer</v>
      </c>
      <c r="C79" s="34" t="str">
        <f>VLOOKUP(E79&amp;D79,Lists!C:E,3,FALSE)</f>
        <v>Wand/Orb</v>
      </c>
      <c r="D79" s="13" t="s">
        <v>30</v>
      </c>
      <c r="E79" s="83" t="s">
        <v>199</v>
      </c>
      <c r="F79" s="13" t="s">
        <v>483</v>
      </c>
      <c r="G79" s="82">
        <v>0</v>
      </c>
      <c r="H79" s="82">
        <v>28</v>
      </c>
      <c r="I79" s="84">
        <f t="shared" si="0"/>
        <v>28</v>
      </c>
      <c r="J79" s="85">
        <v>0</v>
      </c>
      <c r="K79" s="85">
        <v>633732</v>
      </c>
      <c r="L79" s="85">
        <v>1167772</v>
      </c>
      <c r="M79" s="38">
        <f>I79/(HLOOKUP(F79,Team_Composition_23[[#All],[Yellow]:[Red]],10,FALSE)+HLOOKUP(F79,Team_Composition_23[[#All],[Yellow]:[Red]],11,FALSE))</f>
        <v>3.4104750304506701E-2</v>
      </c>
      <c r="N79" s="38">
        <f>J79/HLOOKUP(F79,Team_Composition_23[[#All],[Yellow]:[Red]],6,FALSE)</f>
        <v>0</v>
      </c>
      <c r="O79" s="38">
        <f>K79/HLOOKUP(F79,Team_Composition_23[[#All],[Yellow]:[Red]],8,FALSE)</f>
        <v>1.4397784729704046E-2</v>
      </c>
      <c r="P79" s="38">
        <f>L79/HLOOKUP(F79,Team_Composition_23[[#All],[Yellow]:[Red]],7,FALSE)</f>
        <v>4.8119017608447265E-2</v>
      </c>
      <c r="Q79" s="31"/>
      <c r="R79" s="74" t="s">
        <v>470</v>
      </c>
      <c r="S79" s="75">
        <f>SUMIFS('BR v HR Morokai 242026'!$L$2:$L$163,'BR v HR Morokai 242026'!$B$2:$B$163,"KS",'BR v HR Morokai 242026'!$F$2:$F$163,"Yellow")</f>
        <v>55827</v>
      </c>
      <c r="T79" s="76">
        <f>SUMIFS('BR v HR Morokai 242026'!$L$2:$L$163,'BR v HR Morokai 242026'!$B$2:$B$163,"KS",'BR v HR Morokai 242026'!$F$2:$F$163,"Red")</f>
        <v>107281</v>
      </c>
      <c r="U79" s="31"/>
      <c r="V79" s="31"/>
      <c r="W79" s="31"/>
      <c r="X79" s="31"/>
      <c r="Y79" s="31"/>
      <c r="Z79" s="31"/>
      <c r="AA79" s="31"/>
      <c r="AB79" s="74" t="s">
        <v>470</v>
      </c>
      <c r="AC79" s="75">
        <f>SUMIFS('BR v HR Morokai 242026'!$L$2:$L$163,'BR v HR Morokai 242026'!$B$2:$B$163,"KS",'BR v HR Morokai 242026'!$D$2:$D$163,"Best Regards")</f>
        <v>55827</v>
      </c>
      <c r="AD79" s="76">
        <f>SUMIFS('BR v HR Morokai 242026'!$L$2:$L$163,'BR v HR Morokai 242026'!$B$2:$B$163,"KS",'BR v HR Morokai 242026'!$D$2:$D$163,"Unhinged肉")</f>
        <v>0</v>
      </c>
    </row>
    <row r="80" spans="1:30" ht="22.5" customHeight="1">
      <c r="A80" s="82">
        <v>37</v>
      </c>
      <c r="B80" s="62" t="str">
        <f>VLOOKUP(C80,Lists!I:J,2,FALSE)</f>
        <v>Tank</v>
      </c>
      <c r="C80" s="34" t="str">
        <f>VLOOKUP(E80&amp;D80,Lists!C:E,3,FALSE)</f>
        <v>SnS/Greatsword</v>
      </c>
      <c r="D80" s="13" t="s">
        <v>34</v>
      </c>
      <c r="E80" s="83" t="s">
        <v>123</v>
      </c>
      <c r="F80" s="13" t="s">
        <v>476</v>
      </c>
      <c r="G80" s="82">
        <v>3</v>
      </c>
      <c r="H80" s="82">
        <v>23</v>
      </c>
      <c r="I80" s="84">
        <f t="shared" si="0"/>
        <v>26</v>
      </c>
      <c r="J80" s="85">
        <v>140707</v>
      </c>
      <c r="K80" s="85">
        <v>727517</v>
      </c>
      <c r="L80" s="85">
        <v>35684</v>
      </c>
      <c r="M80" s="38">
        <f>I80/(HLOOKUP(F80,Team_Composition_23[[#All],[Yellow]:[Red]],10,FALSE)+HLOOKUP(F80,Team_Composition_23[[#All],[Yellow]:[Red]],11,FALSE))</f>
        <v>6.4983754061484628E-3</v>
      </c>
      <c r="N80" s="38">
        <f>J80/HLOOKUP(F80,Team_Composition_23[[#All],[Yellow]:[Red]],6,FALSE)</f>
        <v>3.1716774234980213E-3</v>
      </c>
      <c r="O80" s="38">
        <f>K80/HLOOKUP(F80,Team_Composition_23[[#All],[Yellow]:[Red]],8,FALSE)</f>
        <v>4.1527874998936856E-2</v>
      </c>
      <c r="P80" s="38">
        <f>L80/HLOOKUP(F80,Team_Composition_23[[#All],[Yellow]:[Red]],7,FALSE)</f>
        <v>2.7566336808970168E-3</v>
      </c>
      <c r="Q80" s="31"/>
      <c r="R80" s="78" t="s">
        <v>465</v>
      </c>
      <c r="S80" s="75">
        <f>SUMIFS('BR v HR Morokai 242026'!$G$2:$G$163,'BR v HR Morokai 242026'!$B$2:$B$163,"KS",'BR v HR Morokai 242026'!$F$2:$F$163,"Yellow")</f>
        <v>216</v>
      </c>
      <c r="T80" s="76">
        <f>SUMIFS('BR v HR Morokai 242026'!$G$2:$G$163,'BR v HR Morokai 242026'!$B$2:$B$163,"KS",'BR v HR Morokai 242026'!$F$2:$F$163,"Red")</f>
        <v>107</v>
      </c>
      <c r="U80" s="31"/>
      <c r="V80" s="31"/>
      <c r="W80" s="31"/>
      <c r="X80" s="31"/>
      <c r="Y80" s="31"/>
      <c r="Z80" s="31"/>
      <c r="AA80" s="31"/>
      <c r="AB80" s="78" t="s">
        <v>465</v>
      </c>
      <c r="AC80" s="75">
        <f>SUMIFS('BR v HR Morokai 242026'!$G$2:$G$163,'BR v HR Morokai 242026'!$B$2:$B$163,"KS",'BR v HR Morokai 242026'!$D$2:$D$163,"Best Regards")</f>
        <v>216</v>
      </c>
      <c r="AD80" s="76">
        <f>SUMIFS('BR v HR Morokai 242026'!$G$2:$G$163,'BR v HR Morokai 242026'!$B$2:$B$163,"KS",'BR v HR Morokai 242026'!$D$2:$D$163,"Unhinged肉")</f>
        <v>0</v>
      </c>
    </row>
    <row r="81" spans="1:30" ht="22.5" customHeight="1">
      <c r="A81" s="82">
        <v>83</v>
      </c>
      <c r="B81" s="56" t="str">
        <f>VLOOKUP(C81,Lists!I:J,2,FALSE)</f>
        <v>Melee DPS</v>
      </c>
      <c r="C81" s="34" t="str">
        <f>VLOOKUP(E81&amp;D81,Lists!C:E,3,FALSE)</f>
        <v>Greatsword/Spear</v>
      </c>
      <c r="D81" s="13" t="s">
        <v>30</v>
      </c>
      <c r="E81" s="83" t="s">
        <v>223</v>
      </c>
      <c r="F81" s="13" t="s">
        <v>483</v>
      </c>
      <c r="G81" s="82">
        <v>0</v>
      </c>
      <c r="H81" s="82">
        <v>25</v>
      </c>
      <c r="I81" s="84">
        <f t="shared" si="0"/>
        <v>25</v>
      </c>
      <c r="J81" s="85">
        <v>62316</v>
      </c>
      <c r="K81" s="85">
        <v>1070444</v>
      </c>
      <c r="L81" s="85">
        <v>47760</v>
      </c>
      <c r="M81" s="38">
        <f>I81/(HLOOKUP(F81,Team_Composition_23[[#All],[Yellow]:[Red]],10,FALSE)+HLOOKUP(F81,Team_Composition_23[[#All],[Yellow]:[Red]],11,FALSE))</f>
        <v>3.0450669914738125E-2</v>
      </c>
      <c r="N81" s="38">
        <f>J81/HLOOKUP(F81,Team_Composition_23[[#All],[Yellow]:[Red]],6,FALSE)</f>
        <v>3.5315709670591298E-3</v>
      </c>
      <c r="O81" s="38">
        <f>K81/HLOOKUP(F81,Team_Composition_23[[#All],[Yellow]:[Red]],8,FALSE)</f>
        <v>2.4319463554315256E-2</v>
      </c>
      <c r="P81" s="38">
        <f>L81/HLOOKUP(F81,Team_Composition_23[[#All],[Yellow]:[Red]],7,FALSE)</f>
        <v>1.9679905674904359E-3</v>
      </c>
      <c r="Q81" s="31"/>
      <c r="R81" s="79" t="s">
        <v>466</v>
      </c>
      <c r="S81" s="80">
        <f>SUMIFS('BR v HR Morokai 242026'!$H$2:$H$163,'BR v HR Morokai 242026'!$B$2:$B$163,"KS",'BR v HR Morokai 242026'!$F$2:$F$163,"Yellow")</f>
        <v>318</v>
      </c>
      <c r="T81" s="81">
        <f>SUMIFS('BR v HR Morokai 242026'!$H$2:$H$163,'BR v HR Morokai 242026'!$B$2:$B$163,"KS",'BR v HR Morokai 242026'!$F$2:$F$163,"Red")</f>
        <v>159</v>
      </c>
      <c r="U81" s="31"/>
      <c r="V81" s="31"/>
      <c r="W81" s="31"/>
      <c r="X81" s="31"/>
      <c r="Y81" s="31"/>
      <c r="Z81" s="31"/>
      <c r="AA81" s="31"/>
      <c r="AB81" s="79" t="s">
        <v>466</v>
      </c>
      <c r="AC81" s="80">
        <f>SUMIFS('BR v HR Morokai 242026'!$H$2:$H$163,'BR v HR Morokai 242026'!$B$2:$B$163,"KS",'BR v HR Morokai 242026'!$D$2:$D$163,"Best Regards")</f>
        <v>318</v>
      </c>
      <c r="AD81" s="81">
        <f>SUMIFS('BR v HR Morokai 242026'!$H$2:$H$163,'BR v HR Morokai 242026'!$B$2:$B$163,"KS",'BR v HR Morokai 242026'!$D$2:$D$163,"Unhinged肉")</f>
        <v>0</v>
      </c>
    </row>
    <row r="82" spans="1:30" ht="22.5" customHeight="1">
      <c r="A82" s="82">
        <v>84</v>
      </c>
      <c r="B82" s="60" t="str">
        <f>VLOOKUP(C82,Lists!I:J,2,FALSE)</f>
        <v>Tank</v>
      </c>
      <c r="C82" s="34" t="str">
        <f>VLOOKUP(E82&amp;D82,Lists!C:E,3,FALSE)</f>
        <v>SnS/Greatsword</v>
      </c>
      <c r="D82" s="13" t="s">
        <v>30</v>
      </c>
      <c r="E82" s="98" t="s">
        <v>176</v>
      </c>
      <c r="F82" s="13" t="s">
        <v>476</v>
      </c>
      <c r="G82" s="82">
        <v>0</v>
      </c>
      <c r="H82" s="82">
        <v>24</v>
      </c>
      <c r="I82" s="84">
        <f t="shared" si="0"/>
        <v>24</v>
      </c>
      <c r="J82" s="85">
        <v>46428</v>
      </c>
      <c r="K82" s="85">
        <v>908253</v>
      </c>
      <c r="L82" s="85">
        <v>50115</v>
      </c>
      <c r="M82" s="38">
        <f>I82/(HLOOKUP(F82,Team_Composition_23[[#All],[Yellow]:[Red]],10,FALSE)+HLOOKUP(F82,Team_Composition_23[[#All],[Yellow]:[Red]],11,FALSE))</f>
        <v>5.9985003749062731E-3</v>
      </c>
      <c r="N82" s="38">
        <f>J82/HLOOKUP(F82,Team_Composition_23[[#All],[Yellow]:[Red]],6,FALSE)</f>
        <v>1.0465338570090055E-3</v>
      </c>
      <c r="O82" s="38">
        <f>K82/HLOOKUP(F82,Team_Composition_23[[#All],[Yellow]:[Red]],8,FALSE)</f>
        <v>5.1844585145652121E-2</v>
      </c>
      <c r="P82" s="38">
        <f>L82/HLOOKUP(F82,Team_Composition_23[[#All],[Yellow]:[Red]],7,FALSE)</f>
        <v>3.8714465003406007E-3</v>
      </c>
      <c r="Q82" s="31"/>
      <c r="R82" s="78" t="s">
        <v>54</v>
      </c>
      <c r="S82" s="75">
        <f t="shared" ref="S82:S84" si="18">COUNTIFS(C:C,R82,F:F,"Yellow")</f>
        <v>2</v>
      </c>
      <c r="T82" s="76">
        <f t="shared" ref="T82:T84" si="19">COUNTIFS(C:C,R82,F:F,"Red")</f>
        <v>2</v>
      </c>
      <c r="U82" s="31"/>
      <c r="V82" s="31"/>
      <c r="W82" s="31"/>
      <c r="X82" s="31"/>
      <c r="Y82" s="31"/>
      <c r="Z82" s="31"/>
      <c r="AA82" s="31"/>
      <c r="AB82" s="78" t="s">
        <v>54</v>
      </c>
      <c r="AC82" s="75">
        <f t="shared" ref="AC82:AC84" si="20">COUNTIFS(M:M,AB82,P:P,"KS")</f>
        <v>0</v>
      </c>
      <c r="AD82" s="76">
        <f t="shared" ref="AD82:AD84" si="21">COUNTIFS(M:M,AB82,P:P,"KS")</f>
        <v>0</v>
      </c>
    </row>
    <row r="83" spans="1:30" ht="22.5" customHeight="1">
      <c r="A83" s="82">
        <v>85</v>
      </c>
      <c r="B83" s="59" t="str">
        <f>VLOOKUP(C83,Lists!I:J,2,FALSE)</f>
        <v>Tank</v>
      </c>
      <c r="C83" s="34" t="str">
        <f>VLOOKUP(E83&amp;D83,Lists!C:E,3,FALSE)</f>
        <v>SnS/Longbow</v>
      </c>
      <c r="D83" s="13" t="s">
        <v>34</v>
      </c>
      <c r="E83" s="83" t="s">
        <v>114</v>
      </c>
      <c r="F83" s="13" t="s">
        <v>476</v>
      </c>
      <c r="G83" s="82">
        <v>0</v>
      </c>
      <c r="H83" s="82">
        <v>22</v>
      </c>
      <c r="I83" s="84">
        <f t="shared" si="0"/>
        <v>22</v>
      </c>
      <c r="J83" s="85">
        <v>75225</v>
      </c>
      <c r="K83" s="85">
        <v>560757</v>
      </c>
      <c r="L83" s="85">
        <v>199579</v>
      </c>
      <c r="M83" s="38">
        <f>I83/(HLOOKUP(F83,Team_Composition_23[[#All],[Yellow]:[Red]],10,FALSE)+HLOOKUP(F83,Team_Composition_23[[#All],[Yellow]:[Red]],11,FALSE))</f>
        <v>5.4986253436640842E-3</v>
      </c>
      <c r="N83" s="38">
        <f>J83/HLOOKUP(F83,Team_Composition_23[[#All],[Yellow]:[Red]],6,FALSE)</f>
        <v>1.6956472256720607E-3</v>
      </c>
      <c r="O83" s="38">
        <f>K83/HLOOKUP(F83,Team_Composition_23[[#All],[Yellow]:[Red]],8,FALSE)</f>
        <v>3.200893807399529E-2</v>
      </c>
      <c r="P83" s="38">
        <f>L83/HLOOKUP(F83,Team_Composition_23[[#All],[Yellow]:[Red]],7,FALSE)</f>
        <v>1.5417727648238587E-2</v>
      </c>
      <c r="Q83" s="31"/>
      <c r="R83" s="74" t="s">
        <v>69</v>
      </c>
      <c r="S83" s="75">
        <f t="shared" si="18"/>
        <v>2</v>
      </c>
      <c r="T83" s="76">
        <f t="shared" si="19"/>
        <v>4</v>
      </c>
      <c r="U83" s="31"/>
      <c r="V83" s="31"/>
      <c r="W83" s="31"/>
      <c r="X83" s="31"/>
      <c r="Y83" s="31"/>
      <c r="Z83" s="31"/>
      <c r="AA83" s="31"/>
      <c r="AB83" s="74" t="s">
        <v>69</v>
      </c>
      <c r="AC83" s="75">
        <f t="shared" si="20"/>
        <v>0</v>
      </c>
      <c r="AD83" s="76">
        <f t="shared" si="21"/>
        <v>0</v>
      </c>
    </row>
    <row r="84" spans="1:30" ht="22.5" customHeight="1">
      <c r="A84" s="82">
        <v>86</v>
      </c>
      <c r="B84" s="57" t="str">
        <f>VLOOKUP(C84,Lists!I:J,2,FALSE)</f>
        <v>Healer</v>
      </c>
      <c r="C84" s="34" t="str">
        <f>VLOOKUP(E84&amp;D84,Lists!C:E,3,FALSE)</f>
        <v>Wand/Longbow</v>
      </c>
      <c r="D84" s="13" t="s">
        <v>30</v>
      </c>
      <c r="E84" s="83" t="s">
        <v>426</v>
      </c>
      <c r="F84" s="13" t="s">
        <v>483</v>
      </c>
      <c r="G84" s="82">
        <v>0</v>
      </c>
      <c r="H84" s="82">
        <v>22</v>
      </c>
      <c r="I84" s="84">
        <f t="shared" si="0"/>
        <v>22</v>
      </c>
      <c r="J84" s="85">
        <v>11854</v>
      </c>
      <c r="K84" s="85">
        <v>1366244</v>
      </c>
      <c r="L84" s="85">
        <v>1962113</v>
      </c>
      <c r="M84" s="38">
        <f>I84/(HLOOKUP(F84,Team_Composition_23[[#All],[Yellow]:[Red]],10,FALSE)+HLOOKUP(F84,Team_Composition_23[[#All],[Yellow]:[Red]],11,FALSE))</f>
        <v>2.679658952496955E-2</v>
      </c>
      <c r="N84" s="38">
        <f>J84/HLOOKUP(F84,Team_Composition_23[[#All],[Yellow]:[Red]],6,FALSE)</f>
        <v>6.7178962455098081E-4</v>
      </c>
      <c r="O84" s="38">
        <f>K84/HLOOKUP(F84,Team_Composition_23[[#All],[Yellow]:[Red]],8,FALSE)</f>
        <v>3.1039756553637457E-2</v>
      </c>
      <c r="P84" s="38">
        <f>L84/HLOOKUP(F84,Team_Composition_23[[#All],[Yellow]:[Red]],7,FALSE)</f>
        <v>8.0850499923583785E-2</v>
      </c>
      <c r="Q84" s="31"/>
      <c r="R84" s="78" t="s">
        <v>81</v>
      </c>
      <c r="S84" s="75">
        <f t="shared" si="18"/>
        <v>1</v>
      </c>
      <c r="T84" s="76">
        <f t="shared" si="19"/>
        <v>0</v>
      </c>
      <c r="U84" s="31"/>
      <c r="V84" s="31"/>
      <c r="W84" s="31"/>
      <c r="X84" s="31"/>
      <c r="Y84" s="31"/>
      <c r="Z84" s="31"/>
      <c r="AA84" s="31"/>
      <c r="AB84" s="78" t="s">
        <v>81</v>
      </c>
      <c r="AC84" s="75">
        <f t="shared" si="20"/>
        <v>0</v>
      </c>
      <c r="AD84" s="76">
        <f t="shared" si="21"/>
        <v>0</v>
      </c>
    </row>
    <row r="85" spans="1:30" ht="22.5" customHeight="1">
      <c r="A85" s="82">
        <v>87</v>
      </c>
      <c r="B85" s="59" t="str">
        <f>VLOOKUP(C85,Lists!I:J,2,FALSE)</f>
        <v>Healer</v>
      </c>
      <c r="C85" s="34" t="str">
        <f>VLOOKUP(E85&amp;D85,Lists!C:E,3,FALSE)</f>
        <v>Wand/Orb</v>
      </c>
      <c r="D85" s="13" t="s">
        <v>30</v>
      </c>
      <c r="E85" s="83" t="s">
        <v>195</v>
      </c>
      <c r="F85" s="13" t="s">
        <v>483</v>
      </c>
      <c r="G85" s="82">
        <v>0</v>
      </c>
      <c r="H85" s="82">
        <v>22</v>
      </c>
      <c r="I85" s="84">
        <f t="shared" si="0"/>
        <v>22</v>
      </c>
      <c r="J85" s="85">
        <v>7343</v>
      </c>
      <c r="K85" s="85">
        <v>524720</v>
      </c>
      <c r="L85" s="85">
        <v>811988</v>
      </c>
      <c r="M85" s="38">
        <f>I85/(HLOOKUP(F85,Team_Composition_23[[#All],[Yellow]:[Red]],10,FALSE)+HLOOKUP(F85,Team_Composition_23[[#All],[Yellow]:[Red]],11,FALSE))</f>
        <v>2.679658952496955E-2</v>
      </c>
      <c r="N85" s="38">
        <f>J85/HLOOKUP(F85,Team_Composition_23[[#All],[Yellow]:[Red]],6,FALSE)</f>
        <v>4.1614233280562278E-4</v>
      </c>
      <c r="O85" s="38">
        <f>K85/HLOOKUP(F85,Team_Composition_23[[#All],[Yellow]:[Red]],8,FALSE)</f>
        <v>1.1921136384734094E-2</v>
      </c>
      <c r="P85" s="38">
        <f>L85/HLOOKUP(F85,Team_Composition_23[[#All],[Yellow]:[Red]],7,FALSE)</f>
        <v>3.3458641643957787E-2</v>
      </c>
      <c r="Q85" s="31"/>
      <c r="R85" s="31"/>
      <c r="S85" s="31"/>
      <c r="T85" s="31"/>
      <c r="U85" s="31"/>
      <c r="V85" s="31"/>
      <c r="W85" s="31"/>
      <c r="X85" s="31"/>
      <c r="Y85" s="31"/>
      <c r="Z85" s="31"/>
      <c r="AA85" s="31"/>
      <c r="AB85" s="31"/>
      <c r="AC85" s="31"/>
      <c r="AD85" s="31"/>
    </row>
    <row r="86" spans="1:30" ht="22.5" customHeight="1">
      <c r="A86" s="82">
        <v>44</v>
      </c>
      <c r="B86" s="62" t="str">
        <f>VLOOKUP(C86,Lists!I:J,2,FALSE)</f>
        <v>Tank</v>
      </c>
      <c r="C86" s="34" t="str">
        <f>VLOOKUP(E86&amp;D86,Lists!C:E,3,FALSE)</f>
        <v>SnS/Greatsword</v>
      </c>
      <c r="D86" s="13" t="s">
        <v>34</v>
      </c>
      <c r="E86" s="83" t="s">
        <v>109</v>
      </c>
      <c r="F86" s="13" t="s">
        <v>476</v>
      </c>
      <c r="G86" s="82">
        <v>2</v>
      </c>
      <c r="H86" s="82">
        <v>19</v>
      </c>
      <c r="I86" s="84">
        <f t="shared" si="0"/>
        <v>21</v>
      </c>
      <c r="J86" s="85">
        <v>68247</v>
      </c>
      <c r="K86" s="85">
        <v>1278626</v>
      </c>
      <c r="L86" s="85">
        <v>21314</v>
      </c>
      <c r="M86" s="38">
        <f>I86/(HLOOKUP(F86,Team_Composition_23[[#All],[Yellow]:[Red]],10,FALSE)+HLOOKUP(F86,Team_Composition_23[[#All],[Yellow]:[Red]],11,FALSE))</f>
        <v>5.2486878280429894E-3</v>
      </c>
      <c r="N86" s="38">
        <f>J86/HLOOKUP(F86,Team_Composition_23[[#All],[Yellow]:[Red]],6,FALSE)</f>
        <v>1.5383560812288618E-3</v>
      </c>
      <c r="O86" s="38">
        <f>K86/HLOOKUP(F86,Team_Composition_23[[#All],[Yellow]:[Red]],8,FALSE)</f>
        <v>7.2986089257557743E-2</v>
      </c>
      <c r="P86" s="38">
        <f>L86/HLOOKUP(F86,Team_Composition_23[[#All],[Yellow]:[Red]],7,FALSE)</f>
        <v>1.6465331878331749E-3</v>
      </c>
      <c r="Q86" s="31"/>
      <c r="R86" s="31"/>
      <c r="S86" s="31"/>
      <c r="T86" s="31"/>
      <c r="U86" s="31"/>
      <c r="V86" s="31"/>
      <c r="W86" s="31"/>
      <c r="X86" s="31"/>
      <c r="Y86" s="31"/>
      <c r="Z86" s="31"/>
      <c r="AA86" s="31"/>
      <c r="AB86" s="31"/>
      <c r="AC86" s="31"/>
      <c r="AD86" s="31"/>
    </row>
    <row r="87" spans="1:30" ht="22.5" customHeight="1">
      <c r="A87" s="82">
        <v>45</v>
      </c>
      <c r="B87" s="53" t="str">
        <f>VLOOKUP(C87,Lists!I:J,2,FALSE)</f>
        <v>Tank</v>
      </c>
      <c r="C87" s="34" t="str">
        <f>VLOOKUP(E87&amp;D87,Lists!C:E,3,FALSE)</f>
        <v>SnS/Dagger</v>
      </c>
      <c r="D87" s="13" t="s">
        <v>34</v>
      </c>
      <c r="E87" s="83" t="s">
        <v>177</v>
      </c>
      <c r="F87" s="13" t="s">
        <v>476</v>
      </c>
      <c r="G87" s="82">
        <v>2</v>
      </c>
      <c r="H87" s="82">
        <v>15</v>
      </c>
      <c r="I87" s="84">
        <f t="shared" si="0"/>
        <v>17</v>
      </c>
      <c r="J87" s="85">
        <v>30818</v>
      </c>
      <c r="K87" s="85">
        <v>108990</v>
      </c>
      <c r="L87" s="85">
        <v>3880</v>
      </c>
      <c r="M87" s="38">
        <f>I87/(HLOOKUP(F87,Team_Composition_23[[#All],[Yellow]:[Red]],10,FALSE)+HLOOKUP(F87,Team_Composition_23[[#All],[Yellow]:[Red]],11,FALSE))</f>
        <v>4.2489377655586099E-3</v>
      </c>
      <c r="N87" s="38">
        <f>J87/HLOOKUP(F87,Team_Composition_23[[#All],[Yellow]:[Red]],6,FALSE)</f>
        <v>6.9466874311414515E-4</v>
      </c>
      <c r="O87" s="38">
        <f>K87/HLOOKUP(F87,Team_Composition_23[[#All],[Yellow]:[Red]],8,FALSE)</f>
        <v>6.2213296680821584E-3</v>
      </c>
      <c r="P87" s="38">
        <f>L87/HLOOKUP(F87,Team_Composition_23[[#All],[Yellow]:[Red]],7,FALSE)</f>
        <v>2.9973485825244997E-4</v>
      </c>
      <c r="Q87" s="31"/>
      <c r="R87" s="31"/>
      <c r="S87" s="31"/>
      <c r="T87" s="31"/>
      <c r="U87" s="31"/>
      <c r="V87" s="31"/>
      <c r="W87" s="31"/>
      <c r="X87" s="31"/>
      <c r="Y87" s="31"/>
      <c r="Z87" s="31"/>
      <c r="AA87" s="31"/>
      <c r="AB87" s="31"/>
      <c r="AC87" s="31"/>
      <c r="AD87" s="31"/>
    </row>
    <row r="88" spans="1:30" ht="22.5" customHeight="1">
      <c r="A88" s="82">
        <v>88</v>
      </c>
      <c r="B88" s="57" t="str">
        <f>VLOOKUP(C88,Lists!I:J,2,FALSE)</f>
        <v>Healer</v>
      </c>
      <c r="C88" s="34" t="str">
        <f>VLOOKUP(E88&amp;D88,Lists!C:E,3,FALSE)</f>
        <v>Wand/Longbow</v>
      </c>
      <c r="D88" s="13" t="s">
        <v>34</v>
      </c>
      <c r="E88" s="83" t="s">
        <v>135</v>
      </c>
      <c r="F88" s="13" t="s">
        <v>476</v>
      </c>
      <c r="G88" s="82">
        <v>0</v>
      </c>
      <c r="H88" s="82">
        <v>17</v>
      </c>
      <c r="I88" s="84">
        <f t="shared" si="0"/>
        <v>17</v>
      </c>
      <c r="J88" s="85">
        <v>85469</v>
      </c>
      <c r="K88" s="85">
        <v>790022</v>
      </c>
      <c r="L88" s="85">
        <v>1018594</v>
      </c>
      <c r="M88" s="38">
        <f>I88/(HLOOKUP(F88,Team_Composition_23[[#All],[Yellow]:[Red]],10,FALSE)+HLOOKUP(F88,Team_Composition_23[[#All],[Yellow]:[Red]],11,FALSE))</f>
        <v>4.2489377655586099E-3</v>
      </c>
      <c r="N88" s="38">
        <f>J88/HLOOKUP(F88,Team_Composition_23[[#All],[Yellow]:[Red]],6,FALSE)</f>
        <v>1.9265572978526468E-3</v>
      </c>
      <c r="O88" s="38">
        <f>K88/HLOOKUP(F88,Team_Composition_23[[#All],[Yellow]:[Red]],8,FALSE)</f>
        <v>4.5095763896115269E-2</v>
      </c>
      <c r="P88" s="38">
        <f>L88/HLOOKUP(F88,Team_Composition_23[[#All],[Yellow]:[Red]],7,FALSE)</f>
        <v>7.8687661908968046E-2</v>
      </c>
      <c r="Q88" s="31"/>
      <c r="R88" s="31"/>
      <c r="S88" s="31"/>
      <c r="T88" s="31"/>
      <c r="U88" s="31"/>
      <c r="V88" s="31"/>
      <c r="W88" s="31"/>
      <c r="X88" s="31"/>
      <c r="Y88" s="31"/>
      <c r="Z88" s="31"/>
      <c r="AA88" s="31"/>
      <c r="AB88" s="31"/>
      <c r="AC88" s="31"/>
      <c r="AD88" s="31"/>
    </row>
    <row r="89" spans="1:30" ht="22.5" customHeight="1">
      <c r="A89" s="82">
        <v>89</v>
      </c>
      <c r="B89" s="59" t="str">
        <f>VLOOKUP(C89,Lists!I:J,2,FALSE)</f>
        <v>Tank</v>
      </c>
      <c r="C89" s="34" t="str">
        <f>VLOOKUP(E89&amp;D89,Lists!C:E,3,FALSE)</f>
        <v>SnS/Greatsword</v>
      </c>
      <c r="D89" s="13" t="s">
        <v>34</v>
      </c>
      <c r="E89" s="83" t="s">
        <v>118</v>
      </c>
      <c r="F89" s="13" t="s">
        <v>476</v>
      </c>
      <c r="G89" s="82">
        <v>0</v>
      </c>
      <c r="H89" s="82">
        <v>16</v>
      </c>
      <c r="I89" s="84">
        <f t="shared" si="0"/>
        <v>16</v>
      </c>
      <c r="J89" s="85">
        <v>56123</v>
      </c>
      <c r="K89" s="85">
        <v>775510</v>
      </c>
      <c r="L89" s="85">
        <v>21113</v>
      </c>
      <c r="M89" s="38">
        <f>I89/(HLOOKUP(F89,Team_Composition_23[[#All],[Yellow]:[Red]],10,FALSE)+HLOOKUP(F89,Team_Composition_23[[#All],[Yellow]:[Red]],11,FALSE))</f>
        <v>3.9990002499375159E-3</v>
      </c>
      <c r="N89" s="38">
        <f>J89/HLOOKUP(F89,Team_Composition_23[[#All],[Yellow]:[Red]],6,FALSE)</f>
        <v>1.2650689165356339E-3</v>
      </c>
      <c r="O89" s="38">
        <f>K89/HLOOKUP(F89,Team_Composition_23[[#All],[Yellow]:[Red]],8,FALSE)</f>
        <v>4.4267394906820759E-2</v>
      </c>
      <c r="P89" s="38">
        <f>L89/HLOOKUP(F89,Team_Composition_23[[#All],[Yellow]:[Red]],7,FALSE)</f>
        <v>1.631005686155664E-3</v>
      </c>
      <c r="Q89" s="31"/>
      <c r="R89" s="31"/>
      <c r="S89" s="31"/>
      <c r="T89" s="31"/>
      <c r="U89" s="31"/>
      <c r="V89" s="31"/>
      <c r="W89" s="31"/>
      <c r="X89" s="31"/>
      <c r="Y89" s="31"/>
      <c r="Z89" s="31"/>
      <c r="AA89" s="31"/>
      <c r="AB89" s="31"/>
      <c r="AC89" s="31"/>
      <c r="AD89" s="31"/>
    </row>
    <row r="90" spans="1:30" ht="22.5" customHeight="1">
      <c r="A90" s="82">
        <v>90</v>
      </c>
      <c r="B90" s="62" t="str">
        <f>VLOOKUP(C90,Lists!I:J,2,FALSE)</f>
        <v>Tank</v>
      </c>
      <c r="C90" s="34" t="str">
        <f>VLOOKUP(E90&amp;D90,Lists!C:E,3,FALSE)</f>
        <v>SnS/Greatsword</v>
      </c>
      <c r="D90" s="13" t="s">
        <v>30</v>
      </c>
      <c r="E90" s="83" t="s">
        <v>431</v>
      </c>
      <c r="F90" s="13" t="s">
        <v>483</v>
      </c>
      <c r="G90" s="82">
        <v>0</v>
      </c>
      <c r="H90" s="82">
        <v>15</v>
      </c>
      <c r="I90" s="84">
        <f t="shared" si="0"/>
        <v>15</v>
      </c>
      <c r="J90" s="85">
        <v>104737</v>
      </c>
      <c r="K90" s="85">
        <v>906656</v>
      </c>
      <c r="L90" s="85">
        <v>61949</v>
      </c>
      <c r="M90" s="38">
        <f>I90/(HLOOKUP(F90,Team_Composition_23[[#All],[Yellow]:[Red]],10,FALSE)+HLOOKUP(F90,Team_Composition_23[[#All],[Yellow]:[Red]],11,FALSE))</f>
        <v>1.8270401948842874E-2</v>
      </c>
      <c r="N90" s="38">
        <f>J90/HLOOKUP(F90,Team_Composition_23[[#All],[Yellow]:[Red]],6,FALSE)</f>
        <v>5.9356529362743441E-3</v>
      </c>
      <c r="O90" s="38">
        <f>K90/HLOOKUP(F90,Team_Composition_23[[#All],[Yellow]:[Red]],8,FALSE)</f>
        <v>2.0598356895177378E-2</v>
      </c>
      <c r="P90" s="38">
        <f>L90/HLOOKUP(F90,Team_Composition_23[[#All],[Yellow]:[Red]],7,FALSE)</f>
        <v>2.5526601269988485E-3</v>
      </c>
      <c r="Q90" s="31"/>
      <c r="R90" s="31"/>
      <c r="S90" s="31"/>
      <c r="T90" s="31"/>
      <c r="U90" s="31"/>
      <c r="V90" s="31"/>
      <c r="W90" s="31"/>
      <c r="X90" s="31"/>
      <c r="Y90" s="31"/>
      <c r="Z90" s="31"/>
      <c r="AA90" s="31"/>
      <c r="AB90" s="31"/>
      <c r="AC90" s="31"/>
      <c r="AD90" s="31"/>
    </row>
    <row r="91" spans="1:30" ht="22.5" customHeight="1">
      <c r="A91" s="82">
        <v>91</v>
      </c>
      <c r="B91" s="40" t="str">
        <f>VLOOKUP(C91,Lists!I:J,2,FALSE)</f>
        <v>Ranged DPS</v>
      </c>
      <c r="C91" s="34" t="str">
        <f>VLOOKUP(E91&amp;D91,Lists!C:E,3,FALSE)</f>
        <v>SnS/Wand</v>
      </c>
      <c r="D91" s="13" t="s">
        <v>30</v>
      </c>
      <c r="E91" s="83" t="s">
        <v>424</v>
      </c>
      <c r="F91" s="13" t="s">
        <v>483</v>
      </c>
      <c r="G91" s="82">
        <v>0</v>
      </c>
      <c r="H91" s="82">
        <v>14</v>
      </c>
      <c r="I91" s="84">
        <f t="shared" si="0"/>
        <v>14</v>
      </c>
      <c r="J91" s="85">
        <v>6864</v>
      </c>
      <c r="K91" s="85">
        <v>313845</v>
      </c>
      <c r="L91" s="85">
        <v>242267</v>
      </c>
      <c r="M91" s="38">
        <f>I91/(HLOOKUP(F91,Team_Composition_23[[#All],[Yellow]:[Red]],10,FALSE)+HLOOKUP(F91,Team_Composition_23[[#All],[Yellow]:[Red]],11,FALSE))</f>
        <v>1.705237515225335E-2</v>
      </c>
      <c r="N91" s="38">
        <f>J91/HLOOKUP(F91,Team_Composition_23[[#All],[Yellow]:[Red]],6,FALSE)</f>
        <v>3.8899645545115001E-4</v>
      </c>
      <c r="O91" s="38">
        <f>K91/HLOOKUP(F91,Team_Composition_23[[#All],[Yellow]:[Red]],8,FALSE)</f>
        <v>7.1302581351327787E-3</v>
      </c>
      <c r="P91" s="38">
        <f>L91/HLOOKUP(F91,Team_Composition_23[[#All],[Yellow]:[Red]],7,FALSE)</f>
        <v>9.982813459258907E-3</v>
      </c>
      <c r="Q91" s="31"/>
      <c r="R91" s="31"/>
      <c r="S91" s="31"/>
      <c r="T91" s="31"/>
      <c r="U91" s="31"/>
      <c r="V91" s="31"/>
      <c r="W91" s="31"/>
      <c r="X91" s="31"/>
      <c r="Y91" s="31"/>
      <c r="Z91" s="31"/>
      <c r="AA91" s="31"/>
      <c r="AB91" s="31"/>
      <c r="AC91" s="31"/>
      <c r="AD91" s="31"/>
    </row>
    <row r="92" spans="1:30" ht="22.5" customHeight="1">
      <c r="A92" s="82">
        <v>52</v>
      </c>
      <c r="B92" s="66" t="str">
        <f>VLOOKUP(C92,Lists!I:J,2,FALSE)</f>
        <v>Tank</v>
      </c>
      <c r="C92" s="34" t="str">
        <f>VLOOKUP(E92&amp;D92,Lists!C:E,3,FALSE)</f>
        <v>SnS/Greatsword</v>
      </c>
      <c r="D92" s="13" t="s">
        <v>34</v>
      </c>
      <c r="E92" s="83" t="s">
        <v>155</v>
      </c>
      <c r="F92" s="13" t="s">
        <v>476</v>
      </c>
      <c r="G92" s="82">
        <v>1</v>
      </c>
      <c r="H92" s="82">
        <v>11</v>
      </c>
      <c r="I92" s="84">
        <f t="shared" si="0"/>
        <v>12</v>
      </c>
      <c r="J92" s="85">
        <v>89587</v>
      </c>
      <c r="K92" s="85">
        <v>571681</v>
      </c>
      <c r="L92" s="85">
        <v>34031</v>
      </c>
      <c r="M92" s="38">
        <f>I92/(HLOOKUP(F92,Team_Composition_23[[#All],[Yellow]:[Red]],10,FALSE)+HLOOKUP(F92,Team_Composition_23[[#All],[Yellow]:[Red]],11,FALSE))</f>
        <v>2.9992501874531365E-3</v>
      </c>
      <c r="N92" s="38">
        <f>J92/HLOOKUP(F92,Team_Composition_23[[#All],[Yellow]:[Red]],6,FALSE)</f>
        <v>2.0193811632606565E-3</v>
      </c>
      <c r="O92" s="38">
        <f>K92/HLOOKUP(F92,Team_Composition_23[[#All],[Yellow]:[Red]],8,FALSE)</f>
        <v>3.263249808219907E-2</v>
      </c>
      <c r="P92" s="38">
        <f>L92/HLOOKUP(F92,Team_Composition_23[[#All],[Yellow]:[Red]],7,FALSE)</f>
        <v>2.6289373611312178E-3</v>
      </c>
      <c r="Q92" s="31"/>
      <c r="R92" s="31"/>
      <c r="S92" s="31"/>
      <c r="T92" s="31"/>
      <c r="U92" s="31"/>
      <c r="V92" s="31"/>
      <c r="W92" s="31"/>
      <c r="X92" s="31"/>
      <c r="Y92" s="31"/>
      <c r="Z92" s="31"/>
      <c r="AA92" s="31"/>
      <c r="AB92" s="31"/>
      <c r="AC92" s="31"/>
      <c r="AD92" s="31"/>
    </row>
    <row r="93" spans="1:30" ht="22.5" customHeight="1">
      <c r="A93" s="82">
        <v>92</v>
      </c>
      <c r="B93" s="73" t="str">
        <f>VLOOKUP(C93,Lists!I:J,2,FALSE)</f>
        <v>Tank</v>
      </c>
      <c r="C93" s="34" t="str">
        <f>VLOOKUP(E93&amp;D93,Lists!C:E,3,FALSE)</f>
        <v>SnS/Greatsword</v>
      </c>
      <c r="D93" s="13" t="s">
        <v>30</v>
      </c>
      <c r="E93" s="83" t="s">
        <v>422</v>
      </c>
      <c r="F93" s="13" t="s">
        <v>483</v>
      </c>
      <c r="G93" s="82">
        <v>0</v>
      </c>
      <c r="H93" s="82">
        <v>12</v>
      </c>
      <c r="I93" s="84">
        <f t="shared" si="0"/>
        <v>12</v>
      </c>
      <c r="J93" s="85">
        <v>95461</v>
      </c>
      <c r="K93" s="85">
        <v>705432</v>
      </c>
      <c r="L93" s="85">
        <v>57609</v>
      </c>
      <c r="M93" s="38">
        <f>I93/(HLOOKUP(F93,Team_Composition_23[[#All],[Yellow]:[Red]],10,FALSE)+HLOOKUP(F93,Team_Composition_23[[#All],[Yellow]:[Red]],11,FALSE))</f>
        <v>1.4616321559074299E-2</v>
      </c>
      <c r="N93" s="38">
        <f>J93/HLOOKUP(F93,Team_Composition_23[[#All],[Yellow]:[Red]],6,FALSE)</f>
        <v>5.4099636704286469E-3</v>
      </c>
      <c r="O93" s="38">
        <f>K93/HLOOKUP(F93,Team_Composition_23[[#All],[Yellow]:[Red]],8,FALSE)</f>
        <v>1.6026740132176667E-2</v>
      </c>
      <c r="P93" s="38">
        <f>L93/HLOOKUP(F93,Team_Composition_23[[#All],[Yellow]:[Red]],7,FALSE)</f>
        <v>2.3738268132863592E-3</v>
      </c>
      <c r="Q93" s="31"/>
      <c r="R93" s="31"/>
      <c r="S93" s="31"/>
      <c r="T93" s="31"/>
      <c r="U93" s="31"/>
      <c r="V93" s="31"/>
      <c r="W93" s="31"/>
      <c r="X93" s="31"/>
      <c r="Y93" s="31"/>
      <c r="Z93" s="31"/>
      <c r="AA93" s="31"/>
      <c r="AB93" s="31"/>
      <c r="AC93" s="31"/>
      <c r="AD93" s="31"/>
    </row>
    <row r="94" spans="1:30" ht="22.5" customHeight="1">
      <c r="A94" s="82">
        <v>93</v>
      </c>
      <c r="B94" s="60" t="str">
        <f>VLOOKUP(C94,Lists!I:J,2,FALSE)</f>
        <v>Tank</v>
      </c>
      <c r="C94" s="34" t="str">
        <f>VLOOKUP(E94&amp;D94,Lists!C:E,3,FALSE)</f>
        <v>SnS/Spear</v>
      </c>
      <c r="D94" s="13" t="s">
        <v>30</v>
      </c>
      <c r="E94" s="83" t="s">
        <v>427</v>
      </c>
      <c r="F94" s="13" t="s">
        <v>483</v>
      </c>
      <c r="G94" s="82">
        <v>0</v>
      </c>
      <c r="H94" s="82">
        <v>12</v>
      </c>
      <c r="I94" s="84">
        <f t="shared" si="0"/>
        <v>12</v>
      </c>
      <c r="J94" s="85">
        <v>53642</v>
      </c>
      <c r="K94" s="85">
        <v>1276794</v>
      </c>
      <c r="L94" s="85">
        <v>38546</v>
      </c>
      <c r="M94" s="38">
        <f>I94/(HLOOKUP(F94,Team_Composition_23[[#All],[Yellow]:[Red]],10,FALSE)+HLOOKUP(F94,Team_Composition_23[[#All],[Yellow]:[Red]],11,FALSE))</f>
        <v>1.4616321559074299E-2</v>
      </c>
      <c r="N94" s="38">
        <f>J94/HLOOKUP(F94,Team_Composition_23[[#All],[Yellow]:[Red]],6,FALSE)</f>
        <v>3.0399982318342934E-3</v>
      </c>
      <c r="O94" s="38">
        <f>K94/HLOOKUP(F94,Team_Composition_23[[#All],[Yellow]:[Red]],8,FALSE)</f>
        <v>2.9007538133118963E-2</v>
      </c>
      <c r="P94" s="38">
        <f>L94/HLOOKUP(F94,Team_Composition_23[[#All],[Yellow]:[Red]],7,FALSE)</f>
        <v>1.5883200254289435E-3</v>
      </c>
      <c r="Q94" s="31"/>
      <c r="R94" s="31"/>
      <c r="S94" s="31"/>
      <c r="T94" s="31"/>
      <c r="U94" s="31"/>
      <c r="V94" s="31"/>
      <c r="W94" s="31"/>
      <c r="X94" s="31"/>
      <c r="Y94" s="31"/>
      <c r="Z94" s="31"/>
      <c r="AA94" s="31"/>
      <c r="AB94" s="31"/>
      <c r="AC94" s="31"/>
      <c r="AD94" s="31"/>
    </row>
    <row r="95" spans="1:30" ht="22.5" customHeight="1">
      <c r="A95" s="82">
        <v>94</v>
      </c>
      <c r="B95" s="56" t="str">
        <f>VLOOKUP(C95,Lists!I:J,2,FALSE)</f>
        <v>Tank</v>
      </c>
      <c r="C95" s="34" t="str">
        <f>VLOOKUP(E95&amp;D95,Lists!C:E,3,FALSE)</f>
        <v>SnS/Greatsword</v>
      </c>
      <c r="D95" s="13" t="s">
        <v>30</v>
      </c>
      <c r="E95" s="83" t="s">
        <v>438</v>
      </c>
      <c r="F95" s="13" t="s">
        <v>483</v>
      </c>
      <c r="G95" s="82">
        <v>0</v>
      </c>
      <c r="H95" s="82">
        <v>10</v>
      </c>
      <c r="I95" s="84">
        <f t="shared" si="0"/>
        <v>10</v>
      </c>
      <c r="J95" s="85">
        <v>35015</v>
      </c>
      <c r="K95" s="85">
        <v>1298787</v>
      </c>
      <c r="L95" s="85">
        <v>122173</v>
      </c>
      <c r="M95" s="38">
        <f>I95/(HLOOKUP(F95,Team_Composition_23[[#All],[Yellow]:[Red]],10,FALSE)+HLOOKUP(F95,Team_Composition_23[[#All],[Yellow]:[Red]],11,FALSE))</f>
        <v>1.2180267965895249E-2</v>
      </c>
      <c r="N95" s="38">
        <f>J95/HLOOKUP(F95,Team_Composition_23[[#All],[Yellow]:[Red]],6,FALSE)</f>
        <v>1.9843693018097345E-3</v>
      </c>
      <c r="O95" s="38">
        <f>K95/HLOOKUP(F95,Team_Composition_23[[#All],[Yellow]:[Red]],8,FALSE)</f>
        <v>2.9507198051760251E-2</v>
      </c>
      <c r="P95" s="38">
        <f>L95/HLOOKUP(F95,Team_Composition_23[[#All],[Yellow]:[Red]],7,FALSE)</f>
        <v>5.0342401926718808E-3</v>
      </c>
      <c r="Q95" s="31"/>
      <c r="R95" s="31"/>
      <c r="S95" s="31"/>
      <c r="T95" s="31"/>
      <c r="U95" s="31"/>
      <c r="V95" s="31"/>
      <c r="W95" s="31"/>
      <c r="X95" s="31"/>
      <c r="Y95" s="31"/>
      <c r="Z95" s="31"/>
      <c r="AA95" s="31"/>
      <c r="AB95" s="31"/>
      <c r="AC95" s="31"/>
      <c r="AD95" s="31"/>
    </row>
    <row r="96" spans="1:30" ht="22.5" customHeight="1">
      <c r="A96" s="82">
        <v>95</v>
      </c>
      <c r="B96" s="57" t="str">
        <f>VLOOKUP(C96,Lists!I:J,2,FALSE)</f>
        <v>Healer</v>
      </c>
      <c r="C96" s="34" t="str">
        <f>VLOOKUP(E96&amp;D96,Lists!C:E,3,FALSE)</f>
        <v>Wand/Longbow</v>
      </c>
      <c r="D96" s="13" t="s">
        <v>34</v>
      </c>
      <c r="E96" s="83" t="s">
        <v>136</v>
      </c>
      <c r="F96" s="13" t="s">
        <v>476</v>
      </c>
      <c r="G96" s="82">
        <v>0</v>
      </c>
      <c r="H96" s="82">
        <v>9</v>
      </c>
      <c r="I96" s="84">
        <f t="shared" si="0"/>
        <v>9</v>
      </c>
      <c r="J96" s="85">
        <v>44609</v>
      </c>
      <c r="K96" s="85">
        <v>612252</v>
      </c>
      <c r="L96" s="85">
        <v>808325</v>
      </c>
      <c r="M96" s="38">
        <f>I96/(HLOOKUP(F96,Team_Composition_23[[#All],[Yellow]:[Red]],10,FALSE)+HLOOKUP(F96,Team_Composition_23[[#All],[Yellow]:[Red]],11,FALSE))</f>
        <v>2.2494376405898524E-3</v>
      </c>
      <c r="N96" s="38">
        <f>J96/HLOOKUP(F96,Team_Composition_23[[#All],[Yellow]:[Red]],6,FALSE)</f>
        <v>1.0055317659023589E-3</v>
      </c>
      <c r="O96" s="38">
        <f>K96/HLOOKUP(F96,Team_Composition_23[[#All],[Yellow]:[Red]],8,FALSE)</f>
        <v>3.4948357940569205E-2</v>
      </c>
      <c r="P96" s="38">
        <f>L96/HLOOKUP(F96,Team_Composition_23[[#All],[Yellow]:[Red]],7,FALSE)</f>
        <v>6.2444118375492692E-2</v>
      </c>
      <c r="Q96" s="31"/>
      <c r="R96" s="31"/>
      <c r="S96" s="31"/>
      <c r="T96" s="31"/>
      <c r="U96" s="31"/>
      <c r="V96" s="31"/>
      <c r="W96" s="31"/>
      <c r="X96" s="31"/>
      <c r="Y96" s="31"/>
      <c r="Z96" s="31"/>
      <c r="AA96" s="31"/>
      <c r="AB96" s="31"/>
      <c r="AC96" s="31"/>
      <c r="AD96" s="31"/>
    </row>
    <row r="97" spans="1:30" ht="22.5" customHeight="1">
      <c r="A97" s="82">
        <v>96</v>
      </c>
      <c r="B97" s="65" t="str">
        <f>VLOOKUP(C97,Lists!I:J,2,FALSE)</f>
        <v>Tank</v>
      </c>
      <c r="C97" s="34" t="str">
        <f>VLOOKUP(E97&amp;D97,Lists!C:E,3,FALSE)</f>
        <v>SnS/Spear</v>
      </c>
      <c r="D97" s="13" t="s">
        <v>30</v>
      </c>
      <c r="E97" s="83" t="s">
        <v>421</v>
      </c>
      <c r="F97" s="13" t="s">
        <v>483</v>
      </c>
      <c r="G97" s="82">
        <v>0</v>
      </c>
      <c r="H97" s="82">
        <v>7</v>
      </c>
      <c r="I97" s="84">
        <f t="shared" si="0"/>
        <v>7</v>
      </c>
      <c r="J97" s="85">
        <v>40969</v>
      </c>
      <c r="K97" s="85">
        <v>357552</v>
      </c>
      <c r="L97" s="85">
        <v>29043</v>
      </c>
      <c r="M97" s="38">
        <f>I97/(HLOOKUP(F97,Team_Composition_23[[#All],[Yellow]:[Red]],10,FALSE)+HLOOKUP(F97,Team_Composition_23[[#All],[Yellow]:[Red]],11,FALSE))</f>
        <v>8.5261875761266752E-3</v>
      </c>
      <c r="N97" s="38">
        <f>J97/HLOOKUP(F97,Team_Composition_23[[#All],[Yellow]:[Red]],6,FALSE)</f>
        <v>2.3217942574851641E-3</v>
      </c>
      <c r="O97" s="38">
        <f>K97/HLOOKUP(F97,Team_Composition_23[[#All],[Yellow]:[Red]],8,FALSE)</f>
        <v>8.1232393593429729E-3</v>
      </c>
      <c r="P97" s="38">
        <f>L97/HLOOKUP(F97,Team_Composition_23[[#All],[Yellow]:[Red]],7,FALSE)</f>
        <v>1.1967409977308361E-3</v>
      </c>
      <c r="Q97" s="31"/>
      <c r="R97" s="31"/>
      <c r="S97" s="31"/>
      <c r="T97" s="31"/>
      <c r="U97" s="31"/>
      <c r="V97" s="31"/>
      <c r="W97" s="31"/>
      <c r="X97" s="31"/>
      <c r="Y97" s="31"/>
      <c r="Z97" s="31"/>
      <c r="AA97" s="31"/>
      <c r="AB97" s="31"/>
      <c r="AC97" s="31"/>
      <c r="AD97" s="31"/>
    </row>
    <row r="98" spans="1:30" ht="22.5" customHeight="1">
      <c r="A98" s="82"/>
      <c r="B98" s="57"/>
      <c r="C98" s="34" t="e">
        <f>VLOOKUP(E98&amp;D98,Lists!C:E,3,FALSE)</f>
        <v>#N/A</v>
      </c>
      <c r="D98" s="13"/>
      <c r="E98" s="83"/>
      <c r="F98" s="13"/>
      <c r="G98" s="82"/>
      <c r="H98" s="82"/>
      <c r="I98" s="84"/>
      <c r="J98" s="85"/>
      <c r="K98" s="85"/>
      <c r="L98" s="85"/>
      <c r="M98" s="38"/>
      <c r="N98" s="38"/>
      <c r="O98" s="38"/>
      <c r="P98" s="38"/>
      <c r="Q98" s="31"/>
      <c r="R98" s="31"/>
      <c r="S98" s="31"/>
      <c r="T98" s="31"/>
      <c r="U98" s="31"/>
      <c r="V98" s="31"/>
      <c r="W98" s="31"/>
      <c r="X98" s="31"/>
      <c r="Y98" s="31"/>
      <c r="Z98" s="31"/>
      <c r="AA98" s="31"/>
      <c r="AB98" s="31"/>
      <c r="AC98" s="31"/>
      <c r="AD98" s="31"/>
    </row>
    <row r="99" spans="1:30" ht="22.5" customHeight="1">
      <c r="A99" s="82"/>
      <c r="B99" s="53"/>
      <c r="C99" s="34"/>
      <c r="D99" s="13"/>
      <c r="E99" s="83"/>
      <c r="F99" s="13"/>
      <c r="G99" s="82"/>
      <c r="H99" s="82"/>
      <c r="I99" s="84"/>
      <c r="J99" s="85"/>
      <c r="K99" s="85"/>
      <c r="L99" s="85"/>
      <c r="M99" s="38"/>
      <c r="N99" s="38"/>
      <c r="O99" s="38"/>
      <c r="P99" s="38"/>
      <c r="Q99" s="31"/>
      <c r="R99" s="31"/>
      <c r="S99" s="31"/>
      <c r="T99" s="31"/>
      <c r="U99" s="31"/>
      <c r="V99" s="31"/>
      <c r="W99" s="31"/>
      <c r="X99" s="31"/>
      <c r="Y99" s="31"/>
      <c r="Z99" s="31"/>
      <c r="AA99" s="31"/>
      <c r="AB99" s="31"/>
      <c r="AC99" s="31"/>
      <c r="AD99" s="31"/>
    </row>
    <row r="100" spans="1:30" ht="22.5" customHeight="1">
      <c r="A100" s="82"/>
      <c r="B100" s="34"/>
      <c r="C100" s="34"/>
      <c r="D100" s="13"/>
      <c r="E100" s="83"/>
      <c r="F100" s="13"/>
      <c r="G100" s="82"/>
      <c r="H100" s="82"/>
      <c r="I100" s="84"/>
      <c r="J100" s="85"/>
      <c r="K100" s="85"/>
      <c r="L100" s="85"/>
      <c r="M100" s="38"/>
      <c r="N100" s="38"/>
      <c r="O100" s="38"/>
      <c r="P100" s="38"/>
      <c r="Q100" s="31"/>
      <c r="R100" s="31"/>
      <c r="S100" s="31"/>
      <c r="T100" s="31"/>
      <c r="U100" s="31"/>
      <c r="V100" s="31"/>
      <c r="W100" s="31"/>
      <c r="X100" s="31"/>
      <c r="Y100" s="31"/>
      <c r="Z100" s="31"/>
      <c r="AA100" s="31"/>
      <c r="AB100" s="31"/>
      <c r="AC100" s="31"/>
      <c r="AD100" s="31"/>
    </row>
    <row r="101" spans="1:30" ht="22.5" customHeight="1">
      <c r="A101" s="82"/>
      <c r="B101" s="65"/>
      <c r="C101" s="34"/>
      <c r="D101" s="13"/>
      <c r="E101" s="83"/>
      <c r="F101" s="13"/>
      <c r="G101" s="82"/>
      <c r="H101" s="82"/>
      <c r="I101" s="84"/>
      <c r="J101" s="85"/>
      <c r="K101" s="85"/>
      <c r="L101" s="85"/>
      <c r="M101" s="38"/>
      <c r="N101" s="38"/>
      <c r="O101" s="38"/>
      <c r="P101" s="38"/>
      <c r="Q101" s="31"/>
      <c r="R101" s="31"/>
      <c r="S101" s="31"/>
      <c r="T101" s="31"/>
      <c r="U101" s="31"/>
      <c r="V101" s="31"/>
      <c r="W101" s="31"/>
      <c r="X101" s="31"/>
      <c r="Y101" s="31"/>
      <c r="Z101" s="31"/>
      <c r="AA101" s="31"/>
      <c r="AB101" s="31"/>
      <c r="AC101" s="31"/>
      <c r="AD101" s="31"/>
    </row>
    <row r="102" spans="1:30" ht="22.5" customHeight="1">
      <c r="A102" s="82"/>
      <c r="B102" s="34"/>
      <c r="C102" s="34"/>
      <c r="D102" s="13"/>
      <c r="E102" s="83"/>
      <c r="F102" s="13"/>
      <c r="G102" s="82"/>
      <c r="H102" s="82"/>
      <c r="I102" s="84"/>
      <c r="J102" s="85"/>
      <c r="K102" s="85"/>
      <c r="L102" s="85"/>
      <c r="M102" s="38"/>
      <c r="N102" s="38"/>
      <c r="O102" s="38"/>
      <c r="P102" s="38"/>
      <c r="Q102" s="31"/>
      <c r="R102" s="31"/>
      <c r="S102" s="31"/>
      <c r="T102" s="31"/>
      <c r="U102" s="31"/>
      <c r="V102" s="31"/>
      <c r="W102" s="31"/>
      <c r="X102" s="31"/>
      <c r="Y102" s="31"/>
      <c r="Z102" s="31"/>
      <c r="AA102" s="31"/>
      <c r="AB102" s="31"/>
      <c r="AC102" s="31"/>
      <c r="AD102" s="31"/>
    </row>
    <row r="103" spans="1:30" ht="22.5" customHeight="1">
      <c r="A103" s="82"/>
      <c r="B103" s="53"/>
      <c r="C103" s="34"/>
      <c r="D103" s="13"/>
      <c r="E103" s="83"/>
      <c r="F103" s="13"/>
      <c r="G103" s="82"/>
      <c r="H103" s="82"/>
      <c r="I103" s="84"/>
      <c r="J103" s="85"/>
      <c r="K103" s="85"/>
      <c r="L103" s="85"/>
      <c r="M103" s="38"/>
      <c r="N103" s="38"/>
      <c r="O103" s="38"/>
      <c r="P103" s="38"/>
      <c r="Q103" s="31"/>
      <c r="R103" s="31"/>
      <c r="S103" s="31"/>
      <c r="T103" s="31"/>
      <c r="U103" s="31"/>
      <c r="V103" s="31"/>
      <c r="W103" s="31"/>
      <c r="X103" s="31"/>
      <c r="Y103" s="31"/>
      <c r="Z103" s="31"/>
      <c r="AA103" s="31"/>
      <c r="AB103" s="31"/>
      <c r="AC103" s="31"/>
      <c r="AD103" s="31"/>
    </row>
    <row r="104" spans="1:30" ht="22.5" customHeight="1">
      <c r="A104" s="82"/>
      <c r="B104" s="66"/>
      <c r="C104" s="34"/>
      <c r="D104" s="13"/>
      <c r="E104" s="83"/>
      <c r="F104" s="13"/>
      <c r="G104" s="82"/>
      <c r="H104" s="82"/>
      <c r="I104" s="84"/>
      <c r="J104" s="85"/>
      <c r="K104" s="85"/>
      <c r="L104" s="85"/>
      <c r="M104" s="38"/>
      <c r="N104" s="38"/>
      <c r="O104" s="38"/>
      <c r="P104" s="38"/>
      <c r="Q104" s="31"/>
      <c r="R104" s="31"/>
      <c r="S104" s="31"/>
      <c r="T104" s="31"/>
      <c r="U104" s="31"/>
      <c r="V104" s="31"/>
      <c r="W104" s="31"/>
      <c r="X104" s="31"/>
      <c r="Y104" s="31"/>
      <c r="Z104" s="31"/>
      <c r="AA104" s="31"/>
      <c r="AB104" s="31"/>
      <c r="AC104" s="31"/>
      <c r="AD104" s="31"/>
    </row>
    <row r="105" spans="1:30" ht="22.5" customHeight="1">
      <c r="A105" s="82"/>
      <c r="B105" s="53"/>
      <c r="C105" s="34"/>
      <c r="D105" s="13"/>
      <c r="E105" s="83"/>
      <c r="F105" s="13"/>
      <c r="G105" s="82"/>
      <c r="H105" s="82"/>
      <c r="I105" s="84"/>
      <c r="J105" s="85"/>
      <c r="K105" s="85"/>
      <c r="L105" s="85"/>
      <c r="M105" s="38"/>
      <c r="N105" s="38"/>
      <c r="O105" s="38"/>
      <c r="P105" s="38"/>
      <c r="Q105" s="31"/>
      <c r="R105" s="31"/>
      <c r="S105" s="31"/>
      <c r="T105" s="31"/>
      <c r="U105" s="31"/>
      <c r="V105" s="31"/>
      <c r="W105" s="31"/>
      <c r="X105" s="31"/>
      <c r="Y105" s="31"/>
      <c r="Z105" s="31"/>
      <c r="AA105" s="31"/>
      <c r="AB105" s="31"/>
      <c r="AC105" s="31"/>
      <c r="AD105" s="31"/>
    </row>
    <row r="106" spans="1:30" ht="22.5" customHeight="1">
      <c r="A106" s="82"/>
      <c r="B106" s="34"/>
      <c r="C106" s="34"/>
      <c r="D106" s="13"/>
      <c r="E106" s="83"/>
      <c r="F106" s="13"/>
      <c r="G106" s="82"/>
      <c r="H106" s="82"/>
      <c r="I106" s="84"/>
      <c r="J106" s="85"/>
      <c r="K106" s="85"/>
      <c r="L106" s="85"/>
      <c r="M106" s="38"/>
      <c r="N106" s="38"/>
      <c r="O106" s="38"/>
      <c r="P106" s="38"/>
      <c r="Q106" s="31"/>
      <c r="R106" s="31"/>
      <c r="S106" s="31"/>
      <c r="T106" s="31"/>
      <c r="U106" s="31"/>
      <c r="V106" s="31"/>
      <c r="W106" s="31"/>
      <c r="X106" s="31"/>
      <c r="Y106" s="31"/>
      <c r="Z106" s="31"/>
      <c r="AA106" s="31"/>
      <c r="AB106" s="31"/>
      <c r="AC106" s="31"/>
      <c r="AD106" s="31"/>
    </row>
    <row r="107" spans="1:30" ht="22.5" customHeight="1">
      <c r="A107" s="82"/>
      <c r="B107" s="53"/>
      <c r="C107" s="34"/>
      <c r="D107" s="13"/>
      <c r="E107" s="83"/>
      <c r="F107" s="13"/>
      <c r="G107" s="82"/>
      <c r="H107" s="82"/>
      <c r="I107" s="84"/>
      <c r="J107" s="85"/>
      <c r="K107" s="85"/>
      <c r="L107" s="85"/>
      <c r="M107" s="38"/>
      <c r="N107" s="38"/>
      <c r="O107" s="38"/>
      <c r="P107" s="38"/>
      <c r="Q107" s="31"/>
      <c r="R107" s="31"/>
      <c r="S107" s="31"/>
      <c r="T107" s="31"/>
      <c r="U107" s="31"/>
      <c r="V107" s="31"/>
      <c r="W107" s="31"/>
      <c r="X107" s="31"/>
      <c r="Y107" s="31"/>
      <c r="Z107" s="31"/>
      <c r="AA107" s="31"/>
      <c r="AB107" s="31"/>
      <c r="AC107" s="31"/>
      <c r="AD107" s="31"/>
    </row>
    <row r="108" spans="1:30" ht="22.5" customHeight="1">
      <c r="A108" s="82"/>
      <c r="B108" s="34"/>
      <c r="C108" s="34"/>
      <c r="D108" s="13"/>
      <c r="E108" s="83"/>
      <c r="F108" s="13"/>
      <c r="G108" s="82"/>
      <c r="H108" s="82"/>
      <c r="I108" s="84"/>
      <c r="J108" s="85"/>
      <c r="K108" s="85"/>
      <c r="L108" s="85"/>
      <c r="M108" s="38"/>
      <c r="N108" s="38"/>
      <c r="O108" s="38"/>
      <c r="P108" s="38"/>
      <c r="Q108" s="31"/>
      <c r="R108" s="31"/>
      <c r="S108" s="31"/>
      <c r="T108" s="31"/>
      <c r="U108" s="31"/>
      <c r="V108" s="31"/>
      <c r="W108" s="31"/>
      <c r="X108" s="31"/>
      <c r="Y108" s="31"/>
      <c r="Z108" s="31"/>
      <c r="AA108" s="31"/>
      <c r="AB108" s="31"/>
      <c r="AC108" s="31"/>
      <c r="AD108" s="31"/>
    </row>
    <row r="109" spans="1:30" ht="22.5" customHeight="1">
      <c r="A109" s="82"/>
      <c r="B109" s="53" t="e">
        <f>VLOOKUP(C109,Lists!I:J,2,FALSE)</f>
        <v>#N/A</v>
      </c>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C00-000000000000}">
      <formula1>#REF!</formula1>
    </dataValidation>
    <dataValidation type="list" allowBlank="1" sqref="F2:F163" xr:uid="{00000000-0002-0000-0C00-000002000000}">
      <formula1>"Yellow,Red"</formula1>
    </dataValidation>
    <dataValidation type="custom" allowBlank="1" showDropDown="1" sqref="AC4:AD14 S4:T14 S17:T25 AC17:AD25 AC30:AD46 S30:T46 S51:T60 AC51:AD60 S65:T72 AC65:AD72 S77:T84 AC77:AD84 A2:A163 G2:L163" xr:uid="{00000000-0002-0000-0C00-000003000000}">
      <formula1>AND(ISNUMBER(A2),(NOT(OR(NOT(ISERROR(DATEVALUE(A2))), AND(ISNUMBER(A2), LEFT(CELL("format", A2))="D")))))</formula1>
    </dataValidation>
    <dataValidation allowBlank="1" showDropDown="1" sqref="E2:E163" xr:uid="{00000000-0002-0000-0C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173">
        <v>1</v>
      </c>
      <c r="B2" s="69" t="str">
        <f>VLOOKUP(C2,Lists!I:J,2,FALSE)</f>
        <v>Melee DPS</v>
      </c>
      <c r="C2" s="174" t="str">
        <f>VLOOKUP(E2&amp;D2,Lists!C:E,3,FALSE)</f>
        <v>Greatsword/Spear</v>
      </c>
      <c r="D2" s="175" t="s">
        <v>34</v>
      </c>
      <c r="E2" s="176" t="s">
        <v>145</v>
      </c>
      <c r="F2" s="175" t="s">
        <v>483</v>
      </c>
      <c r="G2" s="173">
        <v>93</v>
      </c>
      <c r="H2" s="173">
        <v>171</v>
      </c>
      <c r="I2" s="84">
        <f t="shared" ref="I2:I109" si="0">SUM(G2:H2)</f>
        <v>264</v>
      </c>
      <c r="J2" s="177">
        <v>4319225</v>
      </c>
      <c r="K2" s="177">
        <v>1019384</v>
      </c>
      <c r="L2" s="177">
        <v>28192</v>
      </c>
      <c r="M2" s="38">
        <f>I2/(HLOOKUP(F2,Team_Composition_23[[#All],[Yellow]:[Red]],10,FALSE)+HLOOKUP(F2,Team_Composition_23[[#All],[Yellow]:[Red]],11,FALSE))</f>
        <v>0.3215590742996346</v>
      </c>
      <c r="N2" s="38">
        <f>J2/HLOOKUP(F2,Team_Composition_23[[#All],[Yellow]:[Red]],6,FALSE)</f>
        <v>0.24477902320745826</v>
      </c>
      <c r="O2" s="38">
        <f>K2/HLOOKUP(F2,Team_Composition_23[[#All],[Yellow]:[Red]],8,FALSE)</f>
        <v>2.3159429204939356E-2</v>
      </c>
      <c r="P2" s="38">
        <f>L2/HLOOKUP(F2,Team_Composition_23[[#All],[Yellow]:[Red]],7,FALSE)</f>
        <v>1.1616748341434331E-3</v>
      </c>
      <c r="Q2" s="31"/>
      <c r="R2" s="227" t="s">
        <v>477</v>
      </c>
      <c r="S2" s="228"/>
      <c r="T2" s="228"/>
      <c r="U2" s="31"/>
      <c r="V2" s="229" t="s">
        <v>478</v>
      </c>
      <c r="W2" s="228"/>
      <c r="X2" s="39"/>
      <c r="Y2" s="229" t="s">
        <v>479</v>
      </c>
      <c r="Z2" s="228"/>
      <c r="AA2" s="31"/>
      <c r="AB2" s="227" t="s">
        <v>480</v>
      </c>
      <c r="AC2" s="228"/>
      <c r="AD2" s="228"/>
    </row>
    <row r="3" spans="1:30" ht="22.5" customHeight="1">
      <c r="A3" s="173">
        <v>4</v>
      </c>
      <c r="B3" s="67" t="str">
        <f>VLOOKUP(C3,Lists!I:J,2,FALSE)</f>
        <v>Ranged DPS</v>
      </c>
      <c r="C3" s="174" t="str">
        <f>VLOOKUP(E3&amp;D3,Lists!C:E,3,FALSE)</f>
        <v>Staff/Dagger</v>
      </c>
      <c r="D3" s="175" t="s">
        <v>34</v>
      </c>
      <c r="E3" s="178" t="s">
        <v>31</v>
      </c>
      <c r="F3" s="175" t="s">
        <v>483</v>
      </c>
      <c r="G3" s="173">
        <v>60</v>
      </c>
      <c r="H3" s="173">
        <v>181</v>
      </c>
      <c r="I3" s="84">
        <f t="shared" si="0"/>
        <v>241</v>
      </c>
      <c r="J3" s="177">
        <v>3888267</v>
      </c>
      <c r="K3" s="177">
        <v>760091</v>
      </c>
      <c r="L3" s="177">
        <v>0</v>
      </c>
      <c r="M3" s="38">
        <f>I3/(HLOOKUP(F3,Team_Composition_23[[#All],[Yellow]:[Red]],10,FALSE)+HLOOKUP(F3,Team_Composition_23[[#All],[Yellow]:[Red]],11,FALSE))</f>
        <v>0.29354445797807549</v>
      </c>
      <c r="N3" s="38">
        <f>J3/HLOOKUP(F3,Team_Composition_23[[#All],[Yellow]:[Red]],6,FALSE)</f>
        <v>0.22035578100927691</v>
      </c>
      <c r="O3" s="38">
        <f>K3/HLOOKUP(F3,Team_Composition_23[[#All],[Yellow]:[Red]],8,FALSE)</f>
        <v>1.7268540318281983E-2</v>
      </c>
      <c r="P3" s="38">
        <f>L3/HLOOKUP(F3,Team_Composition_23[[#All],[Yellow]:[Red]],7,FALSE)</f>
        <v>0</v>
      </c>
      <c r="Q3" s="31"/>
      <c r="R3" s="41" t="s">
        <v>482</v>
      </c>
      <c r="S3" s="42" t="s">
        <v>476</v>
      </c>
      <c r="T3" s="42" t="s">
        <v>483</v>
      </c>
      <c r="U3" s="31"/>
      <c r="V3" s="43" t="s">
        <v>1</v>
      </c>
      <c r="W3" s="44" t="s">
        <v>467</v>
      </c>
      <c r="X3" s="31"/>
      <c r="Y3" s="43" t="s">
        <v>1</v>
      </c>
      <c r="Z3" s="44" t="s">
        <v>484</v>
      </c>
      <c r="AA3" s="31"/>
      <c r="AB3" s="41" t="s">
        <v>482</v>
      </c>
      <c r="AC3" s="42" t="s">
        <v>485</v>
      </c>
      <c r="AD3" s="42" t="s">
        <v>36</v>
      </c>
    </row>
    <row r="4" spans="1:30" ht="22.5" customHeight="1">
      <c r="A4" s="173">
        <v>5</v>
      </c>
      <c r="B4" s="68" t="s">
        <v>25</v>
      </c>
      <c r="C4" s="174" t="str">
        <f>VLOOKUP(E4&amp;D4,Lists!C:E,3,FALSE)</f>
        <v>Staff/Orb</v>
      </c>
      <c r="D4" s="175" t="s">
        <v>34</v>
      </c>
      <c r="E4" s="176" t="s">
        <v>160</v>
      </c>
      <c r="F4" s="175" t="s">
        <v>483</v>
      </c>
      <c r="G4" s="173">
        <v>59</v>
      </c>
      <c r="H4" s="173">
        <v>175</v>
      </c>
      <c r="I4" s="84">
        <f t="shared" si="0"/>
        <v>234</v>
      </c>
      <c r="J4" s="177">
        <v>3957343</v>
      </c>
      <c r="K4" s="177">
        <v>1328803</v>
      </c>
      <c r="L4" s="177">
        <v>12225</v>
      </c>
      <c r="M4" s="38">
        <f>I4/(HLOOKUP(F4,Team_Composition_23[[#All],[Yellow]:[Red]],10,FALSE)+HLOOKUP(F4,Team_Composition_23[[#All],[Yellow]:[Red]],11,FALSE))</f>
        <v>0.28501827040194883</v>
      </c>
      <c r="N4" s="38">
        <f>J4/HLOOKUP(F4,Team_Composition_23[[#All],[Yellow]:[Red]],6,FALSE)</f>
        <v>0.22427045454609854</v>
      </c>
      <c r="O4" s="38">
        <f>K4/HLOOKUP(F4,Team_Composition_23[[#All],[Yellow]:[Red]],8,FALSE)</f>
        <v>3.0189132854558275E-2</v>
      </c>
      <c r="P4" s="38">
        <f>L4/HLOOKUP(F4,Team_Composition_23[[#All],[Yellow]:[Red]],7,FALSE)</f>
        <v>5.0374130417861344E-4</v>
      </c>
      <c r="Q4" s="31"/>
      <c r="R4" s="45" t="s">
        <v>25</v>
      </c>
      <c r="S4" s="46">
        <f>COUNTIFS(Scoreboard_33[Role],R4,Scoreboard_33[Team],"Yellow")</f>
        <v>8</v>
      </c>
      <c r="T4" s="47">
        <f>COUNTIFS(Scoreboard_33[Role],R4,Scoreboard_33[Team],"Red")</f>
        <v>7</v>
      </c>
      <c r="U4" s="31"/>
      <c r="V4" s="48" t="str">
        <f ca="1">IFERROR(__xludf.DUMMYFUNCTION("query(A1:P238, ""Select E,I where B!='Healer' Order by I Desc Limit 10"", 0)"),"B")</f>
        <v>B</v>
      </c>
      <c r="W4" s="49">
        <f ca="1">IFERROR(__xludf.DUMMYFUNCTION("""COMPUTED_VALUE"""),264)</f>
        <v>264</v>
      </c>
      <c r="X4" s="31"/>
      <c r="Y4" s="48" t="str">
        <f ca="1">IFERROR(__xludf.DUMMYFUNCTION("query(A1:P238, ""Select E,J Order by J Desc Limit 10"", 0)"),"Ryujin")</f>
        <v>Ryujin</v>
      </c>
      <c r="Z4" s="49">
        <f ca="1">IFERROR(__xludf.DUMMYFUNCTION("""COMPUTED_VALUE"""),4761665)</f>
        <v>4761665</v>
      </c>
      <c r="AA4" s="31"/>
      <c r="AB4" s="45" t="s">
        <v>25</v>
      </c>
      <c r="AC4" s="50">
        <f>COUNTIFS(Scoreboard_33[Role],AB4,Scoreboard_33[Guild],"Best Regards")</f>
        <v>7</v>
      </c>
      <c r="AD4" s="51">
        <f>COUNTIFS(Scoreboard_33[Role],AB4,Scoreboard_33[Guild],"Unhinged肉")</f>
        <v>0</v>
      </c>
    </row>
    <row r="5" spans="1:30" ht="22.5" customHeight="1">
      <c r="A5" s="173">
        <v>2</v>
      </c>
      <c r="B5" s="61" t="str">
        <f>VLOOKUP(C5,Lists!I:J,2,FALSE)</f>
        <v>Ranged DPS</v>
      </c>
      <c r="C5" s="174" t="str">
        <f>VLOOKUP(E5&amp;D5,Lists!C:E,3,FALSE)</f>
        <v>Staff/Orb</v>
      </c>
      <c r="D5" s="175" t="s">
        <v>34</v>
      </c>
      <c r="E5" s="176" t="s">
        <v>156</v>
      </c>
      <c r="F5" s="175" t="s">
        <v>483</v>
      </c>
      <c r="G5" s="173">
        <v>70</v>
      </c>
      <c r="H5" s="173">
        <v>131</v>
      </c>
      <c r="I5" s="84">
        <f t="shared" si="0"/>
        <v>201</v>
      </c>
      <c r="J5" s="179">
        <v>4761665</v>
      </c>
      <c r="K5" s="177">
        <v>1073876</v>
      </c>
      <c r="L5" s="177">
        <v>0</v>
      </c>
      <c r="M5" s="38">
        <f>I5/(HLOOKUP(F5,Team_Composition_23[[#All],[Yellow]:[Red]],10,FALSE)+HLOOKUP(F5,Team_Composition_23[[#All],[Yellow]:[Red]],11,FALSE))</f>
        <v>0.24482338611449453</v>
      </c>
      <c r="N5" s="38">
        <f>J5/HLOOKUP(F5,Team_Composition_23[[#All],[Yellow]:[Red]],6,FALSE)</f>
        <v>0.2698529730544581</v>
      </c>
      <c r="O5" s="38">
        <f>K5/HLOOKUP(F5,Team_Composition_23[[#All],[Yellow]:[Red]],8,FALSE)</f>
        <v>2.439743531081855E-2</v>
      </c>
      <c r="P5" s="38">
        <f>L5/HLOOKUP(F5,Team_Composition_23[[#All],[Yellow]:[Red]],7,FALSE)</f>
        <v>0</v>
      </c>
      <c r="Q5" s="31"/>
      <c r="R5" s="45" t="s">
        <v>39</v>
      </c>
      <c r="S5" s="46">
        <f>COUNTIFS(Scoreboard_33[Role],R5,Scoreboard_33[Team],"Yellow")</f>
        <v>8</v>
      </c>
      <c r="T5" s="47">
        <f>COUNTIFS(Scoreboard_33[Role],R5,Scoreboard_33[Team],"Red")</f>
        <v>7</v>
      </c>
      <c r="U5" s="31"/>
      <c r="V5" s="48" t="str">
        <f ca="1">IFERROR(__xludf.DUMMYFUNCTION("""COMPUTED_VALUE"""),"CLEM")</f>
        <v>CLEM</v>
      </c>
      <c r="W5" s="49">
        <f ca="1">IFERROR(__xludf.DUMMYFUNCTION("""COMPUTED_VALUE"""),241)</f>
        <v>241</v>
      </c>
      <c r="X5" s="31"/>
      <c r="Y5" s="48" t="str">
        <f ca="1">IFERROR(__xludf.DUMMYFUNCTION("""COMPUTED_VALUE"""),"B")</f>
        <v>B</v>
      </c>
      <c r="Z5" s="49">
        <f ca="1">IFERROR(__xludf.DUMMYFUNCTION("""COMPUTED_VALUE"""),4319225)</f>
        <v>4319225</v>
      </c>
      <c r="AA5" s="31"/>
      <c r="AB5" s="45" t="s">
        <v>39</v>
      </c>
      <c r="AC5" s="50">
        <f>COUNTIFS(Scoreboard_33[Role],AB5,Scoreboard_33[Guild],"Best Regards")</f>
        <v>6</v>
      </c>
      <c r="AD5" s="51">
        <f>COUNTIFS(Scoreboard_33[Role],AB5,Scoreboard_33[Guild],"Unhinged肉")</f>
        <v>0</v>
      </c>
    </row>
    <row r="6" spans="1:30" ht="22.5" customHeight="1">
      <c r="A6" s="173">
        <v>10</v>
      </c>
      <c r="B6" s="55" t="str">
        <f>VLOOKUP(C6,Lists!I:J,2,FALSE)</f>
        <v>Melee DPS</v>
      </c>
      <c r="C6" s="174" t="str">
        <f>VLOOKUP(E6&amp;D6,Lists!C:E,3,FALSE)</f>
        <v>Spear/Dagger</v>
      </c>
      <c r="D6" s="175" t="s">
        <v>34</v>
      </c>
      <c r="E6" s="176" t="s">
        <v>104</v>
      </c>
      <c r="F6" s="175" t="s">
        <v>483</v>
      </c>
      <c r="G6" s="173">
        <v>48</v>
      </c>
      <c r="H6" s="173">
        <v>147</v>
      </c>
      <c r="I6" s="84">
        <f t="shared" si="0"/>
        <v>195</v>
      </c>
      <c r="J6" s="177">
        <v>3031568</v>
      </c>
      <c r="K6" s="177">
        <v>1586405</v>
      </c>
      <c r="L6" s="177">
        <v>37176</v>
      </c>
      <c r="M6" s="38">
        <f>I6/(HLOOKUP(F6,Team_Composition_23[[#All],[Yellow]:[Red]],10,FALSE)+HLOOKUP(F6,Team_Composition_23[[#All],[Yellow]:[Red]],11,FALSE))</f>
        <v>0.23751522533495736</v>
      </c>
      <c r="N6" s="38">
        <f>J6/HLOOKUP(F6,Team_Composition_23[[#All],[Yellow]:[Red]],6,FALSE)</f>
        <v>0.17180495432096912</v>
      </c>
      <c r="O6" s="38">
        <f>K6/HLOOKUP(F6,Team_Composition_23[[#All],[Yellow]:[Red]],8,FALSE)</f>
        <v>3.6041603839045755E-2</v>
      </c>
      <c r="P6" s="38">
        <f>L6/HLOOKUP(F6,Team_Composition_23[[#All],[Yellow]:[Red]],7,FALSE)</f>
        <v>1.5318680346948167E-3</v>
      </c>
      <c r="Q6" s="31"/>
      <c r="R6" s="45" t="s">
        <v>67</v>
      </c>
      <c r="S6" s="46">
        <f>COUNTIFS(Scoreboard_33[Role],R6,Scoreboard_33[Team],"Yellow")</f>
        <v>13</v>
      </c>
      <c r="T6" s="47">
        <f>COUNTIFS(Scoreboard_33[Role],R6,Scoreboard_33[Team],"Red")</f>
        <v>16</v>
      </c>
      <c r="U6" s="31"/>
      <c r="V6" s="48" t="str">
        <f ca="1">IFERROR(__xludf.DUMMYFUNCTION("""COMPUTED_VALUE"""),"EnoughCrazy")</f>
        <v>EnoughCrazy</v>
      </c>
      <c r="W6" s="49">
        <f ca="1">IFERROR(__xludf.DUMMYFUNCTION("""COMPUTED_VALUE"""),234)</f>
        <v>234</v>
      </c>
      <c r="X6" s="31"/>
      <c r="Y6" s="48" t="str">
        <f ca="1">IFERROR(__xludf.DUMMYFUNCTION("""COMPUTED_VALUE"""),"Regalians")</f>
        <v>Regalians</v>
      </c>
      <c r="Z6" s="49">
        <f ca="1">IFERROR(__xludf.DUMMYFUNCTION("""COMPUTED_VALUE"""),4223071)</f>
        <v>4223071</v>
      </c>
      <c r="AA6" s="31"/>
      <c r="AB6" s="45" t="s">
        <v>67</v>
      </c>
      <c r="AC6" s="50">
        <f>COUNTIFS(Scoreboard_33[Role],AB6,Scoreboard_33[Guild],"Best Regards")</f>
        <v>15</v>
      </c>
      <c r="AD6" s="51">
        <f>COUNTIFS(Scoreboard_33[Role],AB6,Scoreboard_33[Guild],"Unhinged肉")</f>
        <v>0</v>
      </c>
    </row>
    <row r="7" spans="1:30" ht="22.5" customHeight="1">
      <c r="A7" s="173">
        <v>11</v>
      </c>
      <c r="B7" s="73" t="str">
        <f>VLOOKUP(C7,Lists!I:J,2,FALSE)</f>
        <v>Ranged DPS</v>
      </c>
      <c r="C7" s="174" t="str">
        <f>VLOOKUP(E7&amp;D7,Lists!C:E,3,FALSE)</f>
        <v>Orb/Wand</v>
      </c>
      <c r="D7" s="175" t="s">
        <v>34</v>
      </c>
      <c r="E7" s="176" t="s">
        <v>94</v>
      </c>
      <c r="F7" s="175" t="s">
        <v>483</v>
      </c>
      <c r="G7" s="173">
        <v>47</v>
      </c>
      <c r="H7" s="173">
        <v>148</v>
      </c>
      <c r="I7" s="84">
        <f t="shared" si="0"/>
        <v>195</v>
      </c>
      <c r="J7" s="177">
        <v>4223071</v>
      </c>
      <c r="K7" s="177">
        <v>518313</v>
      </c>
      <c r="L7" s="177">
        <v>1734</v>
      </c>
      <c r="M7" s="38">
        <f>I7/(HLOOKUP(F7,Team_Composition_23[[#All],[Yellow]:[Red]],10,FALSE)+HLOOKUP(F7,Team_Composition_23[[#All],[Yellow]:[Red]],11,FALSE))</f>
        <v>0.23751522533495736</v>
      </c>
      <c r="N7" s="38">
        <f>J7/HLOOKUP(F7,Team_Composition_23[[#All],[Yellow]:[Red]],6,FALSE)</f>
        <v>0.23932978585643117</v>
      </c>
      <c r="O7" s="38">
        <f>K7/HLOOKUP(F7,Team_Composition_23[[#All],[Yellow]:[Red]],8,FALSE)</f>
        <v>1.1775575474501986E-2</v>
      </c>
      <c r="P7" s="38">
        <f>L7/HLOOKUP(F7,Team_Composition_23[[#All],[Yellow]:[Red]],7,FALSE)</f>
        <v>7.1450913819690452E-5</v>
      </c>
      <c r="Q7" s="31"/>
      <c r="R7" s="45" t="s">
        <v>11</v>
      </c>
      <c r="S7" s="46">
        <f>COUNTIFS(Scoreboard_33[Role],R7,Scoreboard_33[Team],"Yellow")</f>
        <v>20</v>
      </c>
      <c r="T7" s="47">
        <f>COUNTIFS(Scoreboard_33[Role],R7,Scoreboard_33[Team],"Red")</f>
        <v>18</v>
      </c>
      <c r="U7" s="31"/>
      <c r="V7" s="48" t="str">
        <f ca="1">IFERROR(__xludf.DUMMYFUNCTION("""COMPUTED_VALUE"""),"Ryujin")</f>
        <v>Ryujin</v>
      </c>
      <c r="W7" s="49">
        <f ca="1">IFERROR(__xludf.DUMMYFUNCTION("""COMPUTED_VALUE"""),201)</f>
        <v>201</v>
      </c>
      <c r="X7" s="31"/>
      <c r="Y7" s="48" t="str">
        <f ca="1">IFERROR(__xludf.DUMMYFUNCTION("""COMPUTED_VALUE"""),"GUNWALLET")</f>
        <v>GUNWALLET</v>
      </c>
      <c r="Z7" s="49">
        <f ca="1">IFERROR(__xludf.DUMMYFUNCTION("""COMPUTED_VALUE"""),4034606)</f>
        <v>4034606</v>
      </c>
      <c r="AA7" s="31"/>
      <c r="AB7" s="45" t="s">
        <v>11</v>
      </c>
      <c r="AC7" s="50">
        <f>COUNTIFS(Scoreboard_33[Role],AB7,Scoreboard_33[Guild],"Best Regards")</f>
        <v>16</v>
      </c>
      <c r="AD7" s="51">
        <f>COUNTIFS(Scoreboard_33[Role],AB7,Scoreboard_33[Guild],"Unhinged肉")</f>
        <v>0</v>
      </c>
    </row>
    <row r="8" spans="1:30" ht="22.5" customHeight="1">
      <c r="A8" s="173">
        <v>6</v>
      </c>
      <c r="B8" s="55" t="str">
        <f>VLOOKUP(C8,Lists!I:J,2,FALSE)</f>
        <v>Melee DPS</v>
      </c>
      <c r="C8" s="174" t="str">
        <f>VLOOKUP(E8&amp;D8,Lists!C:E,3,FALSE)</f>
        <v>Greatsword/Spear</v>
      </c>
      <c r="D8" s="175" t="s">
        <v>34</v>
      </c>
      <c r="E8" s="176" t="s">
        <v>147</v>
      </c>
      <c r="F8" s="175" t="s">
        <v>483</v>
      </c>
      <c r="G8" s="173">
        <v>56</v>
      </c>
      <c r="H8" s="173">
        <v>113</v>
      </c>
      <c r="I8" s="84">
        <f t="shared" si="0"/>
        <v>169</v>
      </c>
      <c r="J8" s="177">
        <v>2875277</v>
      </c>
      <c r="K8" s="177">
        <v>1389304</v>
      </c>
      <c r="L8" s="177">
        <v>35554</v>
      </c>
      <c r="M8" s="38">
        <f>I8/(HLOOKUP(F8,Team_Composition_23[[#All],[Yellow]:[Red]],10,FALSE)+HLOOKUP(F8,Team_Composition_23[[#All],[Yellow]:[Red]],11,FALSE))</f>
        <v>0.20584652862362973</v>
      </c>
      <c r="N8" s="38">
        <f>J8/HLOOKUP(F8,Team_Composition_23[[#All],[Yellow]:[Red]],6,FALSE)</f>
        <v>0.16294763424245576</v>
      </c>
      <c r="O8" s="38">
        <f>K8/HLOOKUP(F8,Team_Composition_23[[#All],[Yellow]:[Red]],8,FALSE)</f>
        <v>3.156365769144804E-2</v>
      </c>
      <c r="P8" s="38">
        <f>L8/HLOOKUP(F8,Team_Composition_23[[#All],[Yellow]:[Red]],7,FALSE)</f>
        <v>1.4650321741322228E-3</v>
      </c>
      <c r="Q8" s="31"/>
      <c r="R8" s="45" t="s">
        <v>468</v>
      </c>
      <c r="S8" s="46">
        <f>SUMIFS(Scoreboard_33[Damage Dealt],Scoreboard_33[Team],"Yellow")</f>
        <v>35763014</v>
      </c>
      <c r="T8" s="47">
        <f>SUMIFS(Scoreboard_33[Damage Dealt],Scoreboard_33[Team],"Red")</f>
        <v>51301955</v>
      </c>
      <c r="U8" s="31"/>
      <c r="V8" s="48" t="str">
        <f ca="1">IFERROR(__xludf.DUMMYFUNCTION("""COMPUTED_VALUE"""),"Superluigi")</f>
        <v>Superluigi</v>
      </c>
      <c r="W8" s="49">
        <f ca="1">IFERROR(__xludf.DUMMYFUNCTION("""COMPUTED_VALUE"""),195)</f>
        <v>195</v>
      </c>
      <c r="X8" s="31"/>
      <c r="Y8" s="48" t="str">
        <f ca="1">IFERROR(__xludf.DUMMYFUNCTION("""COMPUTED_VALUE"""),"EnoughCrazy")</f>
        <v>EnoughCrazy</v>
      </c>
      <c r="Z8" s="49">
        <f ca="1">IFERROR(__xludf.DUMMYFUNCTION("""COMPUTED_VALUE"""),3957343)</f>
        <v>3957343</v>
      </c>
      <c r="AA8" s="31"/>
      <c r="AB8" s="45" t="s">
        <v>468</v>
      </c>
      <c r="AC8" s="50">
        <f>SUMIFS(Scoreboard_33[Damage Dealt],Scoreboard_33[Guild],"Best Regards")</f>
        <v>50457762</v>
      </c>
      <c r="AD8" s="51">
        <f>SUMIFS(Scoreboard_33[Damage Dealt],Scoreboard_33[Guild],"Unhinged肉")</f>
        <v>0</v>
      </c>
    </row>
    <row r="9" spans="1:30" ht="22.5" customHeight="1">
      <c r="A9" s="173">
        <v>7</v>
      </c>
      <c r="B9" s="52" t="str">
        <f>VLOOKUP(C9,Lists!I:J,2,FALSE)</f>
        <v>Ranged DPS</v>
      </c>
      <c r="C9" s="174" t="str">
        <f>VLOOKUP(E9&amp;D9,Lists!C:E,3,FALSE)</f>
        <v>Crossbow/SnS</v>
      </c>
      <c r="D9" s="175" t="s">
        <v>34</v>
      </c>
      <c r="E9" s="176" t="s">
        <v>167</v>
      </c>
      <c r="F9" s="175" t="s">
        <v>483</v>
      </c>
      <c r="G9" s="173">
        <v>53</v>
      </c>
      <c r="H9" s="173">
        <v>96</v>
      </c>
      <c r="I9" s="84">
        <f t="shared" si="0"/>
        <v>149</v>
      </c>
      <c r="J9" s="177">
        <v>2787724</v>
      </c>
      <c r="K9" s="177">
        <v>717304</v>
      </c>
      <c r="L9" s="177">
        <v>10232</v>
      </c>
      <c r="M9" s="38">
        <f>I9/(HLOOKUP(F9,Team_Composition_23[[#All],[Yellow]:[Red]],10,FALSE)+HLOOKUP(F9,Team_Composition_23[[#All],[Yellow]:[Red]],11,FALSE))</f>
        <v>0.18148599269183921</v>
      </c>
      <c r="N9" s="38">
        <f>J9/HLOOKUP(F9,Team_Composition_23[[#All],[Yellow]:[Red]],6,FALSE)</f>
        <v>0.15798583257227589</v>
      </c>
      <c r="O9" s="38">
        <f>K9/HLOOKUP(F9,Team_Composition_23[[#All],[Yellow]:[Red]],8,FALSE)</f>
        <v>1.6296460613880362E-2</v>
      </c>
      <c r="P9" s="38">
        <f>L9/HLOOKUP(F9,Team_Composition_23[[#All],[Yellow]:[Red]],7,FALSE)</f>
        <v>4.2161807970188736E-4</v>
      </c>
      <c r="Q9" s="31"/>
      <c r="R9" s="45" t="s">
        <v>470</v>
      </c>
      <c r="S9" s="46">
        <f>SUMIFS(Scoreboard_33[Amount Healed],Scoreboard_33[Team],"Yellow")</f>
        <v>29533267</v>
      </c>
      <c r="T9" s="47">
        <f>SUMIFS(Scoreboard_33[Amount Healed],Scoreboard_33[Team],"Red")</f>
        <v>25221145</v>
      </c>
      <c r="U9" s="31"/>
      <c r="V9" s="48" t="str">
        <f ca="1">IFERROR(__xludf.DUMMYFUNCTION("""COMPUTED_VALUE"""),"Regalians")</f>
        <v>Regalians</v>
      </c>
      <c r="W9" s="49">
        <f ca="1">IFERROR(__xludf.DUMMYFUNCTION("""COMPUTED_VALUE"""),195)</f>
        <v>195</v>
      </c>
      <c r="X9" s="31"/>
      <c r="Y9" s="48" t="str">
        <f ca="1">IFERROR(__xludf.DUMMYFUNCTION("""COMPUTED_VALUE"""),"CLEM")</f>
        <v>CLEM</v>
      </c>
      <c r="Z9" s="49">
        <f ca="1">IFERROR(__xludf.DUMMYFUNCTION("""COMPUTED_VALUE"""),3888267)</f>
        <v>3888267</v>
      </c>
      <c r="AA9" s="31"/>
      <c r="AB9" s="45" t="s">
        <v>470</v>
      </c>
      <c r="AC9" s="50">
        <f>SUMIFS(Scoreboard_33[Amount Healed],Scoreboard_33[Guild],"Best Regards")</f>
        <v>23168857</v>
      </c>
      <c r="AD9" s="51">
        <f>SUMIFS(Scoreboard_33[Amount Healed],Scoreboard_33[Guild],"Unhinged肉")</f>
        <v>0</v>
      </c>
    </row>
    <row r="10" spans="1:30" ht="22.5" customHeight="1">
      <c r="A10" s="173">
        <v>3</v>
      </c>
      <c r="B10" s="71" t="s">
        <v>25</v>
      </c>
      <c r="C10" s="174" t="str">
        <f>VLOOKUP(E10&amp;D10,Lists!C:E,3,FALSE)</f>
        <v>Greatsword/Dagger</v>
      </c>
      <c r="D10" s="175" t="s">
        <v>34</v>
      </c>
      <c r="E10" s="176" t="s">
        <v>98</v>
      </c>
      <c r="F10" s="175" t="s">
        <v>483</v>
      </c>
      <c r="G10" s="173">
        <v>61</v>
      </c>
      <c r="H10" s="173">
        <v>87</v>
      </c>
      <c r="I10" s="84">
        <f t="shared" si="0"/>
        <v>148</v>
      </c>
      <c r="J10" s="177">
        <v>2268647</v>
      </c>
      <c r="K10" s="177">
        <v>648112</v>
      </c>
      <c r="L10" s="177">
        <v>12975</v>
      </c>
      <c r="M10" s="38">
        <f>I10/(HLOOKUP(F10,Team_Composition_23[[#All],[Yellow]:[Red]],10,FALSE)+HLOOKUP(F10,Team_Composition_23[[#All],[Yellow]:[Red]],11,FALSE))</f>
        <v>0.18026796589524968</v>
      </c>
      <c r="N10" s="38">
        <f>J10/HLOOKUP(F10,Team_Composition_23[[#All],[Yellow]:[Red]],6,FALSE)</f>
        <v>0.12856871236449377</v>
      </c>
      <c r="O10" s="38">
        <f>K10/HLOOKUP(F10,Team_Composition_23[[#All],[Yellow]:[Red]],8,FALSE)</f>
        <v>1.4724484571929377E-2</v>
      </c>
      <c r="P10" s="38">
        <f>L10/HLOOKUP(F10,Team_Composition_23[[#All],[Yellow]:[Red]],7,FALSE)</f>
        <v>5.3464567866809897E-4</v>
      </c>
      <c r="Q10" s="31"/>
      <c r="R10" s="45" t="s">
        <v>469</v>
      </c>
      <c r="S10" s="46">
        <f>SUMIFS(Scoreboard_33[Damage Taken],Scoreboard_33[Team],"Yellow")</f>
        <v>51290575</v>
      </c>
      <c r="T10" s="47">
        <f>SUMIFS(Scoreboard_33[Damage Taken],Scoreboard_33[Team],"Red")</f>
        <v>35774605</v>
      </c>
      <c r="U10" s="31"/>
      <c r="V10" s="48" t="str">
        <f ca="1">IFERROR(__xludf.DUMMYFUNCTION("""COMPUTED_VALUE"""),"K")</f>
        <v>K</v>
      </c>
      <c r="W10" s="49">
        <f ca="1">IFERROR(__xludf.DUMMYFUNCTION("""COMPUTED_VALUE"""),169)</f>
        <v>169</v>
      </c>
      <c r="X10" s="31"/>
      <c r="Y10" s="48" t="str">
        <f ca="1">IFERROR(__xludf.DUMMYFUNCTION("""COMPUTED_VALUE"""),"Haenaeh")</f>
        <v>Haenaeh</v>
      </c>
      <c r="Z10" s="49">
        <f ca="1">IFERROR(__xludf.DUMMYFUNCTION("""COMPUTED_VALUE"""),3333306)</f>
        <v>3333306</v>
      </c>
      <c r="AA10" s="31"/>
      <c r="AB10" s="45" t="s">
        <v>469</v>
      </c>
      <c r="AC10" s="50">
        <f>SUMIFS(Scoreboard_33[Damage Taken],Scoreboard_33[Guild],"Best Regards")</f>
        <v>33362581</v>
      </c>
      <c r="AD10" s="51">
        <f>SUMIFS(Scoreboard_33[Damage Taken],Scoreboard_33[Guild],"Unhinged肉")</f>
        <v>0</v>
      </c>
    </row>
    <row r="11" spans="1:30" ht="22.5" customHeight="1">
      <c r="A11" s="173">
        <v>9</v>
      </c>
      <c r="B11" s="53" t="str">
        <f>VLOOKUP(C11,Lists!I:J,2,FALSE)</f>
        <v>Ranged DPS</v>
      </c>
      <c r="C11" s="174" t="str">
        <f>VLOOKUP(E11&amp;D11,Lists!C:E,3,FALSE)</f>
        <v>Crossbow/SnS</v>
      </c>
      <c r="D11" s="175" t="s">
        <v>34</v>
      </c>
      <c r="E11" s="176" t="s">
        <v>141</v>
      </c>
      <c r="F11" s="175" t="s">
        <v>483</v>
      </c>
      <c r="G11" s="173">
        <v>51</v>
      </c>
      <c r="H11" s="173">
        <v>85</v>
      </c>
      <c r="I11" s="84">
        <f t="shared" si="0"/>
        <v>136</v>
      </c>
      <c r="J11" s="177">
        <v>2342001</v>
      </c>
      <c r="K11" s="177">
        <v>611335</v>
      </c>
      <c r="L11" s="177">
        <v>20252</v>
      </c>
      <c r="M11" s="38">
        <f>I11/(HLOOKUP(F11,Team_Composition_23[[#All],[Yellow]:[Red]],10,FALSE)+HLOOKUP(F11,Team_Composition_23[[#All],[Yellow]:[Red]],11,FALSE))</f>
        <v>0.16565164433617541</v>
      </c>
      <c r="N11" s="38">
        <f>J11/HLOOKUP(F11,Team_Composition_23[[#All],[Yellow]:[Red]],6,FALSE)</f>
        <v>0.13272582862223906</v>
      </c>
      <c r="O11" s="38">
        <f>K11/HLOOKUP(F11,Team_Composition_23[[#All],[Yellow]:[Red]],8,FALSE)</f>
        <v>1.3888946317581599E-2</v>
      </c>
      <c r="P11" s="38">
        <f>L11/HLOOKUP(F11,Team_Composition_23[[#All],[Yellow]:[Red]],7,FALSE)</f>
        <v>8.3450052288141347E-4</v>
      </c>
      <c r="Q11" s="31"/>
      <c r="R11" s="45" t="s">
        <v>495</v>
      </c>
      <c r="S11" s="46">
        <f ca="1">IFERROR(DIVIDE(SUMIFS(Scoreboard_33[Amount Healed],Scoreboard_33[Team],"Yellow"), SUMIFS(Scoreboard_33[Damage Taken],Scoreboard_33[Team],"Yellow"))*(100),0)</f>
        <v>0</v>
      </c>
      <c r="T11" s="47">
        <f ca="1">IFERROR(DIVIDE(SUMIFS(Scoreboard_33[Amount Healed],Scoreboard_33[Team],"Red"), SUMIFS(Scoreboard_33[Damage Taken],Scoreboard_33[Team],"Red"))*(100),0)</f>
        <v>0</v>
      </c>
      <c r="U11" s="31"/>
      <c r="V11" s="48" t="str">
        <f ca="1">IFERROR(__xludf.DUMMYFUNCTION("""COMPUTED_VALUE"""),"charigueya")</f>
        <v>charigueya</v>
      </c>
      <c r="W11" s="49">
        <f ca="1">IFERROR(__xludf.DUMMYFUNCTION("""COMPUTED_VALUE"""),149)</f>
        <v>149</v>
      </c>
      <c r="X11" s="31"/>
      <c r="Y11" s="48" t="str">
        <f ca="1">IFERROR(__xludf.DUMMYFUNCTION("""COMPUTED_VALUE"""),"Superluigi")</f>
        <v>Superluigi</v>
      </c>
      <c r="Z11" s="49">
        <f ca="1">IFERROR(__xludf.DUMMYFUNCTION("""COMPUTED_VALUE"""),3031568)</f>
        <v>3031568</v>
      </c>
      <c r="AA11" s="31"/>
      <c r="AB11" s="45" t="s">
        <v>495</v>
      </c>
      <c r="AC11" s="50">
        <f ca="1">IFERROR(DIVIDE(SUMIFS(Scoreboard_33[Amount Healed],Scoreboard_33[Guild],"Best Regards"), SUMIFS(Scoreboard_33[Damage Taken],Scoreboard_33[Guild],"Best Regards"))*(100),0)</f>
        <v>0</v>
      </c>
      <c r="AD11" s="51">
        <f ca="1">IFERROR(DIVIDE(SUMIFS(Scoreboard_33[Amount Healed],Scoreboard_33[Guild],"Unhinged肉"), SUMIFS(Scoreboard_33[Damage Taken],Scoreboard_33[Guild],"Unhinged肉"))*(100),0)</f>
        <v>0</v>
      </c>
    </row>
    <row r="12" spans="1:30" ht="22.5" customHeight="1">
      <c r="A12" s="173">
        <v>65</v>
      </c>
      <c r="B12" s="62" t="str">
        <f>VLOOKUP(C12,Lists!I:J,2,FALSE)</f>
        <v>Healer</v>
      </c>
      <c r="C12" s="174" t="str">
        <f>VLOOKUP(E12&amp;D12,Lists!C:E,3,FALSE)</f>
        <v>Wand/Orb</v>
      </c>
      <c r="D12" s="175" t="s">
        <v>34</v>
      </c>
      <c r="E12" s="176" t="s">
        <v>139</v>
      </c>
      <c r="F12" s="175" t="s">
        <v>483</v>
      </c>
      <c r="G12" s="173">
        <v>0</v>
      </c>
      <c r="H12" s="173">
        <v>129</v>
      </c>
      <c r="I12" s="84">
        <f t="shared" si="0"/>
        <v>129</v>
      </c>
      <c r="J12" s="179">
        <v>14020</v>
      </c>
      <c r="K12" s="177">
        <v>250506</v>
      </c>
      <c r="L12" s="177">
        <v>559420</v>
      </c>
      <c r="M12" s="38">
        <f>I12/(HLOOKUP(F12,Team_Composition_23[[#All],[Yellow]:[Red]],10,FALSE)+HLOOKUP(F12,Team_Composition_23[[#All],[Yellow]:[Red]],11,FALSE))</f>
        <v>0.15712545676004872</v>
      </c>
      <c r="N12" s="38">
        <f>J12/HLOOKUP(F12,Team_Composition_23[[#All],[Yellow]:[Red]],6,FALSE)</f>
        <v>7.9454112841275109E-4</v>
      </c>
      <c r="O12" s="38">
        <f>K12/HLOOKUP(F12,Team_Composition_23[[#All],[Yellow]:[Red]],8,FALSE)</f>
        <v>5.6912566534422148E-3</v>
      </c>
      <c r="P12" s="38">
        <f>L12/HLOOKUP(F12,Team_Composition_23[[#All],[Yellow]:[Red]],7,FALSE)</f>
        <v>2.305136690254396E-2</v>
      </c>
      <c r="Q12" s="31"/>
      <c r="R12" s="45" t="s">
        <v>465</v>
      </c>
      <c r="S12" s="46">
        <f>SUMIFS(Scoreboard_33[Kills],Scoreboard_33[Team],"Yellow")</f>
        <v>433</v>
      </c>
      <c r="T12" s="47">
        <f>SUMIFS(Scoreboard_33[Kills],Scoreboard_33[Team],"Red")</f>
        <v>915</v>
      </c>
      <c r="U12" s="31"/>
      <c r="V12" s="48" t="str">
        <f ca="1">IFERROR(__xludf.DUMMYFUNCTION("""COMPUTED_VALUE"""),"ShawarmaShuffle")</f>
        <v>ShawarmaShuffle</v>
      </c>
      <c r="W12" s="49">
        <f ca="1">IFERROR(__xludf.DUMMYFUNCTION("""COMPUTED_VALUE"""),148)</f>
        <v>148</v>
      </c>
      <c r="X12" s="31"/>
      <c r="Y12" s="48" t="str">
        <f ca="1">IFERROR(__xludf.DUMMYFUNCTION("""COMPUTED_VALUE"""),"K")</f>
        <v>K</v>
      </c>
      <c r="Z12" s="49">
        <f ca="1">IFERROR(__xludf.DUMMYFUNCTION("""COMPUTED_VALUE"""),2875277)</f>
        <v>2875277</v>
      </c>
      <c r="AA12" s="31"/>
      <c r="AB12" s="45" t="s">
        <v>465</v>
      </c>
      <c r="AC12" s="50">
        <f>SUMIFS(Scoreboard_33[Kills],Scoreboard_33[Guild],"Best Regards")</f>
        <v>907</v>
      </c>
      <c r="AD12" s="51">
        <f>SUMIFS(Scoreboard_33[Kills],Scoreboard_33[Guild],"Unhinged肉")</f>
        <v>0</v>
      </c>
    </row>
    <row r="13" spans="1:30" ht="22.5" customHeight="1">
      <c r="A13" s="173">
        <v>43</v>
      </c>
      <c r="B13" s="59" t="str">
        <f>VLOOKUP(C13,Lists!I:J,2,FALSE)</f>
        <v>Healer</v>
      </c>
      <c r="C13" s="174" t="str">
        <f>VLOOKUP(E13&amp;D13,Lists!C:E,3,FALSE)</f>
        <v>Wand/Orb</v>
      </c>
      <c r="D13" s="77" t="s">
        <v>34</v>
      </c>
      <c r="E13" s="176" t="s">
        <v>144</v>
      </c>
      <c r="F13" s="175" t="s">
        <v>483</v>
      </c>
      <c r="G13" s="173">
        <v>3</v>
      </c>
      <c r="H13" s="173">
        <v>118</v>
      </c>
      <c r="I13" s="84">
        <f t="shared" si="0"/>
        <v>121</v>
      </c>
      <c r="J13" s="177">
        <v>153529</v>
      </c>
      <c r="K13" s="177">
        <v>349338</v>
      </c>
      <c r="L13" s="177">
        <v>1721830</v>
      </c>
      <c r="M13" s="38">
        <f>I13/(HLOOKUP(F13,Team_Composition_23[[#All],[Yellow]:[Red]],10,FALSE)+HLOOKUP(F13,Team_Composition_23[[#All],[Yellow]:[Red]],11,FALSE))</f>
        <v>0.14738124238733252</v>
      </c>
      <c r="N13" s="38">
        <f>J13/HLOOKUP(F13,Team_Composition_23[[#All],[Yellow]:[Red]],6,FALSE)</f>
        <v>8.7007920758973793E-3</v>
      </c>
      <c r="O13" s="38">
        <f>K13/HLOOKUP(F13,Team_Composition_23[[#All],[Yellow]:[Red]],8,FALSE)</f>
        <v>7.9366251379216317E-3</v>
      </c>
      <c r="P13" s="38">
        <f>L13/HLOOKUP(F13,Team_Composition_23[[#All],[Yellow]:[Red]],7,FALSE)</f>
        <v>7.0949438836307735E-2</v>
      </c>
      <c r="Q13" s="31"/>
      <c r="R13" s="45" t="s">
        <v>466</v>
      </c>
      <c r="S13" s="46">
        <f>SUMIFS(Scoreboard_33[Assists],Scoreboard_33[Team],"Yellow")</f>
        <v>1792</v>
      </c>
      <c r="T13" s="47">
        <f>SUMIFS(Scoreboard_33[Assists],Scoreboard_33[Team],"Red")</f>
        <v>3785</v>
      </c>
      <c r="U13" s="31"/>
      <c r="V13" s="48" t="str">
        <f ca="1">IFERROR(__xludf.DUMMYFUNCTION("""COMPUTED_VALUE"""),"Thundercats")</f>
        <v>Thundercats</v>
      </c>
      <c r="W13" s="49">
        <f ca="1">IFERROR(__xludf.DUMMYFUNCTION("""COMPUTED_VALUE"""),136)</f>
        <v>136</v>
      </c>
      <c r="X13" s="31"/>
      <c r="Y13" s="48" t="str">
        <f ca="1">IFERROR(__xludf.DUMMYFUNCTION("""COMPUTED_VALUE"""),"charigueya")</f>
        <v>charigueya</v>
      </c>
      <c r="Z13" s="49">
        <f ca="1">IFERROR(__xludf.DUMMYFUNCTION("""COMPUTED_VALUE"""),2787724)</f>
        <v>2787724</v>
      </c>
      <c r="AA13" s="31"/>
      <c r="AB13" s="45" t="s">
        <v>466</v>
      </c>
      <c r="AC13" s="50">
        <f>SUMIFS(Scoreboard_33[Assists],Scoreboard_33[Guild],"Best Regards")</f>
        <v>3594</v>
      </c>
      <c r="AD13" s="51">
        <f>SUMIFS(Scoreboard_33[Assists],Scoreboard_33[Guild],"Unhinged肉")</f>
        <v>0</v>
      </c>
    </row>
    <row r="14" spans="1:30" ht="22.5" customHeight="1">
      <c r="A14" s="173">
        <v>66</v>
      </c>
      <c r="B14" s="68" t="str">
        <f>VLOOKUP(C14,Lists!I:J,2,FALSE)</f>
        <v>Healer</v>
      </c>
      <c r="C14" s="174" t="str">
        <f>VLOOKUP(E14&amp;D14,Lists!C:E,3,FALSE)</f>
        <v>Wand/Orb</v>
      </c>
      <c r="D14" s="175" t="s">
        <v>34</v>
      </c>
      <c r="E14" s="176" t="s">
        <v>146</v>
      </c>
      <c r="F14" s="175" t="s">
        <v>483</v>
      </c>
      <c r="G14" s="173">
        <v>0</v>
      </c>
      <c r="H14" s="173">
        <v>118</v>
      </c>
      <c r="I14" s="84">
        <f t="shared" si="0"/>
        <v>118</v>
      </c>
      <c r="J14" s="116">
        <v>9416</v>
      </c>
      <c r="K14" s="177">
        <v>368461</v>
      </c>
      <c r="L14" s="177">
        <v>1546805</v>
      </c>
      <c r="M14" s="38">
        <f>I14/(HLOOKUP(F14,Team_Composition_23[[#All],[Yellow]:[Red]],10,FALSE)+HLOOKUP(F14,Team_Composition_23[[#All],[Yellow]:[Red]],11,FALSE))</f>
        <v>0.14372716199756394</v>
      </c>
      <c r="N14" s="38">
        <f>K14/HLOOKUP(F14,Team_Composition_23[[#All],[Yellow]:[Red]],6,FALSE)</f>
        <v>2.0881413603144841E-2</v>
      </c>
      <c r="O14" s="38" t="e">
        <f>#REF!/HLOOKUP(F14,Team_Composition_23[[#All],[Yellow]:[Red]],8,FALSE)</f>
        <v>#REF!</v>
      </c>
      <c r="P14" s="38">
        <f>L14/HLOOKUP(F14,Team_Composition_23[[#All],[Yellow]:[Red]],7,FALSE)</f>
        <v>6.3737387976278134E-2</v>
      </c>
      <c r="Q14" s="31"/>
      <c r="R14" s="48"/>
      <c r="S14" s="58">
        <f t="shared" ref="S14:T14" si="1">SUM(S4:S7)</f>
        <v>49</v>
      </c>
      <c r="T14" s="58">
        <f t="shared" si="1"/>
        <v>48</v>
      </c>
      <c r="U14" s="31"/>
      <c r="V14" s="31"/>
      <c r="W14" s="31"/>
      <c r="X14" s="31"/>
      <c r="Y14" s="31"/>
      <c r="Z14" s="31"/>
      <c r="AA14" s="31"/>
      <c r="AB14" s="48"/>
      <c r="AC14" s="58"/>
      <c r="AD14" s="58"/>
    </row>
    <row r="15" spans="1:30" ht="22.5" customHeight="1">
      <c r="A15" s="173">
        <v>8</v>
      </c>
      <c r="B15" s="65" t="str">
        <f>VLOOKUP(C15,Lists!I:J,2,FALSE)</f>
        <v>KS</v>
      </c>
      <c r="C15" s="174" t="str">
        <f>VLOOKUP(E15&amp;D15,Lists!C:E,3,FALSE)</f>
        <v>Crossbow/Dagger</v>
      </c>
      <c r="D15" s="175" t="s">
        <v>34</v>
      </c>
      <c r="E15" s="176" t="s">
        <v>504</v>
      </c>
      <c r="F15" s="175" t="s">
        <v>483</v>
      </c>
      <c r="G15" s="173">
        <v>53</v>
      </c>
      <c r="H15" s="173">
        <v>62</v>
      </c>
      <c r="I15" s="84">
        <f t="shared" si="0"/>
        <v>115</v>
      </c>
      <c r="J15" s="177">
        <v>2236267</v>
      </c>
      <c r="K15" s="177">
        <v>828377</v>
      </c>
      <c r="L15" s="177">
        <v>0</v>
      </c>
      <c r="M15" s="38">
        <f>I15/(HLOOKUP(F15,Team_Composition_23[[#All],[Yellow]:[Red]],10,FALSE)+HLOOKUP(F15,Team_Composition_23[[#All],[Yellow]:[Red]],11,FALSE))</f>
        <v>0.14007308160779536</v>
      </c>
      <c r="N15" s="38">
        <f>J15/HLOOKUP(F15,Team_Composition_23[[#All],[Yellow]:[Red]],6,FALSE)</f>
        <v>0.1267336737241225</v>
      </c>
      <c r="O15" s="38">
        <f>K15/HLOOKUP(F15,Team_Composition_23[[#All],[Yellow]:[Red]],8,FALSE)</f>
        <v>1.8819932907030178E-2</v>
      </c>
      <c r="P15" s="38">
        <f>L15/HLOOKUP(F15,Team_Composition_23[[#All],[Yellow]:[Red]],7,FALSE)</f>
        <v>0</v>
      </c>
      <c r="Q15" s="31"/>
      <c r="R15" s="227" t="s">
        <v>25</v>
      </c>
      <c r="S15" s="228"/>
      <c r="T15" s="228"/>
      <c r="U15" s="31"/>
      <c r="V15" s="229" t="s">
        <v>496</v>
      </c>
      <c r="W15" s="228"/>
      <c r="X15" s="31"/>
      <c r="Y15" s="229" t="s">
        <v>497</v>
      </c>
      <c r="Z15" s="228"/>
      <c r="AA15" s="31"/>
      <c r="AB15" s="227" t="s">
        <v>25</v>
      </c>
      <c r="AC15" s="228"/>
      <c r="AD15" s="228"/>
    </row>
    <row r="16" spans="1:30" ht="22.5" customHeight="1">
      <c r="A16" s="173">
        <v>34</v>
      </c>
      <c r="B16" s="55" t="str">
        <f>VLOOKUP(C16,Lists!I:J,2,FALSE)</f>
        <v>Ranged DPS</v>
      </c>
      <c r="C16" s="174" t="str">
        <f>VLOOKUP(E16&amp;D16,Lists!C:E,3,FALSE)</f>
        <v>SnS/Wand</v>
      </c>
      <c r="D16" s="175" t="s">
        <v>34</v>
      </c>
      <c r="E16" s="13" t="s">
        <v>162</v>
      </c>
      <c r="F16" s="175" t="s">
        <v>483</v>
      </c>
      <c r="G16" s="173">
        <v>12</v>
      </c>
      <c r="H16" s="173">
        <v>98</v>
      </c>
      <c r="I16" s="84">
        <f t="shared" si="0"/>
        <v>110</v>
      </c>
      <c r="J16" s="177">
        <v>2079863</v>
      </c>
      <c r="K16" s="177">
        <v>707141</v>
      </c>
      <c r="L16" s="177">
        <v>283088</v>
      </c>
      <c r="M16" s="38">
        <f>I16/(HLOOKUP(F16,Team_Composition_23[[#All],[Yellow]:[Red]],10,FALSE)+HLOOKUP(F16,Team_Composition_23[[#All],[Yellow]:[Red]],11,FALSE))</f>
        <v>0.13398294762484775</v>
      </c>
      <c r="N16" s="38">
        <f>J16/HLOOKUP(F16,Team_Composition_23[[#All],[Yellow]:[Red]],6,FALSE)</f>
        <v>0.11786994971212052</v>
      </c>
      <c r="O16" s="38">
        <f>K16/HLOOKUP(F16,Team_Composition_23[[#All],[Yellow]:[Red]],8,FALSE)</f>
        <v>1.6065566977125422E-2</v>
      </c>
      <c r="P16" s="38">
        <f>L16/HLOOKUP(F16,Team_Composition_23[[#All],[Yellow]:[Red]],7,FALSE)</f>
        <v>1.1664876753972623E-2</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173">
        <v>52</v>
      </c>
      <c r="B17" s="73" t="str">
        <f>VLOOKUP(C17,Lists!I:J,2,FALSE)</f>
        <v>Healer</v>
      </c>
      <c r="C17" s="174" t="str">
        <f>VLOOKUP(E17&amp;D17,Lists!C:E,3,FALSE)</f>
        <v>Wand/Orb</v>
      </c>
      <c r="D17" s="77" t="s">
        <v>34</v>
      </c>
      <c r="E17" s="178" t="s">
        <v>151</v>
      </c>
      <c r="F17" s="175" t="s">
        <v>483</v>
      </c>
      <c r="G17" s="173">
        <v>1</v>
      </c>
      <c r="H17" s="173">
        <v>108</v>
      </c>
      <c r="I17" s="84">
        <f t="shared" si="0"/>
        <v>109</v>
      </c>
      <c r="J17" s="177">
        <v>43128</v>
      </c>
      <c r="K17" s="177">
        <v>671850</v>
      </c>
      <c r="L17" s="177">
        <v>2324366</v>
      </c>
      <c r="M17" s="38">
        <f>I17/(HLOOKUP(F17,Team_Composition_23[[#All],[Yellow]:[Red]],10,FALSE)+HLOOKUP(F17,Team_Composition_23[[#All],[Yellow]:[Red]],11,FALSE))</f>
        <v>0.13276492082825822</v>
      </c>
      <c r="N17" s="38">
        <f>J17/HLOOKUP(F17,Team_Composition_23[[#All],[Yellow]:[Red]],6,FALSE)</f>
        <v>2.4441490575025054E-3</v>
      </c>
      <c r="O17" s="38">
        <f>K17/HLOOKUP(F17,Team_Composition_23[[#All],[Yellow]:[Red]],8,FALSE)</f>
        <v>1.5263789221077148E-2</v>
      </c>
      <c r="P17" s="38">
        <f>L17/HLOOKUP(F17,Team_Composition_23[[#All],[Yellow]:[Red]],7,FALSE)</f>
        <v>9.5777436419503231E-2</v>
      </c>
      <c r="Q17" s="31"/>
      <c r="R17" s="45" t="s">
        <v>468</v>
      </c>
      <c r="S17" s="46">
        <f>SUMIFS(Scoreboard_33[Damage Dealt],Scoreboard_33[Role],"Melee DPS",Scoreboard_33[Team],"Yellow")</f>
        <v>9455959</v>
      </c>
      <c r="T17" s="47">
        <f>SUMIFS(Scoreboard_33[Damage Dealt],Scoreboard_33[Role],"Melee DPS",Scoreboard_33[Team],"Red")</f>
        <v>19074561</v>
      </c>
      <c r="U17" s="31"/>
      <c r="V17" s="48" t="str">
        <f ca="1">IFERROR(__xludf.DUMMYFUNCTION("query(A1:P238, ""Select E,K Order by K Desc Limit 10"", 0)"),"Params")</f>
        <v>Params</v>
      </c>
      <c r="W17" s="49">
        <f ca="1">IFERROR(__xludf.DUMMYFUNCTION("""COMPUTED_VALUE"""),1704766)</f>
        <v>1704766</v>
      </c>
      <c r="X17" s="31"/>
      <c r="Y17" s="48" t="str">
        <f ca="1">IFERROR(__xludf.DUMMYFUNCTION("query(A1:P238, ""Select E,L Order by L Desc Limit 10"", 0)"),"Jisoo")</f>
        <v>Jisoo</v>
      </c>
      <c r="Z17" s="49">
        <f ca="1">IFERROR(__xludf.DUMMYFUNCTION("""COMPUTED_VALUE"""),2815381)</f>
        <v>2815381</v>
      </c>
      <c r="AA17" s="31"/>
      <c r="AB17" s="45" t="s">
        <v>468</v>
      </c>
      <c r="AC17" s="50">
        <f>SUMIFS(Scoreboard_33[Damage Dealt],Scoreboard_33[Role],"Melee DPS",Scoreboard_33[Guild],"Best Regards")</f>
        <v>19074561</v>
      </c>
      <c r="AD17" s="51">
        <f>SUMIFS(Scoreboard_33[Damage Dealt],Scoreboard_33[Role],"Melee DPS",Scoreboard_33[Guild],"Unhinged肉")</f>
        <v>0</v>
      </c>
    </row>
    <row r="18" spans="1:30" ht="22.5" customHeight="1">
      <c r="A18" s="173">
        <v>13</v>
      </c>
      <c r="B18" s="60" t="str">
        <f>VLOOKUP(C18,Lists!I:J,2,FALSE)</f>
        <v>Ranged DPS</v>
      </c>
      <c r="C18" s="180" t="str">
        <f>VLOOKUP(E18&amp;D18,Lists!C:E,3,FALSE)</f>
        <v>Staff/Dagger</v>
      </c>
      <c r="D18" s="77" t="s">
        <v>30</v>
      </c>
      <c r="E18" s="176" t="s">
        <v>224</v>
      </c>
      <c r="F18" s="175" t="s">
        <v>476</v>
      </c>
      <c r="G18" s="173">
        <v>44</v>
      </c>
      <c r="H18" s="173">
        <v>64</v>
      </c>
      <c r="I18" s="84">
        <f t="shared" si="0"/>
        <v>108</v>
      </c>
      <c r="J18" s="177">
        <v>4034606</v>
      </c>
      <c r="K18" s="177">
        <v>1163711</v>
      </c>
      <c r="L18" s="177">
        <v>64685</v>
      </c>
      <c r="M18" s="38">
        <f>I18/(HLOOKUP(F18,Team_Composition_23[[#All],[Yellow]:[Red]],10,FALSE)+HLOOKUP(F18,Team_Composition_23[[#All],[Yellow]:[Red]],11,FALSE))</f>
        <v>2.699325168707823E-2</v>
      </c>
      <c r="N18" s="38">
        <f>J18/HLOOKUP(F18,Team_Composition_23[[#All],[Yellow]:[Red]],6,FALSE)</f>
        <v>9.0944080698967769E-2</v>
      </c>
      <c r="O18" s="38">
        <f>K18/HLOOKUP(F18,Team_Composition_23[[#All],[Yellow]:[Red]],8,FALSE)</f>
        <v>6.642655077872793E-2</v>
      </c>
      <c r="P18" s="38">
        <f>L18/HLOOKUP(F18,Team_Composition_23[[#All],[Yellow]:[Red]],7,FALSE)</f>
        <v>4.9969972438298265E-3</v>
      </c>
      <c r="Q18" s="31"/>
      <c r="R18" s="45" t="s">
        <v>469</v>
      </c>
      <c r="S18" s="46">
        <f>SUMIFS(Scoreboard_33[Damage Taken],Scoreboard_33[Role],"Melee DPS",Scoreboard_33[Team],"Yellow")</f>
        <v>10836813</v>
      </c>
      <c r="T18" s="47">
        <f>SUMIFS(Scoreboard_33[Damage Taken],Scoreboard_33[Role],"Melee DPS",Scoreboard_33[Team],"Red")</f>
        <v>8424914</v>
      </c>
      <c r="U18" s="31"/>
      <c r="V18" s="48" t="str">
        <f ca="1">IFERROR(__xludf.DUMMYFUNCTION("""COMPUTED_VALUE"""),"HEALERTANKDPS")</f>
        <v>HEALERTANKDPS</v>
      </c>
      <c r="W18" s="49">
        <f ca="1">IFERROR(__xludf.DUMMYFUNCTION("""COMPUTED_VALUE"""),1691752)</f>
        <v>1691752</v>
      </c>
      <c r="X18" s="31"/>
      <c r="Y18" s="48" t="str">
        <f ca="1">IFERROR(__xludf.DUMMYFUNCTION("""COMPUTED_VALUE"""),"EgirlWaifu")</f>
        <v>EgirlWaifu</v>
      </c>
      <c r="Z18" s="49">
        <f ca="1">IFERROR(__xludf.DUMMYFUNCTION("""COMPUTED_VALUE"""),2686390)</f>
        <v>2686390</v>
      </c>
      <c r="AA18" s="31"/>
      <c r="AB18" s="45" t="s">
        <v>469</v>
      </c>
      <c r="AC18" s="50">
        <f>SUMIFS(Scoreboard_33[Damage Taken],Scoreboard_33[Role],"Melee DPS",Scoreboard_33[Guild],"Best Regards")</f>
        <v>8424914</v>
      </c>
      <c r="AD18" s="51">
        <f>SUMIFS(Scoreboard_33[Damage Taken],Scoreboard_33[Role],"Melee DPS",Scoreboard_33[Guild],"Unhinged肉")</f>
        <v>0</v>
      </c>
    </row>
    <row r="19" spans="1:30" ht="22.5" customHeight="1">
      <c r="A19" s="173">
        <v>67</v>
      </c>
      <c r="B19" s="56" t="str">
        <f>VLOOKUP(C19,Lists!I:J,2,FALSE)</f>
        <v>Healer</v>
      </c>
      <c r="C19" s="174" t="str">
        <f>VLOOKUP(E19&amp;D19,Lists!C:E,3,FALSE)</f>
        <v>Wand/Longbow</v>
      </c>
      <c r="D19" s="77" t="s">
        <v>34</v>
      </c>
      <c r="E19" s="176" t="s">
        <v>17</v>
      </c>
      <c r="F19" s="77" t="s">
        <v>483</v>
      </c>
      <c r="G19" s="173">
        <v>0</v>
      </c>
      <c r="H19" s="173">
        <v>107</v>
      </c>
      <c r="I19" s="84">
        <f t="shared" si="0"/>
        <v>107</v>
      </c>
      <c r="J19" s="177">
        <v>62574</v>
      </c>
      <c r="K19" s="177">
        <v>673701</v>
      </c>
      <c r="L19" s="177">
        <v>2487470</v>
      </c>
      <c r="M19" s="38">
        <f>I19/(HLOOKUP(F19,Team_Composition_23[[#All],[Yellow]:[Red]],10,FALSE)+HLOOKUP(F19,Team_Composition_23[[#All],[Yellow]:[Red]],11,FALSE))</f>
        <v>0.13032886723507917</v>
      </c>
      <c r="N19" s="38">
        <f>J19/HLOOKUP(F19,Team_Composition_23[[#All],[Yellow]:[Red]],6,FALSE)</f>
        <v>3.546192337325213E-3</v>
      </c>
      <c r="O19" s="38">
        <f>K19/HLOOKUP(F19,Team_Composition_23[[#All],[Yellow]:[Red]],8,FALSE)</f>
        <v>1.5305842170170269E-2</v>
      </c>
      <c r="P19" s="38">
        <f>L19/HLOOKUP(F19,Team_Composition_23[[#All],[Yellow]:[Red]],7,FALSE)</f>
        <v>0.10249827254848062</v>
      </c>
      <c r="Q19" s="31"/>
      <c r="R19" s="45" t="s">
        <v>470</v>
      </c>
      <c r="S19" s="46">
        <f>SUMIFS(Scoreboard_33[Amount Healed],Scoreboard_33[Role],"Melee DPS",Scoreboard_33[Team],"Yellow")</f>
        <v>861121</v>
      </c>
      <c r="T19" s="47">
        <f>SUMIFS(Scoreboard_33[Amount Healed],Scoreboard_33[Role],"Melee DPS",Scoreboard_33[Team],"Red")</f>
        <v>184008</v>
      </c>
      <c r="U19" s="31"/>
      <c r="V19" s="48" t="str">
        <f ca="1">IFERROR(__xludf.DUMMYFUNCTION("""COMPUTED_VALUE"""),"Smash")</f>
        <v>Smash</v>
      </c>
      <c r="W19" s="49">
        <f ca="1">IFERROR(__xludf.DUMMYFUNCTION("""COMPUTED_VALUE"""),1615547)</f>
        <v>1615547</v>
      </c>
      <c r="X19" s="31"/>
      <c r="Y19" s="48" t="str">
        <f ca="1">IFERROR(__xludf.DUMMYFUNCTION("""COMPUTED_VALUE"""),"Raye")</f>
        <v>Raye</v>
      </c>
      <c r="Z19" s="49">
        <f ca="1">IFERROR(__xludf.DUMMYFUNCTION("""COMPUTED_VALUE"""),2560641)</f>
        <v>2560641</v>
      </c>
      <c r="AA19" s="31"/>
      <c r="AB19" s="45" t="s">
        <v>470</v>
      </c>
      <c r="AC19" s="50">
        <f>SUMIFS(Scoreboard_33[Amount Healed],Scoreboard_33[Role],"Melee DPS",Scoreboard_33[Guild],"Best Regards")</f>
        <v>184008</v>
      </c>
      <c r="AD19" s="51">
        <f>SUMIFS(Scoreboard_33[Amount Healed],Scoreboard_33[Role],"Melee DPS",Scoreboard_33[Guild],"Unhinged肉")</f>
        <v>0</v>
      </c>
    </row>
    <row r="20" spans="1:30" ht="22.5" customHeight="1">
      <c r="A20" s="173">
        <v>68</v>
      </c>
      <c r="B20" s="33" t="str">
        <f>VLOOKUP(C20,Lists!I:J,2,FALSE)</f>
        <v>Healer</v>
      </c>
      <c r="C20" s="174" t="str">
        <f>VLOOKUP(E20&amp;D20,Lists!C:E,3,FALSE)</f>
        <v>Wand/Orb</v>
      </c>
      <c r="D20" s="175" t="s">
        <v>34</v>
      </c>
      <c r="E20" s="176" t="s">
        <v>171</v>
      </c>
      <c r="F20" s="175" t="s">
        <v>483</v>
      </c>
      <c r="G20" s="173">
        <v>0</v>
      </c>
      <c r="H20" s="173">
        <v>105</v>
      </c>
      <c r="I20" s="84">
        <f t="shared" si="0"/>
        <v>105</v>
      </c>
      <c r="J20" s="177">
        <v>19114</v>
      </c>
      <c r="K20" s="177">
        <v>298044</v>
      </c>
      <c r="L20" s="177">
        <v>634394</v>
      </c>
      <c r="M20" s="38">
        <f>I20/(HLOOKUP(F20,Team_Composition_23[[#All],[Yellow]:[Red]],10,FALSE)+HLOOKUP(F20,Team_Composition_23[[#All],[Yellow]:[Red]],11,FALSE))</f>
        <v>0.12789281364190011</v>
      </c>
      <c r="N20" s="38">
        <f>J20/HLOOKUP(F20,Team_Composition_23[[#All],[Yellow]:[Red]],6,FALSE)</f>
        <v>1.0832281832012357E-3</v>
      </c>
      <c r="O20" s="38">
        <f>K20/HLOOKUP(F20,Team_Composition_23[[#All],[Yellow]:[Red]],8,FALSE)</f>
        <v>6.771274532420506E-3</v>
      </c>
      <c r="P20" s="38">
        <f>L20/HLOOKUP(F20,Team_Composition_23[[#All],[Yellow]:[Red]],7,FALSE)</f>
        <v>2.6140732999843541E-2</v>
      </c>
      <c r="Q20" s="31"/>
      <c r="R20" s="45" t="s">
        <v>465</v>
      </c>
      <c r="S20" s="46">
        <f>SUMIFS(Scoreboard_33[Kills],Scoreboard_33[Role],"Melee DPS",Scoreboard_33[Team],"Yellow")</f>
        <v>106</v>
      </c>
      <c r="T20" s="47">
        <f>SUMIFS(Scoreboard_33[Kills],Scoreboard_33[Role],"Melee DPS",Scoreboard_33[Team],"Red")</f>
        <v>375</v>
      </c>
      <c r="U20" s="31"/>
      <c r="V20" s="48" t="str">
        <f ca="1">IFERROR(__xludf.DUMMYFUNCTION("""COMPUTED_VALUE"""),"Superluigi")</f>
        <v>Superluigi</v>
      </c>
      <c r="W20" s="49">
        <f ca="1">IFERROR(__xludf.DUMMYFUNCTION("""COMPUTED_VALUE"""),1586405)</f>
        <v>1586405</v>
      </c>
      <c r="X20" s="31"/>
      <c r="Y20" s="48" t="str">
        <f ca="1">IFERROR(__xludf.DUMMYFUNCTION("""COMPUTED_VALUE"""),"apgonzo")</f>
        <v>apgonzo</v>
      </c>
      <c r="Z20" s="49">
        <f ca="1">IFERROR(__xludf.DUMMYFUNCTION("""COMPUTED_VALUE"""),2487470)</f>
        <v>2487470</v>
      </c>
      <c r="AA20" s="31"/>
      <c r="AB20" s="45" t="s">
        <v>465</v>
      </c>
      <c r="AC20" s="50">
        <f>SUMIFS(Scoreboard_33[Kills],Scoreboard_33[Role],"Melee DPS",Scoreboard_33[Guild],"Best Regards")</f>
        <v>375</v>
      </c>
      <c r="AD20" s="51">
        <f>SUMIFS(Scoreboard_33[Kills],Scoreboard_33[Role],"Melee DPS",Scoreboard_33[Guild],"Unhinged肉")</f>
        <v>0</v>
      </c>
    </row>
    <row r="21" spans="1:30" ht="22.5" customHeight="1">
      <c r="A21" s="173">
        <v>69</v>
      </c>
      <c r="B21" s="59" t="str">
        <f>VLOOKUP(C21,Lists!I:J,2,FALSE)</f>
        <v>Healer</v>
      </c>
      <c r="C21" s="174" t="str">
        <f>VLOOKUP(E21&amp;D21,Lists!C:E,3,FALSE)</f>
        <v>Wand/Orb</v>
      </c>
      <c r="D21" s="175" t="s">
        <v>34</v>
      </c>
      <c r="E21" s="176" t="s">
        <v>121</v>
      </c>
      <c r="F21" s="175" t="s">
        <v>483</v>
      </c>
      <c r="G21" s="173">
        <v>0</v>
      </c>
      <c r="H21" s="173">
        <v>99</v>
      </c>
      <c r="I21" s="84">
        <f t="shared" si="0"/>
        <v>99</v>
      </c>
      <c r="J21" s="177">
        <v>22847</v>
      </c>
      <c r="K21" s="177">
        <v>476937</v>
      </c>
      <c r="L21" s="177">
        <v>694209</v>
      </c>
      <c r="M21" s="38">
        <f>I21/(HLOOKUP(F21,Team_Composition_23[[#All],[Yellow]:[Red]],10,FALSE)+HLOOKUP(F21,Team_Composition_23[[#All],[Yellow]:[Red]],11,FALSE))</f>
        <v>0.12058465286236297</v>
      </c>
      <c r="N21" s="38">
        <f>J21/HLOOKUP(F21,Team_Composition_23[[#All],[Yellow]:[Red]],6,FALSE)</f>
        <v>1.2947846762372413E-3</v>
      </c>
      <c r="O21" s="38">
        <f>K21/HLOOKUP(F21,Team_Composition_23[[#All],[Yellow]:[Red]],8,FALSE)</f>
        <v>1.0835552340154604E-2</v>
      </c>
      <c r="P21" s="38">
        <f>L21/HLOOKUP(F21,Team_Composition_23[[#All],[Yellow]:[Red]],7,FALSE)</f>
        <v>2.8605459879961641E-2</v>
      </c>
      <c r="Q21" s="31"/>
      <c r="R21" s="45" t="s">
        <v>466</v>
      </c>
      <c r="S21" s="46">
        <f>SUMIFS(Scoreboard_33[Assists],Scoreboard_33[Role],"Melee DPS",Scoreboard_33[Team],"Yellow")</f>
        <v>299</v>
      </c>
      <c r="T21" s="47">
        <f>SUMIFS(Scoreboard_33[Assists],Scoreboard_33[Role],"Melee DPS",Scoreboard_33[Team],"Red")</f>
        <v>812</v>
      </c>
      <c r="U21" s="31"/>
      <c r="V21" s="48" t="str">
        <f ca="1">IFERROR(__xludf.DUMMYFUNCTION("""COMPUTED_VALUE"""),"nightghost1")</f>
        <v>nightghost1</v>
      </c>
      <c r="W21" s="49">
        <f ca="1">IFERROR(__xludf.DUMMYFUNCTION("""COMPUTED_VALUE"""),1541535)</f>
        <v>1541535</v>
      </c>
      <c r="X21" s="31"/>
      <c r="Y21" s="48" t="str">
        <f ca="1">IFERROR(__xludf.DUMMYFUNCTION("""COMPUTED_VALUE"""),"hammyjammy")</f>
        <v>hammyjammy</v>
      </c>
      <c r="Z21" s="49">
        <f ca="1">IFERROR(__xludf.DUMMYFUNCTION("""COMPUTED_VALUE"""),2324366)</f>
        <v>2324366</v>
      </c>
      <c r="AA21" s="31"/>
      <c r="AB21" s="45" t="s">
        <v>466</v>
      </c>
      <c r="AC21" s="50">
        <f>SUMIFS(Scoreboard_33[Assists],Scoreboard_33[Role],"Melee DPS",Scoreboard_33[Guild],"Best Regards")</f>
        <v>812</v>
      </c>
      <c r="AD21" s="51">
        <f>SUMIFS(Scoreboard_33[Assists],Scoreboard_33[Role],"Melee DPS",Scoreboard_33[Guild],"Unhinged肉")</f>
        <v>0</v>
      </c>
    </row>
    <row r="22" spans="1:30" ht="22.5" customHeight="1">
      <c r="A22" s="173">
        <v>23</v>
      </c>
      <c r="B22" s="68" t="str">
        <f>VLOOKUP(C22,Lists!I:J,2,FALSE)</f>
        <v>Melee DPS</v>
      </c>
      <c r="C22" s="174" t="str">
        <f>VLOOKUP(E22&amp;D22,Lists!C:E,3,FALSE)</f>
        <v>Spear/Dagger</v>
      </c>
      <c r="D22" s="175" t="s">
        <v>34</v>
      </c>
      <c r="E22" s="178" t="s">
        <v>169</v>
      </c>
      <c r="F22" s="175" t="s">
        <v>483</v>
      </c>
      <c r="G22" s="173">
        <v>25</v>
      </c>
      <c r="H22" s="173">
        <v>71</v>
      </c>
      <c r="I22" s="84">
        <f t="shared" si="0"/>
        <v>96</v>
      </c>
      <c r="J22" s="177">
        <v>1431483</v>
      </c>
      <c r="K22" s="177">
        <v>998076</v>
      </c>
      <c r="L22" s="177">
        <v>5702</v>
      </c>
      <c r="M22" s="38">
        <f>I22/(HLOOKUP(F22,Team_Composition_23[[#All],[Yellow]:[Red]],10,FALSE)+HLOOKUP(F22,Team_Composition_23[[#All],[Yellow]:[Red]],11,FALSE))</f>
        <v>0.11693057247259439</v>
      </c>
      <c r="N22" s="38">
        <f>J22/HLOOKUP(F22,Team_Composition_23[[#All],[Yellow]:[Red]],6,FALSE)</f>
        <v>8.1124972762030678E-2</v>
      </c>
      <c r="O22" s="38">
        <f>K22/HLOOKUP(F22,Team_Composition_23[[#All],[Yellow]:[Red]],8,FALSE)</f>
        <v>2.2675331830938148E-2</v>
      </c>
      <c r="P22" s="38">
        <f>L22/HLOOKUP(F22,Team_Composition_23[[#All],[Yellow]:[Red]],7,FALSE)</f>
        <v>2.3495565778539499E-4</v>
      </c>
      <c r="Q22" s="31"/>
      <c r="R22" s="45" t="s">
        <v>24</v>
      </c>
      <c r="S22" s="46">
        <f t="shared" ref="S22:S25" si="2">COUNTIFS(C:C,R22,F:F,"Yellow")</f>
        <v>5</v>
      </c>
      <c r="T22" s="47">
        <f t="shared" ref="T22:T25" si="3">COUNTIFS(C:C,R22,F:F,"Red")</f>
        <v>2</v>
      </c>
      <c r="U22" s="31"/>
      <c r="V22" s="48" t="str">
        <f ca="1">IFERROR(__xludf.DUMMYFUNCTION("""COMPUTED_VALUE"""),"PhoPapi")</f>
        <v>PhoPapi</v>
      </c>
      <c r="W22" s="49">
        <f ca="1">IFERROR(__xludf.DUMMYFUNCTION("""COMPUTED_VALUE"""),1510436)</f>
        <v>1510436</v>
      </c>
      <c r="X22" s="31"/>
      <c r="Y22" s="48" t="str">
        <f ca="1">IFERROR(__xludf.DUMMYFUNCTION("""COMPUTED_VALUE"""),"ToxicFell")</f>
        <v>ToxicFell</v>
      </c>
      <c r="Z22" s="49">
        <f ca="1">IFERROR(__xludf.DUMMYFUNCTION("""COMPUTED_VALUE"""),2265544)</f>
        <v>2265544</v>
      </c>
      <c r="AA22" s="31"/>
      <c r="AB22" s="45" t="s">
        <v>24</v>
      </c>
      <c r="AC22" s="50">
        <f t="shared" ref="AC22:AC25" si="4">COUNTIFS(C:C,AB22,D:D,"Best Regards")</f>
        <v>2</v>
      </c>
      <c r="AD22" s="51">
        <f t="shared" ref="AD22:AD25" si="5">COUNTIFS(C:C,AB22,D:D,"Unhinged肉")</f>
        <v>0</v>
      </c>
    </row>
    <row r="23" spans="1:30" ht="22.5" customHeight="1">
      <c r="A23" s="173">
        <v>12</v>
      </c>
      <c r="B23" s="40" t="str">
        <f>VLOOKUP(C23,Lists!I:J,2,FALSE)</f>
        <v>KS</v>
      </c>
      <c r="C23" s="174" t="str">
        <f>VLOOKUP(E23&amp;D23,Lists!C:E,3,FALSE)</f>
        <v>Crossbow/Dagger</v>
      </c>
      <c r="D23" s="175" t="s">
        <v>34</v>
      </c>
      <c r="E23" s="178" t="s">
        <v>159</v>
      </c>
      <c r="F23" s="175" t="s">
        <v>483</v>
      </c>
      <c r="G23" s="173">
        <v>47</v>
      </c>
      <c r="H23" s="173">
        <v>44</v>
      </c>
      <c r="I23" s="84">
        <f t="shared" si="0"/>
        <v>91</v>
      </c>
      <c r="J23" s="177">
        <v>1639713</v>
      </c>
      <c r="K23" s="177">
        <v>847075</v>
      </c>
      <c r="L23" s="177">
        <v>18118</v>
      </c>
      <c r="M23" s="38">
        <f>I23/(HLOOKUP(F23,Team_Composition_23[[#All],[Yellow]:[Red]],10,FALSE)+HLOOKUP(F23,Team_Composition_23[[#All],[Yellow]:[Red]],11,FALSE))</f>
        <v>0.11084043848964677</v>
      </c>
      <c r="N23" s="38">
        <f>J23/HLOOKUP(F23,Team_Composition_23[[#All],[Yellow]:[Red]],6,FALSE)</f>
        <v>9.2925778694226621E-2</v>
      </c>
      <c r="O23" s="38">
        <f>K23/HLOOKUP(F23,Team_Composition_23[[#All],[Yellow]:[Red]],8,FALSE)</f>
        <v>1.9244733578096189E-2</v>
      </c>
      <c r="P23" s="38">
        <f>L23/HLOOKUP(F23,Team_Composition_23[[#All],[Yellow]:[Red]],7,FALSE)</f>
        <v>7.4656727600066412E-4</v>
      </c>
      <c r="Q23" s="31"/>
      <c r="R23" s="45" t="s">
        <v>69</v>
      </c>
      <c r="S23" s="46">
        <f t="shared" si="2"/>
        <v>4</v>
      </c>
      <c r="T23" s="47">
        <f t="shared" si="3"/>
        <v>3</v>
      </c>
      <c r="U23" s="31"/>
      <c r="V23" s="48" t="str">
        <f ca="1">IFERROR(__xludf.DUMMYFUNCTION("""COMPUTED_VALUE"""),"Foonia")</f>
        <v>Foonia</v>
      </c>
      <c r="W23" s="49">
        <f ca="1">IFERROR(__xludf.DUMMYFUNCTION("""COMPUTED_VALUE"""),1504212)</f>
        <v>1504212</v>
      </c>
      <c r="X23" s="31"/>
      <c r="Y23" s="48" t="str">
        <f ca="1">IFERROR(__xludf.DUMMYFUNCTION("""COMPUTED_VALUE"""),"Niyaa")</f>
        <v>Niyaa</v>
      </c>
      <c r="Z23" s="49">
        <f ca="1">IFERROR(__xludf.DUMMYFUNCTION("""COMPUTED_VALUE"""),1988979)</f>
        <v>1988979</v>
      </c>
      <c r="AA23" s="31"/>
      <c r="AB23" s="45" t="s">
        <v>69</v>
      </c>
      <c r="AC23" s="50">
        <f t="shared" si="4"/>
        <v>2</v>
      </c>
      <c r="AD23" s="51">
        <f t="shared" si="5"/>
        <v>0</v>
      </c>
    </row>
    <row r="24" spans="1:30" ht="22.5" customHeight="1">
      <c r="A24" s="173">
        <v>14</v>
      </c>
      <c r="B24" s="69" t="str">
        <f>VLOOKUP(C24,Lists!I:J,2,FALSE)</f>
        <v>KS</v>
      </c>
      <c r="C24" s="174" t="str">
        <f>VLOOKUP(E24&amp;D24,Lists!C:E,3,FALSE)</f>
        <v>Crossbow/Dagger</v>
      </c>
      <c r="D24" s="77" t="s">
        <v>34</v>
      </c>
      <c r="E24" s="178" t="s">
        <v>161</v>
      </c>
      <c r="F24" s="175" t="s">
        <v>483</v>
      </c>
      <c r="G24" s="173">
        <v>43</v>
      </c>
      <c r="H24" s="173">
        <v>48</v>
      </c>
      <c r="I24" s="84">
        <f t="shared" si="0"/>
        <v>91</v>
      </c>
      <c r="J24" s="177">
        <v>1662112</v>
      </c>
      <c r="K24" s="177">
        <v>617788</v>
      </c>
      <c r="L24" s="177">
        <v>95</v>
      </c>
      <c r="M24" s="38">
        <f>I24/(HLOOKUP(F24,Team_Composition_23[[#All],[Yellow]:[Red]],10,FALSE)+HLOOKUP(F24,Team_Composition_23[[#All],[Yellow]:[Red]],11,FALSE))</f>
        <v>0.11084043848964677</v>
      </c>
      <c r="N24" s="38">
        <f>J24/HLOOKUP(F24,Team_Composition_23[[#All],[Yellow]:[Red]],6,FALSE)</f>
        <v>9.4195174324420441E-2</v>
      </c>
      <c r="O24" s="38">
        <f>K24/HLOOKUP(F24,Team_Composition_23[[#All],[Yellow]:[Red]],8,FALSE)</f>
        <v>1.4035552303804136E-2</v>
      </c>
      <c r="P24" s="38">
        <f>L24/HLOOKUP(F24,Team_Composition_23[[#All],[Yellow]:[Red]],7,FALSE)</f>
        <v>3.9145541020014954E-6</v>
      </c>
      <c r="Q24" s="31"/>
      <c r="R24" s="45" t="s">
        <v>23</v>
      </c>
      <c r="S24" s="46">
        <f t="shared" si="2"/>
        <v>3</v>
      </c>
      <c r="T24" s="47">
        <f t="shared" si="3"/>
        <v>2</v>
      </c>
      <c r="U24" s="31"/>
      <c r="V24" s="48" t="str">
        <f ca="1">IFERROR(__xludf.DUMMYFUNCTION("""COMPUTED_VALUE"""),"Khoper")</f>
        <v>Khoper</v>
      </c>
      <c r="W24" s="49">
        <f ca="1">IFERROR(__xludf.DUMMYFUNCTION("""COMPUTED_VALUE"""),1478278)</f>
        <v>1478278</v>
      </c>
      <c r="X24" s="31"/>
      <c r="Y24" s="48" t="str">
        <f ca="1">IFERROR(__xludf.DUMMYFUNCTION("""COMPUTED_VALUE"""),"Pikupstyks")</f>
        <v>Pikupstyks</v>
      </c>
      <c r="Z24" s="49">
        <f ca="1">IFERROR(__xludf.DUMMYFUNCTION("""COMPUTED_VALUE"""),1974823)</f>
        <v>1974823</v>
      </c>
      <c r="AA24" s="31"/>
      <c r="AB24" s="45" t="s">
        <v>23</v>
      </c>
      <c r="AC24" s="50">
        <f t="shared" si="4"/>
        <v>2</v>
      </c>
      <c r="AD24" s="51">
        <f t="shared" si="5"/>
        <v>0</v>
      </c>
    </row>
    <row r="25" spans="1:30" ht="22.5" customHeight="1">
      <c r="A25" s="173">
        <v>70</v>
      </c>
      <c r="B25" s="52" t="str">
        <f>VLOOKUP(C25,Lists!I:J,2,FALSE)</f>
        <v>Healer</v>
      </c>
      <c r="C25" s="174" t="str">
        <f>VLOOKUP(E25&amp;D25,Lists!C:E,3,FALSE)</f>
        <v>Wand/Longbow</v>
      </c>
      <c r="D25" s="175" t="s">
        <v>34</v>
      </c>
      <c r="E25" s="176" t="s">
        <v>108</v>
      </c>
      <c r="F25" s="175" t="s">
        <v>483</v>
      </c>
      <c r="G25" s="173">
        <v>0</v>
      </c>
      <c r="H25" s="173">
        <v>91</v>
      </c>
      <c r="I25" s="84">
        <f t="shared" si="0"/>
        <v>91</v>
      </c>
      <c r="J25" s="177">
        <v>21529</v>
      </c>
      <c r="K25" s="177">
        <v>408840</v>
      </c>
      <c r="L25" s="177">
        <v>1782922</v>
      </c>
      <c r="M25" s="38">
        <f>I25/(HLOOKUP(F25,Team_Composition_23[[#All],[Yellow]:[Red]],10,FALSE)+HLOOKUP(F25,Team_Composition_23[[#All],[Yellow]:[Red]],11,FALSE))</f>
        <v>0.11084043848964677</v>
      </c>
      <c r="N25" s="38">
        <f>J25/HLOOKUP(F25,Team_Composition_23[[#All],[Yellow]:[Red]],6,FALSE)</f>
        <v>1.2200910095291097E-3</v>
      </c>
      <c r="O25" s="38">
        <f>K25/HLOOKUP(F25,Team_Composition_23[[#All],[Yellow]:[Red]],8,FALSE)</f>
        <v>9.2884536505844773E-3</v>
      </c>
      <c r="P25" s="38">
        <f>L25/HLOOKUP(F25,Team_Composition_23[[#All],[Yellow]:[Red]],7,FALSE)</f>
        <v>7.3466785564723261E-2</v>
      </c>
      <c r="Q25" s="31"/>
      <c r="R25" s="45" t="s">
        <v>33</v>
      </c>
      <c r="S25" s="46">
        <f t="shared" si="2"/>
        <v>0</v>
      </c>
      <c r="T25" s="47">
        <f t="shared" si="3"/>
        <v>0</v>
      </c>
      <c r="U25" s="31"/>
      <c r="V25" s="48" t="str">
        <f ca="1">IFERROR(__xludf.DUMMYFUNCTION("""COMPUTED_VALUE"""),"DiegoLASCR")</f>
        <v>DiegoLASCR</v>
      </c>
      <c r="W25" s="49">
        <f ca="1">IFERROR(__xludf.DUMMYFUNCTION("""COMPUTED_VALUE"""),1469673)</f>
        <v>1469673</v>
      </c>
      <c r="X25" s="31"/>
      <c r="Y25" s="48" t="str">
        <f ca="1">IFERROR(__xludf.DUMMYFUNCTION("""COMPUTED_VALUE"""),"10000101")</f>
        <v>10000101</v>
      </c>
      <c r="Z25" s="49">
        <f ca="1">IFERROR(__xludf.DUMMYFUNCTION("""COMPUTED_VALUE"""),1935399)</f>
        <v>1935399</v>
      </c>
      <c r="AA25" s="31"/>
      <c r="AB25" s="45" t="s">
        <v>33</v>
      </c>
      <c r="AC25" s="50">
        <f t="shared" si="4"/>
        <v>0</v>
      </c>
      <c r="AD25" s="51">
        <f t="shared" si="5"/>
        <v>0</v>
      </c>
    </row>
    <row r="26" spans="1:30" ht="22.5" customHeight="1">
      <c r="A26" s="173">
        <v>15</v>
      </c>
      <c r="B26" s="69" t="str">
        <f>VLOOKUP(C26,Lists!I:J,2,FALSE)</f>
        <v>Ranged DPS</v>
      </c>
      <c r="C26" s="180" t="str">
        <f>VLOOKUP(E26&amp;D26,Lists!C:E,3,FALSE)</f>
        <v>Staff/Orb</v>
      </c>
      <c r="D26" s="175" t="s">
        <v>30</v>
      </c>
      <c r="E26" s="176" t="s">
        <v>446</v>
      </c>
      <c r="F26" s="175" t="s">
        <v>476</v>
      </c>
      <c r="G26" s="173">
        <v>41</v>
      </c>
      <c r="H26" s="173">
        <v>48</v>
      </c>
      <c r="I26" s="84">
        <f t="shared" si="0"/>
        <v>89</v>
      </c>
      <c r="J26" s="177">
        <v>3333306</v>
      </c>
      <c r="K26" s="177">
        <v>1043741</v>
      </c>
      <c r="L26" s="177">
        <v>21468</v>
      </c>
      <c r="M26" s="38">
        <f>I26/(HLOOKUP(F26,Team_Composition_23[[#All],[Yellow]:[Red]],10,FALSE)+HLOOKUP(F26,Team_Composition_23[[#All],[Yellow]:[Red]],11,FALSE))</f>
        <v>2.224443889027743E-2</v>
      </c>
      <c r="N26" s="38">
        <f>J26/HLOOKUP(F26,Team_Composition_23[[#All],[Yellow]:[Red]],6,FALSE)</f>
        <v>7.513607273135306E-2</v>
      </c>
      <c r="O26" s="38">
        <f>K26/HLOOKUP(F26,Team_Composition_23[[#All],[Yellow]:[Red]],8,FALSE)</f>
        <v>5.9578464529715942E-2</v>
      </c>
      <c r="P26" s="38">
        <f>L26/HLOOKUP(F26,Team_Composition_23[[#All],[Yellow]:[Red]],7,FALSE)</f>
        <v>1.6584298806607207E-3</v>
      </c>
      <c r="Q26" s="31"/>
      <c r="R26" s="48"/>
      <c r="S26" s="63"/>
      <c r="T26" s="63"/>
      <c r="U26" s="31"/>
      <c r="V26" s="48" t="str">
        <f ca="1">IFERROR(__xludf.DUMMYFUNCTION("""COMPUTED_VALUE"""),"Tech")</f>
        <v>Tech</v>
      </c>
      <c r="W26" s="49">
        <f ca="1">IFERROR(__xludf.DUMMYFUNCTION("""COMPUTED_VALUE"""),1464835)</f>
        <v>1464835</v>
      </c>
      <c r="X26" s="31"/>
      <c r="Y26" s="48" t="str">
        <f ca="1">IFERROR(__xludf.DUMMYFUNCTION("""COMPUTED_VALUE"""),"Azriel")</f>
        <v>Azriel</v>
      </c>
      <c r="Z26" s="49">
        <f ca="1">IFERROR(__xludf.DUMMYFUNCTION("""COMPUTED_VALUE"""),1917492)</f>
        <v>1917492</v>
      </c>
      <c r="AA26" s="31"/>
      <c r="AB26" s="48"/>
      <c r="AC26" s="63"/>
      <c r="AD26" s="63"/>
    </row>
    <row r="27" spans="1:30" ht="22.5" customHeight="1">
      <c r="A27" s="173">
        <v>71</v>
      </c>
      <c r="B27" s="40" t="str">
        <f>VLOOKUP(C27,Lists!I:J,2,FALSE)</f>
        <v>Healer</v>
      </c>
      <c r="C27" s="174" t="str">
        <f>VLOOKUP(E27&amp;D27,Lists!C:E,3,FALSE)</f>
        <v>Wand/Orb</v>
      </c>
      <c r="D27" s="175" t="s">
        <v>34</v>
      </c>
      <c r="E27" s="176" t="s">
        <v>96</v>
      </c>
      <c r="F27" s="175" t="s">
        <v>483</v>
      </c>
      <c r="G27" s="173">
        <v>0</v>
      </c>
      <c r="H27" s="173">
        <v>85</v>
      </c>
      <c r="I27" s="84">
        <f t="shared" si="0"/>
        <v>85</v>
      </c>
      <c r="J27" s="177">
        <v>14945</v>
      </c>
      <c r="K27" s="177">
        <v>179361</v>
      </c>
      <c r="L27" s="177">
        <v>766252</v>
      </c>
      <c r="M27" s="38">
        <f>I27/(HLOOKUP(F27,Team_Composition_23[[#All],[Yellow]:[Red]],10,FALSE)+HLOOKUP(F27,Team_Composition_23[[#All],[Yellow]:[Red]],11,FALSE))</f>
        <v>0.10353227771010962</v>
      </c>
      <c r="N27" s="38">
        <f>J27/HLOOKUP(F27,Team_Composition_23[[#All],[Yellow]:[Red]],6,FALSE)</f>
        <v>8.4696270785510454E-4</v>
      </c>
      <c r="O27" s="38">
        <f>K27/HLOOKUP(F27,Team_Composition_23[[#All],[Yellow]:[Red]],8,FALSE)</f>
        <v>4.0749103199845477E-3</v>
      </c>
      <c r="P27" s="38">
        <f>L27/HLOOKUP(F27,Team_Composition_23[[#All],[Yellow]:[Red]],7,FALSE)</f>
        <v>3.157405168175631E-2</v>
      </c>
      <c r="Q27" s="31"/>
      <c r="R27" s="31"/>
      <c r="S27" s="64"/>
      <c r="T27" s="64"/>
      <c r="U27" s="31"/>
      <c r="V27" s="31"/>
      <c r="W27" s="31"/>
      <c r="X27" s="31"/>
      <c r="Y27" s="31"/>
      <c r="Z27" s="31"/>
      <c r="AA27" s="31"/>
      <c r="AB27" s="31"/>
      <c r="AC27" s="64"/>
      <c r="AD27" s="64"/>
    </row>
    <row r="28" spans="1:30" ht="22.5" customHeight="1">
      <c r="A28" s="173">
        <v>24</v>
      </c>
      <c r="B28" s="33" t="str">
        <f>VLOOKUP(C28,Lists!I:J,2,FALSE)</f>
        <v>Ranged DPS</v>
      </c>
      <c r="C28" s="180" t="str">
        <f>VLOOKUP(E28&amp;D28,Lists!C:E,3,FALSE)</f>
        <v>Crossbow/SnS</v>
      </c>
      <c r="D28" s="175" t="s">
        <v>30</v>
      </c>
      <c r="E28" s="176" t="s">
        <v>399</v>
      </c>
      <c r="F28" s="175" t="s">
        <v>476</v>
      </c>
      <c r="G28" s="173">
        <v>24</v>
      </c>
      <c r="H28" s="173">
        <v>58</v>
      </c>
      <c r="I28" s="84">
        <f t="shared" si="0"/>
        <v>82</v>
      </c>
      <c r="J28" s="177">
        <v>2224791</v>
      </c>
      <c r="K28" s="177">
        <v>1691752</v>
      </c>
      <c r="L28" s="177">
        <v>47238</v>
      </c>
      <c r="M28" s="38">
        <f>I28/(HLOOKUP(F28,Team_Composition_23[[#All],[Yellow]:[Red]],10,FALSE)+HLOOKUP(F28,Team_Composition_23[[#All],[Yellow]:[Red]],11,FALSE))</f>
        <v>2.0494876280929768E-2</v>
      </c>
      <c r="N28" s="38">
        <f>J28/HLOOKUP(F28,Team_Composition_23[[#All],[Yellow]:[Red]],6,FALSE)</f>
        <v>5.0149028738453567E-2</v>
      </c>
      <c r="O28" s="38">
        <f>K28/HLOOKUP(F28,Team_Composition_23[[#All],[Yellow]:[Red]],8,FALSE)</f>
        <v>9.6568005400837945E-2</v>
      </c>
      <c r="P28" s="38">
        <f>L28/HLOOKUP(F28,Team_Composition_23[[#All],[Yellow]:[Red]],7,FALSE)</f>
        <v>3.6491946479714518E-3</v>
      </c>
      <c r="Q28" s="31"/>
      <c r="R28" s="227" t="s">
        <v>39</v>
      </c>
      <c r="S28" s="228"/>
      <c r="T28" s="228"/>
      <c r="U28" s="31"/>
      <c r="V28" s="31"/>
      <c r="W28" s="31"/>
      <c r="X28" s="31"/>
      <c r="Y28" s="31"/>
      <c r="Z28" s="31"/>
      <c r="AA28" s="31"/>
      <c r="AB28" s="227" t="s">
        <v>39</v>
      </c>
      <c r="AC28" s="228"/>
      <c r="AD28" s="228"/>
    </row>
    <row r="29" spans="1:30" ht="22.5" customHeight="1">
      <c r="A29" s="173">
        <v>18</v>
      </c>
      <c r="B29" s="61" t="s">
        <v>25</v>
      </c>
      <c r="C29" s="174" t="str">
        <f>VLOOKUP(E29&amp;D29,Lists!C:E,3,FALSE)</f>
        <v>Greatsword/Dagger</v>
      </c>
      <c r="D29" s="175" t="s">
        <v>34</v>
      </c>
      <c r="E29" s="176" t="s">
        <v>502</v>
      </c>
      <c r="F29" s="175" t="s">
        <v>483</v>
      </c>
      <c r="G29" s="173">
        <v>33</v>
      </c>
      <c r="H29" s="173">
        <v>48</v>
      </c>
      <c r="I29" s="84">
        <f t="shared" si="0"/>
        <v>81</v>
      </c>
      <c r="J29" s="177">
        <v>1191018</v>
      </c>
      <c r="K29" s="177">
        <v>1454830</v>
      </c>
      <c r="L29" s="177">
        <v>52184</v>
      </c>
      <c r="M29" s="38">
        <f>I29/(HLOOKUP(F29,Team_Composition_23[[#All],[Yellow]:[Red]],10,FALSE)+HLOOKUP(F29,Team_Composition_23[[#All],[Yellow]:[Red]],11,FALSE))</f>
        <v>9.866017052375152E-2</v>
      </c>
      <c r="N29" s="38">
        <f>J29/HLOOKUP(F29,Team_Composition_23[[#All],[Yellow]:[Red]],6,FALSE)</f>
        <v>6.7497345626240934E-2</v>
      </c>
      <c r="O29" s="38">
        <f>K29/HLOOKUP(F29,Team_Composition_23[[#All],[Yellow]:[Red]],8,FALSE)</f>
        <v>3.305234572077051E-2</v>
      </c>
      <c r="P29" s="38">
        <f>L29/HLOOKUP(F29,Team_Composition_23[[#All],[Yellow]:[Red]],7,FALSE)</f>
        <v>2.1502851711457474E-3</v>
      </c>
      <c r="Q29" s="31"/>
      <c r="R29" s="41" t="s">
        <v>482</v>
      </c>
      <c r="S29" s="42" t="s">
        <v>476</v>
      </c>
      <c r="T29" s="42" t="s">
        <v>483</v>
      </c>
      <c r="U29" s="31"/>
      <c r="V29" s="31"/>
      <c r="W29" s="31"/>
      <c r="X29" s="31"/>
      <c r="Y29" s="31"/>
      <c r="Z29" s="31"/>
      <c r="AA29" s="31"/>
      <c r="AB29" s="41" t="s">
        <v>482</v>
      </c>
      <c r="AC29" s="42" t="s">
        <v>485</v>
      </c>
      <c r="AD29" s="42" t="s">
        <v>36</v>
      </c>
    </row>
    <row r="30" spans="1:30" ht="22.5" customHeight="1">
      <c r="A30" s="173">
        <v>72</v>
      </c>
      <c r="B30" s="60" t="str">
        <f>VLOOKUP(C30,Lists!I:J,2,FALSE)</f>
        <v>Healer</v>
      </c>
      <c r="C30" s="180" t="str">
        <f>VLOOKUP(E30&amp;D30,Lists!C:E,3,FALSE)</f>
        <v>Wand/Orb</v>
      </c>
      <c r="D30" s="175" t="s">
        <v>30</v>
      </c>
      <c r="E30" s="176" t="s">
        <v>200</v>
      </c>
      <c r="F30" s="175" t="s">
        <v>476</v>
      </c>
      <c r="G30" s="173">
        <v>0</v>
      </c>
      <c r="H30" s="173">
        <v>78</v>
      </c>
      <c r="I30" s="84">
        <f t="shared" si="0"/>
        <v>78</v>
      </c>
      <c r="J30" s="177">
        <v>771</v>
      </c>
      <c r="K30" s="177">
        <v>342967</v>
      </c>
      <c r="L30" s="177">
        <v>799100</v>
      </c>
      <c r="M30" s="38">
        <f>I30/(HLOOKUP(F30,Team_Composition_23[[#All],[Yellow]:[Red]],10,FALSE)+HLOOKUP(F30,Team_Composition_23[[#All],[Yellow]:[Red]],11,FALSE))</f>
        <v>1.9495126218445388E-2</v>
      </c>
      <c r="N30" s="38">
        <f>J30/HLOOKUP(F30,Team_Composition_23[[#All],[Yellow]:[Red]],6,FALSE)</f>
        <v>1.737911613151424E-5</v>
      </c>
      <c r="O30" s="38">
        <f>K30/HLOOKUP(F30,Team_Composition_23[[#All],[Yellow]:[Red]],8,FALSE)</f>
        <v>1.9577124252437229E-2</v>
      </c>
      <c r="P30" s="38">
        <f>L30/HLOOKUP(F30,Team_Composition_23[[#All],[Yellow]:[Red]],7,FALSE)</f>
        <v>6.1731475574621851E-2</v>
      </c>
      <c r="Q30" s="31"/>
      <c r="R30" s="45" t="s">
        <v>468</v>
      </c>
      <c r="S30" s="46">
        <f>SUMIFS(Scoreboard_33[Damage Dealt],Scoreboard_33[Role],"Ranged DPS",Scoreboard_33[Team],"Yellow")</f>
        <v>14419471</v>
      </c>
      <c r="T30" s="47">
        <f>SUMIFS(Scoreboard_33[Damage Dealt],Scoreboard_33[Role],"Ranged DPS",Scoreboard_33[Team],"Red")</f>
        <v>20112702</v>
      </c>
      <c r="U30" s="31"/>
      <c r="V30" s="31"/>
      <c r="W30" s="31"/>
      <c r="X30" s="31"/>
      <c r="Y30" s="31"/>
      <c r="Z30" s="31"/>
      <c r="AA30" s="31"/>
      <c r="AB30" s="45" t="s">
        <v>468</v>
      </c>
      <c r="AC30" s="50">
        <f>SUMIFS(Scoreboard_33[Damage Dealt],Scoreboard_33[Role],"Ranged DPS",Scoreboard_33[Guild],"Best Regards")</f>
        <v>20082591</v>
      </c>
      <c r="AD30" s="51">
        <f>SUMIFS(Scoreboard_33[Damage Dealt],Scoreboard_33[Role],"Ranged DPS",Scoreboard_33[Guild],"Unhinged肉")</f>
        <v>0</v>
      </c>
    </row>
    <row r="31" spans="1:30" ht="22.5" customHeight="1">
      <c r="A31" s="173">
        <v>32</v>
      </c>
      <c r="B31" s="40" t="str">
        <f>VLOOKUP(C31,Lists!I:J,2,FALSE)</f>
        <v>Tank</v>
      </c>
      <c r="C31" s="174" t="str">
        <f>VLOOKUP(E31&amp;D31,Lists!C:E,3,FALSE)</f>
        <v>SnS/Greatsword</v>
      </c>
      <c r="D31" s="175" t="s">
        <v>34</v>
      </c>
      <c r="E31" s="176" t="s">
        <v>64</v>
      </c>
      <c r="F31" s="175" t="s">
        <v>483</v>
      </c>
      <c r="G31" s="173">
        <v>13</v>
      </c>
      <c r="H31" s="173">
        <v>65</v>
      </c>
      <c r="I31" s="84">
        <f t="shared" si="0"/>
        <v>78</v>
      </c>
      <c r="J31" s="177">
        <v>669709</v>
      </c>
      <c r="K31" s="177">
        <v>447198</v>
      </c>
      <c r="L31" s="177">
        <v>30837</v>
      </c>
      <c r="M31" s="38">
        <f>I31/(HLOOKUP(F31,Team_Composition_23[[#All],[Yellow]:[Red]],10,FALSE)+HLOOKUP(F31,Team_Composition_23[[#All],[Yellow]:[Red]],11,FALSE))</f>
        <v>9.5006090133982951E-2</v>
      </c>
      <c r="N31" s="38">
        <f>J31/HLOOKUP(F31,Team_Composition_23[[#All],[Yellow]:[Red]],6,FALSE)</f>
        <v>3.7953733564063848E-2</v>
      </c>
      <c r="O31" s="38">
        <f>K31/HLOOKUP(F31,Team_Composition_23[[#All],[Yellow]:[Red]],8,FALSE)</f>
        <v>1.0159910712342424E-2</v>
      </c>
      <c r="P31" s="38">
        <f>L31/HLOOKUP(F31,Team_Composition_23[[#All],[Yellow]:[Red]],7,FALSE)</f>
        <v>1.2706642615096853E-3</v>
      </c>
      <c r="Q31" s="31"/>
      <c r="R31" s="45" t="s">
        <v>469</v>
      </c>
      <c r="S31" s="46">
        <f>SUMIFS(Scoreboard_33[Damage Taken],Scoreboard_33[Role],"Ranged DPS",Scoreboard_33[Team],"Yellow")</f>
        <v>8534168</v>
      </c>
      <c r="T31" s="47">
        <f>SUMIFS(Scoreboard_33[Damage Taken],Scoreboard_33[Role],"Ranged DPS",Scoreboard_33[Team],"Red")</f>
        <v>4512218</v>
      </c>
      <c r="U31" s="31"/>
      <c r="V31" s="31"/>
      <c r="W31" s="31"/>
      <c r="X31" s="31"/>
      <c r="Y31" s="31"/>
      <c r="Z31" s="31"/>
      <c r="AA31" s="31"/>
      <c r="AB31" s="45" t="s">
        <v>469</v>
      </c>
      <c r="AC31" s="50">
        <f>SUMIFS(Scoreboard_33[Damage Taken],Scoreboard_33[Role],"Ranged DPS",Scoreboard_33[Guild],"Best Regards")</f>
        <v>4388060</v>
      </c>
      <c r="AD31" s="51">
        <f>SUMIFS(Scoreboard_33[Damage Taken],Scoreboard_33[Role],"Ranged DPS",Scoreboard_33[Guild],"Unhinged肉")</f>
        <v>0</v>
      </c>
    </row>
    <row r="32" spans="1:30" ht="22.5" customHeight="1">
      <c r="A32" s="173">
        <v>20</v>
      </c>
      <c r="B32" s="55" t="str">
        <f>VLOOKUP(C32,Lists!I:J,2,FALSE)</f>
        <v>KS</v>
      </c>
      <c r="C32" s="180" t="str">
        <f>VLOOKUP(E32&amp;D32,Lists!C:E,3,FALSE)</f>
        <v>Greatsword/Dagger</v>
      </c>
      <c r="D32" s="175" t="s">
        <v>30</v>
      </c>
      <c r="E32" s="176" t="s">
        <v>394</v>
      </c>
      <c r="F32" s="175" t="s">
        <v>476</v>
      </c>
      <c r="G32" s="173">
        <v>28</v>
      </c>
      <c r="H32" s="173">
        <v>49</v>
      </c>
      <c r="I32" s="84">
        <f t="shared" si="0"/>
        <v>77</v>
      </c>
      <c r="J32" s="177">
        <v>1566960</v>
      </c>
      <c r="K32" s="177">
        <v>1259361</v>
      </c>
      <c r="L32" s="177">
        <v>31801</v>
      </c>
      <c r="M32" s="38">
        <f>I32/(HLOOKUP(F32,Team_Composition_23[[#All],[Yellow]:[Red]],10,FALSE)+HLOOKUP(F32,Team_Composition_23[[#All],[Yellow]:[Red]],11,FALSE))</f>
        <v>1.9245188702824295E-2</v>
      </c>
      <c r="N32" s="38">
        <f>J32/HLOOKUP(F32,Team_Composition_23[[#All],[Yellow]:[Red]],6,FALSE)</f>
        <v>3.5320855789153768E-2</v>
      </c>
      <c r="O32" s="38">
        <f>K32/HLOOKUP(F32,Team_Composition_23[[#All],[Yellow]:[Red]],8,FALSE)</f>
        <v>7.1886411158139416E-2</v>
      </c>
      <c r="P32" s="38">
        <f>L32/HLOOKUP(F32,Team_Composition_23[[#All],[Yellow]:[Red]],7,FALSE)</f>
        <v>2.456667068888186E-3</v>
      </c>
      <c r="Q32" s="31"/>
      <c r="R32" s="45" t="s">
        <v>470</v>
      </c>
      <c r="S32" s="46">
        <f>SUMIFS(Scoreboard_33[Amount Healed],Scoreboard_33[Role],"Ranged DPS",Scoreboard_33[Team],"Yellow")</f>
        <v>1214167</v>
      </c>
      <c r="T32" s="47">
        <f>SUMIFS(Scoreboard_33[Amount Healed],Scoreboard_33[Role],"Ranged DPS",Scoreboard_33[Team],"Red")</f>
        <v>318523</v>
      </c>
      <c r="U32" s="31"/>
      <c r="V32" s="31"/>
      <c r="W32" s="31"/>
      <c r="X32" s="31"/>
      <c r="Y32" s="31"/>
      <c r="Z32" s="31"/>
      <c r="AA32" s="31"/>
      <c r="AB32" s="45" t="s">
        <v>470</v>
      </c>
      <c r="AC32" s="50">
        <f>SUMIFS(Scoreboard_33[Amount Healed],Scoreboard_33[Role],"Ranged DPS",Scoreboard_33[Guild],"Best Regards")</f>
        <v>315306</v>
      </c>
      <c r="AD32" s="51">
        <f>SUMIFS(Scoreboard_33[Amount Healed],Scoreboard_33[Role],"Ranged DPS",Scoreboard_33[Guild],"Unhinged肉")</f>
        <v>0</v>
      </c>
    </row>
    <row r="33" spans="1:30" ht="22.5" customHeight="1">
      <c r="A33" s="173">
        <v>27</v>
      </c>
      <c r="B33" s="56" t="str">
        <f>VLOOKUP(C33,Lists!I:J,2,FALSE)</f>
        <v>Melee DPS</v>
      </c>
      <c r="C33" s="180" t="str">
        <f>VLOOKUP(E33&amp;D33,Lists!C:E,3,FALSE)</f>
        <v>Greatsword/Spear</v>
      </c>
      <c r="D33" s="175" t="s">
        <v>30</v>
      </c>
      <c r="E33" s="178" t="s">
        <v>398</v>
      </c>
      <c r="F33" s="175" t="s">
        <v>476</v>
      </c>
      <c r="G33" s="173">
        <v>17</v>
      </c>
      <c r="H33" s="173">
        <v>60</v>
      </c>
      <c r="I33" s="84">
        <f t="shared" si="0"/>
        <v>77</v>
      </c>
      <c r="J33" s="177">
        <v>1898468</v>
      </c>
      <c r="K33" s="177">
        <v>1541535</v>
      </c>
      <c r="L33" s="177">
        <v>27894</v>
      </c>
      <c r="M33" s="38">
        <f>I33/(HLOOKUP(F33,Team_Composition_23[[#All],[Yellow]:[Red]],10,FALSE)+HLOOKUP(F33,Team_Composition_23[[#All],[Yellow]:[Red]],11,FALSE))</f>
        <v>1.9245188702824295E-2</v>
      </c>
      <c r="N33" s="38">
        <f>J33/HLOOKUP(F33,Team_Composition_23[[#All],[Yellow]:[Red]],6,FALSE)</f>
        <v>4.2793379823558464E-2</v>
      </c>
      <c r="O33" s="38">
        <f>K33/HLOOKUP(F33,Team_Composition_23[[#All],[Yellow]:[Red]],8,FALSE)</f>
        <v>8.7993370308166161E-2</v>
      </c>
      <c r="P33" s="38">
        <f>L33/HLOOKUP(F33,Team_Composition_23[[#All],[Yellow]:[Red]],7,FALSE)</f>
        <v>2.1548464268283094E-3</v>
      </c>
      <c r="Q33" s="31"/>
      <c r="R33" s="45" t="s">
        <v>465</v>
      </c>
      <c r="S33" s="46">
        <f>SUMIFS(Scoreboard_33[Kills],Scoreboard_33[Role],"Ranged DPS",Scoreboard_33[Team],"Yellow")</f>
        <v>158</v>
      </c>
      <c r="T33" s="47">
        <f>SUMIFS(Scoreboard_33[Kills],Scoreboard_33[Role],"Ranged DPS",Scoreboard_33[Team],"Red")</f>
        <v>293</v>
      </c>
      <c r="U33" s="31"/>
      <c r="V33" s="31"/>
      <c r="W33" s="31"/>
      <c r="X33" s="31"/>
      <c r="Y33" s="31"/>
      <c r="Z33" s="31"/>
      <c r="AA33" s="31"/>
      <c r="AB33" s="45" t="s">
        <v>465</v>
      </c>
      <c r="AC33" s="50">
        <f>SUMIFS(Scoreboard_33[Kills],Scoreboard_33[Role],"Ranged DPS",Scoreboard_33[Guild],"Best Regards")</f>
        <v>293</v>
      </c>
      <c r="AD33" s="51">
        <f>SUMIFS(Scoreboard_33[Kills],Scoreboard_33[Role],"Ranged DPS",Scoreboard_33[Guild],"Unhinged肉")</f>
        <v>0</v>
      </c>
    </row>
    <row r="34" spans="1:30" ht="22.5" customHeight="1">
      <c r="A34" s="173">
        <v>73</v>
      </c>
      <c r="B34" s="62" t="str">
        <f>VLOOKUP(C34,Lists!I:J,2,FALSE)</f>
        <v>Healer</v>
      </c>
      <c r="C34" s="174" t="s">
        <v>9</v>
      </c>
      <c r="D34" s="175" t="s">
        <v>518</v>
      </c>
      <c r="E34" s="176" t="s">
        <v>519</v>
      </c>
      <c r="F34" s="175" t="s">
        <v>483</v>
      </c>
      <c r="G34" s="173">
        <v>0</v>
      </c>
      <c r="H34" s="173">
        <v>75</v>
      </c>
      <c r="I34" s="84">
        <f t="shared" si="0"/>
        <v>75</v>
      </c>
      <c r="J34" s="177">
        <v>6151</v>
      </c>
      <c r="K34" s="177">
        <v>158809</v>
      </c>
      <c r="L34" s="177">
        <v>592272</v>
      </c>
      <c r="M34" s="38">
        <f>I34/(HLOOKUP(F34,Team_Composition_23[[#All],[Yellow]:[Red]],10,FALSE)+HLOOKUP(F34,Team_Composition_23[[#All],[Yellow]:[Red]],11,FALSE))</f>
        <v>9.1352009744214369E-2</v>
      </c>
      <c r="N34" s="38">
        <f>J34/HLOOKUP(F34,Team_Composition_23[[#All],[Yellow]:[Red]],6,FALSE)</f>
        <v>3.4858933529720629E-4</v>
      </c>
      <c r="O34" s="38">
        <f>K34/HLOOKUP(F34,Team_Composition_23[[#All],[Yellow]:[Red]],8,FALSE)</f>
        <v>3.6079885426956028E-3</v>
      </c>
      <c r="P34" s="38">
        <f>L34/HLOOKUP(F34,Team_Composition_23[[#All],[Yellow]:[Red]],7,FALSE)</f>
        <v>2.4405060916848732E-2</v>
      </c>
      <c r="Q34" s="31"/>
      <c r="R34" s="45" t="s">
        <v>466</v>
      </c>
      <c r="S34" s="46">
        <f>SUMIFS(Scoreboard_33[Assists],Scoreboard_33[Role],"Ranged DPS",Scoreboard_33[Team],"Yellow")</f>
        <v>331</v>
      </c>
      <c r="T34" s="47">
        <f>SUMIFS(Scoreboard_33[Assists],Scoreboard_33[Role],"Ranged DPS",Scoreboard_33[Team],"Red")</f>
        <v>749</v>
      </c>
      <c r="U34" s="31"/>
      <c r="V34" s="31"/>
      <c r="W34" s="31"/>
      <c r="X34" s="31"/>
      <c r="Y34" s="31"/>
      <c r="Z34" s="31"/>
      <c r="AA34" s="31"/>
      <c r="AB34" s="45" t="s">
        <v>466</v>
      </c>
      <c r="AC34" s="50">
        <f>SUMIFS(Scoreboard_33[Assists],Scoreboard_33[Role],"Ranged DPS",Scoreboard_33[Guild],"Best Regards")</f>
        <v>739</v>
      </c>
      <c r="AD34" s="51">
        <f>SUMIFS(Scoreboard_33[Assists],Scoreboard_33[Role],"Ranged DPS",Scoreboard_33[Team],"Unhinged肉")</f>
        <v>0</v>
      </c>
    </row>
    <row r="35" spans="1:30" ht="22.5" customHeight="1">
      <c r="A35" s="173">
        <v>19</v>
      </c>
      <c r="B35" s="53" t="str">
        <f>VLOOKUP(C35,Lists!I:J,2,FALSE)</f>
        <v>KS</v>
      </c>
      <c r="C35" s="174" t="str">
        <f>VLOOKUP(E35&amp;D35,Lists!C:E,3,FALSE)</f>
        <v>Longbow/Dagger</v>
      </c>
      <c r="D35" s="175" t="s">
        <v>34</v>
      </c>
      <c r="E35" s="176" t="s">
        <v>51</v>
      </c>
      <c r="F35" s="175" t="s">
        <v>483</v>
      </c>
      <c r="G35" s="173">
        <v>32</v>
      </c>
      <c r="H35" s="173">
        <v>42</v>
      </c>
      <c r="I35" s="84">
        <f t="shared" si="0"/>
        <v>74</v>
      </c>
      <c r="J35" s="177">
        <v>1302482</v>
      </c>
      <c r="K35" s="177">
        <v>1098532</v>
      </c>
      <c r="L35" s="177">
        <v>0</v>
      </c>
      <c r="M35" s="38">
        <f>I35/(HLOOKUP(F35,Team_Composition_23[[#All],[Yellow]:[Red]],10,FALSE)+HLOOKUP(F35,Team_Composition_23[[#All],[Yellow]:[Red]],11,FALSE))</f>
        <v>9.0133982947624841E-2</v>
      </c>
      <c r="N35" s="38">
        <f>J35/HLOOKUP(F35,Team_Composition_23[[#All],[Yellow]:[Red]],6,FALSE)</f>
        <v>7.3814230957011187E-2</v>
      </c>
      <c r="O35" s="38">
        <f>K35/HLOOKUP(F35,Team_Composition_23[[#All],[Yellow]:[Red]],8,FALSE)</f>
        <v>2.4957596041688353E-2</v>
      </c>
      <c r="P35" s="38">
        <f>L35/HLOOKUP(F35,Team_Composition_23[[#All],[Yellow]:[Red]],7,FALSE)</f>
        <v>0</v>
      </c>
      <c r="Q35" s="31"/>
      <c r="R35" s="45" t="s">
        <v>54</v>
      </c>
      <c r="S35" s="46">
        <f t="shared" ref="S35:S46" si="6">COUNTIFS(C:C,R35,F:F,"Yellow")</f>
        <v>2</v>
      </c>
      <c r="T35" s="47">
        <f t="shared" ref="T35:T46" si="7">COUNTIFS(C:C,R35,F:F,"Red")</f>
        <v>4</v>
      </c>
      <c r="U35" s="31"/>
      <c r="V35" s="31"/>
      <c r="W35" s="31"/>
      <c r="X35" s="31"/>
      <c r="Y35" s="31"/>
      <c r="Z35" s="31"/>
      <c r="AA35" s="31"/>
      <c r="AB35" s="45" t="s">
        <v>54</v>
      </c>
      <c r="AC35" s="50">
        <f t="shared" ref="AC35:AC46" si="8">COUNTIFS(C:C,AB35,D:D,"Best Regards")</f>
        <v>4</v>
      </c>
      <c r="AD35" s="51">
        <f t="shared" ref="AD35:AD46" si="9">COUNTIFS(C:C,AB35,D:D,"Unhinged肉")</f>
        <v>0</v>
      </c>
    </row>
    <row r="36" spans="1:30" ht="22.5" customHeight="1">
      <c r="A36" s="173">
        <v>53</v>
      </c>
      <c r="B36" s="57" t="str">
        <f>VLOOKUP(C36,Lists!I:J,2,FALSE)</f>
        <v>Tank</v>
      </c>
      <c r="C36" s="174" t="str">
        <f>VLOOKUP(E36&amp;D36,Lists!C:E,3,FALSE)</f>
        <v>SnS/Greatsword</v>
      </c>
      <c r="D36" s="175" t="s">
        <v>34</v>
      </c>
      <c r="E36" s="176" t="s">
        <v>93</v>
      </c>
      <c r="F36" s="175" t="s">
        <v>483</v>
      </c>
      <c r="G36" s="173">
        <v>1</v>
      </c>
      <c r="H36" s="173">
        <v>73</v>
      </c>
      <c r="I36" s="84">
        <f t="shared" si="0"/>
        <v>74</v>
      </c>
      <c r="J36" s="177">
        <v>225046</v>
      </c>
      <c r="K36" s="177">
        <v>463494</v>
      </c>
      <c r="L36" s="177">
        <v>24109</v>
      </c>
      <c r="M36" s="38">
        <f>I36/(HLOOKUP(F36,Team_Composition_23[[#All],[Yellow]:[Red]],10,FALSE)+HLOOKUP(F36,Team_Composition_23[[#All],[Yellow]:[Red]],11,FALSE))</f>
        <v>9.0133982947624841E-2</v>
      </c>
      <c r="N36" s="38">
        <f>J36/HLOOKUP(F36,Team_Composition_23[[#All],[Yellow]:[Red]],6,FALSE)</f>
        <v>1.2753801910469043E-2</v>
      </c>
      <c r="O36" s="38">
        <f>K36/HLOOKUP(F36,Team_Composition_23[[#All],[Yellow]:[Red]],8,FALSE)</f>
        <v>1.0530140241473441E-2</v>
      </c>
      <c r="P36" s="38">
        <f>L36/HLOOKUP(F36,Team_Composition_23[[#All],[Yellow]:[Red]],7,FALSE)</f>
        <v>9.9343141942267424E-4</v>
      </c>
      <c r="Q36" s="31"/>
      <c r="R36" s="45" t="s">
        <v>43</v>
      </c>
      <c r="S36" s="46">
        <f t="shared" si="6"/>
        <v>0</v>
      </c>
      <c r="T36" s="47">
        <f t="shared" si="7"/>
        <v>0</v>
      </c>
      <c r="U36" s="31"/>
      <c r="V36" s="31"/>
      <c r="W36" s="31"/>
      <c r="X36" s="31"/>
      <c r="Y36" s="31"/>
      <c r="Z36" s="31"/>
      <c r="AA36" s="31"/>
      <c r="AB36" s="45" t="s">
        <v>43</v>
      </c>
      <c r="AC36" s="50">
        <f t="shared" si="8"/>
        <v>0</v>
      </c>
      <c r="AD36" s="51">
        <f t="shared" si="9"/>
        <v>0</v>
      </c>
    </row>
    <row r="37" spans="1:30" ht="22.5" customHeight="1">
      <c r="A37" s="173">
        <v>54</v>
      </c>
      <c r="B37" s="56" t="str">
        <f>VLOOKUP(C37,Lists!I:J,2,FALSE)</f>
        <v>Healer</v>
      </c>
      <c r="C37" s="174" t="str">
        <f>VLOOKUP(E37&amp;D37,Lists!C:E,3,FALSE)</f>
        <v>Wand/Longbow</v>
      </c>
      <c r="D37" s="175" t="s">
        <v>34</v>
      </c>
      <c r="E37" s="176" t="s">
        <v>44</v>
      </c>
      <c r="F37" s="175" t="s">
        <v>483</v>
      </c>
      <c r="G37" s="173">
        <v>1</v>
      </c>
      <c r="H37" s="173">
        <v>73</v>
      </c>
      <c r="I37" s="84">
        <f t="shared" si="0"/>
        <v>74</v>
      </c>
      <c r="J37" s="177">
        <v>65076</v>
      </c>
      <c r="K37" s="177">
        <v>647487</v>
      </c>
      <c r="L37" s="177">
        <v>2686390</v>
      </c>
      <c r="M37" s="38">
        <f>I37/(HLOOKUP(F37,Team_Composition_23[[#All],[Yellow]:[Red]],10,FALSE)+HLOOKUP(F37,Team_Composition_23[[#All],[Yellow]:[Red]],11,FALSE))</f>
        <v>9.0133982947624841E-2</v>
      </c>
      <c r="N37" s="38">
        <f>J37/HLOOKUP(F37,Team_Composition_23[[#All],[Yellow]:[Red]],6,FALSE)</f>
        <v>3.6879856257195569E-3</v>
      </c>
      <c r="O37" s="38">
        <f>K37/HLOOKUP(F37,Team_Composition_23[[#All],[Yellow]:[Red]],8,FALSE)</f>
        <v>1.4710285169885508E-2</v>
      </c>
      <c r="P37" s="38">
        <f>L37/HLOOKUP(F37,Team_Composition_23[[#All],[Yellow]:[Red]],7,FALSE)</f>
        <v>0.11069493677974522</v>
      </c>
      <c r="Q37" s="31"/>
      <c r="R37" s="45" t="s">
        <v>45</v>
      </c>
      <c r="S37" s="46">
        <f t="shared" si="6"/>
        <v>2</v>
      </c>
      <c r="T37" s="47">
        <f t="shared" si="7"/>
        <v>3</v>
      </c>
      <c r="U37" s="31"/>
      <c r="V37" s="31"/>
      <c r="W37" s="31"/>
      <c r="X37" s="31"/>
      <c r="Y37" s="31"/>
      <c r="Z37" s="31"/>
      <c r="AA37" s="31"/>
      <c r="AB37" s="45" t="s">
        <v>45</v>
      </c>
      <c r="AC37" s="50">
        <f t="shared" si="8"/>
        <v>2</v>
      </c>
      <c r="AD37" s="51">
        <f t="shared" si="9"/>
        <v>0</v>
      </c>
    </row>
    <row r="38" spans="1:30" ht="22.5" customHeight="1">
      <c r="A38" s="173">
        <v>16</v>
      </c>
      <c r="B38" s="62" t="s">
        <v>11</v>
      </c>
      <c r="C38" s="180" t="str">
        <f>VLOOKUP(E38&amp;D38,Lists!C:E,3,FALSE)</f>
        <v>Greatsword/Dagger</v>
      </c>
      <c r="D38" s="175" t="s">
        <v>30</v>
      </c>
      <c r="E38" s="176" t="s">
        <v>393</v>
      </c>
      <c r="F38" s="175" t="s">
        <v>476</v>
      </c>
      <c r="G38" s="173">
        <v>36</v>
      </c>
      <c r="H38" s="173">
        <v>36</v>
      </c>
      <c r="I38" s="84">
        <f t="shared" si="0"/>
        <v>72</v>
      </c>
      <c r="J38" s="177">
        <v>1583537</v>
      </c>
      <c r="K38" s="177">
        <v>923171</v>
      </c>
      <c r="L38" s="177">
        <v>48757</v>
      </c>
      <c r="M38" s="38">
        <f>I38/(HLOOKUP(F38,Team_Composition_23[[#All],[Yellow]:[Red]],10,FALSE)+HLOOKUP(F38,Team_Composition_23[[#All],[Yellow]:[Red]],11,FALSE))</f>
        <v>1.7995501124718819E-2</v>
      </c>
      <c r="N38" s="38">
        <f>J38/HLOOKUP(F38,Team_Composition_23[[#All],[Yellow]:[Red]],6,FALSE)</f>
        <v>3.5694518056484652E-2</v>
      </c>
      <c r="O38" s="38">
        <f>K38/HLOOKUP(F38,Team_Composition_23[[#All],[Yellow]:[Red]],8,FALSE)</f>
        <v>5.2696129287210521E-2</v>
      </c>
      <c r="P38" s="38">
        <f>L38/HLOOKUP(F38,Team_Composition_23[[#All],[Yellow]:[Red]],7,FALSE)</f>
        <v>3.7665392999522433E-3</v>
      </c>
      <c r="Q38" s="31"/>
      <c r="R38" s="45" t="s">
        <v>81</v>
      </c>
      <c r="S38" s="46">
        <f t="shared" si="6"/>
        <v>0</v>
      </c>
      <c r="T38" s="47">
        <f t="shared" si="7"/>
        <v>1</v>
      </c>
      <c r="U38" s="31"/>
      <c r="V38" s="31"/>
      <c r="W38" s="31"/>
      <c r="X38" s="31"/>
      <c r="Y38" s="31"/>
      <c r="Z38" s="31"/>
      <c r="AA38" s="31"/>
      <c r="AB38" s="45" t="s">
        <v>81</v>
      </c>
      <c r="AC38" s="50">
        <f t="shared" si="8"/>
        <v>1</v>
      </c>
      <c r="AD38" s="51">
        <f t="shared" si="9"/>
        <v>0</v>
      </c>
    </row>
    <row r="39" spans="1:30" ht="22.5" customHeight="1">
      <c r="A39" s="173">
        <v>31</v>
      </c>
      <c r="B39" s="53" t="str">
        <f>VLOOKUP(C39,Lists!I:J,2,FALSE)</f>
        <v>Melee DPS</v>
      </c>
      <c r="C39" s="180" t="str">
        <f>VLOOKUP(E39&amp;D39,Lists!C:E,3,FALSE)</f>
        <v>Spear/Dagger</v>
      </c>
      <c r="D39" s="175" t="s">
        <v>30</v>
      </c>
      <c r="E39" s="176" t="s">
        <v>400</v>
      </c>
      <c r="F39" s="175" t="s">
        <v>476</v>
      </c>
      <c r="G39" s="173">
        <v>15</v>
      </c>
      <c r="H39" s="173">
        <v>55</v>
      </c>
      <c r="I39" s="84">
        <f t="shared" si="0"/>
        <v>70</v>
      </c>
      <c r="J39" s="177">
        <v>1379079</v>
      </c>
      <c r="K39" s="177">
        <v>1510436</v>
      </c>
      <c r="L39" s="177">
        <v>511894</v>
      </c>
      <c r="M39" s="38">
        <f>I39/(HLOOKUP(F39,Team_Composition_23[[#All],[Yellow]:[Red]],10,FALSE)+HLOOKUP(F39,Team_Composition_23[[#All],[Yellow]:[Red]],11,FALSE))</f>
        <v>1.7495626093476629E-2</v>
      </c>
      <c r="N39" s="38">
        <f>J39/HLOOKUP(F39,Team_Composition_23[[#All],[Yellow]:[Red]],6,FALSE)</f>
        <v>3.1085828917681618E-2</v>
      </c>
      <c r="O39" s="38">
        <f>K39/HLOOKUP(F39,Team_Composition_23[[#All],[Yellow]:[Red]],8,FALSE)</f>
        <v>8.621818789374569E-2</v>
      </c>
      <c r="P39" s="38">
        <f>L39/HLOOKUP(F39,Team_Composition_23[[#All],[Yellow]:[Red]],7,FALSE)</f>
        <v>3.9544452456257637E-2</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173">
        <v>47</v>
      </c>
      <c r="B40" s="33" t="str">
        <f>VLOOKUP(C40,Lists!I:J,2,FALSE)</f>
        <v>Healer</v>
      </c>
      <c r="C40" s="174" t="str">
        <f>VLOOKUP(E40&amp;D40,Lists!C:E,3,FALSE)</f>
        <v>Wand/Longbow</v>
      </c>
      <c r="D40" s="175" t="s">
        <v>34</v>
      </c>
      <c r="E40" s="176" t="s">
        <v>29</v>
      </c>
      <c r="F40" s="175" t="s">
        <v>483</v>
      </c>
      <c r="G40" s="173">
        <v>2</v>
      </c>
      <c r="H40" s="173">
        <v>68</v>
      </c>
      <c r="I40" s="84">
        <f t="shared" si="0"/>
        <v>70</v>
      </c>
      <c r="J40" s="177">
        <v>72944</v>
      </c>
      <c r="K40" s="177">
        <v>115999</v>
      </c>
      <c r="L40" s="177">
        <v>1717480</v>
      </c>
      <c r="M40" s="38">
        <f>I40/(HLOOKUP(F40,Team_Composition_23[[#All],[Yellow]:[Red]],10,FALSE)+HLOOKUP(F40,Team_Composition_23[[#All],[Yellow]:[Red]],11,FALSE))</f>
        <v>8.5261875761266745E-2</v>
      </c>
      <c r="N40" s="38">
        <f>J40/HLOOKUP(F40,Team_Composition_23[[#All],[Yellow]:[Red]],6,FALSE)</f>
        <v>4.1338807468573264E-3</v>
      </c>
      <c r="O40" s="38">
        <f>K40/HLOOKUP(F40,Team_Composition_23[[#All],[Yellow]:[Red]],8,FALSE)</f>
        <v>2.6353863002987689E-3</v>
      </c>
      <c r="P40" s="38">
        <f>L40/HLOOKUP(F40,Team_Composition_23[[#All],[Yellow]:[Red]],7,FALSE)</f>
        <v>7.0770193464268716E-2</v>
      </c>
      <c r="Q40" s="31"/>
      <c r="R40" s="45" t="s">
        <v>50</v>
      </c>
      <c r="S40" s="46">
        <f t="shared" si="6"/>
        <v>1</v>
      </c>
      <c r="T40" s="47">
        <f t="shared" si="7"/>
        <v>1</v>
      </c>
      <c r="U40" s="31"/>
      <c r="V40" s="31"/>
      <c r="W40" s="31"/>
      <c r="X40" s="31"/>
      <c r="Y40" s="31"/>
      <c r="Z40" s="31"/>
      <c r="AA40" s="31"/>
      <c r="AB40" s="45" t="s">
        <v>50</v>
      </c>
      <c r="AC40" s="50">
        <f t="shared" si="8"/>
        <v>1</v>
      </c>
      <c r="AD40" s="51">
        <f t="shared" si="9"/>
        <v>0</v>
      </c>
    </row>
    <row r="41" spans="1:30" ht="22.5" customHeight="1">
      <c r="A41" s="173">
        <v>17</v>
      </c>
      <c r="B41" s="65" t="str">
        <f>VLOOKUP(C41,Lists!I:J,2,FALSE)</f>
        <v>KS</v>
      </c>
      <c r="C41" s="180" t="str">
        <f>VLOOKUP(E41&amp;D41,Lists!C:E,3,FALSE)</f>
        <v>Crossbow/Dagger</v>
      </c>
      <c r="D41" s="175" t="s">
        <v>30</v>
      </c>
      <c r="E41" s="176" t="s">
        <v>229</v>
      </c>
      <c r="F41" s="175" t="s">
        <v>476</v>
      </c>
      <c r="G41" s="173">
        <v>36</v>
      </c>
      <c r="H41" s="173">
        <v>32</v>
      </c>
      <c r="I41" s="84">
        <f t="shared" si="0"/>
        <v>68</v>
      </c>
      <c r="J41" s="177">
        <v>1659030</v>
      </c>
      <c r="K41" s="177">
        <v>704237</v>
      </c>
      <c r="L41" s="177">
        <v>35210</v>
      </c>
      <c r="M41" s="38">
        <f>I41/(HLOOKUP(F41,Team_Composition_23[[#All],[Yellow]:[Red]],10,FALSE)+HLOOKUP(F41,Team_Composition_23[[#All],[Yellow]:[Red]],11,FALSE))</f>
        <v>1.699575106223444E-2</v>
      </c>
      <c r="N41" s="38">
        <f>J41/HLOOKUP(F41,Team_Composition_23[[#All],[Yellow]:[Red]],6,FALSE)</f>
        <v>3.739620627194043E-2</v>
      </c>
      <c r="O41" s="38">
        <f>K41/HLOOKUP(F41,Team_Composition_23[[#All],[Yellow]:[Red]],8,FALSE)</f>
        <v>4.0199014051391639E-2</v>
      </c>
      <c r="P41" s="38">
        <f>L41/HLOOKUP(F41,Team_Composition_23[[#All],[Yellow]:[Red]],7,FALSE)</f>
        <v>2.7200165873888568E-3</v>
      </c>
      <c r="Q41" s="31"/>
      <c r="R41" s="45" t="s">
        <v>52</v>
      </c>
      <c r="S41" s="46">
        <f t="shared" si="6"/>
        <v>1</v>
      </c>
      <c r="T41" s="47">
        <f t="shared" si="7"/>
        <v>1</v>
      </c>
      <c r="U41" s="31"/>
      <c r="V41" s="31"/>
      <c r="W41" s="31"/>
      <c r="X41" s="31"/>
      <c r="Y41" s="31"/>
      <c r="Z41" s="31"/>
      <c r="AA41" s="31"/>
      <c r="AB41" s="45" t="s">
        <v>52</v>
      </c>
      <c r="AC41" s="50">
        <f t="shared" si="8"/>
        <v>1</v>
      </c>
      <c r="AD41" s="51">
        <f t="shared" si="9"/>
        <v>0</v>
      </c>
    </row>
    <row r="42" spans="1:30" ht="22.5" customHeight="1">
      <c r="A42" s="173">
        <v>25</v>
      </c>
      <c r="B42" s="34" t="str">
        <f>VLOOKUP(C42,Lists!I:J,2,FALSE)</f>
        <v>Ranged DPS</v>
      </c>
      <c r="C42" s="180" t="str">
        <f>VLOOKUP(E42&amp;D42,Lists!C:E,3,FALSE)</f>
        <v>Staff/Orb</v>
      </c>
      <c r="D42" s="175" t="s">
        <v>30</v>
      </c>
      <c r="E42" s="176" t="s">
        <v>231</v>
      </c>
      <c r="F42" s="175" t="s">
        <v>476</v>
      </c>
      <c r="G42" s="173">
        <v>24</v>
      </c>
      <c r="H42" s="173">
        <v>44</v>
      </c>
      <c r="I42" s="84">
        <f t="shared" si="0"/>
        <v>68</v>
      </c>
      <c r="J42" s="177">
        <v>1993848</v>
      </c>
      <c r="K42" s="177">
        <v>1052876</v>
      </c>
      <c r="L42" s="177">
        <v>0</v>
      </c>
      <c r="M42" s="38">
        <f>I42/(HLOOKUP(F42,Team_Composition_23[[#All],[Yellow]:[Red]],10,FALSE)+HLOOKUP(F42,Team_Composition_23[[#All],[Yellow]:[Red]],11,FALSE))</f>
        <v>1.699575106223444E-2</v>
      </c>
      <c r="N42" s="38">
        <f>J42/HLOOKUP(F42,Team_Composition_23[[#All],[Yellow]:[Red]],6,FALSE)</f>
        <v>4.4943341038375363E-2</v>
      </c>
      <c r="O42" s="38">
        <f>K42/HLOOKUP(F42,Team_Composition_23[[#All],[Yellow]:[Red]],8,FALSE)</f>
        <v>6.0099905455653461E-2</v>
      </c>
      <c r="P42" s="38">
        <f>L42/HLOOKUP(F42,Team_Composition_23[[#All],[Yellow]:[Red]],7,FALSE)</f>
        <v>0</v>
      </c>
      <c r="Q42" s="31"/>
      <c r="R42" s="45" t="s">
        <v>32</v>
      </c>
      <c r="S42" s="46">
        <f t="shared" si="6"/>
        <v>1</v>
      </c>
      <c r="T42" s="47">
        <f t="shared" si="7"/>
        <v>1</v>
      </c>
      <c r="U42" s="31"/>
      <c r="V42" s="31"/>
      <c r="W42" s="31"/>
      <c r="X42" s="31"/>
      <c r="Y42" s="31"/>
      <c r="Z42" s="31"/>
      <c r="AA42" s="31"/>
      <c r="AB42" s="45" t="s">
        <v>32</v>
      </c>
      <c r="AC42" s="50">
        <f t="shared" si="8"/>
        <v>1</v>
      </c>
      <c r="AD42" s="51">
        <f t="shared" si="9"/>
        <v>0</v>
      </c>
    </row>
    <row r="43" spans="1:30" ht="22.5" customHeight="1">
      <c r="A43" s="173">
        <v>26</v>
      </c>
      <c r="B43" s="53" t="str">
        <f>VLOOKUP(C43,Lists!I:J,2,FALSE)</f>
        <v>KS</v>
      </c>
      <c r="C43" s="180" t="str">
        <f>VLOOKUP(E43&amp;D43,Lists!C:E,3,FALSE)</f>
        <v>Greatsword/Dagger</v>
      </c>
      <c r="D43" s="175" t="s">
        <v>30</v>
      </c>
      <c r="E43" s="178" t="s">
        <v>396</v>
      </c>
      <c r="F43" s="175" t="s">
        <v>476</v>
      </c>
      <c r="G43" s="173">
        <v>22</v>
      </c>
      <c r="H43" s="173">
        <v>44</v>
      </c>
      <c r="I43" s="84">
        <f t="shared" si="0"/>
        <v>66</v>
      </c>
      <c r="J43" s="177">
        <v>1118061</v>
      </c>
      <c r="K43" s="177">
        <v>879915</v>
      </c>
      <c r="L43" s="177">
        <v>5867</v>
      </c>
      <c r="M43" s="38">
        <f>I43/(HLOOKUP(F43,Team_Composition_23[[#All],[Yellow]:[Red]],10,FALSE)+HLOOKUP(F43,Team_Composition_23[[#All],[Yellow]:[Red]],11,FALSE))</f>
        <v>1.6495876030992253E-2</v>
      </c>
      <c r="N43" s="38">
        <f>J43/HLOOKUP(F43,Team_Composition_23[[#All],[Yellow]:[Red]],6,FALSE)</f>
        <v>2.5202220442434427E-2</v>
      </c>
      <c r="O43" s="38">
        <f>K43/HLOOKUP(F43,Team_Composition_23[[#All],[Yellow]:[Red]],8,FALSE)</f>
        <v>5.0227005182957266E-2</v>
      </c>
      <c r="P43" s="38">
        <f>L43/HLOOKUP(F43,Team_Composition_23[[#All],[Yellow]:[Red]],7,FALSE)</f>
        <v>4.5323309622864023E-4</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173">
        <v>48</v>
      </c>
      <c r="B44" s="62" t="str">
        <f>VLOOKUP(C44,Lists!I:J,2,FALSE)</f>
        <v>Tank</v>
      </c>
      <c r="C44" s="180" t="str">
        <f>VLOOKUP(E44&amp;D44,Lists!C:E,3,FALSE)</f>
        <v>SnS/Greatsword</v>
      </c>
      <c r="D44" s="175" t="s">
        <v>30</v>
      </c>
      <c r="E44" s="181" t="s">
        <v>215</v>
      </c>
      <c r="F44" s="175" t="s">
        <v>476</v>
      </c>
      <c r="G44" s="173">
        <v>2</v>
      </c>
      <c r="H44" s="173">
        <v>64</v>
      </c>
      <c r="I44" s="84">
        <f t="shared" si="0"/>
        <v>66</v>
      </c>
      <c r="J44" s="177">
        <v>1024926</v>
      </c>
      <c r="K44" s="177">
        <v>1464835</v>
      </c>
      <c r="L44" s="177">
        <v>163740</v>
      </c>
      <c r="M44" s="38">
        <f>I44/(HLOOKUP(F44,Team_Composition_23[[#All],[Yellow]:[Red]],10,FALSE)+HLOOKUP(F44,Team_Composition_23[[#All],[Yellow]:[Red]],11,FALSE))</f>
        <v>1.6495876030992253E-2</v>
      </c>
      <c r="N44" s="38">
        <f>J44/HLOOKUP(F44,Team_Composition_23[[#All],[Yellow]:[Red]],6,FALSE)</f>
        <v>2.3102863787559488E-2</v>
      </c>
      <c r="O44" s="38">
        <f>K44/HLOOKUP(F44,Team_Composition_23[[#All],[Yellow]:[Red]],8,FALSE)</f>
        <v>8.3615207306588946E-2</v>
      </c>
      <c r="P44" s="38">
        <f>L44/HLOOKUP(F44,Team_Composition_23[[#All],[Yellow]:[Red]],7,FALSE)</f>
        <v>1.2649120023261897E-2</v>
      </c>
      <c r="Q44" s="31"/>
      <c r="R44" s="45" t="s">
        <v>58</v>
      </c>
      <c r="S44" s="46">
        <f t="shared" si="6"/>
        <v>3</v>
      </c>
      <c r="T44" s="47">
        <f t="shared" si="7"/>
        <v>2</v>
      </c>
      <c r="U44" s="31"/>
      <c r="V44" s="31"/>
      <c r="W44" s="31"/>
      <c r="X44" s="31"/>
      <c r="Y44" s="31"/>
      <c r="Z44" s="31"/>
      <c r="AA44" s="31"/>
      <c r="AB44" s="45" t="s">
        <v>58</v>
      </c>
      <c r="AC44" s="50">
        <f t="shared" si="8"/>
        <v>2</v>
      </c>
      <c r="AD44" s="51">
        <f t="shared" si="9"/>
        <v>0</v>
      </c>
    </row>
    <row r="45" spans="1:30" ht="22.5" customHeight="1">
      <c r="A45" s="173">
        <v>28</v>
      </c>
      <c r="B45" s="52" t="str">
        <f>VLOOKUP(C45,Lists!I:J,2,FALSE)</f>
        <v>Melee DPS</v>
      </c>
      <c r="C45" s="180" t="str">
        <f>VLOOKUP(E45&amp;D45,Lists!C:E,3,FALSE)</f>
        <v>Spear/Dagger</v>
      </c>
      <c r="D45" s="175" t="s">
        <v>30</v>
      </c>
      <c r="E45" s="176" t="s">
        <v>217</v>
      </c>
      <c r="F45" s="175" t="s">
        <v>476</v>
      </c>
      <c r="G45" s="173">
        <v>16</v>
      </c>
      <c r="H45" s="173">
        <v>49</v>
      </c>
      <c r="I45" s="84">
        <f t="shared" si="0"/>
        <v>65</v>
      </c>
      <c r="J45" s="177">
        <v>1392540</v>
      </c>
      <c r="K45" s="177">
        <v>1398911</v>
      </c>
      <c r="L45" s="177">
        <v>8815</v>
      </c>
      <c r="M45" s="38">
        <f>I45/(HLOOKUP(F45,Team_Composition_23[[#All],[Yellow]:[Red]],10,FALSE)+HLOOKUP(F45,Team_Composition_23[[#All],[Yellow]:[Red]],11,FALSE))</f>
        <v>1.6245938515371157E-2</v>
      </c>
      <c r="N45" s="38">
        <f>J45/HLOOKUP(F45,Team_Composition_23[[#All],[Yellow]:[Red]],6,FALSE)</f>
        <v>3.1389253408273463E-2</v>
      </c>
      <c r="O45" s="38">
        <f>K45/HLOOKUP(F45,Team_Composition_23[[#All],[Yellow]:[Red]],8,FALSE)</f>
        <v>7.9852156228153781E-2</v>
      </c>
      <c r="P45" s="38">
        <f>L45/HLOOKUP(F45,Team_Composition_23[[#All],[Yellow]:[Red]],7,FALSE)</f>
        <v>6.8096978749880067E-4</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173">
        <v>44</v>
      </c>
      <c r="B46" s="60" t="str">
        <f>VLOOKUP(C46,Lists!I:J,2,FALSE)</f>
        <v>Healer</v>
      </c>
      <c r="C46" s="180" t="str">
        <f>VLOOKUP(E46&amp;D46,Lists!C:E,3,FALSE)</f>
        <v>Wand/Longbow</v>
      </c>
      <c r="D46" s="175" t="s">
        <v>30</v>
      </c>
      <c r="E46" s="176" t="s">
        <v>416</v>
      </c>
      <c r="F46" s="175" t="s">
        <v>476</v>
      </c>
      <c r="G46" s="173">
        <v>3</v>
      </c>
      <c r="H46" s="173">
        <v>60</v>
      </c>
      <c r="I46" s="84">
        <f t="shared" si="0"/>
        <v>63</v>
      </c>
      <c r="J46" s="177">
        <v>40986</v>
      </c>
      <c r="K46" s="177">
        <v>594440</v>
      </c>
      <c r="L46" s="177">
        <v>1974823</v>
      </c>
      <c r="M46" s="38">
        <f>I46/(HLOOKUP(F46,Team_Composition_23[[#All],[Yellow]:[Red]],10,FALSE)+HLOOKUP(F46,Team_Composition_23[[#All],[Yellow]:[Red]],11,FALSE))</f>
        <v>1.5746063484128967E-2</v>
      </c>
      <c r="N46" s="38">
        <f>J46/HLOOKUP(F46,Team_Composition_23[[#All],[Yellow]:[Red]],6,FALSE)</f>
        <v>9.2386569878890104E-4</v>
      </c>
      <c r="O46" s="38">
        <f>K46/HLOOKUP(F46,Team_Composition_23[[#All],[Yellow]:[Red]],8,FALSE)</f>
        <v>3.3931619487060818E-2</v>
      </c>
      <c r="P46" s="38">
        <f>L46/HLOOKUP(F46,Team_Composition_23[[#All],[Yellow]:[Red]],7,FALSE)</f>
        <v>0.15255754947904074</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173">
        <v>74</v>
      </c>
      <c r="B47" s="40" t="str">
        <f>VLOOKUP(C47,Lists!I:J,2,FALSE)</f>
        <v>Healer</v>
      </c>
      <c r="C47" s="180" t="str">
        <f>VLOOKUP(E47&amp;D47,Lists!C:E,3,FALSE)</f>
        <v>Wand/Orb</v>
      </c>
      <c r="D47" s="175" t="s">
        <v>30</v>
      </c>
      <c r="E47" s="176" t="s">
        <v>439</v>
      </c>
      <c r="F47" s="175" t="s">
        <v>476</v>
      </c>
      <c r="G47" s="173">
        <v>0</v>
      </c>
      <c r="H47" s="173">
        <v>63</v>
      </c>
      <c r="I47" s="84">
        <f t="shared" si="0"/>
        <v>63</v>
      </c>
      <c r="J47" s="177">
        <v>7367</v>
      </c>
      <c r="K47" s="177">
        <v>403682</v>
      </c>
      <c r="L47" s="177">
        <v>425518</v>
      </c>
      <c r="M47" s="38">
        <f>I47/(HLOOKUP(F47,Team_Composition_23[[#All],[Yellow]:[Red]],10,FALSE)+HLOOKUP(F47,Team_Composition_23[[#All],[Yellow]:[Red]],11,FALSE))</f>
        <v>1.5746063484128967E-2</v>
      </c>
      <c r="N47" s="38">
        <f>J47/HLOOKUP(F47,Team_Composition_23[[#All],[Yellow]:[Red]],6,FALSE)</f>
        <v>1.6605959603225085E-4</v>
      </c>
      <c r="O47" s="38">
        <f>K47/HLOOKUP(F47,Team_Composition_23[[#All],[Yellow]:[Red]],8,FALSE)</f>
        <v>2.3042836985693569E-2</v>
      </c>
      <c r="P47" s="38">
        <f>L47/HLOOKUP(F47,Team_Composition_23[[#All],[Yellow]:[Red]],7,FALSE)</f>
        <v>3.287179830254279E-2</v>
      </c>
      <c r="Q47" s="31"/>
      <c r="R47" s="48"/>
      <c r="S47" s="63"/>
      <c r="T47" s="63"/>
      <c r="U47" s="31"/>
      <c r="V47" s="31"/>
      <c r="W47" s="31"/>
      <c r="X47" s="31"/>
      <c r="Y47" s="31"/>
      <c r="Z47" s="31"/>
      <c r="AA47" s="31"/>
      <c r="AB47" s="48"/>
      <c r="AC47" s="63"/>
      <c r="AD47" s="63"/>
    </row>
    <row r="48" spans="1:30" ht="22.5" customHeight="1">
      <c r="A48" s="173">
        <v>40</v>
      </c>
      <c r="B48" s="69" t="str">
        <f>VLOOKUP(C48,Lists!I:J,2,FALSE)</f>
        <v>Tank</v>
      </c>
      <c r="C48" s="174" t="str">
        <f>VLOOKUP(E48&amp;D48,Lists!C:E,3,FALSE)</f>
        <v>SnS/Greatsword</v>
      </c>
      <c r="D48" s="175" t="s">
        <v>34</v>
      </c>
      <c r="E48" s="176" t="s">
        <v>173</v>
      </c>
      <c r="F48" s="175" t="s">
        <v>483</v>
      </c>
      <c r="G48" s="173">
        <v>5</v>
      </c>
      <c r="H48" s="173">
        <v>58</v>
      </c>
      <c r="I48" s="84">
        <f t="shared" si="0"/>
        <v>63</v>
      </c>
      <c r="J48" s="177">
        <v>360839</v>
      </c>
      <c r="K48" s="177">
        <v>699194</v>
      </c>
      <c r="L48" s="177">
        <v>28865</v>
      </c>
      <c r="M48" s="38">
        <f>I48/(HLOOKUP(F48,Team_Composition_23[[#All],[Yellow]:[Red]],10,FALSE)+HLOOKUP(F48,Team_Composition_23[[#All],[Yellow]:[Red]],11,FALSE))</f>
        <v>7.6735688185140066E-2</v>
      </c>
      <c r="N48" s="38">
        <f>J48/HLOOKUP(F48,Team_Composition_23[[#All],[Yellow]:[Red]],6,FALSE)</f>
        <v>2.0449459788539848E-2</v>
      </c>
      <c r="O48" s="38">
        <f>K48/HLOOKUP(F48,Team_Composition_23[[#All],[Yellow]:[Red]],8,FALSE)</f>
        <v>1.5885018740257221E-2</v>
      </c>
      <c r="P48" s="38">
        <f>L48/HLOOKUP(F48,Team_Composition_23[[#All],[Yellow]:[Red]],7,FALSE)</f>
        <v>1.1894063595186647E-3</v>
      </c>
      <c r="Q48" s="31"/>
      <c r="R48" s="31"/>
      <c r="S48" s="64"/>
      <c r="T48" s="64"/>
      <c r="U48" s="31"/>
      <c r="V48" s="31"/>
      <c r="W48" s="31"/>
      <c r="X48" s="31"/>
      <c r="Y48" s="31"/>
      <c r="Z48" s="31"/>
      <c r="AA48" s="31"/>
      <c r="AB48" s="31"/>
      <c r="AC48" s="64"/>
      <c r="AD48" s="64"/>
    </row>
    <row r="49" spans="1:30" ht="22.5" customHeight="1">
      <c r="A49" s="173">
        <v>75</v>
      </c>
      <c r="B49" s="52" t="str">
        <f>VLOOKUP(C49,Lists!I:J,2,FALSE)</f>
        <v>Healer</v>
      </c>
      <c r="C49" s="174" t="str">
        <f>VLOOKUP(E49&amp;D49,Lists!C:E,3,FALSE)</f>
        <v>Wand/Longbow</v>
      </c>
      <c r="D49" s="175" t="s">
        <v>34</v>
      </c>
      <c r="E49" s="176" t="s">
        <v>106</v>
      </c>
      <c r="F49" s="175" t="s">
        <v>483</v>
      </c>
      <c r="G49" s="173">
        <v>0</v>
      </c>
      <c r="H49" s="173">
        <v>62</v>
      </c>
      <c r="I49" s="84">
        <f t="shared" si="0"/>
        <v>62</v>
      </c>
      <c r="J49" s="177">
        <v>20242</v>
      </c>
      <c r="K49" s="177">
        <v>680877</v>
      </c>
      <c r="L49" s="177">
        <v>998295</v>
      </c>
      <c r="M49" s="38">
        <f>I49/(HLOOKUP(F49,Team_Composition_23[[#All],[Yellow]:[Red]],10,FALSE)+HLOOKUP(F49,Team_Composition_23[[#All],[Yellow]:[Red]],11,FALSE))</f>
        <v>7.5517661388550553E-2</v>
      </c>
      <c r="N49" s="38">
        <f>J49/HLOOKUP(F49,Team_Composition_23[[#All],[Yellow]:[Red]],6,FALSE)</f>
        <v>1.147154174132019E-3</v>
      </c>
      <c r="O49" s="38">
        <f>K49/HLOOKUP(F49,Team_Composition_23[[#All],[Yellow]:[Red]],8,FALSE)</f>
        <v>1.5468874024677151E-2</v>
      </c>
      <c r="P49" s="38">
        <f>L49/HLOOKUP(F49,Team_Composition_23[[#All],[Yellow]:[Red]],7,FALSE)</f>
        <v>4.1135576707974554E-2</v>
      </c>
      <c r="Q49" s="31"/>
      <c r="R49" s="227" t="s">
        <v>67</v>
      </c>
      <c r="S49" s="228"/>
      <c r="T49" s="228"/>
      <c r="U49" s="31"/>
      <c r="V49" s="31"/>
      <c r="W49" s="31"/>
      <c r="X49" s="31"/>
      <c r="Y49" s="31"/>
      <c r="Z49" s="31"/>
      <c r="AA49" s="31"/>
      <c r="AB49" s="227" t="s">
        <v>67</v>
      </c>
      <c r="AC49" s="228"/>
      <c r="AD49" s="228"/>
    </row>
    <row r="50" spans="1:30" ht="22.5" customHeight="1">
      <c r="A50" s="173">
        <v>76</v>
      </c>
      <c r="B50" s="57" t="str">
        <f>VLOOKUP(C50,Lists!I:J,2,FALSE)</f>
        <v>Healer</v>
      </c>
      <c r="C50" s="174" t="s">
        <v>10</v>
      </c>
      <c r="D50" s="175" t="s">
        <v>518</v>
      </c>
      <c r="E50" s="176" t="s">
        <v>180</v>
      </c>
      <c r="F50" s="175" t="s">
        <v>483</v>
      </c>
      <c r="G50" s="173">
        <v>0</v>
      </c>
      <c r="H50" s="173">
        <v>59</v>
      </c>
      <c r="I50" s="84">
        <f t="shared" si="0"/>
        <v>59</v>
      </c>
      <c r="J50" s="177">
        <v>39893</v>
      </c>
      <c r="K50" s="177">
        <v>278987</v>
      </c>
      <c r="L50" s="177">
        <v>1379009</v>
      </c>
      <c r="M50" s="38">
        <f>I50/(HLOOKUP(F50,Team_Composition_23[[#All],[Yellow]:[Red]],10,FALSE)+HLOOKUP(F50,Team_Composition_23[[#All],[Yellow]:[Red]],11,FALSE))</f>
        <v>7.186358099878197E-2</v>
      </c>
      <c r="N50" s="38">
        <f>J50/HLOOKUP(F50,Team_Composition_23[[#All],[Yellow]:[Red]],6,FALSE)</f>
        <v>2.2608152093987074E-3</v>
      </c>
      <c r="O50" s="38">
        <f>K50/HLOOKUP(F50,Team_Composition_23[[#All],[Yellow]:[Red]],8,FALSE)</f>
        <v>6.3383177248204957E-3</v>
      </c>
      <c r="P50" s="38">
        <f>L50/HLOOKUP(F50,Team_Composition_23[[#All],[Yellow]:[Red]],7,FALSE)</f>
        <v>5.6823214080494525E-2</v>
      </c>
      <c r="Q50" s="31"/>
      <c r="R50" s="41" t="s">
        <v>482</v>
      </c>
      <c r="S50" s="42" t="s">
        <v>476</v>
      </c>
      <c r="T50" s="42" t="s">
        <v>483</v>
      </c>
      <c r="U50" s="31"/>
      <c r="V50" s="31"/>
      <c r="W50" s="31"/>
      <c r="X50" s="31"/>
      <c r="Y50" s="31"/>
      <c r="Z50" s="31"/>
      <c r="AA50" s="31"/>
      <c r="AB50" s="41" t="s">
        <v>482</v>
      </c>
      <c r="AC50" s="42" t="s">
        <v>485</v>
      </c>
      <c r="AD50" s="42" t="s">
        <v>36</v>
      </c>
    </row>
    <row r="51" spans="1:30" ht="22.5" customHeight="1">
      <c r="A51" s="173">
        <v>29</v>
      </c>
      <c r="B51" s="40" t="str">
        <f>VLOOKUP(C51,Lists!I:J,2,FALSE)</f>
        <v>Ranged DPS</v>
      </c>
      <c r="C51" s="180" t="str">
        <f>VLOOKUP(E51&amp;D51,Lists!C:E,3,FALSE)</f>
        <v>Staff/Orb</v>
      </c>
      <c r="D51" s="175" t="s">
        <v>30</v>
      </c>
      <c r="E51" s="176" t="s">
        <v>435</v>
      </c>
      <c r="F51" s="175" t="s">
        <v>476</v>
      </c>
      <c r="G51" s="173">
        <v>16</v>
      </c>
      <c r="H51" s="173">
        <v>42</v>
      </c>
      <c r="I51" s="84">
        <f t="shared" si="0"/>
        <v>58</v>
      </c>
      <c r="J51" s="177">
        <v>1963839</v>
      </c>
      <c r="K51" s="177">
        <v>971466</v>
      </c>
      <c r="L51" s="177">
        <v>14384</v>
      </c>
      <c r="M51" s="38">
        <f>I51/(HLOOKUP(F51,Team_Composition_23[[#All],[Yellow]:[Red]],10,FALSE)+HLOOKUP(F51,Team_Composition_23[[#All],[Yellow]:[Red]],11,FALSE))</f>
        <v>1.4496375906023495E-2</v>
      </c>
      <c r="N51" s="38">
        <f>J51/HLOOKUP(F51,Team_Composition_23[[#All],[Yellow]:[Red]],6,FALSE)</f>
        <v>4.426690796964565E-2</v>
      </c>
      <c r="O51" s="38">
        <f>K51/HLOOKUP(F51,Team_Composition_23[[#All],[Yellow]:[Red]],8,FALSE)</f>
        <v>5.5452887855152788E-2</v>
      </c>
      <c r="P51" s="38">
        <f>L51/HLOOKUP(F51,Team_Composition_23[[#All],[Yellow]:[Red]],7,FALSE)</f>
        <v>1.1111820105936187E-3</v>
      </c>
      <c r="Q51" s="31"/>
      <c r="R51" s="45" t="s">
        <v>468</v>
      </c>
      <c r="S51" s="46">
        <f>SUMIFS(Scoreboard_33[Damage Dealt],Scoreboard_33[Role],"Tank",Scoreboard_33[Team],"Yellow")</f>
        <v>3340068</v>
      </c>
      <c r="T51" s="47">
        <f>SUMIFS(Scoreboard_33[Damage Dealt],Scoreboard_33[Role],"Tank",Scoreboard_33[Team],"Red")</f>
        <v>2738044</v>
      </c>
      <c r="U51" s="31"/>
      <c r="V51" s="31"/>
      <c r="W51" s="31"/>
      <c r="X51" s="31"/>
      <c r="Y51" s="31"/>
      <c r="Z51" s="31"/>
      <c r="AA51" s="31"/>
      <c r="AB51" s="45" t="s">
        <v>468</v>
      </c>
      <c r="AC51" s="50">
        <f>SUMIFS(Scoreboard_33[Damage Dealt],Scoreboard_33[Role],"Tank",Scoreboard_33[Guild],"Best Regards")</f>
        <v>2683239</v>
      </c>
      <c r="AD51" s="51">
        <f>SUMIFS(Scoreboard_33[Damage Dealt],Scoreboard_33[Role],"Tank",Scoreboard_33[Guild],"Unhinged肉")</f>
        <v>0</v>
      </c>
    </row>
    <row r="52" spans="1:30" ht="22.5" customHeight="1">
      <c r="A52" s="173">
        <v>55</v>
      </c>
      <c r="B52" s="60" t="str">
        <f>VLOOKUP(C52,Lists!I:J,2,FALSE)</f>
        <v>Tank</v>
      </c>
      <c r="C52" s="174" t="str">
        <f>VLOOKUP(E52&amp;D52,Lists!C:E,3,FALSE)</f>
        <v>SnS/Spear</v>
      </c>
      <c r="D52" s="175" t="s">
        <v>34</v>
      </c>
      <c r="E52" s="176" t="s">
        <v>61</v>
      </c>
      <c r="F52" s="175" t="s">
        <v>483</v>
      </c>
      <c r="G52" s="173">
        <v>1</v>
      </c>
      <c r="H52" s="173">
        <v>57</v>
      </c>
      <c r="I52" s="84">
        <f t="shared" si="0"/>
        <v>58</v>
      </c>
      <c r="J52" s="177">
        <v>243861</v>
      </c>
      <c r="K52" s="177">
        <v>375761</v>
      </c>
      <c r="L52" s="177">
        <v>13103</v>
      </c>
      <c r="M52" s="38">
        <f>I52/(HLOOKUP(F52,Team_Composition_23[[#All],[Yellow]:[Red]],10,FALSE)+HLOOKUP(F52,Team_Composition_23[[#All],[Yellow]:[Red]],11,FALSE))</f>
        <v>7.0645554202192443E-2</v>
      </c>
      <c r="N52" s="38">
        <f>J52/HLOOKUP(F52,Team_Composition_23[[#All],[Yellow]:[Red]],6,FALSE)</f>
        <v>1.3820085172315399E-2</v>
      </c>
      <c r="O52" s="38">
        <f>K52/HLOOKUP(F52,Team_Composition_23[[#All],[Yellow]:[Red]],8,FALSE)</f>
        <v>8.5369304182498617E-3</v>
      </c>
      <c r="P52" s="38">
        <f>L52/HLOOKUP(F52,Team_Composition_23[[#All],[Yellow]:[Red]],7,FALSE)</f>
        <v>5.399200252476378E-4</v>
      </c>
      <c r="Q52" s="31"/>
      <c r="R52" s="45" t="s">
        <v>469</v>
      </c>
      <c r="S52" s="46">
        <f>SUMIFS(Scoreboard_33[Damage Taken],Scoreboard_33[Role],"Tank",Scoreboard_33[Team],"Yellow")</f>
        <v>14513020</v>
      </c>
      <c r="T52" s="47">
        <f>SUMIFS(Scoreboard_33[Damage Taken],Scoreboard_33[Role],"Tank",Scoreboard_33[Team],"Red")</f>
        <v>9455733</v>
      </c>
      <c r="U52" s="31"/>
      <c r="V52" s="31"/>
      <c r="W52" s="31"/>
      <c r="X52" s="31"/>
      <c r="Y52" s="31"/>
      <c r="Z52" s="31"/>
      <c r="AA52" s="31"/>
      <c r="AB52" s="45" t="s">
        <v>469</v>
      </c>
      <c r="AC52" s="50">
        <f>SUMIFS(Scoreboard_33[Damage Taken],Scoreboard_33[Role],"Tank",Scoreboard_33[Guild],"Best Regards")</f>
        <v>8959530</v>
      </c>
      <c r="AD52" s="51">
        <f>SUMIFS(Scoreboard_33[Damage Taken],Scoreboard_33[Role],"Tank",Scoreboard_33[Guild],"Unhinged肉")</f>
        <v>0</v>
      </c>
    </row>
    <row r="53" spans="1:30" ht="22.5" customHeight="1">
      <c r="A53" s="173">
        <v>41</v>
      </c>
      <c r="B53" s="40" t="str">
        <f>VLOOKUP(C53,Lists!I:J,2,FALSE)</f>
        <v>Healer</v>
      </c>
      <c r="C53" s="180" t="str">
        <f>VLOOKUP(E53&amp;D53,Lists!C:E,3,FALSE)</f>
        <v>Wand/Greatsword</v>
      </c>
      <c r="D53" s="175" t="s">
        <v>30</v>
      </c>
      <c r="E53" s="176" t="s">
        <v>415</v>
      </c>
      <c r="F53" s="175" t="s">
        <v>476</v>
      </c>
      <c r="G53" s="173">
        <v>4</v>
      </c>
      <c r="H53" s="173">
        <v>52</v>
      </c>
      <c r="I53" s="84">
        <f t="shared" si="0"/>
        <v>56</v>
      </c>
      <c r="J53" s="177">
        <v>450647</v>
      </c>
      <c r="K53" s="177">
        <v>573362</v>
      </c>
      <c r="L53" s="177">
        <v>101021</v>
      </c>
      <c r="M53" s="38">
        <f>I53/(HLOOKUP(F53,Team_Composition_23[[#All],[Yellow]:[Red]],10,FALSE)+HLOOKUP(F53,Team_Composition_23[[#All],[Yellow]:[Red]],11,FALSE))</f>
        <v>1.3996500874781305E-2</v>
      </c>
      <c r="N53" s="38">
        <f>J53/HLOOKUP(F53,Team_Composition_23[[#All],[Yellow]:[Red]],6,FALSE)</f>
        <v>1.0158037026353435E-2</v>
      </c>
      <c r="O53" s="38">
        <f>K53/HLOOKUP(F53,Team_Composition_23[[#All],[Yellow]:[Red]],8,FALSE)</f>
        <v>3.2728452345636504E-2</v>
      </c>
      <c r="P53" s="38">
        <f>L53/HLOOKUP(F53,Team_Composition_23[[#All],[Yellow]:[Red]],7,FALSE)</f>
        <v>7.8039987411135953E-3</v>
      </c>
      <c r="Q53" s="31"/>
      <c r="R53" s="45" t="s">
        <v>470</v>
      </c>
      <c r="S53" s="46">
        <f>SUMIFS(Scoreboard_33[Amount Healed],Scoreboard_33[Role],"Tank",Scoreboard_33[Team],"Yellow")</f>
        <v>1174855</v>
      </c>
      <c r="T53" s="47">
        <f>SUMIFS(Scoreboard_33[Amount Healed],Scoreboard_33[Role],"Tank",Scoreboard_33[Team],"Red")</f>
        <v>789070</v>
      </c>
      <c r="U53" s="31"/>
      <c r="V53" s="31"/>
      <c r="W53" s="31"/>
      <c r="X53" s="31"/>
      <c r="Y53" s="31"/>
      <c r="Z53" s="31"/>
      <c r="AA53" s="31"/>
      <c r="AB53" s="45" t="s">
        <v>470</v>
      </c>
      <c r="AC53" s="50">
        <f>SUMIFS(Scoreboard_33[Amount Healed],Scoreboard_33[Role],"Tank",Scoreboard_33[Guild],"Best Regards")</f>
        <v>748933</v>
      </c>
      <c r="AD53" s="51">
        <f>SUMIFS(Scoreboard_33[Amount Healed],Scoreboard_33[Role],"Tank",Scoreboard_33[Guild],"Unhinged肉")</f>
        <v>0</v>
      </c>
    </row>
    <row r="54" spans="1:30" ht="22.5" customHeight="1">
      <c r="A54" s="173">
        <v>21</v>
      </c>
      <c r="B54" s="60" t="str">
        <f>VLOOKUP(C54,Lists!I:J,2,FALSE)</f>
        <v>KS</v>
      </c>
      <c r="C54" s="174" t="str">
        <f>VLOOKUP(E54&amp;D54,Lists!C:E,3,FALSE)</f>
        <v>Crossbow/Dagger</v>
      </c>
      <c r="D54" s="175" t="s">
        <v>34</v>
      </c>
      <c r="E54" s="176" t="s">
        <v>152</v>
      </c>
      <c r="F54" s="175" t="s">
        <v>483</v>
      </c>
      <c r="G54" s="173">
        <v>28</v>
      </c>
      <c r="H54" s="173">
        <v>28</v>
      </c>
      <c r="I54" s="84">
        <f t="shared" si="0"/>
        <v>56</v>
      </c>
      <c r="J54" s="177">
        <v>1154050</v>
      </c>
      <c r="K54" s="177">
        <v>978383</v>
      </c>
      <c r="L54" s="177">
        <v>0</v>
      </c>
      <c r="M54" s="38">
        <f>I54/(HLOOKUP(F54,Team_Composition_23[[#All],[Yellow]:[Red]],10,FALSE)+HLOOKUP(F54,Team_Composition_23[[#All],[Yellow]:[Red]],11,FALSE))</f>
        <v>6.8209500609013402E-2</v>
      </c>
      <c r="N54" s="38">
        <f>J54/HLOOKUP(F54,Team_Composition_23[[#All],[Yellow]:[Red]],6,FALSE)</f>
        <v>6.5402295951835623E-2</v>
      </c>
      <c r="O54" s="38">
        <f>K54/HLOOKUP(F54,Team_Composition_23[[#All],[Yellow]:[Red]],8,FALSE)</f>
        <v>2.2227925711818298E-2</v>
      </c>
      <c r="P54" s="38">
        <f>L54/HLOOKUP(F54,Team_Composition_23[[#All],[Yellow]:[Red]],7,FALSE)</f>
        <v>0</v>
      </c>
      <c r="Q54" s="31"/>
      <c r="R54" s="45" t="s">
        <v>465</v>
      </c>
      <c r="S54" s="46">
        <f>SUMIFS(Scoreboard_33[Kills],Scoreboard_33[Role],"Tank",Scoreboard_33[Team],"Yellow")</f>
        <v>16</v>
      </c>
      <c r="T54" s="47">
        <f>SUMIFS(Scoreboard_33[Kills],Scoreboard_33[Role],"Tank",Scoreboard_33[Team],"Red")</f>
        <v>30</v>
      </c>
      <c r="U54" s="31"/>
      <c r="V54" s="31"/>
      <c r="W54" s="31"/>
      <c r="X54" s="31"/>
      <c r="Y54" s="31"/>
      <c r="Z54" s="31"/>
      <c r="AA54" s="31"/>
      <c r="AB54" s="45" t="s">
        <v>465</v>
      </c>
      <c r="AC54" s="50">
        <f>SUMIFS(Scoreboard_33[Kills],Scoreboard_33[Role],"Tank",Scoreboard_33[Guild],"Best Regards")</f>
        <v>29</v>
      </c>
      <c r="AD54" s="51">
        <f>SUMIFS(Scoreboard_33[Kills],Scoreboard_33[Role],"Tank",Scoreboard_33[Guild],"Unhinged肉")</f>
        <v>0</v>
      </c>
    </row>
    <row r="55" spans="1:30" ht="22.5" customHeight="1">
      <c r="A55" s="173">
        <v>30</v>
      </c>
      <c r="B55" s="52" t="str">
        <f>VLOOKUP(C55,Lists!I:J,2,FALSE)</f>
        <v>KS</v>
      </c>
      <c r="C55" s="180" t="str">
        <f>VLOOKUP(E55&amp;D55,Lists!C:E,3,FALSE)</f>
        <v>Crossbow/Dagger</v>
      </c>
      <c r="D55" s="175" t="s">
        <v>30</v>
      </c>
      <c r="E55" s="176" t="s">
        <v>404</v>
      </c>
      <c r="F55" s="175" t="s">
        <v>476</v>
      </c>
      <c r="G55" s="173">
        <v>16</v>
      </c>
      <c r="H55" s="173">
        <v>38</v>
      </c>
      <c r="I55" s="84">
        <f t="shared" si="0"/>
        <v>54</v>
      </c>
      <c r="J55" s="177">
        <v>975202</v>
      </c>
      <c r="K55" s="177">
        <v>740826</v>
      </c>
      <c r="L55" s="177">
        <v>7539</v>
      </c>
      <c r="M55" s="38">
        <f>I55/(HLOOKUP(F55,Team_Composition_23[[#All],[Yellow]:[Red]],10,FALSE)+HLOOKUP(F55,Team_Composition_23[[#All],[Yellow]:[Red]],11,FALSE))</f>
        <v>1.3496625843539115E-2</v>
      </c>
      <c r="N55" s="38">
        <f>J55/HLOOKUP(F55,Team_Composition_23[[#All],[Yellow]:[Red]],6,FALSE)</f>
        <v>2.1982034772613426E-2</v>
      </c>
      <c r="O55" s="38">
        <f>K55/HLOOKUP(F55,Team_Composition_23[[#All],[Yellow]:[Red]],8,FALSE)</f>
        <v>4.2287574756277028E-2</v>
      </c>
      <c r="P55" s="38">
        <f>L55/HLOOKUP(F55,Team_Composition_23[[#All],[Yellow]:[Red]],7,FALSE)</f>
        <v>5.8239718978485061E-4</v>
      </c>
      <c r="Q55" s="31"/>
      <c r="R55" s="45" t="s">
        <v>466</v>
      </c>
      <c r="S55" s="46">
        <f>SUMIFS(Scoreboard_33[Assists],Scoreboard_33[Role],"Tank",Scoreboard_33[Team],"Yellow")</f>
        <v>254</v>
      </c>
      <c r="T55" s="47">
        <f>SUMIFS(Scoreboard_33[Assists],Scoreboard_33[Role],"Tank",Scoreboard_33[Team],"Red")</f>
        <v>563</v>
      </c>
      <c r="U55" s="31"/>
      <c r="V55" s="31"/>
      <c r="W55" s="31"/>
      <c r="X55" s="31"/>
      <c r="Y55" s="31"/>
      <c r="Z55" s="31"/>
      <c r="AA55" s="31"/>
      <c r="AB55" s="45" t="s">
        <v>466</v>
      </c>
      <c r="AC55" s="50">
        <f>SUMIFS(Scoreboard_33[Assists],Scoreboard_33[Role],"Tank",Scoreboard_33[Guild],"Best Regards")</f>
        <v>547</v>
      </c>
      <c r="AD55" s="51">
        <f>SUMIFS(Scoreboard_33[Assists],Scoreboard_33[Role],"Tank",Scoreboard_33[Guild],"Unhinged肉")</f>
        <v>0</v>
      </c>
    </row>
    <row r="56" spans="1:30" ht="22.5" customHeight="1">
      <c r="A56" s="173">
        <v>22</v>
      </c>
      <c r="B56" s="69" t="str">
        <f>VLOOKUP(C56,Lists!I:J,2,FALSE)</f>
        <v>Melee DPS</v>
      </c>
      <c r="C56" s="180" t="str">
        <f>VLOOKUP(E56&amp;D56,Lists!C:E,3,FALSE)</f>
        <v>Spear/Dagger</v>
      </c>
      <c r="D56" s="175" t="s">
        <v>30</v>
      </c>
      <c r="E56" s="176" t="s">
        <v>228</v>
      </c>
      <c r="F56" s="175" t="s">
        <v>476</v>
      </c>
      <c r="G56" s="173">
        <v>27</v>
      </c>
      <c r="H56" s="173">
        <v>25</v>
      </c>
      <c r="I56" s="84">
        <f t="shared" si="0"/>
        <v>52</v>
      </c>
      <c r="J56" s="177">
        <v>1507796</v>
      </c>
      <c r="K56" s="177">
        <v>1224847</v>
      </c>
      <c r="L56" s="177">
        <v>93169</v>
      </c>
      <c r="M56" s="38">
        <f>I56/(HLOOKUP(F56,Team_Composition_23[[#All],[Yellow]:[Red]],10,FALSE)+HLOOKUP(F56,Team_Composition_23[[#All],[Yellow]:[Red]],11,FALSE))</f>
        <v>1.2996750812296926E-2</v>
      </c>
      <c r="N56" s="38">
        <f>J56/HLOOKUP(F56,Team_Composition_23[[#All],[Yellow]:[Red]],6,FALSE)</f>
        <v>3.3987239671378268E-2</v>
      </c>
      <c r="O56" s="38">
        <f>K56/HLOOKUP(F56,Team_Composition_23[[#All],[Yellow]:[Red]],8,FALSE)</f>
        <v>6.991629488908549E-2</v>
      </c>
      <c r="P56" s="38">
        <f>L56/HLOOKUP(F56,Team_Composition_23[[#All],[Yellow]:[Red]],7,FALSE)</f>
        <v>7.1974219094130187E-3</v>
      </c>
      <c r="Q56" s="31"/>
      <c r="R56" s="45" t="s">
        <v>62</v>
      </c>
      <c r="S56" s="46">
        <f t="shared" ref="S56:S60" si="10">COUNTIFS(C:C,R56,F:F,"Yellow")</f>
        <v>3</v>
      </c>
      <c r="T56" s="47">
        <f t="shared" ref="T56:T60" si="11">COUNTIFS(C:C,R56,F:F,"Red")</f>
        <v>2</v>
      </c>
      <c r="U56" s="31"/>
      <c r="V56" s="31"/>
      <c r="W56" s="31"/>
      <c r="X56" s="31"/>
      <c r="Y56" s="31"/>
      <c r="Z56" s="31"/>
      <c r="AA56" s="31"/>
      <c r="AB56" s="45" t="s">
        <v>62</v>
      </c>
      <c r="AC56" s="50">
        <f t="shared" ref="AC56:AC60" si="12">COUNTIFS(C:C,AB56,D:D,"Best Regards")</f>
        <v>2</v>
      </c>
      <c r="AD56" s="51">
        <f t="shared" ref="AD56:AD60" si="13">COUNTIFS(C:C,AB56,D:D,"Unhinged肉")</f>
        <v>0</v>
      </c>
    </row>
    <row r="57" spans="1:30" ht="22.5" customHeight="1">
      <c r="A57" s="173">
        <v>49</v>
      </c>
      <c r="B57" s="52" t="str">
        <f>VLOOKUP(C57,Lists!I:J,2,FALSE)</f>
        <v>Tank</v>
      </c>
      <c r="C57" s="174" t="str">
        <f>VLOOKUP(E57&amp;D57,Lists!C:E,3,FALSE)</f>
        <v>SnS/Greatsword</v>
      </c>
      <c r="D57" s="175" t="s">
        <v>34</v>
      </c>
      <c r="E57" s="176" t="s">
        <v>55</v>
      </c>
      <c r="F57" s="175" t="s">
        <v>483</v>
      </c>
      <c r="G57" s="173">
        <v>2</v>
      </c>
      <c r="H57" s="173">
        <v>48</v>
      </c>
      <c r="I57" s="84">
        <f t="shared" si="0"/>
        <v>50</v>
      </c>
      <c r="J57" s="177">
        <v>258843</v>
      </c>
      <c r="K57" s="177">
        <v>953494</v>
      </c>
      <c r="L57" s="177">
        <v>63550</v>
      </c>
      <c r="M57" s="38">
        <f>I57/(HLOOKUP(F57,Team_Composition_23[[#All],[Yellow]:[Red]],10,FALSE)+HLOOKUP(F57,Team_Composition_23[[#All],[Yellow]:[Red]],11,FALSE))</f>
        <v>6.090133982947625E-2</v>
      </c>
      <c r="N57" s="38">
        <f>J57/HLOOKUP(F57,Team_Composition_23[[#All],[Yellow]:[Red]],6,FALSE)</f>
        <v>1.4669144743348198E-2</v>
      </c>
      <c r="O57" s="38">
        <f>K57/HLOOKUP(F57,Team_Composition_23[[#All],[Yellow]:[Red]],8,FALSE)</f>
        <v>2.1662471443866536E-2</v>
      </c>
      <c r="P57" s="38">
        <f>L57/HLOOKUP(F57,Team_Composition_23[[#All],[Yellow]:[Red]],7,FALSE)</f>
        <v>2.6186306650757369E-3</v>
      </c>
      <c r="Q57" s="31"/>
      <c r="R57" s="45" t="s">
        <v>70</v>
      </c>
      <c r="S57" s="46">
        <f t="shared" si="10"/>
        <v>0</v>
      </c>
      <c r="T57" s="47">
        <f t="shared" si="11"/>
        <v>0</v>
      </c>
      <c r="U57" s="31"/>
      <c r="V57" s="31"/>
      <c r="W57" s="31"/>
      <c r="X57" s="31"/>
      <c r="Y57" s="31"/>
      <c r="Z57" s="31"/>
      <c r="AA57" s="31"/>
      <c r="AB57" s="45" t="s">
        <v>70</v>
      </c>
      <c r="AC57" s="50">
        <f t="shared" si="12"/>
        <v>0</v>
      </c>
      <c r="AD57" s="51">
        <f t="shared" si="13"/>
        <v>0</v>
      </c>
    </row>
    <row r="58" spans="1:30" ht="22.5" customHeight="1">
      <c r="A58" s="173">
        <v>35</v>
      </c>
      <c r="B58" s="55" t="str">
        <f>VLOOKUP(C58,Lists!I:J,2,FALSE)</f>
        <v>Melee DPS</v>
      </c>
      <c r="C58" s="180" t="str">
        <f>VLOOKUP(E58&amp;D58,Lists!C:E,3,FALSE)</f>
        <v>Greatsword/Spear</v>
      </c>
      <c r="D58" s="175" t="s">
        <v>30</v>
      </c>
      <c r="E58" s="176" t="s">
        <v>222</v>
      </c>
      <c r="F58" s="175" t="s">
        <v>476</v>
      </c>
      <c r="G58" s="173">
        <v>9</v>
      </c>
      <c r="H58" s="173">
        <v>40</v>
      </c>
      <c r="I58" s="84">
        <f t="shared" si="0"/>
        <v>49</v>
      </c>
      <c r="J58" s="177">
        <v>932636</v>
      </c>
      <c r="K58" s="177">
        <v>1704766</v>
      </c>
      <c r="L58" s="177">
        <v>38954</v>
      </c>
      <c r="M58" s="38">
        <f>I58/(HLOOKUP(F58,Team_Composition_23[[#All],[Yellow]:[Red]],10,FALSE)+HLOOKUP(F58,Team_Composition_23[[#All],[Yellow]:[Red]],11,FALSE))</f>
        <v>1.2246938265433641E-2</v>
      </c>
      <c r="N58" s="38">
        <f>J58/HLOOKUP(F58,Team_Composition_23[[#All],[Yellow]:[Red]],6,FALSE)</f>
        <v>2.102255428330858E-2</v>
      </c>
      <c r="O58" s="38">
        <f>K58/HLOOKUP(F58,Team_Composition_23[[#All],[Yellow]:[Red]],8,FALSE)</f>
        <v>9.7310866069710511E-2</v>
      </c>
      <c r="P58" s="38">
        <f>L58/HLOOKUP(F58,Team_Composition_23[[#All],[Yellow]:[Red]],7,FALSE)</f>
        <v>3.0092452753520457E-3</v>
      </c>
      <c r="Q58" s="31"/>
      <c r="R58" s="45" t="s">
        <v>14</v>
      </c>
      <c r="S58" s="46">
        <f t="shared" si="10"/>
        <v>10</v>
      </c>
      <c r="T58" s="47">
        <f t="shared" si="11"/>
        <v>12</v>
      </c>
      <c r="U58" s="31"/>
      <c r="V58" s="31"/>
      <c r="W58" s="31"/>
      <c r="X58" s="31"/>
      <c r="Y58" s="31"/>
      <c r="Z58" s="31"/>
      <c r="AA58" s="31"/>
      <c r="AB58" s="45" t="s">
        <v>14</v>
      </c>
      <c r="AC58" s="50">
        <f t="shared" si="12"/>
        <v>11</v>
      </c>
      <c r="AD58" s="51">
        <f t="shared" si="13"/>
        <v>0</v>
      </c>
    </row>
    <row r="59" spans="1:30" ht="22.5" customHeight="1">
      <c r="A59" s="173">
        <v>77</v>
      </c>
      <c r="B59" s="52" t="str">
        <f>VLOOKUP(C59,Lists!I:J,2,FALSE)</f>
        <v>Healer</v>
      </c>
      <c r="C59" s="174" t="str">
        <f>VLOOKUP(E59&amp;D59,Lists!C:E,3,FALSE)</f>
        <v>Wand/Longbow</v>
      </c>
      <c r="D59" s="175" t="s">
        <v>34</v>
      </c>
      <c r="E59" s="176" t="s">
        <v>165</v>
      </c>
      <c r="F59" s="175" t="s">
        <v>483</v>
      </c>
      <c r="G59" s="173">
        <v>0</v>
      </c>
      <c r="H59" s="173">
        <v>49</v>
      </c>
      <c r="I59" s="84">
        <f t="shared" si="0"/>
        <v>49</v>
      </c>
      <c r="J59" s="177">
        <v>33041</v>
      </c>
      <c r="K59" s="177">
        <v>693833</v>
      </c>
      <c r="L59" s="177">
        <v>1732591</v>
      </c>
      <c r="M59" s="38">
        <f>I59/(HLOOKUP(F59,Team_Composition_23[[#All],[Yellow]:[Red]],10,FALSE)+HLOOKUP(F59,Team_Composition_23[[#All],[Yellow]:[Red]],11,FALSE))</f>
        <v>5.9683313032886723E-2</v>
      </c>
      <c r="N59" s="38">
        <f>J59/HLOOKUP(F59,Team_Composition_23[[#All],[Yellow]:[Red]],6,FALSE)</f>
        <v>1.8724988176808636E-3</v>
      </c>
      <c r="O59" s="38">
        <f>K59/HLOOKUP(F59,Team_Composition_23[[#All],[Yellow]:[Red]],8,FALSE)</f>
        <v>1.5763221949285734E-2</v>
      </c>
      <c r="P59" s="38">
        <f>L59/HLOOKUP(F59,Team_Composition_23[[#All],[Yellow]:[Red]],7,FALSE)</f>
        <v>7.1392854801482872E-2</v>
      </c>
      <c r="Q59" s="31"/>
      <c r="R59" s="45" t="s">
        <v>73</v>
      </c>
      <c r="S59" s="46">
        <f t="shared" si="10"/>
        <v>0</v>
      </c>
      <c r="T59" s="47">
        <f t="shared" si="11"/>
        <v>2</v>
      </c>
      <c r="U59" s="31"/>
      <c r="V59" s="31"/>
      <c r="W59" s="31"/>
      <c r="X59" s="31"/>
      <c r="Y59" s="31"/>
      <c r="Z59" s="31"/>
      <c r="AA59" s="31"/>
      <c r="AB59" s="45" t="s">
        <v>73</v>
      </c>
      <c r="AC59" s="50">
        <f t="shared" si="12"/>
        <v>2</v>
      </c>
      <c r="AD59" s="51">
        <f t="shared" si="13"/>
        <v>0</v>
      </c>
    </row>
    <row r="60" spans="1:30" ht="22.5" customHeight="1">
      <c r="A60" s="173">
        <v>78</v>
      </c>
      <c r="B60" s="57" t="str">
        <f>VLOOKUP(C60,Lists!I:J,2,FALSE)</f>
        <v>Healer</v>
      </c>
      <c r="C60" s="180" t="str">
        <f>VLOOKUP(E60&amp;D60,Lists!C:E,3,FALSE)</f>
        <v>Wand/Orb</v>
      </c>
      <c r="D60" s="175" t="s">
        <v>30</v>
      </c>
      <c r="E60" s="178" t="s">
        <v>195</v>
      </c>
      <c r="F60" s="175" t="s">
        <v>476</v>
      </c>
      <c r="G60" s="173">
        <v>0</v>
      </c>
      <c r="H60" s="173">
        <v>46</v>
      </c>
      <c r="I60" s="84">
        <f t="shared" si="0"/>
        <v>46</v>
      </c>
      <c r="J60" s="177">
        <v>1837</v>
      </c>
      <c r="K60" s="177">
        <v>596262</v>
      </c>
      <c r="L60" s="177">
        <v>595407</v>
      </c>
      <c r="M60" s="38">
        <f>I60/(HLOOKUP(F60,Team_Composition_23[[#All],[Yellow]:[Red]],10,FALSE)+HLOOKUP(F60,Team_Composition_23[[#All],[Yellow]:[Red]],11,FALSE))</f>
        <v>1.1497125718570358E-2</v>
      </c>
      <c r="N60" s="38">
        <f>J60/HLOOKUP(F60,Team_Composition_23[[#All],[Yellow]:[Red]],6,FALSE)</f>
        <v>4.1407829226448329E-5</v>
      </c>
      <c r="O60" s="38">
        <f>K60/HLOOKUP(F60,Team_Composition_23[[#All],[Yellow]:[Red]],8,FALSE)</f>
        <v>3.4035622263969209E-2</v>
      </c>
      <c r="P60" s="38">
        <f>L60/HLOOKUP(F60,Team_Composition_23[[#All],[Yellow]:[Red]],7,FALSE)</f>
        <v>4.5995936275133119E-2</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173">
        <v>80</v>
      </c>
      <c r="B61" s="54" t="str">
        <f>VLOOKUP(C61,Lists!I:J,2,FALSE)</f>
        <v>Healer</v>
      </c>
      <c r="C61" s="180" t="str">
        <f>VLOOKUP(E61&amp;D61,Lists!C:E,3,FALSE)</f>
        <v>Wand/Orb</v>
      </c>
      <c r="D61" s="175" t="s">
        <v>30</v>
      </c>
      <c r="E61" s="176" t="s">
        <v>417</v>
      </c>
      <c r="F61" s="175" t="s">
        <v>476</v>
      </c>
      <c r="G61" s="173">
        <v>0</v>
      </c>
      <c r="H61" s="173">
        <v>45</v>
      </c>
      <c r="I61" s="84">
        <f t="shared" si="0"/>
        <v>45</v>
      </c>
      <c r="J61" s="177">
        <v>6297</v>
      </c>
      <c r="K61" s="177">
        <v>351886</v>
      </c>
      <c r="L61" s="177">
        <v>1172309</v>
      </c>
      <c r="M61" s="38">
        <f>I61/(HLOOKUP(F61,Team_Composition_23[[#All],[Yellow]:[Red]],10,FALSE)+HLOOKUP(F61,Team_Composition_23[[#All],[Yellow]:[Red]],11,FALSE))</f>
        <v>1.1247188202949263E-2</v>
      </c>
      <c r="N61" s="38">
        <f>J61/HLOOKUP(F61,Team_Composition_23[[#All],[Yellow]:[Red]],6,FALSE)</f>
        <v>1.4194071891069414E-4</v>
      </c>
      <c r="O61" s="38">
        <f>K61/HLOOKUP(F61,Team_Composition_23[[#All],[Yellow]:[Red]],8,FALSE)</f>
        <v>2.0086235540717114E-2</v>
      </c>
      <c r="P61" s="38">
        <f>L61/HLOOKUP(F61,Team_Composition_23[[#All],[Yellow]:[Red]],7,FALSE)</f>
        <v>9.0562338129657569E-2</v>
      </c>
      <c r="Q61" s="31"/>
      <c r="R61" s="48"/>
      <c r="S61" s="63"/>
      <c r="T61" s="63"/>
      <c r="U61" s="31"/>
      <c r="V61" s="31"/>
      <c r="W61" s="31"/>
      <c r="X61" s="31"/>
      <c r="Y61" s="31"/>
      <c r="Z61" s="31"/>
      <c r="AA61" s="31"/>
      <c r="AB61" s="48"/>
      <c r="AC61" s="63"/>
      <c r="AD61" s="63"/>
    </row>
    <row r="62" spans="1:30" ht="22.5" customHeight="1">
      <c r="A62" s="173">
        <v>42</v>
      </c>
      <c r="B62" s="69" t="str">
        <f>VLOOKUP(C62,Lists!I:J,2,FALSE)</f>
        <v>Tank</v>
      </c>
      <c r="C62" s="174" t="str">
        <f>VLOOKUP(E62&amp;D62,Lists!C:E,3,FALSE)</f>
        <v>SnS/Spear</v>
      </c>
      <c r="D62" s="175" t="s">
        <v>34</v>
      </c>
      <c r="E62" s="176" t="s">
        <v>79</v>
      </c>
      <c r="F62" s="175" t="s">
        <v>483</v>
      </c>
      <c r="G62" s="173">
        <v>4</v>
      </c>
      <c r="H62" s="173">
        <v>41</v>
      </c>
      <c r="I62" s="84">
        <f t="shared" si="0"/>
        <v>45</v>
      </c>
      <c r="J62" s="177">
        <v>179298</v>
      </c>
      <c r="K62" s="177">
        <v>550636</v>
      </c>
      <c r="L62" s="177">
        <v>41972</v>
      </c>
      <c r="M62" s="38">
        <f>I62/(HLOOKUP(F62,Team_Composition_23[[#All],[Yellow]:[Red]],10,FALSE)+HLOOKUP(F62,Team_Composition_23[[#All],[Yellow]:[Red]],11,FALSE))</f>
        <v>5.4811205846528627E-2</v>
      </c>
      <c r="N62" s="38">
        <f>J62/HLOOKUP(F62,Team_Composition_23[[#All],[Yellow]:[Red]],6,FALSE)</f>
        <v>1.0161172271194683E-2</v>
      </c>
      <c r="O62" s="38">
        <f>K62/HLOOKUP(F62,Team_Composition_23[[#All],[Yellow]:[Red]],8,FALSE)</f>
        <v>1.2509923110124338E-2</v>
      </c>
      <c r="P62" s="38">
        <f>L62/HLOOKUP(F62,Team_Composition_23[[#All],[Yellow]:[Red]],7,FALSE)</f>
        <v>1.7294912080969131E-3</v>
      </c>
      <c r="Q62" s="31"/>
      <c r="R62" s="31"/>
      <c r="S62" s="64"/>
      <c r="T62" s="64"/>
      <c r="U62" s="31"/>
      <c r="V62" s="31"/>
      <c r="W62" s="31"/>
      <c r="X62" s="31"/>
      <c r="Y62" s="31"/>
      <c r="Z62" s="31"/>
      <c r="AA62" s="31"/>
      <c r="AB62" s="31"/>
      <c r="AC62" s="64"/>
      <c r="AD62" s="64"/>
    </row>
    <row r="63" spans="1:30" ht="22.5" customHeight="1">
      <c r="A63" s="173">
        <v>79</v>
      </c>
      <c r="B63" s="52" t="str">
        <f>VLOOKUP(C63,Lists!I:J,2,FALSE)</f>
        <v>Healer</v>
      </c>
      <c r="C63" s="174" t="str">
        <f>VLOOKUP(E63&amp;D63,Lists!C:E,3,FALSE)</f>
        <v>Wand/Orb</v>
      </c>
      <c r="D63" s="175" t="s">
        <v>34</v>
      </c>
      <c r="E63" s="176" t="s">
        <v>153</v>
      </c>
      <c r="F63" s="175" t="s">
        <v>483</v>
      </c>
      <c r="G63" s="173">
        <v>0</v>
      </c>
      <c r="H63" s="173">
        <v>45</v>
      </c>
      <c r="I63" s="84">
        <f t="shared" si="0"/>
        <v>45</v>
      </c>
      <c r="J63" s="177">
        <v>14405</v>
      </c>
      <c r="K63" s="177">
        <v>787363</v>
      </c>
      <c r="L63" s="177">
        <v>1051235</v>
      </c>
      <c r="M63" s="38">
        <f>I63/(HLOOKUP(F63,Team_Composition_23[[#All],[Yellow]:[Red]],10,FALSE)+HLOOKUP(F63,Team_Composition_23[[#All],[Yellow]:[Red]],11,FALSE))</f>
        <v>5.4811205846528627E-2</v>
      </c>
      <c r="N63" s="38">
        <f>J63/HLOOKUP(F63,Team_Composition_23[[#All],[Yellow]:[Red]],6,FALSE)</f>
        <v>8.1635983985632523E-4</v>
      </c>
      <c r="O63" s="38">
        <f>K63/HLOOKUP(F63,Team_Composition_23[[#All],[Yellow]:[Red]],8,FALSE)</f>
        <v>1.7888134066346605E-2</v>
      </c>
      <c r="P63" s="38">
        <f>L63/HLOOKUP(F63,Team_Composition_23[[#All],[Yellow]:[Red]],7,FALSE)</f>
        <v>4.3317013488605699E-2</v>
      </c>
      <c r="Q63" s="31"/>
      <c r="R63" s="227" t="s">
        <v>11</v>
      </c>
      <c r="S63" s="228"/>
      <c r="T63" s="228"/>
      <c r="U63" s="31"/>
      <c r="V63" s="31"/>
      <c r="W63" s="31"/>
      <c r="X63" s="31"/>
      <c r="Y63" s="31"/>
      <c r="Z63" s="31"/>
      <c r="AA63" s="31"/>
      <c r="AB63" s="227" t="s">
        <v>11</v>
      </c>
      <c r="AC63" s="228"/>
      <c r="AD63" s="228"/>
    </row>
    <row r="64" spans="1:30" ht="22.5" customHeight="1">
      <c r="A64" s="173">
        <v>45</v>
      </c>
      <c r="B64" s="55" t="str">
        <f>VLOOKUP(C64,Lists!I:J,2,FALSE)</f>
        <v>Tank</v>
      </c>
      <c r="C64" s="180" t="str">
        <f>VLOOKUP(E64&amp;D64,Lists!C:E,3,FALSE)</f>
        <v>SnS/Greatsword</v>
      </c>
      <c r="D64" s="175" t="s">
        <v>30</v>
      </c>
      <c r="E64" s="176" t="s">
        <v>407</v>
      </c>
      <c r="F64" s="175" t="s">
        <v>476</v>
      </c>
      <c r="G64" s="173">
        <v>3</v>
      </c>
      <c r="H64" s="173">
        <v>41</v>
      </c>
      <c r="I64" s="84">
        <f t="shared" si="0"/>
        <v>44</v>
      </c>
      <c r="J64" s="177">
        <v>270023</v>
      </c>
      <c r="K64" s="177">
        <v>287683</v>
      </c>
      <c r="L64" s="177">
        <v>94893</v>
      </c>
      <c r="M64" s="38">
        <f>I64/(HLOOKUP(F64,Team_Composition_23[[#All],[Yellow]:[Red]],10,FALSE)+HLOOKUP(F64,Team_Composition_23[[#All],[Yellow]:[Red]],11,FALSE))</f>
        <v>1.0997250687328168E-2</v>
      </c>
      <c r="N64" s="38">
        <f>J64/HLOOKUP(F64,Team_Composition_23[[#All],[Yellow]:[Red]],6,FALSE)</f>
        <v>6.086590240181414E-3</v>
      </c>
      <c r="O64" s="38">
        <f>K64/HLOOKUP(F64,Team_Composition_23[[#All],[Yellow]:[Red]],8,FALSE)</f>
        <v>1.6421421991952286E-2</v>
      </c>
      <c r="P64" s="38">
        <f>L64/HLOOKUP(F64,Team_Composition_23[[#All],[Yellow]:[Red]],7,FALSE)</f>
        <v>7.3306030680798289E-3</v>
      </c>
      <c r="Q64" s="31"/>
      <c r="R64" s="41" t="s">
        <v>482</v>
      </c>
      <c r="S64" s="42" t="s">
        <v>476</v>
      </c>
      <c r="T64" s="42" t="s">
        <v>483</v>
      </c>
      <c r="U64" s="31"/>
      <c r="V64" s="31"/>
      <c r="W64" s="31"/>
      <c r="X64" s="31"/>
      <c r="Y64" s="31"/>
      <c r="Z64" s="31"/>
      <c r="AA64" s="31"/>
      <c r="AB64" s="41" t="s">
        <v>482</v>
      </c>
      <c r="AC64" s="42" t="s">
        <v>485</v>
      </c>
      <c r="AD64" s="42" t="s">
        <v>36</v>
      </c>
    </row>
    <row r="65" spans="1:30" ht="22.5" customHeight="1">
      <c r="A65" s="173">
        <v>81</v>
      </c>
      <c r="B65" s="56" t="str">
        <f>VLOOKUP(C65,Lists!I:J,2,FALSE)</f>
        <v>Tank</v>
      </c>
      <c r="C65" s="174" t="str">
        <f>VLOOKUP(E65&amp;D65,Lists!C:E,3,FALSE)</f>
        <v>SnS/Greatsword</v>
      </c>
      <c r="D65" s="175" t="s">
        <v>34</v>
      </c>
      <c r="E65" s="176" t="s">
        <v>150</v>
      </c>
      <c r="F65" s="175" t="s">
        <v>483</v>
      </c>
      <c r="G65" s="173">
        <v>0</v>
      </c>
      <c r="H65" s="173">
        <v>44</v>
      </c>
      <c r="I65" s="84">
        <f t="shared" si="0"/>
        <v>44</v>
      </c>
      <c r="J65" s="177">
        <v>60374</v>
      </c>
      <c r="K65" s="177">
        <v>947492</v>
      </c>
      <c r="L65" s="177">
        <v>24305</v>
      </c>
      <c r="M65" s="38">
        <f>I65/(HLOOKUP(F65,Team_Composition_23[[#All],[Yellow]:[Red]],10,FALSE)+HLOOKUP(F65,Team_Composition_23[[#All],[Yellow]:[Red]],11,FALSE))</f>
        <v>5.3593179049939099E-2</v>
      </c>
      <c r="N65" s="38">
        <f>J65/HLOOKUP(F65,Team_Composition_23[[#All],[Yellow]:[Red]],6,FALSE)</f>
        <v>3.4215139862190753E-3</v>
      </c>
      <c r="O65" s="38">
        <f>K65/HLOOKUP(F65,Team_Composition_23[[#All],[Yellow]:[Red]],8,FALSE)</f>
        <v>2.1526111746158857E-2</v>
      </c>
      <c r="P65" s="38">
        <f>L65/HLOOKUP(F65,Team_Composition_23[[#All],[Yellow]:[Red]],7,FALSE)</f>
        <v>1.0015077626225931E-3</v>
      </c>
      <c r="Q65" s="31"/>
      <c r="R65" s="45" t="s">
        <v>468</v>
      </c>
      <c r="S65" s="46">
        <f>SUMIFS(Scoreboard_33[Damage Dealt],Scoreboard_33[Role],"Healer",Scoreboard_33[Team],"Yellow")</f>
        <v>2297432</v>
      </c>
      <c r="T65" s="47">
        <f>SUMIFS(Scoreboard_33[Damage Dealt],Scoreboard_33[Role],"Healer",Scoreboard_33[Team],"Red")</f>
        <v>668791</v>
      </c>
      <c r="U65" s="31"/>
      <c r="V65" s="31"/>
      <c r="W65" s="31"/>
      <c r="X65" s="31"/>
      <c r="Y65" s="31"/>
      <c r="Z65" s="31"/>
      <c r="AA65" s="31"/>
      <c r="AB65" s="45" t="s">
        <v>468</v>
      </c>
      <c r="AC65" s="50">
        <f>SUMIFS(Scoreboard_33[Damage Dealt],Scoreboard_33[Role],"Healer",Scoreboard_33[Guild],"Best Regards")</f>
        <v>622747</v>
      </c>
      <c r="AD65" s="51">
        <f>SUMIFS(Scoreboard_33[Damage Dealt],Scoreboard_33[Role],"Healer",Scoreboard_33[Guild],"Unhinged肉")</f>
        <v>0</v>
      </c>
    </row>
    <row r="66" spans="1:30" ht="22.5" customHeight="1">
      <c r="A66" s="173">
        <v>36</v>
      </c>
      <c r="B66" s="55" t="str">
        <f>VLOOKUP(C66,Lists!I:J,2,FALSE)</f>
        <v>Ranged DPS</v>
      </c>
      <c r="C66" s="180" t="str">
        <f>VLOOKUP(E66&amp;D66,Lists!C:E,3,FALSE)</f>
        <v>Crossbow/SnS</v>
      </c>
      <c r="D66" s="77" t="s">
        <v>30</v>
      </c>
      <c r="E66" s="176" t="s">
        <v>403</v>
      </c>
      <c r="F66" s="175" t="s">
        <v>476</v>
      </c>
      <c r="G66" s="173">
        <v>9</v>
      </c>
      <c r="H66" s="173">
        <v>32</v>
      </c>
      <c r="I66" s="84">
        <f t="shared" si="0"/>
        <v>41</v>
      </c>
      <c r="J66" s="177">
        <v>823108</v>
      </c>
      <c r="K66" s="177">
        <v>1332448</v>
      </c>
      <c r="L66" s="177">
        <v>62656</v>
      </c>
      <c r="M66" s="38">
        <f>I66/(HLOOKUP(F66,Team_Composition_23[[#All],[Yellow]:[Red]],10,FALSE)+HLOOKUP(F66,Team_Composition_23[[#All],[Yellow]:[Red]],11,FALSE))</f>
        <v>1.0247438140464884E-2</v>
      </c>
      <c r="N66" s="38">
        <f>J66/HLOOKUP(F66,Team_Composition_23[[#All],[Yellow]:[Red]],6,FALSE)</f>
        <v>1.8553682906327397E-2</v>
      </c>
      <c r="O66" s="38">
        <f>K66/HLOOKUP(F66,Team_Composition_23[[#All],[Yellow]:[Red]],8,FALSE)</f>
        <v>7.6058338137230355E-2</v>
      </c>
      <c r="P66" s="38">
        <f>L66/HLOOKUP(F66,Team_Composition_23[[#All],[Yellow]:[Red]],7,FALSE)</f>
        <v>4.8402544532643059E-3</v>
      </c>
      <c r="Q66" s="31"/>
      <c r="R66" s="45" t="s">
        <v>469</v>
      </c>
      <c r="S66" s="46">
        <f>SUMIFS(Scoreboard_33[Damage Taken],Scoreboard_33[Role],"Healer",Scoreboard_33[Team],"Yellow")</f>
        <v>12919982</v>
      </c>
      <c r="T66" s="47">
        <f>SUMIFS(Scoreboard_33[Damage Taken],Scoreboard_33[Role],"Healer",Scoreboard_33[Team],"Red")</f>
        <v>7657718</v>
      </c>
      <c r="U66" s="31"/>
      <c r="V66" s="31"/>
      <c r="W66" s="31"/>
      <c r="X66" s="31"/>
      <c r="Y66" s="31"/>
      <c r="Z66" s="31"/>
      <c r="AA66" s="31"/>
      <c r="AB66" s="45" t="s">
        <v>469</v>
      </c>
      <c r="AC66" s="50">
        <f>SUMIFS(Scoreboard_33[Damage Taken],Scoreboard_33[Role],"Healer",Scoreboard_33[Guild],"Best Regards")</f>
        <v>7219922</v>
      </c>
      <c r="AD66" s="51">
        <f>SUMIFS(Scoreboard_33[Damage Taken],Scoreboard_33[Role],"Healer",Scoreboard_33[Guild],"Unhinged肉")</f>
        <v>0</v>
      </c>
    </row>
    <row r="67" spans="1:30" ht="22.5" customHeight="1">
      <c r="A67" s="173">
        <v>82</v>
      </c>
      <c r="B67" s="54" t="str">
        <f>VLOOKUP(C67,Lists!I:J,2,FALSE)</f>
        <v>Healer</v>
      </c>
      <c r="C67" s="180" t="str">
        <f>VLOOKUP(E67&amp;D67,Lists!C:E,3,FALSE)</f>
        <v>Wand/Orb</v>
      </c>
      <c r="D67" s="175" t="s">
        <v>30</v>
      </c>
      <c r="E67" s="176" t="s">
        <v>206</v>
      </c>
      <c r="F67" s="175" t="s">
        <v>476</v>
      </c>
      <c r="G67" s="173">
        <v>0</v>
      </c>
      <c r="H67" s="173">
        <v>41</v>
      </c>
      <c r="I67" s="84">
        <f t="shared" si="0"/>
        <v>41</v>
      </c>
      <c r="J67" s="177">
        <v>4466</v>
      </c>
      <c r="K67" s="177">
        <v>549861</v>
      </c>
      <c r="L67" s="177">
        <v>1090665</v>
      </c>
      <c r="M67" s="38">
        <f>I67/(HLOOKUP(F67,Team_Composition_23[[#All],[Yellow]:[Red]],10,FALSE)+HLOOKUP(F67,Team_Composition_23[[#All],[Yellow]:[Red]],11,FALSE))</f>
        <v>1.0247438140464884E-2</v>
      </c>
      <c r="N67" s="38">
        <f>J67/HLOOKUP(F67,Team_Composition_23[[#All],[Yellow]:[Red]],6,FALSE)</f>
        <v>1.0066813572417977E-4</v>
      </c>
      <c r="O67" s="38">
        <f>K67/HLOOKUP(F67,Team_Composition_23[[#All],[Yellow]:[Red]],8,FALSE)</f>
        <v>3.1386976352154546E-2</v>
      </c>
      <c r="P67" s="38">
        <f>L67/HLOOKUP(F67,Team_Composition_23[[#All],[Yellow]:[Red]],7,FALSE)</f>
        <v>8.4255236901007308E-2</v>
      </c>
      <c r="Q67" s="31"/>
      <c r="R67" s="45" t="s">
        <v>470</v>
      </c>
      <c r="S67" s="46">
        <f>SUMIFS(Scoreboard_33[Amount Healed],Scoreboard_33[Role],"Healer",Scoreboard_33[Team],"Yellow")</f>
        <v>26202707</v>
      </c>
      <c r="T67" s="47">
        <f>SUMIFS(Scoreboard_33[Amount Healed],Scoreboard_33[Role],"Healer",Scoreboard_33[Team],"Red")</f>
        <v>23873678</v>
      </c>
      <c r="U67" s="31"/>
      <c r="V67" s="31"/>
      <c r="W67" s="31"/>
      <c r="X67" s="31"/>
      <c r="Y67" s="31"/>
      <c r="Z67" s="31"/>
      <c r="AA67" s="31"/>
      <c r="AB67" s="45" t="s">
        <v>470</v>
      </c>
      <c r="AC67" s="50">
        <f>SUMIFS(Scoreboard_33[Amount Healed],Scoreboard_33[Role],"Healer",Scoreboard_33[Guild],"Best Regards")</f>
        <v>21902397</v>
      </c>
      <c r="AD67" s="51">
        <f>SUMIFS(Scoreboard_33[Amount Healed],Scoreboard_33[Role],"Healer",Scoreboard_33[Guild],"Unhinged肉")</f>
        <v>0</v>
      </c>
    </row>
    <row r="68" spans="1:30" ht="22.5" customHeight="1">
      <c r="A68" s="173">
        <v>33</v>
      </c>
      <c r="B68" s="33" t="str">
        <f>VLOOKUP(C68,Lists!I:J,2,FALSE)</f>
        <v>Melee DPS</v>
      </c>
      <c r="C68" s="180" t="str">
        <f>VLOOKUP(E68&amp;D68,Lists!C:E,3,FALSE)</f>
        <v>Spear/Dagger</v>
      </c>
      <c r="D68" s="175" t="s">
        <v>30</v>
      </c>
      <c r="E68" s="176" t="s">
        <v>433</v>
      </c>
      <c r="F68" s="175" t="s">
        <v>476</v>
      </c>
      <c r="G68" s="173">
        <v>13</v>
      </c>
      <c r="H68" s="173">
        <v>27</v>
      </c>
      <c r="I68" s="84">
        <f t="shared" si="0"/>
        <v>40</v>
      </c>
      <c r="J68" s="177">
        <v>1096152</v>
      </c>
      <c r="K68" s="177">
        <v>729163</v>
      </c>
      <c r="L68" s="177">
        <v>32397</v>
      </c>
      <c r="M68" s="38">
        <f>I68/(HLOOKUP(F68,Team_Composition_23[[#All],[Yellow]:[Red]],10,FALSE)+HLOOKUP(F68,Team_Composition_23[[#All],[Yellow]:[Red]],11,FALSE))</f>
        <v>9.997500624843789E-3</v>
      </c>
      <c r="N68" s="38">
        <f>J68/HLOOKUP(F68,Team_Composition_23[[#All],[Yellow]:[Red]],6,FALSE)</f>
        <v>2.4708369527615563E-2</v>
      </c>
      <c r="O68" s="38">
        <f>K68/HLOOKUP(F68,Team_Composition_23[[#All],[Yellow]:[Red]],8,FALSE)</f>
        <v>4.1621831404420509E-2</v>
      </c>
      <c r="P68" s="38">
        <f>L68/HLOOKUP(F68,Team_Composition_23[[#All],[Yellow]:[Red]],7,FALSE)</f>
        <v>2.5027088151558306E-3</v>
      </c>
      <c r="Q68" s="31"/>
      <c r="R68" s="45" t="s">
        <v>465</v>
      </c>
      <c r="S68" s="46">
        <f>SUMIFS(Scoreboard_33[Kills],Scoreboard_33[Role],"Healer",Scoreboard_33[Team],"Yellow")</f>
        <v>44</v>
      </c>
      <c r="T68" s="47">
        <f>SUMIFS(Scoreboard_33[Kills],Scoreboard_33[Role],"Healer",Scoreboard_33[Team],"Red")</f>
        <v>7</v>
      </c>
      <c r="U68" s="31"/>
      <c r="V68" s="31"/>
      <c r="W68" s="31"/>
      <c r="X68" s="31"/>
      <c r="Y68" s="31"/>
      <c r="Z68" s="31"/>
      <c r="AA68" s="31"/>
      <c r="AB68" s="45" t="s">
        <v>465</v>
      </c>
      <c r="AC68" s="50">
        <f>SUMIFS(Scoreboard_33[Kills],Scoreboard_33[Role],"Healer",Scoreboard_33[Guild],"Best Regards")</f>
        <v>7</v>
      </c>
      <c r="AD68" s="51">
        <f>SUMIFS(Scoreboard_33[Kills],Scoreboard_33[Role],"Healer",Scoreboard_33[Guild],"Unhinged肉")</f>
        <v>0</v>
      </c>
    </row>
    <row r="69" spans="1:30" ht="22.5" customHeight="1">
      <c r="A69" s="173">
        <v>38</v>
      </c>
      <c r="B69" s="40" t="str">
        <f>VLOOKUP(C69,Lists!I:J,2,FALSE)</f>
        <v>KS</v>
      </c>
      <c r="C69" s="180" t="str">
        <f>VLOOKUP(E69&amp;D69,Lists!C:E,3,FALSE)</f>
        <v>Greatsword/Dagger</v>
      </c>
      <c r="D69" s="175" t="s">
        <v>30</v>
      </c>
      <c r="E69" s="176" t="s">
        <v>395</v>
      </c>
      <c r="F69" s="175" t="s">
        <v>476</v>
      </c>
      <c r="G69" s="173">
        <v>7</v>
      </c>
      <c r="H69" s="173">
        <v>33</v>
      </c>
      <c r="I69" s="84">
        <f t="shared" si="0"/>
        <v>40</v>
      </c>
      <c r="J69" s="177">
        <v>930831</v>
      </c>
      <c r="K69" s="177">
        <v>902253</v>
      </c>
      <c r="L69" s="177">
        <v>0</v>
      </c>
      <c r="M69" s="38">
        <f>I69/(HLOOKUP(F69,Team_Composition_23[[#All],[Yellow]:[Red]],10,FALSE)+HLOOKUP(F69,Team_Composition_23[[#All],[Yellow]:[Red]],11,FALSE))</f>
        <v>9.997500624843789E-3</v>
      </c>
      <c r="N69" s="38">
        <f>J69/HLOOKUP(F69,Team_Composition_23[[#All],[Yellow]:[Red]],6,FALSE)</f>
        <v>2.0981867766295112E-2</v>
      </c>
      <c r="O69" s="38">
        <f>K69/HLOOKUP(F69,Team_Composition_23[[#All],[Yellow]:[Red]],8,FALSE)</f>
        <v>5.1502095210717788E-2</v>
      </c>
      <c r="P69" s="38">
        <f>L69/HLOOKUP(F69,Team_Composition_23[[#All],[Yellow]:[Red]],7,FALSE)</f>
        <v>0</v>
      </c>
      <c r="Q69" s="31"/>
      <c r="R69" s="45" t="s">
        <v>466</v>
      </c>
      <c r="S69" s="46">
        <f>SUMIFS(Scoreboard_33[Assists],Scoreboard_33[Role],"Healer",Scoreboard_33[Team],"Yellow")</f>
        <v>712</v>
      </c>
      <c r="T69" s="47">
        <f>SUMIFS(Scoreboard_33[Assists],Scoreboard_33[Role],"Healer",Scoreboard_33[Team],"Red")</f>
        <v>1406</v>
      </c>
      <c r="U69" s="31"/>
      <c r="V69" s="31"/>
      <c r="W69" s="31"/>
      <c r="X69" s="31"/>
      <c r="Y69" s="31"/>
      <c r="Z69" s="31"/>
      <c r="AA69" s="31"/>
      <c r="AB69" s="45" t="s">
        <v>466</v>
      </c>
      <c r="AC69" s="50">
        <f>SUMIFS(Scoreboard_33[Assists],Scoreboard_33[Role],"Healer",Scoreboard_33[Guild],"Best Regards")</f>
        <v>1272</v>
      </c>
      <c r="AD69" s="51">
        <f>SUMIFS(Scoreboard_33[Assists],Scoreboard_33[Role],"Healer",Scoreboard_33[Guild],"Unhinged肉")</f>
        <v>0</v>
      </c>
    </row>
    <row r="70" spans="1:30" ht="22.5" customHeight="1">
      <c r="A70" s="173">
        <v>83</v>
      </c>
      <c r="B70" s="33" t="str">
        <f>VLOOKUP(C70,Lists!I:J,2,FALSE)</f>
        <v>Ranged DPS</v>
      </c>
      <c r="C70" s="180" t="str">
        <f>VLOOKUP(E70&amp;D70,Lists!C:E,3,FALSE)</f>
        <v>Orb/Wand</v>
      </c>
      <c r="D70" s="175" t="s">
        <v>30</v>
      </c>
      <c r="E70" s="176" t="s">
        <v>412</v>
      </c>
      <c r="F70" s="175" t="s">
        <v>476</v>
      </c>
      <c r="G70" s="173">
        <v>0</v>
      </c>
      <c r="H70" s="173">
        <v>39</v>
      </c>
      <c r="I70" s="84">
        <f t="shared" si="0"/>
        <v>39</v>
      </c>
      <c r="J70" s="177">
        <v>20794</v>
      </c>
      <c r="K70" s="177">
        <v>487116</v>
      </c>
      <c r="L70" s="177">
        <v>529208</v>
      </c>
      <c r="M70" s="38">
        <f>I70/(HLOOKUP(F70,Team_Composition_23[[#All],[Yellow]:[Red]],10,FALSE)+HLOOKUP(F70,Team_Composition_23[[#All],[Yellow]:[Red]],11,FALSE))</f>
        <v>9.7475631092226941E-3</v>
      </c>
      <c r="N70" s="38">
        <f>J70/HLOOKUP(F70,Team_Composition_23[[#All],[Yellow]:[Red]],6,FALSE)</f>
        <v>4.687176923978043E-4</v>
      </c>
      <c r="O70" s="38">
        <f>K70/HLOOKUP(F70,Team_Composition_23[[#All],[Yellow]:[Red]],8,FALSE)</f>
        <v>2.7805387857578759E-2</v>
      </c>
      <c r="P70" s="38">
        <f>L70/HLOOKUP(F70,Team_Composition_23[[#All],[Yellow]:[Red]],7,FALSE)</f>
        <v>4.0881980635583133E-2</v>
      </c>
      <c r="Q70" s="31"/>
      <c r="R70" s="45" t="s">
        <v>10</v>
      </c>
      <c r="S70" s="46">
        <f t="shared" ref="S70:S72" si="14">COUNTIFS(C:C,R70,F:F,"Yellow")</f>
        <v>7</v>
      </c>
      <c r="T70" s="47">
        <f t="shared" ref="T70:T72" si="15">COUNTIFS(C:C,R70,F:F,"Red")</f>
        <v>8</v>
      </c>
      <c r="U70" s="31"/>
      <c r="V70" s="31"/>
      <c r="W70" s="31"/>
      <c r="X70" s="31"/>
      <c r="Y70" s="31"/>
      <c r="Z70" s="31"/>
      <c r="AA70" s="31"/>
      <c r="AB70" s="45" t="s">
        <v>10</v>
      </c>
      <c r="AC70" s="50">
        <f t="shared" ref="AC70:AC72" si="16">COUNTIFS(C:C,AB70,D:D,"Best Regards")</f>
        <v>7</v>
      </c>
      <c r="AD70" s="51">
        <f t="shared" ref="AD70:AD72" si="17">COUNTIFS(C:C,AB70,D:D,"Unhinged肉")</f>
        <v>0</v>
      </c>
    </row>
    <row r="71" spans="1:30" ht="22.5" customHeight="1">
      <c r="A71" s="173">
        <v>39</v>
      </c>
      <c r="B71" s="52" t="s">
        <v>78</v>
      </c>
      <c r="C71" s="174" t="s">
        <v>69</v>
      </c>
      <c r="D71" s="77" t="s">
        <v>520</v>
      </c>
      <c r="E71" s="176" t="s">
        <v>521</v>
      </c>
      <c r="F71" s="175" t="s">
        <v>483</v>
      </c>
      <c r="G71" s="173">
        <v>7</v>
      </c>
      <c r="H71" s="173">
        <v>31</v>
      </c>
      <c r="I71" s="84">
        <f t="shared" si="0"/>
        <v>38</v>
      </c>
      <c r="J71" s="177">
        <v>713233</v>
      </c>
      <c r="K71" s="177">
        <v>1353867</v>
      </c>
      <c r="L71" s="177">
        <v>37653</v>
      </c>
      <c r="M71" s="38">
        <f>I71/(HLOOKUP(F71,Team_Composition_23[[#All],[Yellow]:[Red]],10,FALSE)+HLOOKUP(F71,Team_Composition_23[[#All],[Yellow]:[Red]],11,FALSE))</f>
        <v>4.6285018270401948E-2</v>
      </c>
      <c r="N71" s="38">
        <f>J71/HLOOKUP(F71,Team_Composition_23[[#All],[Yellow]:[Red]],6,FALSE)</f>
        <v>4.0420324724765457E-2</v>
      </c>
      <c r="O71" s="38">
        <f>K71/HLOOKUP(F71,Team_Composition_23[[#All],[Yellow]:[Red]],8,FALSE)</f>
        <v>3.0758562955082315E-2</v>
      </c>
      <c r="P71" s="38">
        <f>L71/HLOOKUP(F71,Team_Composition_23[[#All],[Yellow]:[Red]],7,FALSE)</f>
        <v>1.5515232168701295E-3</v>
      </c>
      <c r="Q71" s="31"/>
      <c r="R71" s="45" t="s">
        <v>9</v>
      </c>
      <c r="S71" s="46">
        <f t="shared" si="14"/>
        <v>11</v>
      </c>
      <c r="T71" s="47">
        <f t="shared" si="15"/>
        <v>10</v>
      </c>
      <c r="U71" s="31"/>
      <c r="V71" s="31"/>
      <c r="W71" s="31"/>
      <c r="X71" s="31"/>
      <c r="Y71" s="31"/>
      <c r="Z71" s="31"/>
      <c r="AA71" s="31"/>
      <c r="AB71" s="45" t="s">
        <v>9</v>
      </c>
      <c r="AC71" s="50">
        <f t="shared" si="16"/>
        <v>9</v>
      </c>
      <c r="AD71" s="51">
        <f t="shared" si="17"/>
        <v>0</v>
      </c>
    </row>
    <row r="72" spans="1:30" ht="22.5" customHeight="1">
      <c r="A72" s="173">
        <v>85</v>
      </c>
      <c r="B72" s="33" t="str">
        <f>VLOOKUP(C72,Lists!I:J,2,FALSE)</f>
        <v>Healer</v>
      </c>
      <c r="C72" s="180" t="str">
        <f>VLOOKUP(E72&amp;D72,Lists!C:E,3,FALSE)</f>
        <v>Wand/Longbow</v>
      </c>
      <c r="D72" s="175" t="s">
        <v>30</v>
      </c>
      <c r="E72" s="176" t="s">
        <v>191</v>
      </c>
      <c r="F72" s="175" t="s">
        <v>476</v>
      </c>
      <c r="G72" s="173">
        <v>0</v>
      </c>
      <c r="H72" s="173">
        <v>37</v>
      </c>
      <c r="I72" s="84">
        <f t="shared" si="0"/>
        <v>37</v>
      </c>
      <c r="J72" s="177">
        <v>26263</v>
      </c>
      <c r="K72" s="177">
        <v>638504</v>
      </c>
      <c r="L72" s="177">
        <v>1012082</v>
      </c>
      <c r="M72" s="38">
        <f>I72/(HLOOKUP(F72,Team_Composition_23[[#All],[Yellow]:[Red]],10,FALSE)+HLOOKUP(F72,Team_Composition_23[[#All],[Yellow]:[Red]],11,FALSE))</f>
        <v>9.2476880779805044E-3</v>
      </c>
      <c r="N72" s="38">
        <f>J72/HLOOKUP(F72,Team_Composition_23[[#All],[Yellow]:[Red]],6,FALSE)</f>
        <v>5.9199445779761154E-4</v>
      </c>
      <c r="O72" s="38">
        <f>K72/HLOOKUP(F72,Team_Composition_23[[#All],[Yellow]:[Red]],8,FALSE)</f>
        <v>3.6446865569218556E-2</v>
      </c>
      <c r="P72" s="38">
        <f>L72/HLOOKUP(F72,Team_Composition_23[[#All],[Yellow]:[Red]],7,FALSE)</f>
        <v>7.8184601755117544E-2</v>
      </c>
      <c r="Q72" s="31"/>
      <c r="R72" s="45" t="s">
        <v>18</v>
      </c>
      <c r="S72" s="46">
        <f t="shared" si="14"/>
        <v>1</v>
      </c>
      <c r="T72" s="47">
        <f t="shared" si="15"/>
        <v>0</v>
      </c>
      <c r="U72" s="31"/>
      <c r="V72" s="31"/>
      <c r="W72" s="31"/>
      <c r="X72" s="31"/>
      <c r="Y72" s="31"/>
      <c r="Z72" s="31"/>
      <c r="AA72" s="31"/>
      <c r="AB72" s="45" t="s">
        <v>18</v>
      </c>
      <c r="AC72" s="50">
        <f t="shared" si="16"/>
        <v>0</v>
      </c>
      <c r="AD72" s="51">
        <f t="shared" si="17"/>
        <v>0</v>
      </c>
    </row>
    <row r="73" spans="1:30" ht="22.5" customHeight="1">
      <c r="A73" s="173">
        <v>86</v>
      </c>
      <c r="B73" s="56" t="str">
        <f>VLOOKUP(C73,Lists!I:J,2,FALSE)</f>
        <v>Healer</v>
      </c>
      <c r="C73" s="180" t="str">
        <f>VLOOKUP(E73&amp;D73,Lists!C:E,3,FALSE)</f>
        <v>Wand/Orb</v>
      </c>
      <c r="D73" s="175" t="s">
        <v>30</v>
      </c>
      <c r="E73" s="176" t="s">
        <v>440</v>
      </c>
      <c r="F73" s="175" t="s">
        <v>476</v>
      </c>
      <c r="G73" s="173">
        <v>0</v>
      </c>
      <c r="H73" s="173">
        <v>37</v>
      </c>
      <c r="I73" s="84">
        <f t="shared" si="0"/>
        <v>37</v>
      </c>
      <c r="J73" s="177">
        <v>1605</v>
      </c>
      <c r="K73" s="177">
        <v>499364</v>
      </c>
      <c r="L73" s="177">
        <v>849532</v>
      </c>
      <c r="M73" s="38">
        <f>I73/(HLOOKUP(F73,Team_Composition_23[[#All],[Yellow]:[Red]],10,FALSE)+HLOOKUP(F73,Team_Composition_23[[#All],[Yellow]:[Red]],11,FALSE))</f>
        <v>9.2476880779805044E-3</v>
      </c>
      <c r="N73" s="38">
        <f>J73/HLOOKUP(F73,Team_Composition_23[[#All],[Yellow]:[Red]],6,FALSE)</f>
        <v>3.6178315682335095E-5</v>
      </c>
      <c r="O73" s="38">
        <f>K73/HLOOKUP(F73,Team_Composition_23[[#All],[Yellow]:[Red]],8,FALSE)</f>
        <v>2.8504523978091376E-2</v>
      </c>
      <c r="P73" s="38">
        <f>L73/HLOOKUP(F73,Team_Composition_23[[#All],[Yellow]:[Red]],7,FALSE)</f>
        <v>6.5627410721886686E-2</v>
      </c>
      <c r="Q73" s="31"/>
      <c r="R73" s="31"/>
      <c r="S73" s="31"/>
      <c r="T73" s="31"/>
      <c r="U73" s="31"/>
      <c r="V73" s="31"/>
      <c r="W73" s="31"/>
      <c r="X73" s="31"/>
      <c r="Y73" s="31"/>
      <c r="Z73" s="31"/>
      <c r="AA73" s="31"/>
      <c r="AB73" s="31"/>
      <c r="AC73" s="31"/>
      <c r="AD73" s="31"/>
    </row>
    <row r="74" spans="1:30" ht="22.5" customHeight="1">
      <c r="A74" s="173">
        <v>84</v>
      </c>
      <c r="B74" s="57" t="str">
        <f>VLOOKUP(C74,Lists!I:J,2,FALSE)</f>
        <v>Tank</v>
      </c>
      <c r="C74" s="174" t="str">
        <f>VLOOKUP(E74&amp;D74,Lists!C:E,3,FALSE)</f>
        <v>SnS/Greatsword</v>
      </c>
      <c r="D74" s="175" t="s">
        <v>34</v>
      </c>
      <c r="E74" s="176" t="s">
        <v>174</v>
      </c>
      <c r="F74" s="175" t="s">
        <v>483</v>
      </c>
      <c r="G74" s="173">
        <v>0</v>
      </c>
      <c r="H74" s="173">
        <v>37</v>
      </c>
      <c r="I74" s="84">
        <f t="shared" si="0"/>
        <v>37</v>
      </c>
      <c r="J74" s="177">
        <v>116936</v>
      </c>
      <c r="K74" s="177">
        <v>343547</v>
      </c>
      <c r="L74" s="177">
        <v>60784</v>
      </c>
      <c r="M74" s="38">
        <f>I74/(HLOOKUP(F74,Team_Composition_23[[#All],[Yellow]:[Red]],10,FALSE)+HLOOKUP(F74,Team_Composition_23[[#All],[Yellow]:[Red]],11,FALSE))</f>
        <v>4.5066991473812421E-2</v>
      </c>
      <c r="N74" s="38">
        <f>J74/HLOOKUP(F74,Team_Composition_23[[#All],[Yellow]:[Red]],6,FALSE)</f>
        <v>6.6269943931578784E-3</v>
      </c>
      <c r="O74" s="38">
        <f>K74/HLOOKUP(F74,Team_Composition_23[[#All],[Yellow]:[Red]],8,FALSE)</f>
        <v>7.8050591583439617E-3</v>
      </c>
      <c r="P74" s="38">
        <f>L74/HLOOKUP(F74,Team_Composition_23[[#All],[Yellow]:[Red]],7,FALSE)</f>
        <v>2.5046553319585147E-3</v>
      </c>
      <c r="Q74" s="31"/>
    </row>
    <row r="75" spans="1:30" ht="22.5" customHeight="1">
      <c r="A75" s="173">
        <v>37</v>
      </c>
      <c r="B75" s="65" t="str">
        <f>VLOOKUP(C75,Lists!I:J,2,FALSE)</f>
        <v>Melee DPS</v>
      </c>
      <c r="C75" s="180" t="str">
        <f>VLOOKUP(E75&amp;D75,Lists!C:E,3,FALSE)</f>
        <v>Greatsword/Spear</v>
      </c>
      <c r="D75" s="77" t="s">
        <v>30</v>
      </c>
      <c r="E75" s="178" t="s">
        <v>436</v>
      </c>
      <c r="F75" s="175" t="s">
        <v>476</v>
      </c>
      <c r="G75" s="173">
        <v>9</v>
      </c>
      <c r="H75" s="173">
        <v>24</v>
      </c>
      <c r="I75" s="84">
        <f t="shared" si="0"/>
        <v>33</v>
      </c>
      <c r="J75" s="177">
        <v>821239</v>
      </c>
      <c r="K75" s="177">
        <v>1286255</v>
      </c>
      <c r="L75" s="177">
        <v>12629</v>
      </c>
      <c r="M75" s="38">
        <f>I75/(HLOOKUP(F75,Team_Composition_23[[#All],[Yellow]:[Red]],10,FALSE)+HLOOKUP(F75,Team_Composition_23[[#All],[Yellow]:[Red]],11,FALSE))</f>
        <v>8.2479380154961267E-3</v>
      </c>
      <c r="N75" s="38">
        <f>J75/HLOOKUP(F75,Team_Composition_23[[#All],[Yellow]:[Red]],6,FALSE)</f>
        <v>1.8511553764887969E-2</v>
      </c>
      <c r="O75" s="38">
        <f>K75/HLOOKUP(F75,Team_Composition_23[[#All],[Yellow]:[Red]],8,FALSE)</f>
        <v>7.3421565209826747E-2</v>
      </c>
      <c r="P75" s="38">
        <f>L75/HLOOKUP(F75,Team_Composition_23[[#All],[Yellow]:[Red]],7,FALSE)</f>
        <v>9.756060631108739E-4</v>
      </c>
      <c r="Q75" s="31"/>
      <c r="R75" s="227" t="s">
        <v>78</v>
      </c>
      <c r="S75" s="228"/>
      <c r="T75" s="228"/>
      <c r="U75" s="31"/>
      <c r="V75" s="31"/>
      <c r="W75" s="31"/>
      <c r="X75" s="31"/>
      <c r="Y75" s="31"/>
      <c r="Z75" s="31"/>
      <c r="AA75" s="31"/>
      <c r="AB75" s="227" t="s">
        <v>78</v>
      </c>
      <c r="AC75" s="228"/>
      <c r="AD75" s="228"/>
    </row>
    <row r="76" spans="1:30" ht="22.5" customHeight="1">
      <c r="A76" s="173">
        <v>87</v>
      </c>
      <c r="B76" s="33" t="str">
        <f>VLOOKUP(C76,Lists!I:J,2,FALSE)</f>
        <v>Healer</v>
      </c>
      <c r="C76" s="180" t="str">
        <f>VLOOKUP(E76&amp;D76,Lists!C:E,3,FALSE)</f>
        <v>Wand/Longbow</v>
      </c>
      <c r="D76" s="175" t="s">
        <v>30</v>
      </c>
      <c r="E76" s="176" t="s">
        <v>414</v>
      </c>
      <c r="F76" s="175" t="s">
        <v>476</v>
      </c>
      <c r="G76" s="173">
        <v>0</v>
      </c>
      <c r="H76" s="173">
        <v>30</v>
      </c>
      <c r="I76" s="84">
        <f t="shared" si="0"/>
        <v>30</v>
      </c>
      <c r="J76" s="177">
        <v>58370</v>
      </c>
      <c r="K76" s="177">
        <v>1145896</v>
      </c>
      <c r="L76" s="177">
        <v>2560641</v>
      </c>
      <c r="M76" s="38">
        <f>I76/(HLOOKUP(F76,Team_Composition_23[[#All],[Yellow]:[Red]],10,FALSE)+HLOOKUP(F76,Team_Composition_23[[#All],[Yellow]:[Red]],11,FALSE))</f>
        <v>7.4981254686328422E-3</v>
      </c>
      <c r="N76" s="38">
        <f>J76/HLOOKUP(F76,Team_Composition_23[[#All],[Yellow]:[Red]],6,FALSE)</f>
        <v>1.3157185584909031E-3</v>
      </c>
      <c r="O76" s="38">
        <f>K76/HLOOKUP(F76,Team_Composition_23[[#All],[Yellow]:[Red]],8,FALSE)</f>
        <v>6.5409641080252073E-2</v>
      </c>
      <c r="P76" s="38">
        <f>L76/HLOOKUP(F76,Team_Composition_23[[#All],[Yellow]:[Red]],7,FALSE)</f>
        <v>0.19781272349752882</v>
      </c>
      <c r="Q76" s="31"/>
      <c r="R76" s="27" t="s">
        <v>482</v>
      </c>
      <c r="S76" s="72" t="s">
        <v>476</v>
      </c>
      <c r="T76" s="72" t="s">
        <v>483</v>
      </c>
      <c r="U76" s="31"/>
      <c r="V76" s="31"/>
      <c r="W76" s="31"/>
      <c r="X76" s="31"/>
      <c r="Y76" s="31"/>
      <c r="Z76" s="31"/>
      <c r="AA76" s="31"/>
      <c r="AB76" s="27" t="s">
        <v>482</v>
      </c>
      <c r="AC76" s="72" t="s">
        <v>485</v>
      </c>
      <c r="AD76" s="72" t="s">
        <v>36</v>
      </c>
    </row>
    <row r="77" spans="1:30" ht="22.5" customHeight="1">
      <c r="A77" s="173">
        <v>88</v>
      </c>
      <c r="B77" s="59" t="str">
        <f>VLOOKUP(C77,Lists!I:J,2,FALSE)</f>
        <v>Healer</v>
      </c>
      <c r="C77" s="180" t="str">
        <f>VLOOKUP(E77&amp;D77,Lists!C:E,3,FALSE)</f>
        <v>Wand/Orb</v>
      </c>
      <c r="D77" s="175" t="s">
        <v>30</v>
      </c>
      <c r="E77" s="98" t="s">
        <v>445</v>
      </c>
      <c r="F77" s="175" t="s">
        <v>476</v>
      </c>
      <c r="G77" s="173">
        <v>0</v>
      </c>
      <c r="H77" s="173">
        <v>30</v>
      </c>
      <c r="I77" s="84">
        <f t="shared" si="0"/>
        <v>30</v>
      </c>
      <c r="J77" s="177">
        <v>9416</v>
      </c>
      <c r="K77" s="177">
        <v>302599</v>
      </c>
      <c r="L77" s="177">
        <v>1434736</v>
      </c>
      <c r="M77" s="38">
        <f>I77/(HLOOKUP(F77,Team_Composition_23[[#All],[Yellow]:[Red]],10,FALSE)+HLOOKUP(F77,Team_Composition_23[[#All],[Yellow]:[Red]],11,FALSE))</f>
        <v>7.4981254686328422E-3</v>
      </c>
      <c r="N77" s="38">
        <f>J77/HLOOKUP(F77,Team_Composition_23[[#All],[Yellow]:[Red]],6,FALSE)</f>
        <v>2.122461186696992E-4</v>
      </c>
      <c r="O77" s="38">
        <f>K77/HLOOKUP(F77,Team_Composition_23[[#All],[Yellow]:[Red]],8,FALSE)</f>
        <v>1.7272851970199038E-2</v>
      </c>
      <c r="P77" s="38">
        <f>L77/HLOOKUP(F77,Team_Composition_23[[#All],[Yellow]:[Red]],7,FALSE)</f>
        <v>0.11083515247156883</v>
      </c>
      <c r="Q77" s="31"/>
      <c r="R77" s="74" t="s">
        <v>468</v>
      </c>
      <c r="S77" s="75">
        <f>SUMIFS('BR v HR Adentus 1 212026'!$J$2:$J$163,'BR v HR Adentus 1 212026'!$B$2:$B$163,"KS",'BR v HR Adentus 1 212026'!$F$2:$F$163,"Yellow")</f>
        <v>6250084</v>
      </c>
      <c r="T77" s="76">
        <f>SUMIFS('BR v HR Adentus 1 212026'!$J$2:$J$163,'BR v HR Adentus 1 212026'!$B$2:$B$163,"KS",'BR v HR Adentus 1 212026'!$F$2:$F$163,"Red")</f>
        <v>8707857</v>
      </c>
      <c r="U77" s="31"/>
      <c r="V77" s="31"/>
      <c r="W77" s="31"/>
      <c r="X77" s="31"/>
      <c r="Y77" s="31"/>
      <c r="Z77" s="31"/>
      <c r="AA77" s="31"/>
      <c r="AB77" s="74" t="s">
        <v>468</v>
      </c>
      <c r="AC77" s="75">
        <f>SUMIFS('BR v HR Adentus 1 212026'!$J$2:$J$163,'BR v HR Adentus 1 212026'!$B$2:$B$163,"KS",'BR v HR Adentus 1 212026'!$D$2:$D$163,"Best Regards")</f>
        <v>7994624</v>
      </c>
      <c r="AD77" s="76">
        <f>SUMIFS('BR v HR Adentus 1 212026'!$J$2:$J$163,'BR v HR Adentus 1 212026'!$B$2:$B$163,"KS",'BR v HR Adentus 1 212026'!$D$2:$D$163,"Unhinged肉")</f>
        <v>0</v>
      </c>
    </row>
    <row r="78" spans="1:30" ht="22.5" customHeight="1">
      <c r="A78" s="173">
        <v>50</v>
      </c>
      <c r="B78" s="34" t="str">
        <f>VLOOKUP(C78,Lists!I:J,2,FALSE)</f>
        <v>Tank</v>
      </c>
      <c r="C78" s="180" t="str">
        <f>VLOOKUP(E78&amp;D78,Lists!C:E,3,FALSE)</f>
        <v>SnS/Greatsword</v>
      </c>
      <c r="D78" s="175" t="s">
        <v>30</v>
      </c>
      <c r="E78" s="176" t="s">
        <v>408</v>
      </c>
      <c r="F78" s="175" t="s">
        <v>476</v>
      </c>
      <c r="G78" s="173">
        <v>2</v>
      </c>
      <c r="H78" s="173">
        <v>26</v>
      </c>
      <c r="I78" s="84">
        <f t="shared" si="0"/>
        <v>28</v>
      </c>
      <c r="J78" s="177">
        <v>304466</v>
      </c>
      <c r="K78" s="177">
        <v>763829</v>
      </c>
      <c r="L78" s="177">
        <v>70230</v>
      </c>
      <c r="M78" s="38">
        <f>I78/(HLOOKUP(F78,Team_Composition_23[[#All],[Yellow]:[Red]],10,FALSE)+HLOOKUP(F78,Team_Composition_23[[#All],[Yellow]:[Red]],11,FALSE))</f>
        <v>6.9982504373906525E-3</v>
      </c>
      <c r="N78" s="38">
        <f>J78/HLOOKUP(F78,Team_Composition_23[[#All],[Yellow]:[Red]],6,FALSE)</f>
        <v>6.8629701324223278E-3</v>
      </c>
      <c r="O78" s="38">
        <f>K78/HLOOKUP(F78,Team_Composition_23[[#All],[Yellow]:[Red]],8,FALSE)</f>
        <v>4.360062408515944E-2</v>
      </c>
      <c r="P78" s="38">
        <f>L78/HLOOKUP(F78,Team_Composition_23[[#All],[Yellow]:[Red]],7,FALSE)</f>
        <v>5.4253554368735987E-3</v>
      </c>
      <c r="Q78" s="31"/>
      <c r="R78" s="78" t="s">
        <v>469</v>
      </c>
      <c r="S78" s="75">
        <f>SUMIFS('BR v HR Adentus 1 212026'!$K$2:$K$163,'BR v HR Adentus 1 212026'!$B$2:$B$163,"KS",'BR v HR Adentus 1 212026'!$F$2:$F$163,"Yellow")</f>
        <v>4486592</v>
      </c>
      <c r="T78" s="76">
        <f>SUMIFS('BR v HR Adentus 1 212026'!$K$2:$K$163,'BR v HR Adentus 1 212026'!$B$2:$B$163,"KS",'BR v HR Adentus 1 212026'!$F$2:$F$163,"Red")</f>
        <v>5724022</v>
      </c>
      <c r="U78" s="31"/>
      <c r="V78" s="31"/>
      <c r="W78" s="31"/>
      <c r="X78" s="31"/>
      <c r="Y78" s="31"/>
      <c r="Z78" s="31"/>
      <c r="AA78" s="31"/>
      <c r="AB78" s="78" t="s">
        <v>469</v>
      </c>
      <c r="AC78" s="75">
        <f>SUMIFS('BR v HR Adentus 1 212026'!$K$2:$K$163,'BR v HR Adentus 1 212026'!$B$2:$B$163,"KS",'BR v HR Adentus 1 212026'!$D$2:$D$163,"Best Regards")</f>
        <v>4370155</v>
      </c>
      <c r="AD78" s="76">
        <f>SUMIFS('BR v HR Adentus 1 212026'!$K$2:$K$163,'BR v HR Adentus 1 212026'!$B$2:$B$163,"KS",'BR v HR Adentus 1 212026'!$D$2:$D$163,"Unhinged肉")</f>
        <v>0</v>
      </c>
    </row>
    <row r="79" spans="1:30" ht="22.5" customHeight="1">
      <c r="A79" s="173">
        <v>90</v>
      </c>
      <c r="B79" s="56" t="str">
        <f>VLOOKUP(C79,Lists!I:J,2,FALSE)</f>
        <v>Healer</v>
      </c>
      <c r="C79" s="180" t="str">
        <f>VLOOKUP(E79&amp;D79,Lists!C:E,3,FALSE)</f>
        <v>Wand/Orb</v>
      </c>
      <c r="D79" s="175" t="s">
        <v>30</v>
      </c>
      <c r="E79" s="176" t="s">
        <v>441</v>
      </c>
      <c r="F79" s="175" t="s">
        <v>476</v>
      </c>
      <c r="G79" s="173">
        <v>0</v>
      </c>
      <c r="H79" s="173">
        <v>27</v>
      </c>
      <c r="I79" s="84">
        <f t="shared" si="0"/>
        <v>27</v>
      </c>
      <c r="J79" s="177">
        <v>36788</v>
      </c>
      <c r="K79" s="177">
        <v>274266</v>
      </c>
      <c r="L79" s="177">
        <v>874319</v>
      </c>
      <c r="M79" s="38">
        <f>I79/(HLOOKUP(F79,Team_Composition_23[[#All],[Yellow]:[Red]],10,FALSE)+HLOOKUP(F79,Team_Composition_23[[#All],[Yellow]:[Red]],11,FALSE))</f>
        <v>6.7483129217695576E-3</v>
      </c>
      <c r="N79" s="38">
        <f>J79/HLOOKUP(F79,Team_Composition_23[[#All],[Yellow]:[Red]],6,FALSE)</f>
        <v>8.292385528484383E-4</v>
      </c>
      <c r="O79" s="38">
        <f>K79/HLOOKUP(F79,Team_Composition_23[[#All],[Yellow]:[Red]],8,FALSE)</f>
        <v>1.5655557415783294E-2</v>
      </c>
      <c r="P79" s="38">
        <f>L79/HLOOKUP(F79,Team_Composition_23[[#All],[Yellow]:[Red]],7,FALSE)</f>
        <v>6.7542237508356653E-2</v>
      </c>
      <c r="Q79" s="31"/>
      <c r="R79" s="74" t="s">
        <v>470</v>
      </c>
      <c r="S79" s="75">
        <f>SUMIFS('BR v HR Adentus 1 212026'!$L$2:$L$163,'BR v HR Adentus 1 212026'!$B$2:$B$163,"KS",'BR v HR Adentus 1 212026'!$F$2:$F$163,"Yellow")</f>
        <v>80417</v>
      </c>
      <c r="T79" s="76">
        <f>SUMIFS('BR v HR Adentus 1 212026'!$L$2:$L$163,'BR v HR Adentus 1 212026'!$B$2:$B$163,"KS",'BR v HR Adentus 1 212026'!$F$2:$F$163,"Red")</f>
        <v>55866</v>
      </c>
      <c r="U79" s="31"/>
      <c r="V79" s="31"/>
      <c r="W79" s="31"/>
      <c r="X79" s="31"/>
      <c r="Y79" s="31"/>
      <c r="Z79" s="31"/>
      <c r="AA79" s="31"/>
      <c r="AB79" s="74" t="s">
        <v>470</v>
      </c>
      <c r="AC79" s="75">
        <f>SUMIFS('BR v HR Adentus 1 212026'!$L$2:$L$163,'BR v HR Adentus 1 212026'!$B$2:$B$163,"KS",'BR v HR Adentus 1 212026'!$D$2:$D$163,"Best Regards")</f>
        <v>18213</v>
      </c>
      <c r="AD79" s="76">
        <f>SUMIFS('BR v HR Adentus 1 212026'!$L$2:$L$163,'BR v HR Adentus 1 212026'!$B$2:$B$163,"KS",'BR v HR Adentus 1 212026'!$D$2:$D$163,"Unhinged肉")</f>
        <v>0</v>
      </c>
    </row>
    <row r="80" spans="1:30" ht="22.5" customHeight="1">
      <c r="A80" s="173">
        <v>91</v>
      </c>
      <c r="B80" s="33" t="str">
        <f>VLOOKUP(C80,Lists!I:J,2,FALSE)</f>
        <v>Healer</v>
      </c>
      <c r="C80" s="180" t="str">
        <f>VLOOKUP(E80&amp;D80,Lists!C:E,3,FALSE)</f>
        <v>Wand/Orb</v>
      </c>
      <c r="D80" s="175" t="s">
        <v>30</v>
      </c>
      <c r="E80" s="182" t="s">
        <v>418</v>
      </c>
      <c r="F80" s="175" t="s">
        <v>476</v>
      </c>
      <c r="G80" s="173">
        <v>0</v>
      </c>
      <c r="H80" s="173">
        <v>27</v>
      </c>
      <c r="I80" s="84">
        <f t="shared" si="0"/>
        <v>27</v>
      </c>
      <c r="J80" s="177">
        <v>5569</v>
      </c>
      <c r="K80" s="177">
        <v>735178</v>
      </c>
      <c r="L80" s="177">
        <v>932474</v>
      </c>
      <c r="M80" s="38">
        <f>I80/(HLOOKUP(F80,Team_Composition_23[[#All],[Yellow]:[Red]],10,FALSE)+HLOOKUP(F80,Team_Composition_23[[#All],[Yellow]:[Red]],11,FALSE))</f>
        <v>6.7483129217695576E-3</v>
      </c>
      <c r="N80" s="38">
        <f>J80/HLOOKUP(F80,Team_Composition_23[[#All],[Yellow]:[Red]],6,FALSE)</f>
        <v>1.2553086606537328E-4</v>
      </c>
      <c r="O80" s="38">
        <f>K80/HLOOKUP(F80,Team_Composition_23[[#All],[Yellow]:[Red]],8,FALSE)</f>
        <v>4.1965177564192178E-2</v>
      </c>
      <c r="P80" s="38">
        <f>L80/HLOOKUP(F80,Team_Composition_23[[#All],[Yellow]:[Red]],7,FALSE)</f>
        <v>7.2034784075797692E-2</v>
      </c>
      <c r="Q80" s="31"/>
      <c r="R80" s="78" t="s">
        <v>465</v>
      </c>
      <c r="S80" s="75">
        <f>SUMIFS('BR v HR Adentus 1 212026'!$G$2:$G$163,'BR v HR Adentus 1 212026'!$B$2:$B$163,"KS",'BR v HR Adentus 1 212026'!$F$2:$F$163,"Yellow")</f>
        <v>109</v>
      </c>
      <c r="T80" s="76">
        <f>SUMIFS('BR v HR Adentus 1 212026'!$G$2:$G$163,'BR v HR Adentus 1 212026'!$B$2:$B$163,"KS",'BR v HR Adentus 1 212026'!$F$2:$F$163,"Red")</f>
        <v>210</v>
      </c>
      <c r="U80" s="31"/>
      <c r="V80" s="31"/>
      <c r="W80" s="31"/>
      <c r="X80" s="31"/>
      <c r="Y80" s="31"/>
      <c r="Z80" s="31"/>
      <c r="AA80" s="31"/>
      <c r="AB80" s="78" t="s">
        <v>465</v>
      </c>
      <c r="AC80" s="75">
        <f>SUMIFS('BR v HR Adentus 1 212026'!$G$2:$G$163,'BR v HR Adentus 1 212026'!$B$2:$B$163,"KS",'BR v HR Adentus 1 212026'!$D$2:$D$163,"Best Regards")</f>
        <v>203</v>
      </c>
      <c r="AD80" s="76">
        <f>SUMIFS('BR v HR Adentus 1 212026'!$G$2:$G$163,'BR v HR Adentus 1 212026'!$B$2:$B$163,"KS",'BR v HR Adentus 1 212026'!$D$2:$D$163,"Unhinged肉")</f>
        <v>0</v>
      </c>
    </row>
    <row r="81" spans="1:30" ht="22.5" customHeight="1">
      <c r="A81" s="173">
        <v>89</v>
      </c>
      <c r="B81" s="56" t="str">
        <f>VLOOKUP(C81,Lists!I:J,2,FALSE)</f>
        <v>Tank</v>
      </c>
      <c r="C81" s="174" t="str">
        <f>VLOOKUP(E81&amp;D81,Lists!C:E,3,FALSE)</f>
        <v>SnS/Greatsword</v>
      </c>
      <c r="D81" s="175" t="s">
        <v>34</v>
      </c>
      <c r="E81" s="176" t="s">
        <v>148</v>
      </c>
      <c r="F81" s="175" t="s">
        <v>483</v>
      </c>
      <c r="G81" s="173">
        <v>0</v>
      </c>
      <c r="H81" s="173">
        <v>27</v>
      </c>
      <c r="I81" s="84">
        <f t="shared" si="0"/>
        <v>27</v>
      </c>
      <c r="J81" s="177">
        <v>75351</v>
      </c>
      <c r="K81" s="177">
        <v>585056</v>
      </c>
      <c r="L81" s="177">
        <v>12762</v>
      </c>
      <c r="M81" s="38">
        <f>I81/(HLOOKUP(F81,Team_Composition_23[[#All],[Yellow]:[Red]],10,FALSE)+HLOOKUP(F81,Team_Composition_23[[#All],[Yellow]:[Red]],11,FALSE))</f>
        <v>3.2886723507917173E-2</v>
      </c>
      <c r="N81" s="38">
        <f>J81/HLOOKUP(F81,Team_Composition_23[[#All],[Yellow]:[Red]],6,FALSE)</f>
        <v>4.2702901973629961E-3</v>
      </c>
      <c r="O81" s="38">
        <f>K81/HLOOKUP(F81,Team_Composition_23[[#All],[Yellow]:[Red]],8,FALSE)</f>
        <v>1.3291912579484276E-2</v>
      </c>
      <c r="P81" s="38">
        <f>L81/HLOOKUP(F81,Team_Composition_23[[#All],[Yellow]:[Red]],7,FALSE)</f>
        <v>5.2586883631308506E-4</v>
      </c>
      <c r="Q81" s="31"/>
      <c r="R81" s="79" t="s">
        <v>466</v>
      </c>
      <c r="S81" s="80">
        <f>SUMIFS('BR v HR Adentus 1 212026'!$H$2:$H$163,'BR v HR Adentus 1 212026'!$B$2:$B$163,"KS",'BR v HR Adentus 1 212026'!$F$2:$F$163,"Yellow")</f>
        <v>196</v>
      </c>
      <c r="T81" s="81">
        <f>SUMIFS('BR v HR Adentus 1 212026'!$H$2:$H$163,'BR v HR Adentus 1 212026'!$B$2:$B$163,"KS",'BR v HR Adentus 1 212026'!$F$2:$F$163,"Red")</f>
        <v>255</v>
      </c>
      <c r="U81" s="31"/>
      <c r="V81" s="31"/>
      <c r="W81" s="31"/>
      <c r="X81" s="31"/>
      <c r="Y81" s="31"/>
      <c r="Z81" s="31"/>
      <c r="AA81" s="31"/>
      <c r="AB81" s="79" t="s">
        <v>466</v>
      </c>
      <c r="AC81" s="80">
        <f>SUMIFS('BR v HR Adentus 1 212026'!$H$2:$H$163,'BR v HR Adentus 1 212026'!$B$2:$B$163,"KS",'BR v HR Adentus 1 212026'!$D$2:$D$163,"Best Regards")</f>
        <v>224</v>
      </c>
      <c r="AD81" s="81">
        <f>SUMIFS('BR v HR Adentus 1 212026'!$H$2:$H$163,'BR v HR Adentus 1 212026'!$B$2:$B$163,"KS",'BR v HR Adentus 1 212026'!$D$2:$D$163,"Unhinged肉")</f>
        <v>0</v>
      </c>
    </row>
    <row r="82" spans="1:30" ht="22.5" customHeight="1">
      <c r="A82" s="173">
        <v>92</v>
      </c>
      <c r="B82" s="33" t="str">
        <f>VLOOKUP(C82,Lists!I:J,2,FALSE)</f>
        <v>Healer</v>
      </c>
      <c r="C82" s="174" t="str">
        <f>VLOOKUP(E82,Lists!D:E,2,FALSE)</f>
        <v>Wand/Longbow</v>
      </c>
      <c r="D82" s="175" t="s">
        <v>516</v>
      </c>
      <c r="E82" s="176" t="s">
        <v>188</v>
      </c>
      <c r="F82" s="175" t="s">
        <v>476</v>
      </c>
      <c r="G82" s="173">
        <v>0</v>
      </c>
      <c r="H82" s="173">
        <v>26</v>
      </c>
      <c r="I82" s="84">
        <f t="shared" si="0"/>
        <v>26</v>
      </c>
      <c r="J82" s="177">
        <v>587</v>
      </c>
      <c r="K82" s="177">
        <v>943886</v>
      </c>
      <c r="L82" s="177">
        <v>2815381</v>
      </c>
      <c r="M82" s="38">
        <f>I82/(HLOOKUP(F82,Team_Composition_23[[#All],[Yellow]:[Red]],10,FALSE)+HLOOKUP(F82,Team_Composition_23[[#All],[Yellow]:[Red]],11,FALSE))</f>
        <v>6.4983754061484628E-3</v>
      </c>
      <c r="N82" s="38">
        <f>J82/HLOOKUP(F82,Team_Composition_23[[#All],[Yellow]:[Red]],6,FALSE)</f>
        <v>1.323157090687271E-5</v>
      </c>
      <c r="O82" s="38">
        <f>K82/HLOOKUP(F82,Team_Composition_23[[#All],[Yellow]:[Red]],8,FALSE)</f>
        <v>5.3878575787571305E-2</v>
      </c>
      <c r="P82" s="38">
        <f>L82/HLOOKUP(F82,Team_Composition_23[[#All],[Yellow]:[Red]],7,FALSE)</f>
        <v>0.21749170746434043</v>
      </c>
      <c r="Q82" s="31"/>
      <c r="R82" s="78" t="s">
        <v>54</v>
      </c>
      <c r="S82" s="75">
        <f t="shared" ref="S82:S84" si="18">COUNTIFS(C:C,R82,F:F,"Yellow")</f>
        <v>2</v>
      </c>
      <c r="T82" s="76">
        <f t="shared" ref="T82:T84" si="19">COUNTIFS(C:C,R82,F:F,"Red")</f>
        <v>4</v>
      </c>
      <c r="U82" s="31"/>
      <c r="V82" s="31"/>
      <c r="W82" s="31"/>
      <c r="X82" s="31"/>
      <c r="Y82" s="31"/>
      <c r="Z82" s="31"/>
      <c r="AA82" s="31"/>
      <c r="AB82" s="78" t="s">
        <v>54</v>
      </c>
      <c r="AC82" s="75">
        <f t="shared" ref="AC82:AC84" si="20">COUNTIFS(M:M,AB82,P:P,"KS")</f>
        <v>0</v>
      </c>
      <c r="AD82" s="76">
        <f t="shared" ref="AD82:AD84" si="21">COUNTIFS(M:M,AB82,P:P,"KS")</f>
        <v>0</v>
      </c>
    </row>
    <row r="83" spans="1:30" ht="22.5" customHeight="1">
      <c r="A83" s="173">
        <v>93</v>
      </c>
      <c r="B83" s="40" t="str">
        <f>VLOOKUP(C83,Lists!I:J,2,FALSE)</f>
        <v>Healer</v>
      </c>
      <c r="C83" s="180" t="str">
        <f>VLOOKUP(E83&amp;D83,Lists!C:E,3,FALSE)</f>
        <v>Wand/Longbow</v>
      </c>
      <c r="D83" s="175" t="s">
        <v>30</v>
      </c>
      <c r="E83" s="176" t="s">
        <v>187</v>
      </c>
      <c r="F83" s="175" t="s">
        <v>476</v>
      </c>
      <c r="G83" s="173">
        <v>0</v>
      </c>
      <c r="H83" s="173">
        <v>23</v>
      </c>
      <c r="I83" s="84">
        <f t="shared" si="0"/>
        <v>23</v>
      </c>
      <c r="J83" s="177">
        <v>510</v>
      </c>
      <c r="K83" s="177">
        <v>813177</v>
      </c>
      <c r="L83" s="177">
        <v>2265544</v>
      </c>
      <c r="M83" s="38">
        <f>I83/(HLOOKUP(F83,Team_Composition_23[[#All],[Yellow]:[Red]],10,FALSE)+HLOOKUP(F83,Team_Composition_23[[#All],[Yellow]:[Red]],11,FALSE))</f>
        <v>5.7485628592851791E-3</v>
      </c>
      <c r="N83" s="38">
        <f>J83/HLOOKUP(F83,Team_Composition_23[[#All],[Yellow]:[Red]],6,FALSE)</f>
        <v>1.1495913394386851E-5</v>
      </c>
      <c r="O83" s="38">
        <f>K83/HLOOKUP(F83,Team_Composition_23[[#All],[Yellow]:[Red]],8,FALSE)</f>
        <v>4.6417489636682678E-2</v>
      </c>
      <c r="P83" s="38">
        <f>L83/HLOOKUP(F83,Team_Composition_23[[#All],[Yellow]:[Red]],7,FALSE)</f>
        <v>0.17501611074863108</v>
      </c>
      <c r="Q83" s="31"/>
      <c r="R83" s="74" t="s">
        <v>69</v>
      </c>
      <c r="S83" s="75">
        <f t="shared" si="18"/>
        <v>4</v>
      </c>
      <c r="T83" s="76">
        <f t="shared" si="19"/>
        <v>3</v>
      </c>
      <c r="U83" s="31"/>
      <c r="V83" s="31"/>
      <c r="W83" s="31"/>
      <c r="X83" s="31"/>
      <c r="Y83" s="31"/>
      <c r="Z83" s="31"/>
      <c r="AA83" s="31"/>
      <c r="AB83" s="74" t="s">
        <v>69</v>
      </c>
      <c r="AC83" s="75">
        <f t="shared" si="20"/>
        <v>0</v>
      </c>
      <c r="AD83" s="76">
        <f t="shared" si="21"/>
        <v>0</v>
      </c>
    </row>
    <row r="84" spans="1:30" ht="22.5" customHeight="1">
      <c r="A84" s="173">
        <v>56</v>
      </c>
      <c r="B84" s="62" t="str">
        <f>VLOOKUP(C84,Lists!I:J,2,FALSE)</f>
        <v>Healer</v>
      </c>
      <c r="C84" s="180" t="str">
        <f>VLOOKUP(E84&amp;D84,Lists!C:E,3,FALSE)</f>
        <v>Wand/Longbow</v>
      </c>
      <c r="D84" s="175" t="s">
        <v>30</v>
      </c>
      <c r="E84" s="176" t="s">
        <v>426</v>
      </c>
      <c r="F84" s="175" t="s">
        <v>476</v>
      </c>
      <c r="G84" s="173">
        <v>1</v>
      </c>
      <c r="H84" s="173">
        <v>21</v>
      </c>
      <c r="I84" s="84">
        <f t="shared" si="0"/>
        <v>22</v>
      </c>
      <c r="J84" s="177">
        <v>23572</v>
      </c>
      <c r="K84" s="177">
        <v>1315794</v>
      </c>
      <c r="L84" s="177">
        <v>1988979</v>
      </c>
      <c r="M84" s="38">
        <f>I84/(HLOOKUP(F84,Team_Composition_23[[#All],[Yellow]:[Red]],10,FALSE)+HLOOKUP(F84,Team_Composition_23[[#All],[Yellow]:[Red]],11,FALSE))</f>
        <v>5.4986253436640842E-3</v>
      </c>
      <c r="N84" s="38">
        <f>J84/HLOOKUP(F84,Team_Composition_23[[#All],[Yellow]:[Red]],6,FALSE)</f>
        <v>5.3133660888722914E-4</v>
      </c>
      <c r="O84" s="38">
        <f>K84/HLOOKUP(F84,Team_Composition_23[[#All],[Yellow]:[Red]],8,FALSE)</f>
        <v>7.5107700241164282E-2</v>
      </c>
      <c r="P84" s="38">
        <f>L84/HLOOKUP(F84,Team_Composition_23[[#All],[Yellow]:[Red]],7,FALSE)</f>
        <v>0.15365111820414942</v>
      </c>
      <c r="Q84" s="31"/>
      <c r="R84" s="78" t="s">
        <v>81</v>
      </c>
      <c r="S84" s="75">
        <f t="shared" si="18"/>
        <v>0</v>
      </c>
      <c r="T84" s="76">
        <f t="shared" si="19"/>
        <v>1</v>
      </c>
      <c r="U84" s="31"/>
      <c r="V84" s="31"/>
      <c r="W84" s="31"/>
      <c r="X84" s="31"/>
      <c r="Y84" s="31"/>
      <c r="Z84" s="31"/>
      <c r="AA84" s="31"/>
      <c r="AB84" s="78" t="s">
        <v>81</v>
      </c>
      <c r="AC84" s="75">
        <f t="shared" si="20"/>
        <v>0</v>
      </c>
      <c r="AD84" s="76">
        <f t="shared" si="21"/>
        <v>0</v>
      </c>
    </row>
    <row r="85" spans="1:30" ht="22.5" customHeight="1">
      <c r="A85" s="173">
        <v>94</v>
      </c>
      <c r="B85" s="52" t="str">
        <f>VLOOKUP(C85,Lists!I:J,2,FALSE)</f>
        <v>Tank</v>
      </c>
      <c r="C85" s="180" t="str">
        <f>VLOOKUP(E85&amp;D85,Lists!C:E,3,FALSE)</f>
        <v>SnS/Greatsword</v>
      </c>
      <c r="D85" s="175" t="s">
        <v>30</v>
      </c>
      <c r="E85" s="176" t="s">
        <v>422</v>
      </c>
      <c r="F85" s="175" t="s">
        <v>476</v>
      </c>
      <c r="G85" s="173">
        <v>0</v>
      </c>
      <c r="H85" s="173">
        <v>22</v>
      </c>
      <c r="I85" s="84">
        <f t="shared" si="0"/>
        <v>22</v>
      </c>
      <c r="J85" s="177">
        <v>186856</v>
      </c>
      <c r="K85" s="177">
        <v>606490</v>
      </c>
      <c r="L85" s="177">
        <v>68174</v>
      </c>
      <c r="M85" s="38">
        <f>I85/(HLOOKUP(F85,Team_Composition_23[[#All],[Yellow]:[Red]],10,FALSE)+HLOOKUP(F85,Team_Composition_23[[#All],[Yellow]:[Red]],11,FALSE))</f>
        <v>5.4986253436640842E-3</v>
      </c>
      <c r="N85" s="38">
        <f>J85/HLOOKUP(F85,Team_Composition_23[[#All],[Yellow]:[Red]],6,FALSE)</f>
        <v>4.211922339650097E-3</v>
      </c>
      <c r="O85" s="38">
        <f>K85/HLOOKUP(F85,Team_Composition_23[[#All],[Yellow]:[Red]],8,FALSE)</f>
        <v>3.4619453439720602E-2</v>
      </c>
      <c r="P85" s="38">
        <f>L85/HLOOKUP(F85,Team_Composition_23[[#All],[Yellow]:[Red]],7,FALSE)</f>
        <v>5.2665268625006504E-3</v>
      </c>
      <c r="Q85" s="31"/>
      <c r="R85" s="31"/>
      <c r="S85" s="31"/>
      <c r="T85" s="31"/>
      <c r="U85" s="31"/>
      <c r="V85" s="31"/>
      <c r="W85" s="31"/>
      <c r="X85" s="31"/>
      <c r="Y85" s="31"/>
      <c r="Z85" s="31"/>
      <c r="AA85" s="31"/>
      <c r="AB85" s="31"/>
      <c r="AC85" s="31"/>
      <c r="AD85" s="31"/>
    </row>
    <row r="86" spans="1:30" ht="22.5" customHeight="1">
      <c r="A86" s="173">
        <v>95</v>
      </c>
      <c r="B86" s="62" t="str">
        <f>VLOOKUP(C86,Lists!I:J,2,FALSE)</f>
        <v>Healer</v>
      </c>
      <c r="C86" s="180" t="str">
        <f>VLOOKUP(E86&amp;D86,Lists!C:E,3,FALSE)</f>
        <v>Wand/Orb</v>
      </c>
      <c r="D86" s="175" t="s">
        <v>30</v>
      </c>
      <c r="E86" s="176" t="s">
        <v>442</v>
      </c>
      <c r="F86" s="175" t="s">
        <v>476</v>
      </c>
      <c r="G86" s="173">
        <v>0</v>
      </c>
      <c r="H86" s="173">
        <v>22</v>
      </c>
      <c r="I86" s="84">
        <f t="shared" si="0"/>
        <v>22</v>
      </c>
      <c r="J86" s="177">
        <v>119</v>
      </c>
      <c r="K86" s="177">
        <v>431457</v>
      </c>
      <c r="L86" s="177">
        <v>1408528</v>
      </c>
      <c r="M86" s="38">
        <f>I86/(HLOOKUP(F86,Team_Composition_23[[#All],[Yellow]:[Red]],10,FALSE)+HLOOKUP(F86,Team_Composition_23[[#All],[Yellow]:[Red]],11,FALSE))</f>
        <v>5.4986253436640842E-3</v>
      </c>
      <c r="N86" s="38">
        <f>J86/HLOOKUP(F86,Team_Composition_23[[#All],[Yellow]:[Red]],6,FALSE)</f>
        <v>2.6823797920235987E-6</v>
      </c>
      <c r="O86" s="38">
        <f>K86/HLOOKUP(F86,Team_Composition_23[[#All],[Yellow]:[Red]],8,FALSE)</f>
        <v>2.4628279976160416E-2</v>
      </c>
      <c r="P86" s="38">
        <f>L86/HLOOKUP(F86,Team_Composition_23[[#All],[Yellow]:[Red]],7,FALSE)</f>
        <v>0.10881055165582651</v>
      </c>
      <c r="Q86" s="31"/>
      <c r="R86" s="31"/>
      <c r="S86" s="31"/>
      <c r="T86" s="31"/>
      <c r="U86" s="31"/>
      <c r="V86" s="31"/>
      <c r="W86" s="31"/>
      <c r="X86" s="31"/>
      <c r="Y86" s="31"/>
      <c r="Z86" s="31"/>
      <c r="AA86" s="31"/>
      <c r="AB86" s="31"/>
      <c r="AC86" s="31"/>
      <c r="AD86" s="31"/>
    </row>
    <row r="87" spans="1:30" ht="22.5" customHeight="1">
      <c r="A87" s="173">
        <v>96</v>
      </c>
      <c r="B87" s="56" t="str">
        <f>VLOOKUP(C87,Lists!I:J,2,FALSE)</f>
        <v>Tank</v>
      </c>
      <c r="C87" s="174" t="str">
        <f>VLOOKUP(E87&amp;D87,Lists!C:E,3,FALSE)</f>
        <v>SnS/Greatsword</v>
      </c>
      <c r="D87" s="175" t="s">
        <v>34</v>
      </c>
      <c r="E87" s="176" t="s">
        <v>123</v>
      </c>
      <c r="F87" s="175" t="s">
        <v>483</v>
      </c>
      <c r="G87" s="173">
        <v>0</v>
      </c>
      <c r="H87" s="173">
        <v>21</v>
      </c>
      <c r="I87" s="84">
        <f t="shared" si="0"/>
        <v>21</v>
      </c>
      <c r="J87" s="177">
        <v>156304</v>
      </c>
      <c r="K87" s="177">
        <v>1185845</v>
      </c>
      <c r="L87" s="177">
        <v>33659</v>
      </c>
      <c r="M87" s="38">
        <f>I87/(HLOOKUP(F87,Team_Composition_23[[#All],[Yellow]:[Red]],10,FALSE)+HLOOKUP(F87,Team_Composition_23[[#All],[Yellow]:[Red]],11,FALSE))</f>
        <v>2.5578562728380026E-2</v>
      </c>
      <c r="N87" s="38">
        <f>J87/HLOOKUP(F87,Team_Composition_23[[#All],[Yellow]:[Red]],6,FALSE)</f>
        <v>8.8580568142244392E-3</v>
      </c>
      <c r="O87" s="38">
        <f>K87/HLOOKUP(F87,Team_Composition_23[[#All],[Yellow]:[Red]],8,FALSE)</f>
        <v>2.6941263866738452E-2</v>
      </c>
      <c r="P87" s="38">
        <f>L87/HLOOKUP(F87,Team_Composition_23[[#All],[Yellow]:[Red]],7,FALSE)</f>
        <v>1.3869471212554561E-3</v>
      </c>
      <c r="Q87" s="31"/>
      <c r="R87" s="31"/>
      <c r="S87" s="31"/>
      <c r="T87" s="31"/>
      <c r="U87" s="31"/>
      <c r="V87" s="31"/>
      <c r="W87" s="31"/>
      <c r="X87" s="31"/>
      <c r="Y87" s="31"/>
      <c r="Z87" s="31"/>
      <c r="AA87" s="31"/>
      <c r="AB87" s="31"/>
      <c r="AC87" s="31"/>
      <c r="AD87" s="31"/>
    </row>
    <row r="88" spans="1:30" ht="22.5" customHeight="1">
      <c r="A88" s="173">
        <v>97</v>
      </c>
      <c r="B88" s="34" t="str">
        <f>VLOOKUP(C88,Lists!I:J,2,FALSE)</f>
        <v>Melee DPS</v>
      </c>
      <c r="C88" s="180" t="str">
        <f>VLOOKUP(E88&amp;D88,Lists!C:E,3,FALSE)</f>
        <v>Spear/Dagger</v>
      </c>
      <c r="D88" s="77" t="s">
        <v>30</v>
      </c>
      <c r="E88" s="176" t="s">
        <v>406</v>
      </c>
      <c r="F88" s="175" t="s">
        <v>476</v>
      </c>
      <c r="G88" s="173">
        <v>0</v>
      </c>
      <c r="H88" s="173">
        <v>19</v>
      </c>
      <c r="I88" s="84">
        <f t="shared" si="0"/>
        <v>19</v>
      </c>
      <c r="J88" s="177">
        <v>428049</v>
      </c>
      <c r="K88" s="177">
        <v>1440900</v>
      </c>
      <c r="L88" s="177">
        <v>135369</v>
      </c>
      <c r="M88" s="38">
        <f>I88/(HLOOKUP(F88,Team_Composition_23[[#All],[Yellow]:[Red]],10,FALSE)+HLOOKUP(F88,Team_Composition_23[[#All],[Yellow]:[Red]],11,FALSE))</f>
        <v>4.7488127968007996E-3</v>
      </c>
      <c r="N88" s="38">
        <f>J88/HLOOKUP(F88,Team_Composition_23[[#All],[Yellow]:[Red]],6,FALSE)</f>
        <v>9.6486553579488189E-3</v>
      </c>
      <c r="O88" s="38">
        <f>K88/HLOOKUP(F88,Team_Composition_23[[#All],[Yellow]:[Red]],8,FALSE)</f>
        <v>8.2248957874480069E-2</v>
      </c>
      <c r="P88" s="38">
        <f>L88/HLOOKUP(F88,Team_Composition_23[[#All],[Yellow]:[Red]],7,FALSE)</f>
        <v>1.0457424749169046E-2</v>
      </c>
      <c r="Q88" s="31"/>
      <c r="R88" s="31"/>
      <c r="S88" s="31"/>
      <c r="T88" s="31"/>
      <c r="U88" s="31"/>
      <c r="V88" s="31"/>
      <c r="W88" s="31"/>
      <c r="X88" s="31"/>
      <c r="Y88" s="31"/>
      <c r="Z88" s="31"/>
      <c r="AA88" s="31"/>
      <c r="AB88" s="31"/>
      <c r="AC88" s="31"/>
      <c r="AD88" s="31"/>
    </row>
    <row r="89" spans="1:30" ht="22.5" customHeight="1">
      <c r="A89" s="173">
        <v>98</v>
      </c>
      <c r="B89" s="53" t="str">
        <f>VLOOKUP(C89,Lists!I:J,2,FALSE)</f>
        <v>Tank</v>
      </c>
      <c r="C89" s="174" t="s">
        <v>73</v>
      </c>
      <c r="D89" s="175" t="s">
        <v>34</v>
      </c>
      <c r="E89" s="176" t="s">
        <v>83</v>
      </c>
      <c r="F89" s="175" t="s">
        <v>483</v>
      </c>
      <c r="G89" s="173">
        <v>0</v>
      </c>
      <c r="H89" s="173">
        <v>19</v>
      </c>
      <c r="I89" s="84">
        <f t="shared" si="0"/>
        <v>19</v>
      </c>
      <c r="J89" s="177">
        <v>64324</v>
      </c>
      <c r="K89" s="177">
        <v>247068</v>
      </c>
      <c r="L89" s="177">
        <v>235375</v>
      </c>
      <c r="M89" s="38">
        <f>I89/(HLOOKUP(F89,Team_Composition_23[[#All],[Yellow]:[Red]],10,FALSE)+HLOOKUP(F89,Team_Composition_23[[#All],[Yellow]:[Red]],11,FALSE))</f>
        <v>2.3142509135200974E-2</v>
      </c>
      <c r="N89" s="38">
        <f>J89/HLOOKUP(F89,Team_Composition_23[[#All],[Yellow]:[Red]],6,FALSE)</f>
        <v>3.6453682984323682E-3</v>
      </c>
      <c r="O89" s="38">
        <f>K89/HLOOKUP(F89,Team_Composition_23[[#All],[Yellow]:[Red]],8,FALSE)</f>
        <v>5.6131485826793016E-3</v>
      </c>
      <c r="P89" s="38">
        <f>L89/HLOOKUP(F89,Team_Composition_23[[#All],[Yellow]:[Red]],7,FALSE)</f>
        <v>9.6988228606168618E-3</v>
      </c>
      <c r="Q89" s="31"/>
      <c r="R89" s="31"/>
      <c r="S89" s="31"/>
      <c r="T89" s="31"/>
      <c r="U89" s="31"/>
      <c r="V89" s="31"/>
      <c r="W89" s="31"/>
      <c r="X89" s="31"/>
      <c r="Y89" s="31"/>
      <c r="Z89" s="31"/>
      <c r="AA89" s="31"/>
      <c r="AB89" s="31"/>
      <c r="AC89" s="31"/>
      <c r="AD89" s="31"/>
    </row>
    <row r="90" spans="1:30" ht="22.5" customHeight="1">
      <c r="A90" s="173">
        <v>46</v>
      </c>
      <c r="B90" s="57" t="str">
        <f>VLOOKUP(C90,Lists!I:J,2,FALSE)</f>
        <v>Tank</v>
      </c>
      <c r="C90" s="180" t="str">
        <f>VLOOKUP(E90&amp;D90,Lists!C:E,3,FALSE)</f>
        <v>SnS/Greatsword</v>
      </c>
      <c r="D90" s="175" t="s">
        <v>30</v>
      </c>
      <c r="E90" s="176" t="s">
        <v>214</v>
      </c>
      <c r="F90" s="175" t="s">
        <v>476</v>
      </c>
      <c r="G90" s="173">
        <v>3</v>
      </c>
      <c r="H90" s="173">
        <v>15</v>
      </c>
      <c r="I90" s="84">
        <f t="shared" si="0"/>
        <v>18</v>
      </c>
      <c r="J90" s="177">
        <v>519994</v>
      </c>
      <c r="K90" s="177">
        <v>1504212</v>
      </c>
      <c r="L90" s="177">
        <v>51509</v>
      </c>
      <c r="M90" s="38">
        <f>I90/(HLOOKUP(F90,Team_Composition_23[[#All],[Yellow]:[Red]],10,FALSE)+HLOOKUP(F90,Team_Composition_23[[#All],[Yellow]:[Red]],11,FALSE))</f>
        <v>4.4988752811797048E-3</v>
      </c>
      <c r="N90" s="38">
        <f>J90/HLOOKUP(F90,Team_Composition_23[[#All],[Yellow]:[Red]],6,FALSE)</f>
        <v>1.1721188214903523E-2</v>
      </c>
      <c r="O90" s="38">
        <f>K90/HLOOKUP(F90,Team_Composition_23[[#All],[Yellow]:[Red]],8,FALSE)</f>
        <v>8.5862911667907146E-2</v>
      </c>
      <c r="P90" s="38">
        <f>L90/HLOOKUP(F90,Team_Composition_23[[#All],[Yellow]:[Red]],7,FALSE)</f>
        <v>3.9791347458055272E-3</v>
      </c>
      <c r="Q90" s="31"/>
      <c r="R90" s="31"/>
      <c r="S90" s="31"/>
      <c r="T90" s="31"/>
      <c r="U90" s="31"/>
      <c r="V90" s="31"/>
      <c r="W90" s="31"/>
      <c r="X90" s="31"/>
      <c r="Y90" s="31"/>
      <c r="Z90" s="31"/>
      <c r="AA90" s="31"/>
      <c r="AB90" s="31"/>
      <c r="AC90" s="31"/>
      <c r="AD90" s="31"/>
    </row>
    <row r="91" spans="1:30" ht="22.5" customHeight="1">
      <c r="A91" s="173">
        <v>99</v>
      </c>
      <c r="B91" s="65" t="str">
        <f>VLOOKUP(C91,Lists!I:J,2,FALSE)</f>
        <v>Tank</v>
      </c>
      <c r="C91" s="180" t="str">
        <f>VLOOKUP(E91&amp;D91,Lists!C:E,3,FALSE)</f>
        <v>SnS/Greatsword</v>
      </c>
      <c r="D91" s="175" t="s">
        <v>30</v>
      </c>
      <c r="E91" s="176" t="s">
        <v>209</v>
      </c>
      <c r="F91" s="175" t="s">
        <v>476</v>
      </c>
      <c r="G91" s="173">
        <v>0</v>
      </c>
      <c r="H91" s="173">
        <v>18</v>
      </c>
      <c r="I91" s="84">
        <f t="shared" si="0"/>
        <v>18</v>
      </c>
      <c r="J91" s="177">
        <v>275336</v>
      </c>
      <c r="K91" s="177">
        <v>1469673</v>
      </c>
      <c r="L91" s="177">
        <v>132717</v>
      </c>
      <c r="M91" s="38">
        <f>I91/(HLOOKUP(F91,Team_Composition_23[[#All],[Yellow]:[Red]],10,FALSE)+HLOOKUP(F91,Team_Composition_23[[#All],[Yellow]:[Red]],11,FALSE))</f>
        <v>4.4988752811797048E-3</v>
      </c>
      <c r="N91" s="38">
        <f>J91/HLOOKUP(F91,Team_Composition_23[[#All],[Yellow]:[Red]],6,FALSE)</f>
        <v>6.2063506085429376E-3</v>
      </c>
      <c r="O91" s="38">
        <f>K91/HLOOKUP(F91,Team_Composition_23[[#All],[Yellow]:[Red]],8,FALSE)</f>
        <v>8.3891368357457655E-2</v>
      </c>
      <c r="P91" s="38">
        <f>L91/HLOOKUP(F91,Team_Composition_23[[#All],[Yellow]:[Red]],7,FALSE)</f>
        <v>1.0252554428528455E-2</v>
      </c>
      <c r="Q91" s="31"/>
      <c r="R91" s="31"/>
      <c r="S91" s="31"/>
      <c r="T91" s="31"/>
      <c r="U91" s="31"/>
      <c r="V91" s="31"/>
      <c r="W91" s="31"/>
      <c r="X91" s="31"/>
      <c r="Y91" s="31"/>
      <c r="Z91" s="31"/>
      <c r="AA91" s="31"/>
      <c r="AB91" s="31"/>
      <c r="AC91" s="31"/>
      <c r="AD91" s="31"/>
    </row>
    <row r="92" spans="1:30" ht="22.5" customHeight="1">
      <c r="A92" s="173">
        <v>57</v>
      </c>
      <c r="B92" s="69" t="str">
        <f>VLOOKUP(C92,Lists!I:J,2,FALSE)</f>
        <v>Tank</v>
      </c>
      <c r="C92" s="174" t="str">
        <f>VLOOKUP(E92&amp;D92,Lists!C:E,3,FALSE)</f>
        <v>SnS/Greatsword</v>
      </c>
      <c r="D92" s="175" t="s">
        <v>34</v>
      </c>
      <c r="E92" s="176" t="s">
        <v>57</v>
      </c>
      <c r="F92" s="175" t="s">
        <v>483</v>
      </c>
      <c r="G92" s="173">
        <v>1</v>
      </c>
      <c r="H92" s="173">
        <v>17</v>
      </c>
      <c r="I92" s="84">
        <f t="shared" si="0"/>
        <v>18</v>
      </c>
      <c r="J92" s="177">
        <v>83565</v>
      </c>
      <c r="K92" s="177">
        <v>257719</v>
      </c>
      <c r="L92" s="177">
        <v>10313</v>
      </c>
      <c r="M92" s="38">
        <f>I92/(HLOOKUP(F92,Team_Composition_23[[#All],[Yellow]:[Red]],10,FALSE)+HLOOKUP(F92,Team_Composition_23[[#All],[Yellow]:[Red]],11,FALSE))</f>
        <v>2.192448233861145E-2</v>
      </c>
      <c r="N92" s="38">
        <f>J92/HLOOKUP(F92,Team_Composition_23[[#All],[Yellow]:[Red]],6,FALSE)</f>
        <v>4.7357938228110947E-3</v>
      </c>
      <c r="O92" s="38">
        <f>K92/HLOOKUP(F92,Team_Composition_23[[#All],[Yellow]:[Red]],8,FALSE)</f>
        <v>5.8551291125500948E-3</v>
      </c>
      <c r="P92" s="38">
        <f>L92/HLOOKUP(F92,Team_Composition_23[[#All],[Yellow]:[Red]],7,FALSE)</f>
        <v>4.2495575214675175E-4</v>
      </c>
      <c r="Q92" s="31"/>
      <c r="R92" s="31"/>
      <c r="S92" s="31"/>
      <c r="T92" s="31"/>
      <c r="U92" s="31"/>
      <c r="V92" s="31"/>
      <c r="W92" s="31"/>
      <c r="X92" s="31"/>
      <c r="Y92" s="31"/>
      <c r="Z92" s="31"/>
      <c r="AA92" s="31"/>
      <c r="AB92" s="31"/>
      <c r="AC92" s="31"/>
      <c r="AD92" s="31"/>
    </row>
    <row r="93" spans="1:30" ht="22.5" customHeight="1">
      <c r="A93" s="173">
        <v>58</v>
      </c>
      <c r="B93" s="52" t="str">
        <f>VLOOKUP(C93,Lists!I:J,2,FALSE)</f>
        <v>Tank</v>
      </c>
      <c r="C93" s="174" t="str">
        <f>VLOOKUP(E93&amp;D93,Lists!C:E,3,FALSE)</f>
        <v>SnS/Greatsword</v>
      </c>
      <c r="D93" s="175" t="s">
        <v>34</v>
      </c>
      <c r="E93" s="176" t="s">
        <v>118</v>
      </c>
      <c r="F93" s="175" t="s">
        <v>483</v>
      </c>
      <c r="G93" s="173">
        <v>1</v>
      </c>
      <c r="H93" s="173">
        <v>17</v>
      </c>
      <c r="I93" s="84">
        <f t="shared" si="0"/>
        <v>18</v>
      </c>
      <c r="J93" s="177">
        <v>72252</v>
      </c>
      <c r="K93" s="177">
        <v>568811</v>
      </c>
      <c r="L93" s="177">
        <v>34103</v>
      </c>
      <c r="M93" s="38">
        <f>I93/(HLOOKUP(F93,Team_Composition_23[[#All],[Yellow]:[Red]],10,FALSE)+HLOOKUP(F93,Team_Composition_23[[#All],[Yellow]:[Red]],11,FALSE))</f>
        <v>2.192448233861145E-2</v>
      </c>
      <c r="N93" s="38">
        <f>J93/HLOOKUP(F93,Team_Composition_23[[#All],[Yellow]:[Red]],6,FALSE)</f>
        <v>4.0946637382366681E-3</v>
      </c>
      <c r="O93" s="38">
        <f>K93/HLOOKUP(F93,Team_Composition_23[[#All],[Yellow]:[Red]],8,FALSE)</f>
        <v>1.292284172156004E-2</v>
      </c>
      <c r="P93" s="38">
        <f>L93/HLOOKUP(F93,Team_Composition_23[[#All],[Yellow]:[Red]],7,FALSE)</f>
        <v>1.4052425109532315E-3</v>
      </c>
      <c r="Q93" s="31"/>
      <c r="R93" s="31"/>
      <c r="S93" s="31"/>
      <c r="T93" s="31"/>
      <c r="U93" s="31"/>
      <c r="V93" s="31"/>
      <c r="W93" s="31"/>
      <c r="X93" s="31"/>
      <c r="Y93" s="31"/>
      <c r="Z93" s="31"/>
      <c r="AA93" s="31"/>
      <c r="AB93" s="31"/>
      <c r="AC93" s="31"/>
      <c r="AD93" s="31"/>
    </row>
    <row r="94" spans="1:30" ht="22.5" customHeight="1">
      <c r="A94" s="173">
        <v>59</v>
      </c>
      <c r="B94" s="71" t="str">
        <f>VLOOKUP(C94,Lists!I:J,2,FALSE)</f>
        <v>Tank</v>
      </c>
      <c r="C94" s="174" t="str">
        <f>VLOOKUP(E94,Lists!D:E,2,FALSE)</f>
        <v>SnS/Greatsword</v>
      </c>
      <c r="D94" s="77" t="s">
        <v>509</v>
      </c>
      <c r="E94" s="98" t="s">
        <v>176</v>
      </c>
      <c r="F94" s="175" t="s">
        <v>483</v>
      </c>
      <c r="G94" s="173">
        <v>1</v>
      </c>
      <c r="H94" s="173">
        <v>16</v>
      </c>
      <c r="I94" s="84">
        <f t="shared" si="0"/>
        <v>17</v>
      </c>
      <c r="J94" s="177">
        <v>54805</v>
      </c>
      <c r="K94" s="177">
        <v>496203</v>
      </c>
      <c r="L94" s="177">
        <v>40137</v>
      </c>
      <c r="M94" s="38">
        <f>I94/(HLOOKUP(F94,Team_Composition_23[[#All],[Yellow]:[Red]],10,FALSE)+HLOOKUP(F94,Team_Composition_23[[#All],[Yellow]:[Red]],11,FALSE))</f>
        <v>2.0706455542021926E-2</v>
      </c>
      <c r="N94" s="38">
        <f>J94/HLOOKUP(F94,Team_Composition_23[[#All],[Yellow]:[Red]],6,FALSE)</f>
        <v>3.1059077419872197E-3</v>
      </c>
      <c r="O94" s="38">
        <f>K94/HLOOKUP(F94,Team_Composition_23[[#All],[Yellow]:[Red]],8,FALSE)</f>
        <v>1.1273257427798085E-2</v>
      </c>
      <c r="P94" s="38">
        <f>L94/HLOOKUP(F94,Team_Composition_23[[#All],[Yellow]:[Red]],7,FALSE)</f>
        <v>1.6538785051793054E-3</v>
      </c>
      <c r="Q94" s="31"/>
      <c r="R94" s="31"/>
      <c r="S94" s="31"/>
      <c r="T94" s="31"/>
      <c r="U94" s="31"/>
      <c r="V94" s="31"/>
      <c r="W94" s="31"/>
      <c r="X94" s="31"/>
      <c r="Y94" s="31"/>
      <c r="Z94" s="31"/>
      <c r="AA94" s="31"/>
      <c r="AB94" s="31"/>
      <c r="AC94" s="31"/>
      <c r="AD94" s="31"/>
    </row>
    <row r="95" spans="1:30" ht="22.5" customHeight="1">
      <c r="A95" s="173">
        <v>60</v>
      </c>
      <c r="B95" s="40" t="str">
        <f>VLOOKUP(C95,Lists!I:J,2,FALSE)</f>
        <v>Tank</v>
      </c>
      <c r="C95" s="180" t="str">
        <f>VLOOKUP(E95&amp;D95,Lists!C:E,3,FALSE)</f>
        <v>SnS/Greatsword</v>
      </c>
      <c r="D95" s="175" t="s">
        <v>30</v>
      </c>
      <c r="E95" s="176" t="s">
        <v>447</v>
      </c>
      <c r="F95" s="175" t="s">
        <v>476</v>
      </c>
      <c r="G95" s="173">
        <v>1</v>
      </c>
      <c r="H95" s="173">
        <v>14</v>
      </c>
      <c r="I95" s="84">
        <f t="shared" si="0"/>
        <v>15</v>
      </c>
      <c r="J95" s="177">
        <v>180996</v>
      </c>
      <c r="K95" s="177">
        <v>777281</v>
      </c>
      <c r="L95" s="177">
        <v>151723</v>
      </c>
      <c r="M95" s="38">
        <f>I95/(HLOOKUP(F95,Team_Composition_23[[#All],[Yellow]:[Red]],10,FALSE)+HLOOKUP(F95,Team_Composition_23[[#All],[Yellow]:[Red]],11,FALSE))</f>
        <v>3.7490627343164211E-3</v>
      </c>
      <c r="N95" s="38">
        <f>J95/HLOOKUP(F95,Team_Composition_23[[#All],[Yellow]:[Red]],6,FALSE)</f>
        <v>4.0798320406479271E-3</v>
      </c>
      <c r="O95" s="38">
        <f>K95/HLOOKUP(F95,Team_Composition_23[[#All],[Yellow]:[Red]],8,FALSE)</f>
        <v>4.4368486519282213E-2</v>
      </c>
      <c r="P95" s="38">
        <f>L95/HLOOKUP(F95,Team_Composition_23[[#All],[Yellow]:[Red]],7,FALSE)</f>
        <v>1.1720791726452698E-2</v>
      </c>
      <c r="Q95" s="31"/>
      <c r="R95" s="31"/>
      <c r="S95" s="31"/>
      <c r="T95" s="31"/>
      <c r="U95" s="31"/>
      <c r="V95" s="31"/>
      <c r="W95" s="31"/>
      <c r="X95" s="31"/>
      <c r="Y95" s="31"/>
      <c r="Z95" s="31"/>
      <c r="AA95" s="31"/>
      <c r="AB95" s="31"/>
      <c r="AC95" s="31"/>
      <c r="AD95" s="31"/>
    </row>
    <row r="96" spans="1:30" ht="22.5" customHeight="1">
      <c r="A96" s="173">
        <v>61</v>
      </c>
      <c r="B96" s="33" t="str">
        <f>VLOOKUP(C96,Lists!I:J,2,FALSE)</f>
        <v>Tank</v>
      </c>
      <c r="C96" s="174" t="str">
        <f>VLOOKUP(E96&amp;D96,Lists!C:E,3,FALSE)</f>
        <v>SnS/Longbow</v>
      </c>
      <c r="D96" s="175" t="s">
        <v>34</v>
      </c>
      <c r="E96" s="176" t="s">
        <v>114</v>
      </c>
      <c r="F96" s="175" t="s">
        <v>483</v>
      </c>
      <c r="G96" s="173">
        <v>1</v>
      </c>
      <c r="H96" s="173">
        <v>13</v>
      </c>
      <c r="I96" s="84">
        <f t="shared" si="0"/>
        <v>14</v>
      </c>
      <c r="J96" s="177">
        <v>66940</v>
      </c>
      <c r="K96" s="177">
        <v>360570</v>
      </c>
      <c r="L96" s="177">
        <v>124736</v>
      </c>
      <c r="M96" s="38">
        <f>I96/(HLOOKUP(F96,Team_Composition_23[[#All],[Yellow]:[Red]],10,FALSE)+HLOOKUP(F96,Team_Composition_23[[#All],[Yellow]:[Red]],11,FALSE))</f>
        <v>1.705237515225335E-2</v>
      </c>
      <c r="N96" s="38">
        <f>J96/HLOOKUP(F96,Team_Composition_23[[#All],[Yellow]:[Red]],6,FALSE)</f>
        <v>3.7936221922931211E-3</v>
      </c>
      <c r="O96" s="38">
        <f>K96/HLOOKUP(F96,Team_Composition_23[[#All],[Yellow]:[Red]],8,FALSE)</f>
        <v>8.1918054319324064E-3</v>
      </c>
      <c r="P96" s="38">
        <f>L96/HLOOKUP(F96,Team_Composition_23[[#All],[Yellow]:[Red]],7,FALSE)</f>
        <v>5.1398507417606152E-3</v>
      </c>
      <c r="Q96" s="31"/>
      <c r="R96" s="31"/>
      <c r="S96" s="31"/>
      <c r="T96" s="31"/>
      <c r="U96" s="31"/>
      <c r="V96" s="31"/>
      <c r="W96" s="31"/>
      <c r="X96" s="31"/>
      <c r="Y96" s="31"/>
      <c r="Z96" s="31"/>
      <c r="AA96" s="31"/>
      <c r="AB96" s="31"/>
      <c r="AC96" s="31"/>
      <c r="AD96" s="31"/>
    </row>
    <row r="97" spans="1:30" ht="22.5" customHeight="1">
      <c r="A97" s="173">
        <v>51</v>
      </c>
      <c r="B97" s="54" t="str">
        <f>VLOOKUP(C97,Lists!I:J,2,FALSE)</f>
        <v>Tank</v>
      </c>
      <c r="C97" s="180" t="str">
        <f>VLOOKUP(E97&amp;D97,Lists!C:E,3,FALSE)</f>
        <v>SnS/Spear</v>
      </c>
      <c r="D97" s="175" t="s">
        <v>30</v>
      </c>
      <c r="E97" s="176" t="s">
        <v>421</v>
      </c>
      <c r="F97" s="175" t="s">
        <v>476</v>
      </c>
      <c r="G97" s="173">
        <v>2</v>
      </c>
      <c r="H97" s="173">
        <v>11</v>
      </c>
      <c r="I97" s="84">
        <f t="shared" si="0"/>
        <v>13</v>
      </c>
      <c r="J97" s="177">
        <v>135840</v>
      </c>
      <c r="K97" s="177">
        <v>1452381</v>
      </c>
      <c r="L97" s="177">
        <v>42265</v>
      </c>
      <c r="M97" s="38">
        <f>I97/(HLOOKUP(F97,Team_Composition_23[[#All],[Yellow]:[Red]],10,FALSE)+HLOOKUP(F97,Team_Composition_23[[#All],[Yellow]:[Red]],11,FALSE))</f>
        <v>3.2491877030742314E-3</v>
      </c>
      <c r="N97" s="38">
        <f>J97/HLOOKUP(F97,Team_Composition_23[[#All],[Yellow]:[Red]],6,FALSE)</f>
        <v>3.0619703441049214E-3</v>
      </c>
      <c r="O97" s="38">
        <f>K97/HLOOKUP(F97,Team_Composition_23[[#All],[Yellow]:[Red]],8,FALSE)</f>
        <v>8.2904312364976918E-2</v>
      </c>
      <c r="P97" s="38">
        <f>L97/HLOOKUP(F97,Team_Composition_23[[#All],[Yellow]:[Red]],7,FALSE)</f>
        <v>3.2650241711442781E-3</v>
      </c>
      <c r="Q97" s="31"/>
      <c r="R97" s="31"/>
      <c r="S97" s="31"/>
      <c r="T97" s="31"/>
      <c r="U97" s="31"/>
      <c r="V97" s="31"/>
      <c r="W97" s="31"/>
      <c r="X97" s="31"/>
      <c r="Y97" s="31"/>
      <c r="Z97" s="31"/>
      <c r="AA97" s="31"/>
      <c r="AB97" s="31"/>
      <c r="AC97" s="31"/>
      <c r="AD97" s="31"/>
    </row>
    <row r="98" spans="1:30" ht="22.5" customHeight="1">
      <c r="A98" s="173">
        <v>62</v>
      </c>
      <c r="B98" s="33" t="str">
        <f>VLOOKUP(C98,Lists!I:J,2,FALSE)</f>
        <v>Tank</v>
      </c>
      <c r="C98" s="180" t="str">
        <f>VLOOKUP(E98&amp;D98,Lists!C:E,3,FALSE)</f>
        <v>SnS/Greatsword</v>
      </c>
      <c r="D98" s="175" t="s">
        <v>30</v>
      </c>
      <c r="E98" s="176" t="s">
        <v>437</v>
      </c>
      <c r="F98" s="175" t="s">
        <v>476</v>
      </c>
      <c r="G98" s="173">
        <v>1</v>
      </c>
      <c r="H98" s="173">
        <v>11</v>
      </c>
      <c r="I98" s="84">
        <f t="shared" si="0"/>
        <v>12</v>
      </c>
      <c r="J98" s="177">
        <v>122399</v>
      </c>
      <c r="K98" s="177">
        <v>1148542</v>
      </c>
      <c r="L98" s="177">
        <v>139205</v>
      </c>
      <c r="M98" s="38">
        <f>I98/(HLOOKUP(F98,Team_Composition_23[[#All],[Yellow]:[Red]],10,FALSE)+HLOOKUP(F98,Team_Composition_23[[#All],[Yellow]:[Red]],11,FALSE))</f>
        <v>2.9992501874531365E-3</v>
      </c>
      <c r="N98" s="38">
        <f>J98/HLOOKUP(F98,Team_Composition_23[[#All],[Yellow]:[Red]],6,FALSE)</f>
        <v>2.7589966736461888E-3</v>
      </c>
      <c r="O98" s="38">
        <f>K98/HLOOKUP(F98,Team_Composition_23[[#All],[Yellow]:[Red]],8,FALSE)</f>
        <v>6.5560679141558109E-2</v>
      </c>
      <c r="P98" s="38">
        <f>L98/HLOOKUP(F98,Team_Composition_23[[#All],[Yellow]:[Red]],7,FALSE)</f>
        <v>1.0753760552327912E-2</v>
      </c>
      <c r="Q98" s="31"/>
      <c r="R98" s="31"/>
      <c r="S98" s="31"/>
      <c r="T98" s="31"/>
      <c r="U98" s="31"/>
      <c r="V98" s="31"/>
      <c r="W98" s="31"/>
      <c r="X98" s="31"/>
      <c r="Y98" s="31"/>
      <c r="Z98" s="31"/>
      <c r="AA98" s="31"/>
      <c r="AB98" s="31"/>
      <c r="AC98" s="31"/>
      <c r="AD98" s="31"/>
    </row>
    <row r="99" spans="1:30" ht="22.5" customHeight="1">
      <c r="A99" s="173">
        <v>100</v>
      </c>
      <c r="B99" s="53" t="str">
        <f>VLOOKUP(C99,Lists!I:J,2,FALSE)</f>
        <v>Tank</v>
      </c>
      <c r="C99" s="180" t="str">
        <f>VLOOKUP(E99&amp;D99,Lists!C:E,3,FALSE)</f>
        <v>SnS/Spear</v>
      </c>
      <c r="D99" s="175" t="s">
        <v>30</v>
      </c>
      <c r="E99" s="176" t="s">
        <v>443</v>
      </c>
      <c r="F99" s="175" t="s">
        <v>476</v>
      </c>
      <c r="G99" s="173">
        <v>0</v>
      </c>
      <c r="H99" s="173">
        <v>10</v>
      </c>
      <c r="I99" s="84">
        <f t="shared" si="0"/>
        <v>10</v>
      </c>
      <c r="J99" s="177">
        <v>86939</v>
      </c>
      <c r="K99" s="177">
        <v>1149864</v>
      </c>
      <c r="L99" s="177">
        <v>69825</v>
      </c>
      <c r="M99" s="38">
        <f>I99/(HLOOKUP(F99,Team_Composition_23[[#All],[Yellow]:[Red]],10,FALSE)+HLOOKUP(F99,Team_Composition_23[[#All],[Yellow]:[Red]],11,FALSE))</f>
        <v>2.4993751562109472E-3</v>
      </c>
      <c r="N99" s="38">
        <f>J99/HLOOKUP(F99,Team_Composition_23[[#All],[Yellow]:[Red]],6,FALSE)</f>
        <v>1.9596925776364676E-3</v>
      </c>
      <c r="O99" s="38">
        <f>K99/HLOOKUP(F99,Team_Composition_23[[#All],[Yellow]:[Red]],8,FALSE)</f>
        <v>6.5636141090555308E-2</v>
      </c>
      <c r="P99" s="38">
        <f>L99/HLOOKUP(F99,Team_Composition_23[[#All],[Yellow]:[Red]],7,FALSE)</f>
        <v>5.3940686797621963E-3</v>
      </c>
      <c r="Q99" s="31"/>
      <c r="R99" s="31"/>
      <c r="S99" s="31"/>
      <c r="T99" s="31"/>
      <c r="U99" s="31"/>
      <c r="V99" s="31"/>
      <c r="W99" s="31"/>
      <c r="X99" s="31"/>
      <c r="Y99" s="31"/>
      <c r="Z99" s="31"/>
      <c r="AA99" s="31"/>
      <c r="AB99" s="31"/>
      <c r="AC99" s="31"/>
      <c r="AD99" s="31"/>
    </row>
    <row r="100" spans="1:30" ht="22.5" customHeight="1">
      <c r="A100" s="173">
        <v>102</v>
      </c>
      <c r="B100" s="66" t="str">
        <f>VLOOKUP(C100,Lists!I:J,2,FALSE)</f>
        <v>Ranged DPS</v>
      </c>
      <c r="C100" s="174" t="s">
        <v>45</v>
      </c>
      <c r="D100" s="175" t="s">
        <v>518</v>
      </c>
      <c r="E100" s="176" t="s">
        <v>177</v>
      </c>
      <c r="F100" s="175" t="s">
        <v>483</v>
      </c>
      <c r="G100" s="173">
        <v>0</v>
      </c>
      <c r="H100" s="173">
        <v>10</v>
      </c>
      <c r="I100" s="84">
        <f t="shared" si="0"/>
        <v>10</v>
      </c>
      <c r="J100" s="177">
        <v>30111</v>
      </c>
      <c r="K100" s="177">
        <v>124158</v>
      </c>
      <c r="L100" s="177">
        <v>3217</v>
      </c>
      <c r="M100" s="38">
        <f>I100/(HLOOKUP(F100,Team_Composition_23[[#All],[Yellow]:[Red]],10,FALSE)+HLOOKUP(F100,Team_Composition_23[[#All],[Yellow]:[Red]],11,FALSE))</f>
        <v>1.2180267965895249E-2</v>
      </c>
      <c r="N100" s="38">
        <f>J100/HLOOKUP(F100,Team_Composition_23[[#All],[Yellow]:[Red]],6,FALSE)</f>
        <v>1.7064499227985982E-3</v>
      </c>
      <c r="O100" s="38">
        <f>K100/HLOOKUP(F100,Team_Composition_23[[#All],[Yellow]:[Red]],8,FALSE)</f>
        <v>2.820750974340249E-3</v>
      </c>
      <c r="P100" s="38">
        <f>L100/HLOOKUP(F100,Team_Composition_23[[#All],[Yellow]:[Red]],7,FALSE)</f>
        <v>1.3255916364356642E-4</v>
      </c>
      <c r="Q100" s="31"/>
      <c r="R100" s="31"/>
      <c r="S100" s="31"/>
      <c r="T100" s="31"/>
      <c r="U100" s="31"/>
      <c r="V100" s="31"/>
      <c r="W100" s="31"/>
      <c r="X100" s="31"/>
      <c r="Y100" s="31"/>
      <c r="Z100" s="31"/>
      <c r="AA100" s="31"/>
      <c r="AB100" s="31"/>
      <c r="AC100" s="31"/>
      <c r="AD100" s="31"/>
    </row>
    <row r="101" spans="1:30" ht="22.5" customHeight="1">
      <c r="A101" s="173">
        <v>101</v>
      </c>
      <c r="B101" s="65" t="str">
        <f>VLOOKUP(C101,Lists!I:J,2,FALSE)</f>
        <v>Tank</v>
      </c>
      <c r="C101" s="174" t="str">
        <f>VLOOKUP(E101&amp;D101,Lists!C:E,3,FALSE)</f>
        <v>SnS/Greatsword</v>
      </c>
      <c r="D101" s="77" t="s">
        <v>34</v>
      </c>
      <c r="E101" s="176" t="s">
        <v>109</v>
      </c>
      <c r="F101" s="175" t="s">
        <v>483</v>
      </c>
      <c r="G101" s="173">
        <v>0</v>
      </c>
      <c r="H101" s="173">
        <v>10</v>
      </c>
      <c r="I101" s="84">
        <f t="shared" si="0"/>
        <v>10</v>
      </c>
      <c r="J101" s="177">
        <v>49597</v>
      </c>
      <c r="K101" s="177">
        <v>973645</v>
      </c>
      <c r="L101" s="177">
        <v>10460</v>
      </c>
      <c r="M101" s="38">
        <f>I101/(HLOOKUP(F101,Team_Composition_23[[#All],[Yellow]:[Red]],10,FALSE)+HLOOKUP(F101,Team_Composition_23[[#All],[Yellow]:[Red]],11,FALSE))</f>
        <v>1.2180267965895249E-2</v>
      </c>
      <c r="N101" s="38">
        <f>J101/HLOOKUP(F101,Team_Composition_23[[#All],[Yellow]:[Red]],6,FALSE)</f>
        <v>2.8107600817323265E-3</v>
      </c>
      <c r="O101" s="38">
        <f>K101/HLOOKUP(F101,Team_Composition_23[[#All],[Yellow]:[Red]],8,FALSE)</f>
        <v>2.2120282884804138E-2</v>
      </c>
      <c r="P101" s="38">
        <f>L101/HLOOKUP(F101,Team_Composition_23[[#All],[Yellow]:[Red]],7,FALSE)</f>
        <v>4.3101300954669091E-4</v>
      </c>
      <c r="Q101" s="31"/>
      <c r="R101" s="31"/>
      <c r="S101" s="31"/>
      <c r="T101" s="31"/>
      <c r="U101" s="31"/>
      <c r="V101" s="31"/>
      <c r="W101" s="31"/>
      <c r="X101" s="31"/>
      <c r="Y101" s="31"/>
      <c r="Z101" s="31"/>
      <c r="AA101" s="31"/>
      <c r="AB101" s="31"/>
      <c r="AC101" s="31"/>
      <c r="AD101" s="31"/>
    </row>
    <row r="102" spans="1:30" ht="22.5" customHeight="1">
      <c r="A102" s="173">
        <v>63</v>
      </c>
      <c r="B102" s="60" t="str">
        <f>VLOOKUP(C102,Lists!I:J,2,FALSE)</f>
        <v>Tank</v>
      </c>
      <c r="C102" s="180" t="str">
        <f>VLOOKUP(E102&amp;D102,Lists!C:E,3,FALSE)</f>
        <v>SnS/Spear</v>
      </c>
      <c r="D102" s="175" t="s">
        <v>30</v>
      </c>
      <c r="E102" s="176" t="s">
        <v>427</v>
      </c>
      <c r="F102" s="175" t="s">
        <v>476</v>
      </c>
      <c r="G102" s="173">
        <v>1</v>
      </c>
      <c r="H102" s="173">
        <v>8</v>
      </c>
      <c r="I102" s="84">
        <f t="shared" si="0"/>
        <v>9</v>
      </c>
      <c r="J102" s="177">
        <v>42381</v>
      </c>
      <c r="K102" s="177">
        <v>794405</v>
      </c>
      <c r="L102" s="177">
        <v>16733</v>
      </c>
      <c r="M102" s="38">
        <f>I102/(HLOOKUP(F102,Team_Composition_23[[#All],[Yellow]:[Red]],10,FALSE)+HLOOKUP(F102,Team_Composition_23[[#All],[Yellow]:[Red]],11,FALSE))</f>
        <v>2.2494376405898524E-3</v>
      </c>
      <c r="N102" s="38">
        <f>J102/HLOOKUP(F102,Team_Composition_23[[#All],[Yellow]:[Red]],6,FALSE)</f>
        <v>9.5531040307354743E-4</v>
      </c>
      <c r="O102" s="38">
        <f>K102/HLOOKUP(F102,Team_Composition_23[[#All],[Yellow]:[Red]],8,FALSE)</f>
        <v>4.5345952793584797E-2</v>
      </c>
      <c r="P102" s="38">
        <f>L102/HLOOKUP(F102,Team_Composition_23[[#All],[Yellow]:[Red]],7,FALSE)</f>
        <v>1.2926452018397539E-3</v>
      </c>
      <c r="Q102" s="31"/>
      <c r="R102" s="31"/>
      <c r="S102" s="31"/>
      <c r="T102" s="31"/>
      <c r="U102" s="31"/>
      <c r="V102" s="31"/>
      <c r="W102" s="31"/>
      <c r="X102" s="31"/>
      <c r="Y102" s="31"/>
      <c r="Z102" s="31"/>
      <c r="AA102" s="31"/>
      <c r="AB102" s="31"/>
      <c r="AC102" s="31"/>
      <c r="AD102" s="31"/>
    </row>
    <row r="103" spans="1:30" ht="22.5" customHeight="1">
      <c r="A103" s="173">
        <v>103</v>
      </c>
      <c r="B103" s="65" t="str">
        <f>VLOOKUP(C103,Lists!I:J,2,FALSE)</f>
        <v>Tank</v>
      </c>
      <c r="C103" s="180" t="str">
        <f>VLOOKUP(E103&amp;D103,Lists!C:E,3,FALSE)</f>
        <v>SnS/Greatsword</v>
      </c>
      <c r="D103" s="175" t="s">
        <v>30</v>
      </c>
      <c r="E103" s="178" t="s">
        <v>174</v>
      </c>
      <c r="F103" s="175" t="s">
        <v>476</v>
      </c>
      <c r="G103" s="173">
        <v>0</v>
      </c>
      <c r="H103" s="173">
        <v>9</v>
      </c>
      <c r="I103" s="84">
        <f t="shared" si="0"/>
        <v>9</v>
      </c>
      <c r="J103" s="177">
        <v>102047</v>
      </c>
      <c r="K103" s="177">
        <v>1615547</v>
      </c>
      <c r="L103" s="177">
        <v>84058</v>
      </c>
      <c r="M103" s="38">
        <f>I103/(HLOOKUP(F103,Team_Composition_23[[#All],[Yellow]:[Red]],10,FALSE)+HLOOKUP(F103,Team_Composition_23[[#All],[Yellow]:[Red]],11,FALSE))</f>
        <v>2.2494376405898524E-3</v>
      </c>
      <c r="N103" s="38">
        <f>J103/HLOOKUP(F103,Team_Composition_23[[#All],[Yellow]:[Red]],6,FALSE)</f>
        <v>2.3002421061901865E-3</v>
      </c>
      <c r="O103" s="38">
        <f>K103/HLOOKUP(F103,Team_Composition_23[[#All],[Yellow]:[Red]],8,FALSE)</f>
        <v>9.22180978188928E-2</v>
      </c>
      <c r="P103" s="38">
        <f>L103/HLOOKUP(F103,Team_Composition_23[[#All],[Yellow]:[Red]],7,FALSE)</f>
        <v>6.4935857512846496E-3</v>
      </c>
      <c r="Q103" s="31"/>
      <c r="R103" s="31"/>
      <c r="S103" s="31"/>
      <c r="T103" s="31"/>
      <c r="U103" s="31"/>
      <c r="V103" s="31"/>
      <c r="W103" s="31"/>
      <c r="X103" s="31"/>
      <c r="Y103" s="31"/>
      <c r="Z103" s="31"/>
      <c r="AA103" s="31"/>
      <c r="AB103" s="31"/>
      <c r="AC103" s="31"/>
      <c r="AD103" s="31"/>
    </row>
    <row r="104" spans="1:30" ht="22.5" customHeight="1">
      <c r="A104" s="173">
        <v>105</v>
      </c>
      <c r="B104" s="34" t="str">
        <f>VLOOKUP(C104,Lists!I:J,2,FALSE)</f>
        <v>Healer</v>
      </c>
      <c r="C104" s="180" t="str">
        <f>VLOOKUP(E104&amp;D104,Lists!C:E,3,FALSE)</f>
        <v>Wand/Longbow</v>
      </c>
      <c r="D104" s="175" t="s">
        <v>30</v>
      </c>
      <c r="E104" s="178" t="s">
        <v>444</v>
      </c>
      <c r="F104" s="175" t="s">
        <v>476</v>
      </c>
      <c r="G104" s="173">
        <v>0</v>
      </c>
      <c r="H104" s="173">
        <v>9</v>
      </c>
      <c r="I104" s="84">
        <f t="shared" si="0"/>
        <v>9</v>
      </c>
      <c r="J104" s="177">
        <v>32777</v>
      </c>
      <c r="K104" s="177">
        <v>493086</v>
      </c>
      <c r="L104" s="177">
        <v>1935399</v>
      </c>
      <c r="M104" s="38">
        <f>I104/(HLOOKUP(F104,Team_Composition_23[[#All],[Yellow]:[Red]],10,FALSE)+HLOOKUP(F104,Team_Composition_23[[#All],[Yellow]:[Red]],11,FALSE))</f>
        <v>2.2494376405898524E-3</v>
      </c>
      <c r="N104" s="38">
        <f>J104/HLOOKUP(F104,Team_Composition_23[[#All],[Yellow]:[Red]],6,FALSE)</f>
        <v>7.3882657515258402E-4</v>
      </c>
      <c r="O104" s="38">
        <f>K104/HLOOKUP(F104,Team_Composition_23[[#All],[Yellow]:[Red]],8,FALSE)</f>
        <v>2.8146165342838418E-2</v>
      </c>
      <c r="P104" s="38">
        <f>L104/HLOOKUP(F104,Team_Composition_23[[#All],[Yellow]:[Red]],7,FALSE)</f>
        <v>0.14951199611518903</v>
      </c>
      <c r="Q104" s="31"/>
      <c r="R104" s="31"/>
      <c r="S104" s="31"/>
      <c r="T104" s="31"/>
      <c r="U104" s="31"/>
      <c r="V104" s="31"/>
      <c r="W104" s="31"/>
      <c r="X104" s="31"/>
      <c r="Y104" s="31"/>
      <c r="Z104" s="31"/>
      <c r="AA104" s="31"/>
      <c r="AB104" s="31"/>
      <c r="AC104" s="31"/>
      <c r="AD104" s="31"/>
    </row>
    <row r="105" spans="1:30" ht="22.5" customHeight="1">
      <c r="A105" s="173">
        <v>104</v>
      </c>
      <c r="B105" s="53" t="str">
        <f>VLOOKUP(C105,Lists!I:J,2,FALSE)</f>
        <v>Healer</v>
      </c>
      <c r="C105" s="174" t="str">
        <f>VLOOKUP(E105&amp;D105,Lists!C:E,3,FALSE)</f>
        <v>Wand/Longbow</v>
      </c>
      <c r="D105" s="77" t="s">
        <v>34</v>
      </c>
      <c r="E105" s="178" t="s">
        <v>136</v>
      </c>
      <c r="F105" s="175" t="s">
        <v>483</v>
      </c>
      <c r="G105" s="173">
        <v>0</v>
      </c>
      <c r="H105" s="173">
        <v>9</v>
      </c>
      <c r="I105" s="84">
        <f t="shared" si="0"/>
        <v>9</v>
      </c>
      <c r="J105" s="177">
        <v>53444</v>
      </c>
      <c r="K105" s="177">
        <v>393385</v>
      </c>
      <c r="L105" s="177">
        <v>697791</v>
      </c>
      <c r="M105" s="38">
        <f>I105/(HLOOKUP(F105,Team_Composition_23[[#All],[Yellow]:[Red]],10,FALSE)+HLOOKUP(F105,Team_Composition_23[[#All],[Yellow]:[Red]],11,FALSE))</f>
        <v>1.0962241169305725E-2</v>
      </c>
      <c r="N105" s="38">
        <f>J105/HLOOKUP(F105,Team_Composition_23[[#All],[Yellow]:[Red]],6,FALSE)</f>
        <v>3.0287771802347411E-3</v>
      </c>
      <c r="O105" s="38">
        <f>K105/HLOOKUP(F105,Team_Composition_23[[#All],[Yellow]:[Red]],8,FALSE)</f>
        <v>8.9373308368436901E-3</v>
      </c>
      <c r="P105" s="38">
        <f>L105/HLOOKUP(F105,Team_Composition_23[[#All],[Yellow]:[Red]],7,FALSE)</f>
        <v>2.8753059172523424E-2</v>
      </c>
      <c r="Q105" s="31"/>
      <c r="R105" s="31"/>
      <c r="S105" s="31"/>
      <c r="T105" s="31"/>
      <c r="U105" s="31"/>
      <c r="V105" s="31"/>
      <c r="W105" s="31"/>
      <c r="X105" s="31"/>
      <c r="Y105" s="31"/>
      <c r="Z105" s="31"/>
      <c r="AA105" s="31"/>
      <c r="AB105" s="31"/>
      <c r="AC105" s="31"/>
      <c r="AD105" s="31"/>
    </row>
    <row r="106" spans="1:30" ht="22.5" customHeight="1">
      <c r="A106" s="173">
        <v>64</v>
      </c>
      <c r="B106" s="57" t="str">
        <f>VLOOKUP(C106,Lists!I:J,2,FALSE)</f>
        <v>Tank</v>
      </c>
      <c r="C106" s="180" t="str">
        <f>VLOOKUP(E106&amp;D106,Lists!C:E,3,FALSE)</f>
        <v>SnS/Greatsword</v>
      </c>
      <c r="D106" s="175" t="s">
        <v>30</v>
      </c>
      <c r="E106" s="176" t="s">
        <v>438</v>
      </c>
      <c r="F106" s="175" t="s">
        <v>476</v>
      </c>
      <c r="G106" s="173">
        <v>1</v>
      </c>
      <c r="H106" s="173">
        <v>5</v>
      </c>
      <c r="I106" s="84">
        <f t="shared" si="0"/>
        <v>6</v>
      </c>
      <c r="J106" s="177">
        <v>87865</v>
      </c>
      <c r="K106" s="177">
        <v>1478278</v>
      </c>
      <c r="L106" s="177">
        <v>89783</v>
      </c>
      <c r="M106" s="38">
        <f>I106/(HLOOKUP(F106,Team_Composition_23[[#All],[Yellow]:[Red]],10,FALSE)+HLOOKUP(F106,Team_Composition_23[[#All],[Yellow]:[Red]],11,FALSE))</f>
        <v>1.4996250937265683E-3</v>
      </c>
      <c r="N106" s="38">
        <f>J106/HLOOKUP(F106,Team_Composition_23[[#All],[Yellow]:[Red]],6,FALSE)</f>
        <v>1.9805655497996092E-3</v>
      </c>
      <c r="O106" s="38">
        <f>K106/HLOOKUP(F106,Team_Composition_23[[#All],[Yellow]:[Red]],8,FALSE)</f>
        <v>8.4382556005809309E-2</v>
      </c>
      <c r="P106" s="38">
        <f>L106/HLOOKUP(F106,Team_Composition_23[[#All],[Yellow]:[Red]],7,FALSE)</f>
        <v>6.9358491697112676E-3</v>
      </c>
      <c r="Q106" s="31"/>
      <c r="R106" s="31"/>
      <c r="S106" s="31"/>
      <c r="T106" s="31"/>
      <c r="U106" s="31"/>
      <c r="V106" s="31"/>
      <c r="W106" s="31"/>
      <c r="X106" s="31"/>
      <c r="Y106" s="31"/>
      <c r="Z106" s="31"/>
      <c r="AA106" s="31"/>
      <c r="AB106" s="31"/>
      <c r="AC106" s="31"/>
      <c r="AD106" s="31"/>
    </row>
    <row r="107" spans="1:30" ht="22.5" customHeight="1">
      <c r="A107" s="173">
        <v>106</v>
      </c>
      <c r="B107" s="53" t="str">
        <f>VLOOKUP(C107,Lists!I:J,2,FALSE)</f>
        <v>Healer</v>
      </c>
      <c r="C107" s="174" t="s">
        <v>9</v>
      </c>
      <c r="D107" s="175" t="s">
        <v>34</v>
      </c>
      <c r="E107" s="178" t="s">
        <v>135</v>
      </c>
      <c r="F107" s="175" t="s">
        <v>483</v>
      </c>
      <c r="G107" s="173">
        <v>0</v>
      </c>
      <c r="H107" s="173">
        <v>6</v>
      </c>
      <c r="I107" s="84">
        <f t="shared" si="0"/>
        <v>6</v>
      </c>
      <c r="J107" s="177">
        <v>2493</v>
      </c>
      <c r="K107" s="177">
        <v>223940</v>
      </c>
      <c r="L107" s="177">
        <v>500947</v>
      </c>
      <c r="M107" s="38">
        <f>I107/(HLOOKUP(F107,Team_Composition_23[[#All],[Yellow]:[Red]],10,FALSE)+HLOOKUP(F107,Team_Composition_23[[#All],[Yellow]:[Red]],11,FALSE))</f>
        <v>7.3081607795371494E-3</v>
      </c>
      <c r="N107" s="38">
        <f>J107/HLOOKUP(F107,Team_Composition_23[[#All],[Yellow]:[Red]],6,FALSE)</f>
        <v>1.4128324059436436E-4</v>
      </c>
      <c r="O107" s="38">
        <f>K107/HLOOKUP(F107,Team_Composition_23[[#All],[Yellow]:[Red]],8,FALSE)</f>
        <v>5.087702549926347E-3</v>
      </c>
      <c r="P107" s="38">
        <f>L107/HLOOKUP(F107,Team_Composition_23[[#All],[Yellow]:[Red]],7,FALSE)</f>
        <v>2.0641938249845716E-2</v>
      </c>
      <c r="Q107" s="31"/>
      <c r="R107" s="31"/>
      <c r="S107" s="31"/>
      <c r="T107" s="31"/>
      <c r="U107" s="31"/>
      <c r="V107" s="31"/>
      <c r="W107" s="31"/>
      <c r="X107" s="31"/>
      <c r="Y107" s="31"/>
      <c r="Z107" s="31"/>
      <c r="AA107" s="31"/>
      <c r="AB107" s="31"/>
      <c r="AC107" s="31"/>
      <c r="AD107" s="31"/>
    </row>
    <row r="108" spans="1:30" ht="22.5" customHeight="1">
      <c r="A108" s="173">
        <v>107</v>
      </c>
      <c r="B108" s="34" t="str">
        <f>VLOOKUP(C108,Lists!I:J,2,FALSE)</f>
        <v>Ranged DPS</v>
      </c>
      <c r="C108" s="180" t="str">
        <f>VLOOKUP(E108&amp;D108,Lists!C:E,3,FALSE)</f>
        <v>SnS/Wand</v>
      </c>
      <c r="D108" s="175" t="s">
        <v>30</v>
      </c>
      <c r="E108" s="178" t="s">
        <v>424</v>
      </c>
      <c r="F108" s="175" t="s">
        <v>476</v>
      </c>
      <c r="G108" s="173">
        <v>0</v>
      </c>
      <c r="H108" s="173">
        <v>4</v>
      </c>
      <c r="I108" s="84">
        <f t="shared" si="0"/>
        <v>4</v>
      </c>
      <c r="J108" s="177">
        <v>25179</v>
      </c>
      <c r="K108" s="177">
        <v>791058</v>
      </c>
      <c r="L108" s="177">
        <v>474528</v>
      </c>
      <c r="M108" s="38">
        <f>I108/(HLOOKUP(F108,Team_Composition_23[[#All],[Yellow]:[Red]],10,FALSE)+HLOOKUP(F108,Team_Composition_23[[#All],[Yellow]:[Red]],11,FALSE))</f>
        <v>9.9975006248437899E-4</v>
      </c>
      <c r="N108" s="38">
        <f>J108/HLOOKUP(F108,Team_Composition_23[[#All],[Yellow]:[Red]],6,FALSE)</f>
        <v>5.6756000658287557E-4</v>
      </c>
      <c r="O108" s="38">
        <f>K108/HLOOKUP(F108,Team_Composition_23[[#All],[Yellow]:[Red]],8,FALSE)</f>
        <v>4.5154900491547266E-2</v>
      </c>
      <c r="P108" s="38">
        <f>L108/HLOOKUP(F108,Team_Composition_23[[#All],[Yellow]:[Red]],7,FALSE)</f>
        <v>3.6657882169283139E-2</v>
      </c>
      <c r="Q108" s="31"/>
      <c r="R108" s="31"/>
      <c r="S108" s="31"/>
      <c r="T108" s="31"/>
      <c r="U108" s="31"/>
      <c r="V108" s="31"/>
      <c r="W108" s="31"/>
      <c r="X108" s="31"/>
      <c r="Y108" s="31"/>
      <c r="Z108" s="31"/>
      <c r="AA108" s="31"/>
      <c r="AB108" s="31"/>
      <c r="AC108" s="31"/>
      <c r="AD108" s="31"/>
    </row>
    <row r="109" spans="1:30" ht="22.5" customHeight="1">
      <c r="A109" s="173">
        <v>108</v>
      </c>
      <c r="B109" s="53" t="str">
        <f>VLOOKUP(C109,Lists!I:J,2,FALSE)</f>
        <v>Healer</v>
      </c>
      <c r="C109" s="180" t="str">
        <f>VLOOKUP(E109&amp;D109,Lists!C:E,3,FALSE)</f>
        <v>Wand/Orb</v>
      </c>
      <c r="D109" s="77" t="s">
        <v>30</v>
      </c>
      <c r="E109" s="176" t="s">
        <v>199</v>
      </c>
      <c r="F109" s="175" t="s">
        <v>476</v>
      </c>
      <c r="G109" s="173">
        <v>0</v>
      </c>
      <c r="H109" s="173">
        <v>2</v>
      </c>
      <c r="I109" s="84">
        <f t="shared" si="0"/>
        <v>2</v>
      </c>
      <c r="J109" s="177">
        <v>5948</v>
      </c>
      <c r="K109" s="177">
        <v>991144</v>
      </c>
      <c r="L109" s="177">
        <v>1917492</v>
      </c>
      <c r="M109" s="38">
        <f>I109/(HLOOKUP(F109,Team_Composition_23[[#All],[Yellow]:[Red]],10,FALSE)+HLOOKUP(F109,Team_Composition_23[[#All],[Yellow]:[Red]],11,FALSE))</f>
        <v>4.9987503124218949E-4</v>
      </c>
      <c r="N109" s="38">
        <f>J109/HLOOKUP(F109,Team_Composition_23[[#All],[Yellow]:[Red]],6,FALSE)</f>
        <v>1.3407390758786862E-4</v>
      </c>
      <c r="O109" s="38">
        <f>K109/HLOOKUP(F109,Team_Composition_23[[#All],[Yellow]:[Red]],8,FALSE)</f>
        <v>5.6576140678425757E-2</v>
      </c>
      <c r="P109" s="38">
        <f>L109/HLOOKUP(F109,Team_Composition_23[[#All],[Yellow]:[Red]],7,FALSE)</f>
        <v>0.14812865794335228</v>
      </c>
      <c r="Q109" s="31"/>
      <c r="R109" s="31"/>
      <c r="S109" s="31"/>
      <c r="T109" s="31"/>
      <c r="U109" s="31"/>
      <c r="V109" s="31"/>
      <c r="W109" s="31"/>
      <c r="X109" s="31"/>
      <c r="Y109" s="31"/>
      <c r="Z109" s="31"/>
      <c r="AA109" s="31"/>
      <c r="AB109" s="31"/>
      <c r="AC109" s="31"/>
      <c r="AD109" s="31"/>
    </row>
    <row r="110" spans="1:30" ht="22.5" customHeight="1">
      <c r="A110" s="82"/>
      <c r="B110" s="34" t="e">
        <f>VLOOKUP(C110,Lists!I:J,2,FALSE)</f>
        <v>#N/A</v>
      </c>
      <c r="C110" s="183"/>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53" t="e">
        <f>VLOOKUP(C111,Lists!I:J,2,FALSE)</f>
        <v>#N/A</v>
      </c>
      <c r="C111" s="184"/>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34" t="e">
        <f>VLOOKUP(C112,Lists!I:J,2,FALSE)</f>
        <v>#N/A</v>
      </c>
      <c r="C112" s="183"/>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53" t="e">
        <f>VLOOKUP(C113,Lists!I:J,2,FALSE)</f>
        <v>#N/A</v>
      </c>
      <c r="C113" s="184"/>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34" t="e">
        <f>VLOOKUP(C114,Lists!I:J,2,FALSE)</f>
        <v>#N/A</v>
      </c>
      <c r="C114" s="183"/>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53" t="e">
        <f>VLOOKUP(C115,Lists!I:J,2,FALSE)</f>
        <v>#N/A</v>
      </c>
      <c r="C115" s="184"/>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34" t="e">
        <f>VLOOKUP(C116,Lists!I:J,2,FALSE)</f>
        <v>#N/A</v>
      </c>
      <c r="C116" s="183"/>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53" t="e">
        <f>VLOOKUP(C117,Lists!I:J,2,FALSE)</f>
        <v>#N/A</v>
      </c>
      <c r="C117" s="184"/>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34" t="e">
        <f>VLOOKUP(C118,Lists!I:J,2,FALSE)</f>
        <v>#N/A</v>
      </c>
      <c r="C118" s="183"/>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53" t="e">
        <f>VLOOKUP(C119,Lists!I:J,2,FALSE)</f>
        <v>#N/A</v>
      </c>
      <c r="C119" s="184"/>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34" t="e">
        <f>VLOOKUP(C120,Lists!I:J,2,FALSE)</f>
        <v>#N/A</v>
      </c>
      <c r="C120" s="183"/>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53" t="e">
        <f>VLOOKUP(C121,Lists!I:J,2,FALSE)</f>
        <v>#N/A</v>
      </c>
      <c r="C121" s="184"/>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34" t="e">
        <f>VLOOKUP(C122,Lists!I:J,2,FALSE)</f>
        <v>#N/A</v>
      </c>
      <c r="C122" s="183"/>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53" t="e">
        <f>VLOOKUP(C123,Lists!I:J,2,FALSE)</f>
        <v>#N/A</v>
      </c>
      <c r="C123" s="184"/>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34" t="e">
        <f>VLOOKUP(C124,Lists!I:J,2,FALSE)</f>
        <v>#N/A</v>
      </c>
      <c r="C124" s="183"/>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53" t="e">
        <f>VLOOKUP(C125,Lists!I:J,2,FALSE)</f>
        <v>#N/A</v>
      </c>
      <c r="C125" s="184"/>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34" t="e">
        <f>VLOOKUP(C126,Lists!I:J,2,FALSE)</f>
        <v>#N/A</v>
      </c>
      <c r="C126" s="183"/>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53" t="e">
        <f>VLOOKUP(C127,Lists!I:J,2,FALSE)</f>
        <v>#N/A</v>
      </c>
      <c r="C127" s="184"/>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34" t="e">
        <f>VLOOKUP(C128,Lists!I:J,2,FALSE)</f>
        <v>#N/A</v>
      </c>
      <c r="C128" s="183"/>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53" t="e">
        <f>VLOOKUP(C129,Lists!I:J,2,FALSE)</f>
        <v>#N/A</v>
      </c>
      <c r="C129" s="184"/>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34" t="e">
        <f>VLOOKUP(C130,Lists!I:J,2,FALSE)</f>
        <v>#N/A</v>
      </c>
      <c r="C130" s="183"/>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53" t="e">
        <f>VLOOKUP(C131,Lists!I:J,2,FALSE)</f>
        <v>#N/A</v>
      </c>
      <c r="C131" s="184"/>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34" t="e">
        <f>VLOOKUP(C132,Lists!I:J,2,FALSE)</f>
        <v>#N/A</v>
      </c>
      <c r="C132" s="183"/>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53" t="e">
        <f>VLOOKUP(C133,Lists!I:J,2,FALSE)</f>
        <v>#N/A</v>
      </c>
      <c r="C133" s="184"/>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34" t="e">
        <f>VLOOKUP(C134,Lists!I:J,2,FALSE)</f>
        <v>#N/A</v>
      </c>
      <c r="C134" s="183"/>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53" t="e">
        <f>VLOOKUP(C135,Lists!I:J,2,FALSE)</f>
        <v>#N/A</v>
      </c>
      <c r="C135" s="184"/>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34" t="e">
        <f>VLOOKUP(C136,Lists!I:J,2,FALSE)</f>
        <v>#N/A</v>
      </c>
      <c r="C136" s="183"/>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53" t="e">
        <f>VLOOKUP(C137,Lists!I:J,2,FALSE)</f>
        <v>#N/A</v>
      </c>
      <c r="C137" s="184"/>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34" t="e">
        <f>VLOOKUP(C138,Lists!I:J,2,FALSE)</f>
        <v>#N/A</v>
      </c>
      <c r="C138" s="183"/>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53" t="e">
        <f>VLOOKUP(C139,Lists!I:J,2,FALSE)</f>
        <v>#N/A</v>
      </c>
      <c r="C139" s="184"/>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34" t="e">
        <f>VLOOKUP(C140,Lists!I:J,2,FALSE)</f>
        <v>#N/A</v>
      </c>
      <c r="C140" s="183"/>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53" t="e">
        <f>VLOOKUP(C141,Lists!I:J,2,FALSE)</f>
        <v>#N/A</v>
      </c>
      <c r="C141" s="184"/>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34" t="e">
        <f>VLOOKUP(C142,Lists!I:J,2,FALSE)</f>
        <v>#N/A</v>
      </c>
      <c r="C142" s="183"/>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53" t="e">
        <f>VLOOKUP(C143,Lists!I:J,2,FALSE)</f>
        <v>#N/A</v>
      </c>
      <c r="C143" s="184"/>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34" t="e">
        <f>VLOOKUP(C144,Lists!I:J,2,FALSE)</f>
        <v>#N/A</v>
      </c>
      <c r="C144" s="183"/>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53" t="e">
        <f>VLOOKUP(C145,Lists!I:J,2,FALSE)</f>
        <v>#N/A</v>
      </c>
      <c r="C145" s="184"/>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34" t="e">
        <f>VLOOKUP(C146,Lists!I:J,2,FALSE)</f>
        <v>#N/A</v>
      </c>
      <c r="C146" s="183"/>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53" t="e">
        <f>VLOOKUP(C147,Lists!I:J,2,FALSE)</f>
        <v>#N/A</v>
      </c>
      <c r="C147" s="184"/>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34" t="e">
        <f>VLOOKUP(C148,Lists!I:J,2,FALSE)</f>
        <v>#N/A</v>
      </c>
      <c r="C148" s="183"/>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53" t="e">
        <f>VLOOKUP(C149,Lists!I:J,2,FALSE)</f>
        <v>#N/A</v>
      </c>
      <c r="C149" s="184"/>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34" t="e">
        <f>VLOOKUP(C150,Lists!I:J,2,FALSE)</f>
        <v>#N/A</v>
      </c>
      <c r="C150" s="183"/>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53" t="e">
        <f>VLOOKUP(C151,Lists!I:J,2,FALSE)</f>
        <v>#N/A</v>
      </c>
      <c r="C151" s="184"/>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34" t="e">
        <f>VLOOKUP(C152,Lists!I:J,2,FALSE)</f>
        <v>#N/A</v>
      </c>
      <c r="C152" s="183"/>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53" t="e">
        <f>VLOOKUP(C153,Lists!I:J,2,FALSE)</f>
        <v>#N/A</v>
      </c>
      <c r="C153" s="184"/>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34" t="e">
        <f>VLOOKUP(C154,Lists!I:J,2,FALSE)</f>
        <v>#N/A</v>
      </c>
      <c r="C154" s="183"/>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53" t="e">
        <f>VLOOKUP(C155,Lists!I:J,2,FALSE)</f>
        <v>#N/A</v>
      </c>
      <c r="C155" s="184"/>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34" t="e">
        <f>VLOOKUP(C156,Lists!I:J,2,FALSE)</f>
        <v>#N/A</v>
      </c>
      <c r="C156" s="183"/>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53" t="e">
        <f>VLOOKUP(C157,Lists!I:J,2,FALSE)</f>
        <v>#N/A</v>
      </c>
      <c r="C157" s="184"/>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34" t="e">
        <f>VLOOKUP(C158,Lists!I:J,2,FALSE)</f>
        <v>#N/A</v>
      </c>
      <c r="C158" s="183"/>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53" t="e">
        <f>VLOOKUP(C159,Lists!I:J,2,FALSE)</f>
        <v>#N/A</v>
      </c>
      <c r="C159" s="184"/>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34" t="e">
        <f>VLOOKUP(C160,Lists!I:J,2,FALSE)</f>
        <v>#N/A</v>
      </c>
      <c r="C160" s="183"/>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53" t="e">
        <f>VLOOKUP(C161,Lists!I:J,2,FALSE)</f>
        <v>#N/A</v>
      </c>
      <c r="C161" s="184"/>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34" t="e">
        <f>VLOOKUP(C162,Lists!I:J,2,FALSE)</f>
        <v>#N/A</v>
      </c>
      <c r="C162" s="183"/>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9" t="e">
        <f>VLOOKUP(C163,Lists!I:J,2,FALSE)</f>
        <v>#N/A</v>
      </c>
      <c r="C163" s="185"/>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D00-000000000000}">
      <formula1>#REF!</formula1>
    </dataValidation>
    <dataValidation type="list" allowBlank="1" sqref="F2:F163" xr:uid="{00000000-0002-0000-0D00-000002000000}">
      <formula1>"Yellow,Red"</formula1>
    </dataValidation>
    <dataValidation type="custom" allowBlank="1" showDropDown="1" sqref="AC4:AD14 S4:T14 AC17:AD25 S17:T25 AC30:AD46 S30:T46 AC51:AD60 S51:T60 AC65:AD72 S65:T72 S77:T84 AC77:AD84 A2:A163 G2:L163" xr:uid="{00000000-0002-0000-0D00-000003000000}">
      <formula1>AND(ISNUMBER(A2),(NOT(OR(NOT(ISERROR(DATEVALUE(A2))), AND(ISNUMBER(A2), LEFT(CELL("format", A2))="D")))))</formula1>
    </dataValidation>
    <dataValidation allowBlank="1" showDropDown="1" sqref="E2:E163" xr:uid="{00000000-0002-0000-0D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82">
        <v>3</v>
      </c>
      <c r="B2" s="69" t="str">
        <f>VLOOKUP(C2,Lists!I:J,2,FALSE)</f>
        <v>Ranged DPS</v>
      </c>
      <c r="C2" s="34" t="str">
        <f>VLOOKUP(E2,Lists!D:E,2,FALSE)</f>
        <v>Crossbow/SnS</v>
      </c>
      <c r="D2" s="13" t="s">
        <v>36</v>
      </c>
      <c r="E2" s="83" t="s">
        <v>244</v>
      </c>
      <c r="F2" s="13" t="s">
        <v>476</v>
      </c>
      <c r="G2" s="82">
        <v>40</v>
      </c>
      <c r="H2" s="82">
        <v>63</v>
      </c>
      <c r="I2" s="84">
        <f t="shared" ref="I2:I97" si="0">SUM(G2:H2)</f>
        <v>103</v>
      </c>
      <c r="J2" s="85">
        <v>2288825</v>
      </c>
      <c r="K2" s="85">
        <v>695531</v>
      </c>
      <c r="L2" s="85">
        <v>20617</v>
      </c>
      <c r="M2" s="38">
        <f>I2/(HLOOKUP(F2,Team_Composition_23[[#All],[Yellow]:[Red]],10,FALSE)+HLOOKUP(F2,Team_Composition_23[[#All],[Yellow]:[Red]],11,FALSE))</f>
        <v>2.5743564108972758E-2</v>
      </c>
      <c r="N2" s="38">
        <f>J2/HLOOKUP(F2,Team_Composition_23[[#All],[Yellow]:[Red]],6,FALSE)</f>
        <v>5.1592419558642133E-2</v>
      </c>
      <c r="O2" s="38">
        <f>K2/HLOOKUP(F2,Team_Composition_23[[#All],[Yellow]:[Red]],8,FALSE)</f>
        <v>3.9702061155801924E-2</v>
      </c>
      <c r="P2" s="38">
        <f>L2/HLOOKUP(F2,Team_Composition_23[[#All],[Yellow]:[Red]],7,FALSE)</f>
        <v>1.5926890651007117E-3</v>
      </c>
      <c r="Q2" s="31"/>
      <c r="R2" s="227" t="s">
        <v>477</v>
      </c>
      <c r="S2" s="228"/>
      <c r="T2" s="228"/>
      <c r="U2" s="31"/>
      <c r="V2" s="229" t="s">
        <v>478</v>
      </c>
      <c r="W2" s="228"/>
      <c r="X2" s="39"/>
      <c r="Y2" s="229" t="s">
        <v>479</v>
      </c>
      <c r="Z2" s="228"/>
      <c r="AA2" s="31"/>
      <c r="AB2" s="227" t="s">
        <v>480</v>
      </c>
      <c r="AC2" s="228"/>
      <c r="AD2" s="228"/>
    </row>
    <row r="3" spans="1:30" ht="22.5" customHeight="1">
      <c r="A3" s="82">
        <v>4</v>
      </c>
      <c r="B3" s="61" t="str">
        <f>VLOOKUP(C3,Lists!I:J,2,FALSE)</f>
        <v>Melee DPS</v>
      </c>
      <c r="C3" s="53" t="str">
        <f>VLOOKUP(E3,Lists!D:E,2,FALSE)</f>
        <v>Greatsword/Spear</v>
      </c>
      <c r="D3" s="13" t="s">
        <v>34</v>
      </c>
      <c r="E3" s="83" t="s">
        <v>145</v>
      </c>
      <c r="F3" s="13" t="s">
        <v>483</v>
      </c>
      <c r="G3" s="82">
        <v>39</v>
      </c>
      <c r="H3" s="82">
        <v>59</v>
      </c>
      <c r="I3" s="84">
        <f t="shared" si="0"/>
        <v>98</v>
      </c>
      <c r="J3" s="85">
        <v>2495347</v>
      </c>
      <c r="K3" s="85">
        <v>1180721</v>
      </c>
      <c r="L3" s="85">
        <v>17457</v>
      </c>
      <c r="M3" s="38">
        <f>I3/(HLOOKUP(F3,Team_Composition_23[[#All],[Yellow]:[Red]],10,FALSE)+HLOOKUP(F3,Team_Composition_23[[#All],[Yellow]:[Red]],11,FALSE))</f>
        <v>0.11936662606577345</v>
      </c>
      <c r="N3" s="38">
        <f>J3/HLOOKUP(F3,Team_Composition_23[[#All],[Yellow]:[Red]],6,FALSE)</f>
        <v>0.14141624972620351</v>
      </c>
      <c r="O3" s="38">
        <f>K3/HLOOKUP(F3,Team_Composition_23[[#All],[Yellow]:[Red]],8,FALSE)</f>
        <v>2.6824851489022E-2</v>
      </c>
      <c r="P3" s="38">
        <f>L3/HLOOKUP(F3,Team_Composition_23[[#All],[Yellow]:[Red]],7,FALSE)</f>
        <v>7.1933022061726416E-4</v>
      </c>
      <c r="Q3" s="31"/>
      <c r="R3" s="41" t="s">
        <v>482</v>
      </c>
      <c r="S3" s="42" t="s">
        <v>476</v>
      </c>
      <c r="T3" s="42" t="s">
        <v>483</v>
      </c>
      <c r="U3" s="31"/>
      <c r="V3" s="43" t="s">
        <v>1</v>
      </c>
      <c r="W3" s="44" t="s">
        <v>467</v>
      </c>
      <c r="X3" s="31"/>
      <c r="Y3" s="43" t="s">
        <v>1</v>
      </c>
      <c r="Z3" s="44" t="s">
        <v>484</v>
      </c>
      <c r="AA3" s="31"/>
      <c r="AB3" s="41" t="s">
        <v>482</v>
      </c>
      <c r="AC3" s="42" t="s">
        <v>485</v>
      </c>
      <c r="AD3" s="42" t="s">
        <v>36</v>
      </c>
    </row>
    <row r="4" spans="1:30" ht="22.5" customHeight="1">
      <c r="A4" s="82">
        <v>15</v>
      </c>
      <c r="B4" s="71" t="s">
        <v>25</v>
      </c>
      <c r="C4" s="34" t="str">
        <f>VLOOKUP(E4,Lists!D:E,2,FALSE)</f>
        <v>SnS/Greatsword</v>
      </c>
      <c r="D4" s="13" t="s">
        <v>36</v>
      </c>
      <c r="E4" s="83" t="s">
        <v>288</v>
      </c>
      <c r="F4" s="13" t="s">
        <v>476</v>
      </c>
      <c r="G4" s="82">
        <v>23</v>
      </c>
      <c r="H4" s="82">
        <v>74</v>
      </c>
      <c r="I4" s="84">
        <f t="shared" si="0"/>
        <v>97</v>
      </c>
      <c r="J4" s="85">
        <v>1833070</v>
      </c>
      <c r="K4" s="85">
        <v>646578</v>
      </c>
      <c r="L4" s="85">
        <v>60453</v>
      </c>
      <c r="M4" s="38">
        <f>I4/(HLOOKUP(F4,Team_Composition_23[[#All],[Yellow]:[Red]],10,FALSE)+HLOOKUP(F4,Team_Composition_23[[#All],[Yellow]:[Red]],11,FALSE))</f>
        <v>2.4243939015246189E-2</v>
      </c>
      <c r="N4" s="38">
        <f>J4/HLOOKUP(F4,Team_Composition_23[[#All],[Yellow]:[Red]],6,FALSE)</f>
        <v>4.1319243070291584E-2</v>
      </c>
      <c r="O4" s="38">
        <f>K4/HLOOKUP(F4,Team_Composition_23[[#All],[Yellow]:[Red]],8,FALSE)</f>
        <v>3.6907742858328527E-2</v>
      </c>
      <c r="P4" s="38">
        <f>L4/HLOOKUP(F4,Team_Composition_23[[#All],[Yellow]:[Red]],7,FALSE)</f>
        <v>4.6700699448287012E-3</v>
      </c>
      <c r="Q4" s="31"/>
      <c r="R4" s="45" t="s">
        <v>25</v>
      </c>
      <c r="S4" s="46">
        <f>COUNTIFS(Scoreboard_31[Role],R4,Scoreboard_31[Team],"Yellow")</f>
        <v>3</v>
      </c>
      <c r="T4" s="47">
        <f>COUNTIFS(Scoreboard_31[Role],R4,Scoreboard_31[Team],"Red")</f>
        <v>6</v>
      </c>
      <c r="U4" s="31"/>
      <c r="V4" s="48" t="str">
        <f ca="1">IFERROR(__xludf.DUMMYFUNCTION("query(A1:P238, ""Select E,I where B!='Healer' Order by I Desc Limit 10"", 0)"),"Delirax")</f>
        <v>Delirax</v>
      </c>
      <c r="W4" s="49">
        <f ca="1">IFERROR(__xludf.DUMMYFUNCTION("""COMPUTED_VALUE"""),103)</f>
        <v>103</v>
      </c>
      <c r="X4" s="31"/>
      <c r="Y4" s="48" t="str">
        <f ca="1">IFERROR(__xludf.DUMMYFUNCTION("query(A1:P238, ""Select E,J Order by J Desc Limit 10"", 0)"),"Ceviche")</f>
        <v>Ceviche</v>
      </c>
      <c r="Z4" s="49">
        <f ca="1">IFERROR(__xludf.DUMMYFUNCTION("""COMPUTED_VALUE"""),2923647)</f>
        <v>2923647</v>
      </c>
      <c r="AA4" s="31"/>
      <c r="AB4" s="45" t="s">
        <v>25</v>
      </c>
      <c r="AC4" s="50">
        <f>COUNTIFS(Scoreboard_31[Role],AB4,Scoreboard_31[Guild],"Best Regards")</f>
        <v>2</v>
      </c>
      <c r="AD4" s="51">
        <f>COUNTIFS(Scoreboard_31[Role],AB4,Scoreboard_31[Guild],"Unhinged肉")</f>
        <v>7</v>
      </c>
    </row>
    <row r="5" spans="1:30" ht="22.5" customHeight="1">
      <c r="A5" s="82">
        <v>1</v>
      </c>
      <c r="B5" s="67" t="str">
        <f>VLOOKUP(C5,Lists!I:J,2,FALSE)</f>
        <v>Ranged DPS</v>
      </c>
      <c r="C5" s="65" t="str">
        <f>VLOOKUP(E5,Lists!D:E,2,FALSE)</f>
        <v>Crossbow/Longbow</v>
      </c>
      <c r="D5" s="13" t="s">
        <v>34</v>
      </c>
      <c r="E5" s="83" t="s">
        <v>51</v>
      </c>
      <c r="F5" s="13" t="s">
        <v>483</v>
      </c>
      <c r="G5" s="82">
        <v>48</v>
      </c>
      <c r="H5" s="82">
        <v>46</v>
      </c>
      <c r="I5" s="84">
        <f t="shared" si="0"/>
        <v>94</v>
      </c>
      <c r="J5" s="85">
        <v>1676662</v>
      </c>
      <c r="K5" s="85">
        <v>196737</v>
      </c>
      <c r="L5" s="85">
        <v>0</v>
      </c>
      <c r="M5" s="38">
        <f>I5/(HLOOKUP(F5,Team_Composition_23[[#All],[Yellow]:[Red]],10,FALSE)+HLOOKUP(F5,Team_Composition_23[[#All],[Yellow]:[Red]],11,FALSE))</f>
        <v>0.11449451887941535</v>
      </c>
      <c r="N5" s="38">
        <f>J5/HLOOKUP(F5,Team_Composition_23[[#All],[Yellow]:[Red]],6,FALSE)</f>
        <v>9.5019751601054206E-2</v>
      </c>
      <c r="O5" s="38">
        <f>K5/HLOOKUP(F5,Team_Composition_23[[#All],[Yellow]:[Red]],8,FALSE)</f>
        <v>4.4696764158473684E-3</v>
      </c>
      <c r="P5" s="38">
        <f>L5/HLOOKUP(F5,Team_Composition_23[[#All],[Yellow]:[Red]],7,FALSE)</f>
        <v>0</v>
      </c>
      <c r="Q5" s="31"/>
      <c r="R5" s="45" t="s">
        <v>39</v>
      </c>
      <c r="S5" s="46">
        <f>COUNTIFS(Scoreboard_31[Role],R5,Scoreboard_31[Team],"Yellow")</f>
        <v>10</v>
      </c>
      <c r="T5" s="47">
        <f>COUNTIFS(Scoreboard_31[Role],R5,Scoreboard_31[Team],"Red")</f>
        <v>7</v>
      </c>
      <c r="U5" s="31"/>
      <c r="V5" s="48" t="str">
        <f ca="1">IFERROR(__xludf.DUMMYFUNCTION("""COMPUTED_VALUE"""),"B")</f>
        <v>B</v>
      </c>
      <c r="W5" s="49">
        <f ca="1">IFERROR(__xludf.DUMMYFUNCTION("""COMPUTED_VALUE"""),98)</f>
        <v>98</v>
      </c>
      <c r="X5" s="31"/>
      <c r="Y5" s="48" t="str">
        <f ca="1">IFERROR(__xludf.DUMMYFUNCTION("""COMPUTED_VALUE"""),"CLEM˚")</f>
        <v>CLEM˚</v>
      </c>
      <c r="Z5" s="49">
        <f ca="1">IFERROR(__xludf.DUMMYFUNCTION("""COMPUTED_VALUE"""),2879412)</f>
        <v>2879412</v>
      </c>
      <c r="AA5" s="31"/>
      <c r="AB5" s="45" t="s">
        <v>39</v>
      </c>
      <c r="AC5" s="50">
        <f>COUNTIFS(Scoreboard_31[Role],AB5,Scoreboard_31[Guild],"Best Regards")</f>
        <v>10</v>
      </c>
      <c r="AD5" s="51">
        <f>COUNTIFS(Scoreboard_31[Role],AB5,Scoreboard_31[Guild],"Unhinged肉")</f>
        <v>7</v>
      </c>
    </row>
    <row r="6" spans="1:30" ht="22.5" customHeight="1">
      <c r="A6" s="82">
        <v>16</v>
      </c>
      <c r="B6" s="68" t="s">
        <v>25</v>
      </c>
      <c r="C6" s="66" t="str">
        <f>VLOOKUP(E6,Lists!D:E,2,FALSE)</f>
        <v>SnS/Spear</v>
      </c>
      <c r="D6" s="13" t="s">
        <v>36</v>
      </c>
      <c r="E6" s="83" t="s">
        <v>289</v>
      </c>
      <c r="F6" s="13" t="s">
        <v>476</v>
      </c>
      <c r="G6" s="82">
        <v>22</v>
      </c>
      <c r="H6" s="82">
        <v>71</v>
      </c>
      <c r="I6" s="84">
        <f t="shared" si="0"/>
        <v>93</v>
      </c>
      <c r="J6" s="85">
        <v>1549492</v>
      </c>
      <c r="K6" s="85">
        <v>462976</v>
      </c>
      <c r="L6" s="85">
        <v>32299</v>
      </c>
      <c r="M6" s="38">
        <f>I6/(HLOOKUP(F6,Team_Composition_23[[#All],[Yellow]:[Red]],10,FALSE)+HLOOKUP(F6,Team_Composition_23[[#All],[Yellow]:[Red]],11,FALSE))</f>
        <v>2.3244188952761809E-2</v>
      </c>
      <c r="N6" s="38">
        <f>J6/HLOOKUP(F6,Team_Composition_23[[#All],[Yellow]:[Red]],6,FALSE)</f>
        <v>3.4927109484892693E-2</v>
      </c>
      <c r="O6" s="38">
        <f>K6/HLOOKUP(F6,Team_Composition_23[[#All],[Yellow]:[Red]],8,FALSE)</f>
        <v>2.642743668602629E-2</v>
      </c>
      <c r="P6" s="38">
        <f>L6/HLOOKUP(F6,Team_Composition_23[[#All],[Yellow]:[Red]],7,FALSE)</f>
        <v>2.4951381924473923E-3</v>
      </c>
      <c r="Q6" s="31"/>
      <c r="R6" s="45" t="s">
        <v>67</v>
      </c>
      <c r="S6" s="46">
        <f>COUNTIFS(Scoreboard_31[Role],R6,Scoreboard_31[Team],"Yellow")</f>
        <v>13</v>
      </c>
      <c r="T6" s="47">
        <f>COUNTIFS(Scoreboard_31[Role],R6,Scoreboard_31[Team],"Red")</f>
        <v>15</v>
      </c>
      <c r="U6" s="31"/>
      <c r="V6" s="48" t="str">
        <f ca="1">IFERROR(__xludf.DUMMYFUNCTION("""COMPUTED_VALUE"""),"Ender")</f>
        <v>Ender</v>
      </c>
      <c r="W6" s="49">
        <f ca="1">IFERROR(__xludf.DUMMYFUNCTION("""COMPUTED_VALUE"""),97)</f>
        <v>97</v>
      </c>
      <c r="X6" s="31"/>
      <c r="Y6" s="48" t="str">
        <f ca="1">IFERROR(__xludf.DUMMYFUNCTION("""COMPUTED_VALUE"""),"B")</f>
        <v>B</v>
      </c>
      <c r="Z6" s="49">
        <f ca="1">IFERROR(__xludf.DUMMYFUNCTION("""COMPUTED_VALUE"""),2495347)</f>
        <v>2495347</v>
      </c>
      <c r="AA6" s="31"/>
      <c r="AB6" s="45" t="s">
        <v>67</v>
      </c>
      <c r="AC6" s="50">
        <f>COUNTIFS(Scoreboard_31[Role],AB6,Scoreboard_31[Guild],"Best Regards")</f>
        <v>13</v>
      </c>
      <c r="AD6" s="51">
        <f>COUNTIFS(Scoreboard_31[Role],AB6,Scoreboard_31[Guild],"Unhinged肉")</f>
        <v>11</v>
      </c>
    </row>
    <row r="7" spans="1:30" ht="22.5" customHeight="1">
      <c r="A7" s="82">
        <v>6</v>
      </c>
      <c r="B7" s="54" t="str">
        <f>VLOOKUP(C7,Lists!I:J,2,FALSE)</f>
        <v>Ranged DPS</v>
      </c>
      <c r="C7" s="53" t="str">
        <f>VLOOKUP(E7,Lists!D:E,2,FALSE)</f>
        <v>Crossbow/SnS</v>
      </c>
      <c r="D7" s="13" t="s">
        <v>36</v>
      </c>
      <c r="E7" s="83" t="s">
        <v>253</v>
      </c>
      <c r="F7" s="13" t="s">
        <v>476</v>
      </c>
      <c r="G7" s="82">
        <v>33</v>
      </c>
      <c r="H7" s="82">
        <v>58</v>
      </c>
      <c r="I7" s="84">
        <f t="shared" si="0"/>
        <v>91</v>
      </c>
      <c r="J7" s="85">
        <v>1947393</v>
      </c>
      <c r="K7" s="85">
        <v>916630</v>
      </c>
      <c r="L7" s="85">
        <v>29412</v>
      </c>
      <c r="M7" s="38">
        <f>I7/(HLOOKUP(F7,Team_Composition_23[[#All],[Yellow]:[Red]],10,FALSE)+HLOOKUP(F7,Team_Composition_23[[#All],[Yellow]:[Red]],11,FALSE))</f>
        <v>2.274431392151962E-2</v>
      </c>
      <c r="N7" s="38">
        <f>J7/HLOOKUP(F7,Team_Composition_23[[#All],[Yellow]:[Red]],6,FALSE)</f>
        <v>4.3896198574186654E-2</v>
      </c>
      <c r="O7" s="38">
        <f>K7/HLOOKUP(F7,Team_Composition_23[[#All],[Yellow]:[Red]],8,FALSE)</f>
        <v>5.2322758176476275E-2</v>
      </c>
      <c r="P7" s="38">
        <f>L7/HLOOKUP(F7,Team_Composition_23[[#All],[Yellow]:[Red]],7,FALSE)</f>
        <v>2.272113827556974E-3</v>
      </c>
      <c r="Q7" s="31"/>
      <c r="R7" s="45" t="s">
        <v>11</v>
      </c>
      <c r="S7" s="46">
        <f>COUNTIFS(Scoreboard_31[Role],R7,Scoreboard_31[Team],"Yellow")</f>
        <v>16</v>
      </c>
      <c r="T7" s="47">
        <f>COUNTIFS(Scoreboard_31[Role],R7,Scoreboard_31[Team],"Red")</f>
        <v>17</v>
      </c>
      <c r="U7" s="31"/>
      <c r="V7" s="48" t="str">
        <f ca="1">IFERROR(__xludf.DUMMYFUNCTION("""COMPUTED_VALUE"""),"Fuji")</f>
        <v>Fuji</v>
      </c>
      <c r="W7" s="49">
        <f ca="1">IFERROR(__xludf.DUMMYFUNCTION("""COMPUTED_VALUE"""),94)</f>
        <v>94</v>
      </c>
      <c r="X7" s="31"/>
      <c r="Y7" s="48" t="str">
        <f ca="1">IFERROR(__xludf.DUMMYFUNCTION("""COMPUTED_VALUE"""),"Delirax")</f>
        <v>Delirax</v>
      </c>
      <c r="Z7" s="49">
        <f ca="1">IFERROR(__xludf.DUMMYFUNCTION("""COMPUTED_VALUE"""),2288825)</f>
        <v>2288825</v>
      </c>
      <c r="AA7" s="31"/>
      <c r="AB7" s="45" t="s">
        <v>11</v>
      </c>
      <c r="AC7" s="50">
        <f>COUNTIFS(Scoreboard_31[Role],AB7,Scoreboard_31[Guild],"Best Regards")</f>
        <v>15</v>
      </c>
      <c r="AD7" s="51">
        <f>COUNTIFS(Scoreboard_31[Role],AB7,Scoreboard_31[Guild],"Unhinged肉")</f>
        <v>17</v>
      </c>
    </row>
    <row r="8" spans="1:30" ht="22.5" customHeight="1">
      <c r="A8" s="82">
        <v>51</v>
      </c>
      <c r="B8" s="60" t="str">
        <f>VLOOKUP(C8,Lists!I:J,2,FALSE)</f>
        <v>Healer</v>
      </c>
      <c r="C8" s="34" t="str">
        <f>VLOOKUP(E8,Lists!D:E,2,FALSE)</f>
        <v>Wand/Orb</v>
      </c>
      <c r="D8" s="13" t="s">
        <v>34</v>
      </c>
      <c r="E8" s="83" t="s">
        <v>139</v>
      </c>
      <c r="F8" s="13" t="s">
        <v>483</v>
      </c>
      <c r="G8" s="82">
        <v>0</v>
      </c>
      <c r="H8" s="82">
        <v>91</v>
      </c>
      <c r="I8" s="84">
        <f t="shared" si="0"/>
        <v>91</v>
      </c>
      <c r="J8" s="85">
        <v>6748</v>
      </c>
      <c r="K8" s="85">
        <v>118568</v>
      </c>
      <c r="L8" s="85">
        <v>330050</v>
      </c>
      <c r="M8" s="38">
        <f>I8/(HLOOKUP(F8,Team_Composition_23[[#All],[Yellow]:[Red]],10,FALSE)+HLOOKUP(F8,Team_Composition_23[[#All],[Yellow]:[Red]],11,FALSE))</f>
        <v>0.11084043848964677</v>
      </c>
      <c r="N8" s="38">
        <f>J8/HLOOKUP(F8,Team_Composition_23[[#All],[Yellow]:[Red]],6,FALSE)</f>
        <v>3.8242250602919006E-4</v>
      </c>
      <c r="O8" s="38">
        <f>K8/HLOOKUP(F8,Team_Composition_23[[#All],[Yellow]:[Red]],8,FALSE)</f>
        <v>2.6937515224598873E-3</v>
      </c>
      <c r="P8" s="38">
        <f>L8/HLOOKUP(F8,Team_Composition_23[[#All],[Yellow]:[Red]],7,FALSE)</f>
        <v>1.3599985067006246E-2</v>
      </c>
      <c r="Q8" s="31"/>
      <c r="R8" s="45" t="s">
        <v>468</v>
      </c>
      <c r="S8" s="46">
        <f>SUMIFS(Scoreboard_31[Damage Dealt],Scoreboard_31[Team],"Yellow")</f>
        <v>28817187</v>
      </c>
      <c r="T8" s="47">
        <f>SUMIFS(Scoreboard_31[Damage Dealt],Scoreboard_31[Team],"Red")</f>
        <v>25732127</v>
      </c>
      <c r="U8" s="31"/>
      <c r="V8" s="48" t="str">
        <f ca="1">IFERROR(__xludf.DUMMYFUNCTION("""COMPUTED_VALUE"""),"Hamiebarmund")</f>
        <v>Hamiebarmund</v>
      </c>
      <c r="W8" s="49">
        <f ca="1">IFERROR(__xludf.DUMMYFUNCTION("""COMPUTED_VALUE"""),93)</f>
        <v>93</v>
      </c>
      <c r="X8" s="31"/>
      <c r="Y8" s="48" t="str">
        <f ca="1">IFERROR(__xludf.DUMMYFUNCTION("""COMPUTED_VALUE"""),"Brockle")</f>
        <v>Brockle</v>
      </c>
      <c r="Z8" s="49">
        <f ca="1">IFERROR(__xludf.DUMMYFUNCTION("""COMPUTED_VALUE"""),2127227)</f>
        <v>2127227</v>
      </c>
      <c r="AA8" s="31"/>
      <c r="AB8" s="45" t="s">
        <v>468</v>
      </c>
      <c r="AC8" s="50">
        <f>SUMIFS(Scoreboard_31[Damage Dealt],Scoreboard_31[Guild],"Best Regards")</f>
        <v>28830456</v>
      </c>
      <c r="AD8" s="51">
        <f>SUMIFS(Scoreboard_31[Damage Dealt],Scoreboard_31[Guild],"Unhinged肉")</f>
        <v>25361173</v>
      </c>
    </row>
    <row r="9" spans="1:30" ht="22.5" customHeight="1">
      <c r="A9" s="82">
        <v>9</v>
      </c>
      <c r="B9" s="65" t="str">
        <f>VLOOKUP(C9,Lists!I:J,2,FALSE)</f>
        <v>KS</v>
      </c>
      <c r="C9" s="65" t="str">
        <f>VLOOKUP(E9,Lists!D:E,2,FALSE)</f>
        <v>Greatsword/Dagger</v>
      </c>
      <c r="D9" s="13" t="s">
        <v>34</v>
      </c>
      <c r="E9" s="83" t="s">
        <v>98</v>
      </c>
      <c r="F9" s="13" t="s">
        <v>483</v>
      </c>
      <c r="G9" s="82">
        <v>29</v>
      </c>
      <c r="H9" s="82">
        <v>60</v>
      </c>
      <c r="I9" s="84">
        <f t="shared" si="0"/>
        <v>89</v>
      </c>
      <c r="J9" s="85">
        <v>1410774</v>
      </c>
      <c r="K9" s="85">
        <v>408075</v>
      </c>
      <c r="L9" s="85">
        <v>22774</v>
      </c>
      <c r="M9" s="38">
        <f>I9/(HLOOKUP(F9,Team_Composition_23[[#All],[Yellow]:[Red]],10,FALSE)+HLOOKUP(F9,Team_Composition_23[[#All],[Yellow]:[Red]],11,FALSE))</f>
        <v>0.10840438489646773</v>
      </c>
      <c r="N9" s="38">
        <f>J9/HLOOKUP(F9,Team_Composition_23[[#All],[Yellow]:[Red]],6,FALSE)</f>
        <v>7.9951352774277493E-2</v>
      </c>
      <c r="O9" s="38">
        <f>K9/HLOOKUP(F9,Team_Composition_23[[#All],[Yellow]:[Red]],8,FALSE)</f>
        <v>9.271073582482782E-3</v>
      </c>
      <c r="P9" s="38">
        <f>L9/HLOOKUP(F9,Team_Composition_23[[#All],[Yellow]:[Red]],7,FALSE)</f>
        <v>9.3842163283138998E-4</v>
      </c>
      <c r="Q9" s="31"/>
      <c r="R9" s="45" t="s">
        <v>470</v>
      </c>
      <c r="S9" s="46">
        <f>SUMIFS(Scoreboard_31[Amount Healed],Scoreboard_31[Team],"Yellow")</f>
        <v>16377782</v>
      </c>
      <c r="T9" s="47">
        <f>SUMIFS(Scoreboard_31[Amount Healed],Scoreboard_31[Team],"Red")</f>
        <v>19225692</v>
      </c>
      <c r="U9" s="31"/>
      <c r="V9" s="48" t="str">
        <f ca="1">IFERROR(__xludf.DUMMYFUNCTION("""COMPUTED_VALUE"""),"Beru")</f>
        <v>Beru</v>
      </c>
      <c r="W9" s="49">
        <f ca="1">IFERROR(__xludf.DUMMYFUNCTION("""COMPUTED_VALUE"""),91)</f>
        <v>91</v>
      </c>
      <c r="X9" s="31"/>
      <c r="Y9" s="48" t="str">
        <f ca="1">IFERROR(__xludf.DUMMYFUNCTION("""COMPUTED_VALUE"""),"AyoJohn")</f>
        <v>AyoJohn</v>
      </c>
      <c r="Z9" s="49">
        <f ca="1">IFERROR(__xludf.DUMMYFUNCTION("""COMPUTED_VALUE"""),2054170)</f>
        <v>2054170</v>
      </c>
      <c r="AA9" s="31"/>
      <c r="AB9" s="45" t="s">
        <v>470</v>
      </c>
      <c r="AC9" s="50">
        <f>SUMIFS(Scoreboard_31[Amount Healed],Scoreboard_31[Guild],"Best Regards")</f>
        <v>17578162</v>
      </c>
      <c r="AD9" s="51">
        <f>SUMIFS(Scoreboard_31[Amount Healed],Scoreboard_31[Guild],"Unhinged肉")</f>
        <v>17889597</v>
      </c>
    </row>
    <row r="10" spans="1:30" ht="22.5" customHeight="1">
      <c r="A10" s="82">
        <v>2</v>
      </c>
      <c r="B10" s="66" t="str">
        <f>VLOOKUP(C10,Lists!I:J,2,FALSE)</f>
        <v>KS</v>
      </c>
      <c r="C10" s="66" t="str">
        <f>VLOOKUP(E10,Lists!D:E,2,FALSE)</f>
        <v>Crossbow/Dagger</v>
      </c>
      <c r="D10" s="13" t="s">
        <v>34</v>
      </c>
      <c r="E10" s="83" t="s">
        <v>159</v>
      </c>
      <c r="F10" s="13" t="s">
        <v>476</v>
      </c>
      <c r="G10" s="82">
        <v>47</v>
      </c>
      <c r="H10" s="82">
        <v>40</v>
      </c>
      <c r="I10" s="84">
        <f t="shared" si="0"/>
        <v>87</v>
      </c>
      <c r="J10" s="85">
        <v>1743387</v>
      </c>
      <c r="K10" s="85">
        <v>500121</v>
      </c>
      <c r="L10" s="85">
        <v>0</v>
      </c>
      <c r="M10" s="38">
        <f>I10/(HLOOKUP(F10,Team_Composition_23[[#All],[Yellow]:[Red]],10,FALSE)+HLOOKUP(F10,Team_Composition_23[[#All],[Yellow]:[Red]],11,FALSE))</f>
        <v>2.174456385903524E-2</v>
      </c>
      <c r="N10" s="38">
        <f>J10/HLOOKUP(F10,Team_Composition_23[[#All],[Yellow]:[Red]],6,FALSE)</f>
        <v>3.9297697970391982E-2</v>
      </c>
      <c r="O10" s="38">
        <f>K10/HLOOKUP(F10,Team_Composition_23[[#All],[Yellow]:[Red]],8,FALSE)</f>
        <v>2.8547734791548925E-2</v>
      </c>
      <c r="P10" s="38">
        <f>L10/HLOOKUP(F10,Team_Composition_23[[#All],[Yellow]:[Red]],7,FALSE)</f>
        <v>0</v>
      </c>
      <c r="Q10" s="31"/>
      <c r="R10" s="45" t="s">
        <v>469</v>
      </c>
      <c r="S10" s="46">
        <f>SUMIFS(Scoreboard_31[Damage Taken],Scoreboard_31[Team],"Yellow")</f>
        <v>25663886</v>
      </c>
      <c r="T10" s="47">
        <f>SUMIFS(Scoreboard_31[Damage Taken],Scoreboard_31[Team],"Red")</f>
        <v>29602059</v>
      </c>
      <c r="U10" s="31"/>
      <c r="V10" s="48" t="str">
        <f ca="1">IFERROR(__xludf.DUMMYFUNCTION("""COMPUTED_VALUE"""),"ShawarmaShuffle")</f>
        <v>ShawarmaShuffle</v>
      </c>
      <c r="W10" s="49">
        <f ca="1">IFERROR(__xludf.DUMMYFUNCTION("""COMPUTED_VALUE"""),89)</f>
        <v>89</v>
      </c>
      <c r="X10" s="31"/>
      <c r="Y10" s="48" t="str">
        <f ca="1">IFERROR(__xludf.DUMMYFUNCTION("""COMPUTED_VALUE"""),"Beru")</f>
        <v>Beru</v>
      </c>
      <c r="Z10" s="49">
        <f ca="1">IFERROR(__xludf.DUMMYFUNCTION("""COMPUTED_VALUE"""),1947393)</f>
        <v>1947393</v>
      </c>
      <c r="AA10" s="31"/>
      <c r="AB10" s="45" t="s">
        <v>469</v>
      </c>
      <c r="AC10" s="50">
        <f>SUMIFS(Scoreboard_31[Damage Taken],Scoreboard_31[Guild],"Best Regards")</f>
        <v>26068552</v>
      </c>
      <c r="AD10" s="51">
        <f>SUMIFS(Scoreboard_31[Damage Taken],Scoreboard_31[Guild],"Unhinged肉")</f>
        <v>27109692</v>
      </c>
    </row>
    <row r="11" spans="1:30" ht="22.5" customHeight="1">
      <c r="A11" s="82">
        <v>10</v>
      </c>
      <c r="B11" s="54" t="str">
        <f>VLOOKUP(C11,Lists!I:J,2,FALSE)</f>
        <v>Ranged DPS</v>
      </c>
      <c r="C11" s="53" t="str">
        <f>VLOOKUP(E11,Lists!D:E,2,FALSE)</f>
        <v>Staff/Dagger</v>
      </c>
      <c r="D11" s="13" t="s">
        <v>34</v>
      </c>
      <c r="E11" s="83" t="s">
        <v>158</v>
      </c>
      <c r="F11" s="13" t="s">
        <v>476</v>
      </c>
      <c r="G11" s="82">
        <v>28</v>
      </c>
      <c r="H11" s="82">
        <v>58</v>
      </c>
      <c r="I11" s="84">
        <f t="shared" si="0"/>
        <v>86</v>
      </c>
      <c r="J11" s="85">
        <v>2923647</v>
      </c>
      <c r="K11" s="85">
        <v>976099</v>
      </c>
      <c r="L11" s="85">
        <v>9680</v>
      </c>
      <c r="M11" s="38">
        <f>I11/(HLOOKUP(F11,Team_Composition_23[[#All],[Yellow]:[Red]],10,FALSE)+HLOOKUP(F11,Team_Composition_23[[#All],[Yellow]:[Red]],11,FALSE))</f>
        <v>2.1494626343414147E-2</v>
      </c>
      <c r="N11" s="38">
        <f>J11/HLOOKUP(F11,Team_Composition_23[[#All],[Yellow]:[Red]],6,FALSE)</f>
        <v>6.5901946485801832E-2</v>
      </c>
      <c r="O11" s="38">
        <f>K11/HLOOKUP(F11,Team_Composition_23[[#All],[Yellow]:[Red]],8,FALSE)</f>
        <v>5.5717347166577912E-2</v>
      </c>
      <c r="P11" s="38">
        <f>L11/HLOOKUP(F11,Team_Composition_23[[#All],[Yellow]:[Red]],7,FALSE)</f>
        <v>7.4779212058858659E-4</v>
      </c>
      <c r="Q11" s="31"/>
      <c r="R11" s="45" t="s">
        <v>495</v>
      </c>
      <c r="S11" s="46">
        <f ca="1">IFERROR(DIVIDE(SUMIFS(Scoreboard_31[Amount Healed],Scoreboard_31[Team],"Yellow"), SUMIFS(Scoreboard_31[Damage Taken],Scoreboard_31[Team],"Yellow"))*(100),0)</f>
        <v>0</v>
      </c>
      <c r="T11" s="47">
        <f ca="1">IFERROR(DIVIDE(SUMIFS(Scoreboard_31[Amount Healed],Scoreboard_31[Team],"Red"), SUMIFS(Scoreboard_31[Damage Taken],Scoreboard_31[Team],"Red"))*(100),0)</f>
        <v>0</v>
      </c>
      <c r="U11" s="31"/>
      <c r="V11" s="48" t="str">
        <f ca="1">IFERROR(__xludf.DUMMYFUNCTION("""COMPUTED_VALUE"""),"vexzus")</f>
        <v>vexzus</v>
      </c>
      <c r="W11" s="49">
        <f ca="1">IFERROR(__xludf.DUMMYFUNCTION("""COMPUTED_VALUE"""),87)</f>
        <v>87</v>
      </c>
      <c r="X11" s="31"/>
      <c r="Y11" s="48" t="str">
        <f ca="1">IFERROR(__xludf.DUMMYFUNCTION("""COMPUTED_VALUE"""),"Ender")</f>
        <v>Ender</v>
      </c>
      <c r="Z11" s="49">
        <f ca="1">IFERROR(__xludf.DUMMYFUNCTION("""COMPUTED_VALUE"""),1833070)</f>
        <v>1833070</v>
      </c>
      <c r="AA11" s="31"/>
      <c r="AB11" s="45" t="s">
        <v>495</v>
      </c>
      <c r="AC11" s="50">
        <f ca="1">IFERROR(DIVIDE(SUMIFS(Scoreboard_31[Amount Healed],Scoreboard_31[Guild],"Best Regards"), SUMIFS(Scoreboard_31[Damage Taken],Scoreboard_31[Guild],"Best Regards"))*(100),0)</f>
        <v>0</v>
      </c>
      <c r="AD11" s="51">
        <f ca="1">IFERROR(DIVIDE(SUMIFS(Scoreboard_31[Amount Healed],Scoreboard_31[Guild],"Unhinged肉"), SUMIFS(Scoreboard_31[Damage Taken],Scoreboard_31[Guild],"Unhinged肉"))*(100),0)</f>
        <v>0</v>
      </c>
    </row>
    <row r="12" spans="1:30" ht="22.5" customHeight="1">
      <c r="A12" s="82">
        <v>11</v>
      </c>
      <c r="B12" s="71" t="str">
        <f>VLOOKUP(C12,Lists!I:J,2,FALSE)</f>
        <v>Melee DPS</v>
      </c>
      <c r="C12" s="34" t="str">
        <f>VLOOKUP(E12,Lists!D:E,2,FALSE)</f>
        <v>Greatsword/Spear</v>
      </c>
      <c r="D12" s="13" t="s">
        <v>34</v>
      </c>
      <c r="E12" s="83" t="s">
        <v>147</v>
      </c>
      <c r="F12" s="13" t="s">
        <v>483</v>
      </c>
      <c r="G12" s="82">
        <v>26</v>
      </c>
      <c r="H12" s="82">
        <v>54</v>
      </c>
      <c r="I12" s="84">
        <f t="shared" si="0"/>
        <v>80</v>
      </c>
      <c r="J12" s="85">
        <v>1810079</v>
      </c>
      <c r="K12" s="85">
        <v>1520893</v>
      </c>
      <c r="L12" s="85">
        <v>47665</v>
      </c>
      <c r="M12" s="38">
        <f>I12/(HLOOKUP(F12,Team_Composition_23[[#All],[Yellow]:[Red]],10,FALSE)+HLOOKUP(F12,Team_Composition_23[[#All],[Yellow]:[Red]],11,FALSE))</f>
        <v>9.7442143727161992E-2</v>
      </c>
      <c r="N12" s="38">
        <f>J12/HLOOKUP(F12,Team_Composition_23[[#All],[Yellow]:[Red]],6,FALSE)</f>
        <v>0.10258075685993039</v>
      </c>
      <c r="O12" s="38">
        <f>K12/HLOOKUP(F12,Team_Composition_23[[#All],[Yellow]:[Red]],8,FALSE)</f>
        <v>3.4553233876329068E-2</v>
      </c>
      <c r="P12" s="38">
        <f>L12/HLOOKUP(F12,Team_Composition_23[[#All],[Yellow]:[Red]],7,FALSE)</f>
        <v>1.9640760133884344E-3</v>
      </c>
      <c r="Q12" s="31"/>
      <c r="R12" s="45" t="s">
        <v>465</v>
      </c>
      <c r="S12" s="46">
        <f>SUMIFS(Scoreboard_31[Kills],Scoreboard_31[Team],"Yellow")</f>
        <v>404</v>
      </c>
      <c r="T12" s="47">
        <f>SUMIFS(Scoreboard_31[Kills],Scoreboard_31[Team],"Red")</f>
        <v>388</v>
      </c>
      <c r="U12" s="31"/>
      <c r="V12" s="48" t="str">
        <f ca="1">IFERROR(__xludf.DUMMYFUNCTION("""COMPUTED_VALUE"""),"Ceviche")</f>
        <v>Ceviche</v>
      </c>
      <c r="W12" s="49">
        <f ca="1">IFERROR(__xludf.DUMMYFUNCTION("""COMPUTED_VALUE"""),86)</f>
        <v>86</v>
      </c>
      <c r="X12" s="31"/>
      <c r="Y12" s="48" t="str">
        <f ca="1">IFERROR(__xludf.DUMMYFUNCTION("""COMPUTED_VALUE"""),"K")</f>
        <v>K</v>
      </c>
      <c r="Z12" s="49">
        <f ca="1">IFERROR(__xludf.DUMMYFUNCTION("""COMPUTED_VALUE"""),1810079)</f>
        <v>1810079</v>
      </c>
      <c r="AA12" s="31"/>
      <c r="AB12" s="45" t="s">
        <v>465</v>
      </c>
      <c r="AC12" s="50">
        <f>SUMIFS(Scoreboard_31[Kills],Scoreboard_31[Guild],"Best Regards")</f>
        <v>424</v>
      </c>
      <c r="AD12" s="51">
        <f>SUMIFS(Scoreboard_31[Kills],Scoreboard_31[Guild],"Unhinged肉")</f>
        <v>366</v>
      </c>
    </row>
    <row r="13" spans="1:30" ht="22.5" customHeight="1">
      <c r="A13" s="82">
        <v>52</v>
      </c>
      <c r="B13" s="40" t="str">
        <f>VLOOKUP(C13,Lists!I:J,2,FALSE)</f>
        <v>Healer</v>
      </c>
      <c r="C13" s="53" t="str">
        <f>VLOOKUP(E13,Lists!D:E,2,FALSE)</f>
        <v>Wand/Orb</v>
      </c>
      <c r="D13" s="13" t="s">
        <v>34</v>
      </c>
      <c r="E13" s="83" t="s">
        <v>153</v>
      </c>
      <c r="F13" s="13" t="s">
        <v>476</v>
      </c>
      <c r="G13" s="82">
        <v>0</v>
      </c>
      <c r="H13" s="82">
        <v>80</v>
      </c>
      <c r="I13" s="84">
        <f t="shared" si="0"/>
        <v>80</v>
      </c>
      <c r="J13" s="85">
        <v>14275</v>
      </c>
      <c r="K13" s="85">
        <v>321183</v>
      </c>
      <c r="L13" s="85">
        <v>867777</v>
      </c>
      <c r="M13" s="38">
        <f>I13/(HLOOKUP(F13,Team_Composition_23[[#All],[Yellow]:[Red]],10,FALSE)+HLOOKUP(F13,Team_Composition_23[[#All],[Yellow]:[Red]],11,FALSE))</f>
        <v>1.9995001249687578E-2</v>
      </c>
      <c r="N13" s="38">
        <f>J13/HLOOKUP(F13,Team_Composition_23[[#All],[Yellow]:[Red]],6,FALSE)</f>
        <v>3.2177287000955356E-4</v>
      </c>
      <c r="O13" s="38">
        <f>K13/HLOOKUP(F13,Team_Composition_23[[#All],[Yellow]:[Red]],8,FALSE)</f>
        <v>1.8333657462002311E-2</v>
      </c>
      <c r="P13" s="38">
        <f>L13/HLOOKUP(F13,Team_Composition_23[[#All],[Yellow]:[Red]],7,FALSE)</f>
        <v>6.7036859816942337E-2</v>
      </c>
      <c r="Q13" s="31"/>
      <c r="R13" s="45" t="s">
        <v>466</v>
      </c>
      <c r="S13" s="46">
        <f>SUMIFS(Scoreboard_31[Assists],Scoreboard_31[Team],"Yellow")</f>
        <v>1632</v>
      </c>
      <c r="T13" s="47">
        <f>SUMIFS(Scoreboard_31[Assists],Scoreboard_31[Team],"Red")</f>
        <v>1528</v>
      </c>
      <c r="U13" s="31"/>
      <c r="V13" s="48" t="str">
        <f ca="1">IFERROR(__xludf.DUMMYFUNCTION("""COMPUTED_VALUE"""),"K")</f>
        <v>K</v>
      </c>
      <c r="W13" s="49">
        <f ca="1">IFERROR(__xludf.DUMMYFUNCTION("""COMPUTED_VALUE"""),80)</f>
        <v>80</v>
      </c>
      <c r="X13" s="31"/>
      <c r="Y13" s="48" t="str">
        <f ca="1">IFERROR(__xludf.DUMMYFUNCTION("""COMPUTED_VALUE"""),"vexzus")</f>
        <v>vexzus</v>
      </c>
      <c r="Z13" s="49">
        <f ca="1">IFERROR(__xludf.DUMMYFUNCTION("""COMPUTED_VALUE"""),1743387)</f>
        <v>1743387</v>
      </c>
      <c r="AA13" s="31"/>
      <c r="AB13" s="45" t="s">
        <v>466</v>
      </c>
      <c r="AC13" s="50">
        <f>SUMIFS(Scoreboard_31[Assists],Scoreboard_31[Guild],"Best Regards")</f>
        <v>1574</v>
      </c>
      <c r="AD13" s="51">
        <f>SUMIFS(Scoreboard_31[Assists],Scoreboard_31[Guild],"Unhinged肉")</f>
        <v>1519</v>
      </c>
    </row>
    <row r="14" spans="1:30" ht="22.5" customHeight="1">
      <c r="A14" s="82">
        <v>53</v>
      </c>
      <c r="B14" s="60" t="str">
        <f>VLOOKUP(C14,Lists!I:J,2,FALSE)</f>
        <v>Healer</v>
      </c>
      <c r="C14" s="34" t="str">
        <f>VLOOKUP(E14,Lists!D:E,2,FALSE)</f>
        <v>Wand/Orb</v>
      </c>
      <c r="D14" s="13" t="s">
        <v>34</v>
      </c>
      <c r="E14" s="83" t="s">
        <v>151</v>
      </c>
      <c r="F14" s="13" t="s">
        <v>483</v>
      </c>
      <c r="G14" s="82">
        <v>0</v>
      </c>
      <c r="H14" s="82">
        <v>80</v>
      </c>
      <c r="I14" s="84">
        <f t="shared" si="0"/>
        <v>80</v>
      </c>
      <c r="J14" s="85">
        <v>6124</v>
      </c>
      <c r="K14" s="85">
        <v>232487</v>
      </c>
      <c r="L14" s="85">
        <v>441327</v>
      </c>
      <c r="M14" s="38">
        <f>I14/(HLOOKUP(F14,Team_Composition_23[[#All],[Yellow]:[Red]],10,FALSE)+HLOOKUP(F14,Team_Composition_23[[#All],[Yellow]:[Red]],11,FALSE))</f>
        <v>9.7442143727161992E-2</v>
      </c>
      <c r="N14" s="38">
        <f>J14/HLOOKUP(F14,Team_Composition_23[[#All],[Yellow]:[Red]],6,FALSE)</f>
        <v>3.4705919189726732E-4</v>
      </c>
      <c r="O14" s="38">
        <f>K14/HLOOKUP(F14,Team_Composition_23[[#All],[Yellow]:[Red]],8,FALSE)</f>
        <v>5.2818822127566611E-3</v>
      </c>
      <c r="P14" s="38">
        <f>L14/HLOOKUP(F14,Team_Composition_23[[#All],[Yellow]:[Red]],7,FALSE)</f>
        <v>1.8185246507094882E-2</v>
      </c>
      <c r="Q14" s="31"/>
      <c r="R14" s="48"/>
      <c r="S14" s="58">
        <f t="shared" ref="S14:T14" si="1">SUM(S4:S7)</f>
        <v>42</v>
      </c>
      <c r="T14" s="58">
        <f t="shared" si="1"/>
        <v>45</v>
      </c>
      <c r="U14" s="31"/>
      <c r="V14" s="31"/>
      <c r="W14" s="31"/>
      <c r="X14" s="31"/>
      <c r="Y14" s="31"/>
      <c r="Z14" s="31"/>
      <c r="AA14" s="31"/>
      <c r="AB14" s="48"/>
      <c r="AC14" s="58"/>
      <c r="AD14" s="58"/>
    </row>
    <row r="15" spans="1:30" ht="22.5" customHeight="1">
      <c r="A15" s="82">
        <v>21</v>
      </c>
      <c r="B15" s="67" t="str">
        <f>VLOOKUP(C15,Lists!I:J,2,FALSE)</f>
        <v>Ranged DPS</v>
      </c>
      <c r="C15" s="65" t="s">
        <v>58</v>
      </c>
      <c r="D15" s="13" t="s">
        <v>36</v>
      </c>
      <c r="E15" s="83" t="s">
        <v>250</v>
      </c>
      <c r="F15" s="13" t="s">
        <v>476</v>
      </c>
      <c r="G15" s="82">
        <v>19</v>
      </c>
      <c r="H15" s="82">
        <v>55</v>
      </c>
      <c r="I15" s="84">
        <f t="shared" si="0"/>
        <v>74</v>
      </c>
      <c r="J15" s="85">
        <v>2054170</v>
      </c>
      <c r="K15" s="85">
        <v>910196</v>
      </c>
      <c r="L15" s="85">
        <v>0</v>
      </c>
      <c r="M15" s="38">
        <f>I15/(HLOOKUP(F15,Team_Composition_23[[#All],[Yellow]:[Red]],10,FALSE)+HLOOKUP(F15,Team_Composition_23[[#All],[Yellow]:[Red]],11,FALSE))</f>
        <v>1.8495376155961009E-2</v>
      </c>
      <c r="N15" s="38">
        <f>J15/HLOOKUP(F15,Team_Composition_23[[#All],[Yellow]:[Red]],6,FALSE)</f>
        <v>4.6303059641858116E-2</v>
      </c>
      <c r="O15" s="38">
        <f>K15/HLOOKUP(F15,Team_Composition_23[[#All],[Yellow]:[Red]],8,FALSE)</f>
        <v>5.1955494802915024E-2</v>
      </c>
      <c r="P15" s="38">
        <f>L15/HLOOKUP(F15,Team_Composition_23[[#All],[Yellow]:[Red]],7,FALSE)</f>
        <v>0</v>
      </c>
      <c r="Q15" s="31"/>
      <c r="R15" s="227" t="s">
        <v>25</v>
      </c>
      <c r="S15" s="228"/>
      <c r="T15" s="228"/>
      <c r="U15" s="31"/>
      <c r="V15" s="229" t="s">
        <v>496</v>
      </c>
      <c r="W15" s="228"/>
      <c r="X15" s="31"/>
      <c r="Y15" s="229" t="s">
        <v>497</v>
      </c>
      <c r="Z15" s="228"/>
      <c r="AA15" s="31"/>
      <c r="AB15" s="227" t="s">
        <v>25</v>
      </c>
      <c r="AC15" s="228"/>
      <c r="AD15" s="228"/>
    </row>
    <row r="16" spans="1:30" ht="22.5" customHeight="1">
      <c r="A16" s="82">
        <v>7</v>
      </c>
      <c r="B16" s="69" t="str">
        <f>VLOOKUP(C16,Lists!I:J,2,FALSE)</f>
        <v>Ranged DPS</v>
      </c>
      <c r="C16" s="34" t="s">
        <v>58</v>
      </c>
      <c r="D16" s="13" t="s">
        <v>34</v>
      </c>
      <c r="E16" s="83" t="s">
        <v>522</v>
      </c>
      <c r="F16" s="13" t="s">
        <v>483</v>
      </c>
      <c r="G16" s="82">
        <v>33</v>
      </c>
      <c r="H16" s="82">
        <v>36</v>
      </c>
      <c r="I16" s="84">
        <f t="shared" si="0"/>
        <v>69</v>
      </c>
      <c r="J16" s="85">
        <v>2879412</v>
      </c>
      <c r="K16" s="85">
        <v>993658</v>
      </c>
      <c r="L16" s="85">
        <v>0</v>
      </c>
      <c r="M16" s="38">
        <f>I16/(HLOOKUP(F16,Team_Composition_23[[#All],[Yellow]:[Red]],10,FALSE)+HLOOKUP(F16,Team_Composition_23[[#All],[Yellow]:[Red]],11,FALSE))</f>
        <v>8.4043848964677217E-2</v>
      </c>
      <c r="N16" s="38">
        <f>J16/HLOOKUP(F16,Team_Composition_23[[#All],[Yellow]:[Red]],6,FALSE)</f>
        <v>0.16318197287055752</v>
      </c>
      <c r="O16" s="38">
        <f>K16/HLOOKUP(F16,Team_Composition_23[[#All],[Yellow]:[Red]],8,FALSE)</f>
        <v>2.257495909777045E-2</v>
      </c>
      <c r="P16" s="38">
        <f>L16/HLOOKUP(F16,Team_Composition_23[[#All],[Yellow]:[Red]],7,FALSE)</f>
        <v>0</v>
      </c>
      <c r="Q16" s="31"/>
      <c r="R16" s="41" t="s">
        <v>482</v>
      </c>
      <c r="S16" s="42" t="s">
        <v>476</v>
      </c>
      <c r="T16" s="42" t="s">
        <v>483</v>
      </c>
      <c r="U16" s="31"/>
      <c r="V16" s="43" t="s">
        <v>1</v>
      </c>
      <c r="W16" s="44" t="s">
        <v>498</v>
      </c>
      <c r="X16" s="31"/>
      <c r="Y16" s="43" t="s">
        <v>1</v>
      </c>
      <c r="Z16" s="44" t="s">
        <v>499</v>
      </c>
      <c r="AA16" s="31"/>
      <c r="AB16" s="41" t="s">
        <v>482</v>
      </c>
      <c r="AC16" s="42" t="s">
        <v>485</v>
      </c>
      <c r="AD16" s="42" t="s">
        <v>36</v>
      </c>
    </row>
    <row r="17" spans="1:30" ht="22.5" customHeight="1">
      <c r="A17" s="82">
        <v>54</v>
      </c>
      <c r="B17" s="40" t="s">
        <v>11</v>
      </c>
      <c r="C17" s="53" t="s">
        <v>9</v>
      </c>
      <c r="D17" s="13" t="s">
        <v>34</v>
      </c>
      <c r="E17" s="83" t="s">
        <v>106</v>
      </c>
      <c r="F17" s="13" t="s">
        <v>476</v>
      </c>
      <c r="G17" s="82">
        <v>0</v>
      </c>
      <c r="H17" s="82">
        <v>69</v>
      </c>
      <c r="I17" s="84">
        <f t="shared" si="0"/>
        <v>69</v>
      </c>
      <c r="J17" s="85">
        <v>5646</v>
      </c>
      <c r="K17" s="85">
        <v>134578</v>
      </c>
      <c r="L17" s="85">
        <v>612543</v>
      </c>
      <c r="M17" s="38">
        <f>I17/(HLOOKUP(F17,Team_Composition_23[[#All],[Yellow]:[Red]],10,FALSE)+HLOOKUP(F17,Team_Composition_23[[#All],[Yellow]:[Red]],11,FALSE))</f>
        <v>1.7245688577855536E-2</v>
      </c>
      <c r="N17" s="38">
        <f>J17/HLOOKUP(F17,Team_Composition_23[[#All],[Yellow]:[Red]],6,FALSE)</f>
        <v>1.2726652357785914E-4</v>
      </c>
      <c r="O17" s="38">
        <f>K17/HLOOKUP(F17,Team_Composition_23[[#All],[Yellow]:[Red]],8,FALSE)</f>
        <v>7.681935077265444E-3</v>
      </c>
      <c r="P17" s="38">
        <f>L17/HLOOKUP(F17,Team_Composition_23[[#All],[Yellow]:[Red]],7,FALSE)</f>
        <v>4.7319713731580018E-2</v>
      </c>
      <c r="Q17" s="31"/>
      <c r="R17" s="45" t="s">
        <v>468</v>
      </c>
      <c r="S17" s="46">
        <f>SUMIFS(Scoreboard_31[Damage Dealt],Scoreboard_31[Role],"Melee DPS",Scoreboard_31[Team],"Yellow")</f>
        <v>4007728</v>
      </c>
      <c r="T17" s="47">
        <f>SUMIFS(Scoreboard_31[Damage Dealt],Scoreboard_31[Role],"Melee DPS",Scoreboard_31[Team],"Red")</f>
        <v>8084671</v>
      </c>
      <c r="U17" s="31"/>
      <c r="V17" s="48" t="str">
        <f ca="1">IFERROR(__xludf.DUMMYFUNCTION("query(A1:P238, ""Select E,K Order by K Desc Limit 10"", 0)"),"K")</f>
        <v>K</v>
      </c>
      <c r="W17" s="49">
        <f ca="1">IFERROR(__xludf.DUMMYFUNCTION("""COMPUTED_VALUE"""),1520893)</f>
        <v>1520893</v>
      </c>
      <c r="X17" s="31"/>
      <c r="Y17" s="48" t="str">
        <f ca="1">IFERROR(__xludf.DUMMYFUNCTION("query(A1:P238, ""Select E,L Order by L Desc Limit 10"", 0)"),"Kami11")</f>
        <v>Kami11</v>
      </c>
      <c r="Z17" s="49">
        <f ca="1">IFERROR(__xludf.DUMMYFUNCTION("""COMPUTED_VALUE"""),2457373)</f>
        <v>2457373</v>
      </c>
      <c r="AA17" s="31"/>
      <c r="AB17" s="45" t="s">
        <v>468</v>
      </c>
      <c r="AC17" s="50">
        <f>SUMIFS(Scoreboard_31[Damage Dealt],Scoreboard_31[Role],"Melee DPS",Scoreboard_31[Guild],"Best Regards")</f>
        <v>4305426</v>
      </c>
      <c r="AD17" s="51">
        <f>SUMIFS(Scoreboard_31[Damage Dealt],Scoreboard_31[Role],"Melee DPS",Scoreboard_31[Guild],"Unhinged肉")</f>
        <v>7786973</v>
      </c>
    </row>
    <row r="18" spans="1:30" ht="22.5" customHeight="1">
      <c r="A18" s="82">
        <v>5</v>
      </c>
      <c r="B18" s="34" t="str">
        <f>VLOOKUP(C18,Lists!I:J,2,FALSE)</f>
        <v>KS</v>
      </c>
      <c r="C18" s="34" t="str">
        <f>VLOOKUP(E18,Lists!D:E,2,FALSE)</f>
        <v>Crossbow/Dagger</v>
      </c>
      <c r="D18" s="13" t="s">
        <v>34</v>
      </c>
      <c r="E18" s="83" t="s">
        <v>161</v>
      </c>
      <c r="F18" s="13" t="s">
        <v>483</v>
      </c>
      <c r="G18" s="82">
        <v>36</v>
      </c>
      <c r="H18" s="82">
        <v>32</v>
      </c>
      <c r="I18" s="84">
        <f t="shared" si="0"/>
        <v>68</v>
      </c>
      <c r="J18" s="85">
        <v>1437808</v>
      </c>
      <c r="K18" s="85">
        <v>263192</v>
      </c>
      <c r="L18" s="85">
        <v>9739</v>
      </c>
      <c r="M18" s="38">
        <f>I18/(HLOOKUP(F18,Team_Composition_23[[#All],[Yellow]:[Red]],10,FALSE)+HLOOKUP(F18,Team_Composition_23[[#All],[Yellow]:[Red]],11,FALSE))</f>
        <v>8.2825822168087704E-2</v>
      </c>
      <c r="N18" s="38">
        <f>J18/HLOOKUP(F18,Team_Composition_23[[#All],[Yellow]:[Red]],6,FALSE)</f>
        <v>8.1483423021460832E-2</v>
      </c>
      <c r="O18" s="38">
        <f>K18/HLOOKUP(F18,Team_Composition_23[[#All],[Yellow]:[Red]],8,FALSE)</f>
        <v>5.9794704363678444E-3</v>
      </c>
      <c r="P18" s="38">
        <f>L18/HLOOKUP(F18,Team_Composition_23[[#All],[Yellow]:[Red]],7,FALSE)</f>
        <v>4.0130360420413219E-4</v>
      </c>
      <c r="Q18" s="31"/>
      <c r="R18" s="45" t="s">
        <v>469</v>
      </c>
      <c r="S18" s="46">
        <f>SUMIFS(Scoreboard_31[Damage Taken],Scoreboard_31[Role],"Melee DPS",Scoreboard_31[Team],"Yellow")</f>
        <v>2406001</v>
      </c>
      <c r="T18" s="47">
        <f>SUMIFS(Scoreboard_31[Damage Taken],Scoreboard_31[Role],"Melee DPS",Scoreboard_31[Team],"Red")</f>
        <v>5590985</v>
      </c>
      <c r="U18" s="31"/>
      <c r="V18" s="48" t="str">
        <f ca="1">IFERROR(__xludf.DUMMYFUNCTION("""COMPUTED_VALUE"""),"Jossseph")</f>
        <v>Jossseph</v>
      </c>
      <c r="W18" s="49">
        <f ca="1">IFERROR(__xludf.DUMMYFUNCTION("""COMPUTED_VALUE"""),1339516)</f>
        <v>1339516</v>
      </c>
      <c r="X18" s="31"/>
      <c r="Y18" s="48" t="str">
        <f ca="1">IFERROR(__xludf.DUMMYFUNCTION("""COMPUTED_VALUE"""),"apgonzo")</f>
        <v>apgonzo</v>
      </c>
      <c r="Z18" s="49">
        <f ca="1">IFERROR(__xludf.DUMMYFUNCTION("""COMPUTED_VALUE"""),2176491)</f>
        <v>2176491</v>
      </c>
      <c r="AA18" s="31"/>
      <c r="AB18" s="45" t="s">
        <v>469</v>
      </c>
      <c r="AC18" s="50">
        <f>SUMIFS(Scoreboard_31[Damage Taken],Scoreboard_31[Role],"Melee DPS",Scoreboard_31[Guild],"Best Regards")</f>
        <v>2701614</v>
      </c>
      <c r="AD18" s="51">
        <f>SUMIFS(Scoreboard_31[Damage Taken],Scoreboard_31[Role],"Melee DPS",Scoreboard_31[Guild],"Unhinged肉")</f>
        <v>5295372</v>
      </c>
    </row>
    <row r="19" spans="1:30" ht="22.5" customHeight="1">
      <c r="A19" s="82">
        <v>14</v>
      </c>
      <c r="B19" s="61" t="s">
        <v>25</v>
      </c>
      <c r="C19" s="53" t="str">
        <f>VLOOKUP(E19,Lists!D:E,2,FALSE)</f>
        <v>SnS/Spear</v>
      </c>
      <c r="D19" s="13" t="s">
        <v>36</v>
      </c>
      <c r="E19" s="83" t="s">
        <v>234</v>
      </c>
      <c r="F19" s="13" t="s">
        <v>483</v>
      </c>
      <c r="G19" s="82">
        <v>25</v>
      </c>
      <c r="H19" s="82">
        <v>43</v>
      </c>
      <c r="I19" s="84">
        <f t="shared" si="0"/>
        <v>68</v>
      </c>
      <c r="J19" s="85">
        <v>1312619</v>
      </c>
      <c r="K19" s="85">
        <v>933064</v>
      </c>
      <c r="L19" s="85">
        <v>0</v>
      </c>
      <c r="M19" s="38">
        <f>I19/(HLOOKUP(F19,Team_Composition_23[[#All],[Yellow]:[Red]],10,FALSE)+HLOOKUP(F19,Team_Composition_23[[#All],[Yellow]:[Red]],11,FALSE))</f>
        <v>8.2825822168087704E-2</v>
      </c>
      <c r="N19" s="38">
        <f>J19/HLOOKUP(F19,Team_Composition_23[[#All],[Yellow]:[Red]],6,FALSE)</f>
        <v>7.4388714795721608E-2</v>
      </c>
      <c r="O19" s="38">
        <f>K19/HLOOKUP(F19,Team_Composition_23[[#All],[Yellow]:[Red]],8,FALSE)</f>
        <v>2.1198321389856556E-2</v>
      </c>
      <c r="P19" s="38">
        <f>L19/HLOOKUP(F19,Team_Composition_23[[#All],[Yellow]:[Red]],7,FALSE)</f>
        <v>0</v>
      </c>
      <c r="Q19" s="31"/>
      <c r="R19" s="45" t="s">
        <v>470</v>
      </c>
      <c r="S19" s="46">
        <f>SUMIFS(Scoreboard_31[Amount Healed],Scoreboard_31[Role],"Melee DPS",Scoreboard_31[Team],"Yellow")</f>
        <v>126851</v>
      </c>
      <c r="T19" s="47">
        <f>SUMIFS(Scoreboard_31[Amount Healed],Scoreboard_31[Role],"Melee DPS",Scoreboard_31[Team],"Red")</f>
        <v>72037</v>
      </c>
      <c r="U19" s="31"/>
      <c r="V19" s="48" t="str">
        <f ca="1">IFERROR(__xludf.DUMMYFUNCTION("""COMPUTED_VALUE"""),"EnoughCrazy")</f>
        <v>EnoughCrazy</v>
      </c>
      <c r="W19" s="49">
        <f ca="1">IFERROR(__xludf.DUMMYFUNCTION("""COMPUTED_VALUE"""),1296760)</f>
        <v>1296760</v>
      </c>
      <c r="X19" s="31"/>
      <c r="Y19" s="48" t="str">
        <f ca="1">IFERROR(__xludf.DUMMYFUNCTION("""COMPUTED_VALUE"""),"Reinnier")</f>
        <v>Reinnier</v>
      </c>
      <c r="Z19" s="49">
        <f ca="1">IFERROR(__xludf.DUMMYFUNCTION("""COMPUTED_VALUE"""),2091555)</f>
        <v>2091555</v>
      </c>
      <c r="AA19" s="31"/>
      <c r="AB19" s="45" t="s">
        <v>470</v>
      </c>
      <c r="AC19" s="50">
        <f>SUMIFS(Scoreboard_31[Amount Healed],Scoreboard_31[Role],"Melee DPS",Scoreboard_31[Guild],"Best Regards")</f>
        <v>65122</v>
      </c>
      <c r="AD19" s="51">
        <f>SUMIFS(Scoreboard_31[Amount Healed],Scoreboard_31[Role],"Melee DPS",Scoreboard_31[Guild],"Unhinged肉")</f>
        <v>133766</v>
      </c>
    </row>
    <row r="20" spans="1:30" ht="22.5" customHeight="1">
      <c r="A20" s="82">
        <v>8</v>
      </c>
      <c r="B20" s="66" t="str">
        <f>VLOOKUP(C20,Lists!I:J,2,FALSE)</f>
        <v>KS</v>
      </c>
      <c r="C20" s="66" t="str">
        <f>VLOOKUP(E20,Lists!D:E,2,FALSE)</f>
        <v>Crossbow/Dagger</v>
      </c>
      <c r="D20" s="13" t="s">
        <v>34</v>
      </c>
      <c r="E20" s="83" t="s">
        <v>152</v>
      </c>
      <c r="F20" s="13" t="s">
        <v>476</v>
      </c>
      <c r="G20" s="82">
        <v>33</v>
      </c>
      <c r="H20" s="82">
        <v>34</v>
      </c>
      <c r="I20" s="84">
        <f t="shared" si="0"/>
        <v>67</v>
      </c>
      <c r="J20" s="85">
        <v>1621925</v>
      </c>
      <c r="K20" s="85">
        <v>465438</v>
      </c>
      <c r="L20" s="85">
        <v>0</v>
      </c>
      <c r="M20" s="38">
        <f>I20/(HLOOKUP(F20,Team_Composition_23[[#All],[Yellow]:[Red]],10,FALSE)+HLOOKUP(F20,Team_Composition_23[[#All],[Yellow]:[Red]],11,FALSE))</f>
        <v>1.6745813546613347E-2</v>
      </c>
      <c r="N20" s="38">
        <f>J20/HLOOKUP(F20,Team_Composition_23[[#All],[Yellow]:[Red]],6,FALSE)</f>
        <v>3.6559822219982149E-2</v>
      </c>
      <c r="O20" s="38">
        <f>K20/HLOOKUP(F20,Team_Composition_23[[#All],[Yellow]:[Red]],8,FALSE)</f>
        <v>2.6567971722661014E-2</v>
      </c>
      <c r="P20" s="38">
        <f>L20/HLOOKUP(F20,Team_Composition_23[[#All],[Yellow]:[Red]],7,FALSE)</f>
        <v>0</v>
      </c>
      <c r="Q20" s="31"/>
      <c r="R20" s="45" t="s">
        <v>465</v>
      </c>
      <c r="S20" s="46">
        <f>SUMIFS(Scoreboard_31[Kills],Scoreboard_31[Role],"Melee DPS",Scoreboard_31[Team],"Yellow")</f>
        <v>59</v>
      </c>
      <c r="T20" s="47">
        <f>SUMIFS(Scoreboard_31[Kills],Scoreboard_31[Role],"Melee DPS",Scoreboard_31[Team],"Red")</f>
        <v>122</v>
      </c>
      <c r="U20" s="31"/>
      <c r="V20" s="48" t="str">
        <f ca="1">IFERROR(__xludf.DUMMYFUNCTION("""COMPUTED_VALUE"""),"Lewps")</f>
        <v>Lewps</v>
      </c>
      <c r="W20" s="49">
        <f ca="1">IFERROR(__xludf.DUMMYFUNCTION("""COMPUTED_VALUE"""),1296447)</f>
        <v>1296447</v>
      </c>
      <c r="X20" s="31"/>
      <c r="Y20" s="48" t="str">
        <f ca="1">IFERROR(__xludf.DUMMYFUNCTION("""COMPUTED_VALUE"""),"Ruby")</f>
        <v>Ruby</v>
      </c>
      <c r="Z20" s="49">
        <f ca="1">IFERROR(__xludf.DUMMYFUNCTION("""COMPUTED_VALUE"""),2027001)</f>
        <v>2027001</v>
      </c>
      <c r="AA20" s="31"/>
      <c r="AB20" s="45" t="s">
        <v>465</v>
      </c>
      <c r="AC20" s="50">
        <f>SUMIFS(Scoreboard_31[Kills],Scoreboard_31[Role],"Melee DPS",Scoreboard_31[Guild],"Best Regards")</f>
        <v>65</v>
      </c>
      <c r="AD20" s="51">
        <f>SUMIFS(Scoreboard_31[Kills],Scoreboard_31[Role],"Melee DPS",Scoreboard_31[Guild],"Unhinged肉")</f>
        <v>116</v>
      </c>
    </row>
    <row r="21" spans="1:30" ht="22.5" customHeight="1">
      <c r="A21" s="82">
        <v>20</v>
      </c>
      <c r="B21" s="54" t="str">
        <f>VLOOKUP(C21,Lists!I:J,2,FALSE)</f>
        <v>Ranged DPS</v>
      </c>
      <c r="C21" s="53" t="str">
        <f>VLOOKUP(E21,Lists!D:E,2,FALSE)</f>
        <v>Staff/Dagger</v>
      </c>
      <c r="D21" s="13" t="s">
        <v>36</v>
      </c>
      <c r="E21" s="83" t="s">
        <v>259</v>
      </c>
      <c r="F21" s="13" t="s">
        <v>483</v>
      </c>
      <c r="G21" s="82">
        <v>20</v>
      </c>
      <c r="H21" s="82">
        <v>47</v>
      </c>
      <c r="I21" s="84">
        <f t="shared" si="0"/>
        <v>67</v>
      </c>
      <c r="J21" s="85">
        <v>2127227</v>
      </c>
      <c r="K21" s="85">
        <v>583065</v>
      </c>
      <c r="L21" s="85">
        <v>0</v>
      </c>
      <c r="M21" s="38">
        <f>I21/(HLOOKUP(F21,Team_Composition_23[[#All],[Yellow]:[Red]],10,FALSE)+HLOOKUP(F21,Team_Composition_23[[#All],[Yellow]:[Red]],11,FALSE))</f>
        <v>8.1607795371498176E-2</v>
      </c>
      <c r="N21" s="38">
        <f>J21/HLOOKUP(F21,Team_Composition_23[[#All],[Yellow]:[Red]],6,FALSE)</f>
        <v>0.12055416126748011</v>
      </c>
      <c r="O21" s="38">
        <f>K21/HLOOKUP(F21,Team_Composition_23[[#All],[Yellow]:[Red]],8,FALSE)</f>
        <v>1.3246678964333328E-2</v>
      </c>
      <c r="P21" s="38">
        <f>L21/HLOOKUP(F21,Team_Composition_23[[#All],[Yellow]:[Red]],7,FALSE)</f>
        <v>0</v>
      </c>
      <c r="Q21" s="31"/>
      <c r="R21" s="45" t="s">
        <v>466</v>
      </c>
      <c r="S21" s="46">
        <f>SUMIFS(Scoreboard_31[Assists],Scoreboard_31[Role],"Melee DPS",Scoreboard_31[Team],"Yellow")</f>
        <v>167</v>
      </c>
      <c r="T21" s="47">
        <f>SUMIFS(Scoreboard_31[Assists],Scoreboard_31[Role],"Melee DPS",Scoreboard_31[Team],"Red")</f>
        <v>238</v>
      </c>
      <c r="U21" s="31"/>
      <c r="V21" s="48" t="str">
        <f ca="1">IFERROR(__xludf.DUMMYFUNCTION("""COMPUTED_VALUE"""),"H612")</f>
        <v>H612</v>
      </c>
      <c r="W21" s="49">
        <f ca="1">IFERROR(__xludf.DUMMYFUNCTION("""COMPUTED_VALUE"""),1204428)</f>
        <v>1204428</v>
      </c>
      <c r="X21" s="31"/>
      <c r="Y21" s="48" t="str">
        <f ca="1">IFERROR(__xludf.DUMMYFUNCTION("""COMPUTED_VALUE"""),"Teensy")</f>
        <v>Teensy</v>
      </c>
      <c r="Z21" s="49">
        <f ca="1">IFERROR(__xludf.DUMMYFUNCTION("""COMPUTED_VALUE"""),1735123)</f>
        <v>1735123</v>
      </c>
      <c r="AA21" s="31"/>
      <c r="AB21" s="45" t="s">
        <v>466</v>
      </c>
      <c r="AC21" s="50">
        <f>SUMIFS(Scoreboard_31[Assists],Scoreboard_31[Role],"Melee DPS",Scoreboard_31[Guild],"Best Regards")</f>
        <v>113</v>
      </c>
      <c r="AD21" s="51">
        <f>SUMIFS(Scoreboard_31[Assists],Scoreboard_31[Role],"Melee DPS",Scoreboard_31[Guild],"Unhinged肉")</f>
        <v>292</v>
      </c>
    </row>
    <row r="22" spans="1:30" ht="22.5" customHeight="1">
      <c r="A22" s="82">
        <v>55</v>
      </c>
      <c r="B22" s="60" t="str">
        <f>VLOOKUP(C22,Lists!I:J,2,FALSE)</f>
        <v>Healer</v>
      </c>
      <c r="C22" s="34" t="str">
        <f>VLOOKUP(E22,Lists!D:E,2,FALSE)</f>
        <v>Wand/Orb</v>
      </c>
      <c r="D22" s="13" t="s">
        <v>34</v>
      </c>
      <c r="E22" s="83" t="s">
        <v>146</v>
      </c>
      <c r="F22" s="13" t="s">
        <v>483</v>
      </c>
      <c r="G22" s="82">
        <v>0</v>
      </c>
      <c r="H22" s="82">
        <v>64</v>
      </c>
      <c r="I22" s="84">
        <f t="shared" si="0"/>
        <v>64</v>
      </c>
      <c r="J22" s="85">
        <v>12068</v>
      </c>
      <c r="K22" s="85">
        <v>282255</v>
      </c>
      <c r="L22" s="85">
        <v>1388939</v>
      </c>
      <c r="M22" s="38">
        <f>I22/(HLOOKUP(F22,Team_Composition_23[[#All],[Yellow]:[Red]],10,FALSE)+HLOOKUP(F22,Team_Composition_23[[#All],[Yellow]:[Red]],11,FALSE))</f>
        <v>7.7953714981729594E-2</v>
      </c>
      <c r="N22" s="38">
        <f>J22/HLOOKUP(F22,Team_Composition_23[[#All],[Yellow]:[Red]],6,FALSE)</f>
        <v>6.8391742779494154E-4</v>
      </c>
      <c r="O22" s="38">
        <f>K22/HLOOKUP(F22,Team_Composition_23[[#All],[Yellow]:[Red]],8,FALSE)</f>
        <v>6.4125635582274769E-3</v>
      </c>
      <c r="P22" s="38">
        <f>L22/HLOOKUP(F22,Team_Composition_23[[#All],[Yellow]:[Red]],7,FALSE)</f>
        <v>5.7232387998735312E-2</v>
      </c>
      <c r="Q22" s="31"/>
      <c r="R22" s="45" t="s">
        <v>24</v>
      </c>
      <c r="S22" s="46">
        <f t="shared" ref="S22:S25" si="2">COUNTIFS(C:C,R22,F:F,"Yellow")</f>
        <v>0</v>
      </c>
      <c r="T22" s="47">
        <f t="shared" ref="T22:T25" si="3">COUNTIFS(C:C,R22,F:F,"Red")</f>
        <v>3</v>
      </c>
      <c r="U22" s="31"/>
      <c r="V22" s="48" t="str">
        <f ca="1">IFERROR(__xludf.DUMMYFUNCTION("""COMPUTED_VALUE"""),"B")</f>
        <v>B</v>
      </c>
      <c r="W22" s="49">
        <f ca="1">IFERROR(__xludf.DUMMYFUNCTION("""COMPUTED_VALUE"""),1180721)</f>
        <v>1180721</v>
      </c>
      <c r="X22" s="31"/>
      <c r="Y22" s="48" t="str">
        <f ca="1">IFERROR(__xludf.DUMMYFUNCTION("""COMPUTED_VALUE"""),"Skilletos")</f>
        <v>Skilletos</v>
      </c>
      <c r="Z22" s="49">
        <f ca="1">IFERROR(__xludf.DUMMYFUNCTION("""COMPUTED_VALUE"""),1604614)</f>
        <v>1604614</v>
      </c>
      <c r="AA22" s="31"/>
      <c r="AB22" s="45" t="s">
        <v>24</v>
      </c>
      <c r="AC22" s="50">
        <f t="shared" ref="AC22:AC25" si="4">COUNTIFS(C:C,AB22,D:D,"Best Regards")</f>
        <v>0</v>
      </c>
      <c r="AD22" s="51">
        <f t="shared" ref="AD22:AD25" si="5">COUNTIFS(C:C,AB22,D:D,"Unhinged肉")</f>
        <v>3</v>
      </c>
    </row>
    <row r="23" spans="1:30" ht="22.5" customHeight="1">
      <c r="A23" s="82">
        <v>23</v>
      </c>
      <c r="B23" s="67" t="str">
        <f>VLOOKUP(C23,Lists!I:J,2,FALSE)</f>
        <v>Ranged DPS</v>
      </c>
      <c r="C23" s="65" t="s">
        <v>45</v>
      </c>
      <c r="D23" s="13" t="s">
        <v>34</v>
      </c>
      <c r="E23" s="83" t="s">
        <v>169</v>
      </c>
      <c r="F23" s="13" t="s">
        <v>476</v>
      </c>
      <c r="G23" s="82">
        <v>18</v>
      </c>
      <c r="H23" s="82">
        <v>43</v>
      </c>
      <c r="I23" s="84">
        <f t="shared" si="0"/>
        <v>61</v>
      </c>
      <c r="J23" s="85">
        <v>1474157</v>
      </c>
      <c r="K23" s="85">
        <v>1204428</v>
      </c>
      <c r="L23" s="85">
        <v>31096</v>
      </c>
      <c r="M23" s="38">
        <f>I23/(HLOOKUP(F23,Team_Composition_23[[#All],[Yellow]:[Red]],10,FALSE)+HLOOKUP(F23,Team_Composition_23[[#All],[Yellow]:[Red]],11,FALSE))</f>
        <v>1.5246188452886777E-2</v>
      </c>
      <c r="N23" s="38">
        <f>J23/HLOOKUP(F23,Team_Composition_23[[#All],[Yellow]:[Red]],6,FALSE)</f>
        <v>3.3228982748488504E-2</v>
      </c>
      <c r="O23" s="38">
        <f>K23/HLOOKUP(F23,Team_Composition_23[[#All],[Yellow]:[Red]],8,FALSE)</f>
        <v>6.8750744558848137E-2</v>
      </c>
      <c r="P23" s="38">
        <f>L23/HLOOKUP(F23,Team_Composition_23[[#All],[Yellow]:[Red]],7,FALSE)</f>
        <v>2.4022049361387076E-3</v>
      </c>
      <c r="Q23" s="31"/>
      <c r="R23" s="45" t="s">
        <v>69</v>
      </c>
      <c r="S23" s="46">
        <f t="shared" si="2"/>
        <v>2</v>
      </c>
      <c r="T23" s="47">
        <f t="shared" si="3"/>
        <v>2</v>
      </c>
      <c r="U23" s="31"/>
      <c r="V23" s="48" t="str">
        <f ca="1">IFERROR(__xludf.DUMMYFUNCTION("""COMPUTED_VALUE"""),"Dravx")</f>
        <v>Dravx</v>
      </c>
      <c r="W23" s="49">
        <f ca="1">IFERROR(__xludf.DUMMYFUNCTION("""COMPUTED_VALUE"""),1165322)</f>
        <v>1165322</v>
      </c>
      <c r="X23" s="31"/>
      <c r="Y23" s="48" t="str">
        <f ca="1">IFERROR(__xludf.DUMMYFUNCTION("""COMPUTED_VALUE"""),"Boharding")</f>
        <v>Boharding</v>
      </c>
      <c r="Z23" s="49">
        <f ca="1">IFERROR(__xludf.DUMMYFUNCTION("""COMPUTED_VALUE"""),1504372)</f>
        <v>1504372</v>
      </c>
      <c r="AA23" s="31"/>
      <c r="AB23" s="45" t="s">
        <v>69</v>
      </c>
      <c r="AC23" s="50">
        <f t="shared" si="4"/>
        <v>2</v>
      </c>
      <c r="AD23" s="51">
        <f t="shared" si="5"/>
        <v>2</v>
      </c>
    </row>
    <row r="24" spans="1:30" ht="22.5" customHeight="1">
      <c r="A24" s="82">
        <v>24</v>
      </c>
      <c r="B24" s="68" t="str">
        <f>VLOOKUP(C24,Lists!I:J,2,FALSE)</f>
        <v>Melee DPS</v>
      </c>
      <c r="C24" s="66" t="str">
        <f>VLOOKUP(E24,Lists!D:E,2,FALSE)</f>
        <v>Spear/Dagger</v>
      </c>
      <c r="D24" s="13" t="s">
        <v>36</v>
      </c>
      <c r="E24" s="83" t="s">
        <v>292</v>
      </c>
      <c r="F24" s="13" t="s">
        <v>483</v>
      </c>
      <c r="G24" s="82">
        <v>18</v>
      </c>
      <c r="H24" s="82">
        <v>42</v>
      </c>
      <c r="I24" s="84">
        <f t="shared" si="0"/>
        <v>60</v>
      </c>
      <c r="J24" s="85">
        <v>1397490</v>
      </c>
      <c r="K24" s="85">
        <v>1041026</v>
      </c>
      <c r="L24" s="85">
        <v>0</v>
      </c>
      <c r="M24" s="38">
        <f>I24/(HLOOKUP(F24,Team_Composition_23[[#All],[Yellow]:[Red]],10,FALSE)+HLOOKUP(F24,Team_Composition_23[[#All],[Yellow]:[Red]],11,FALSE))</f>
        <v>7.3081607795371498E-2</v>
      </c>
      <c r="N24" s="38">
        <f>J24/HLOOKUP(F24,Team_Composition_23[[#All],[Yellow]:[Red]],6,FALSE)</f>
        <v>7.9198522221507528E-2</v>
      </c>
      <c r="O24" s="38">
        <f>K24/HLOOKUP(F24,Team_Composition_23[[#All],[Yellow]:[Red]],8,FALSE)</f>
        <v>2.3651114739392808E-2</v>
      </c>
      <c r="P24" s="38">
        <f>L24/HLOOKUP(F24,Team_Composition_23[[#All],[Yellow]:[Red]],7,FALSE)</f>
        <v>0</v>
      </c>
      <c r="Q24" s="31"/>
      <c r="R24" s="45" t="s">
        <v>23</v>
      </c>
      <c r="S24" s="46">
        <f t="shared" si="2"/>
        <v>1</v>
      </c>
      <c r="T24" s="47">
        <f t="shared" si="3"/>
        <v>2</v>
      </c>
      <c r="U24" s="31"/>
      <c r="V24" s="48" t="str">
        <f ca="1">IFERROR(__xludf.DUMMYFUNCTION("""COMPUTED_VALUE"""),"TemporalRage")</f>
        <v>TemporalRage</v>
      </c>
      <c r="W24" s="49">
        <f ca="1">IFERROR(__xludf.DUMMYFUNCTION("""COMPUTED_VALUE"""),1069301)</f>
        <v>1069301</v>
      </c>
      <c r="X24" s="31"/>
      <c r="Y24" s="48" t="str">
        <f ca="1">IFERROR(__xludf.DUMMYFUNCTION("""COMPUTED_VALUE"""),"foxgloves")</f>
        <v>foxgloves</v>
      </c>
      <c r="Z24" s="49">
        <f ca="1">IFERROR(__xludf.DUMMYFUNCTION("""COMPUTED_VALUE"""),1489509)</f>
        <v>1489509</v>
      </c>
      <c r="AA24" s="31"/>
      <c r="AB24" s="45" t="s">
        <v>23</v>
      </c>
      <c r="AC24" s="50">
        <f t="shared" si="4"/>
        <v>2</v>
      </c>
      <c r="AD24" s="51">
        <f t="shared" si="5"/>
        <v>1</v>
      </c>
    </row>
    <row r="25" spans="1:30" ht="22.5" customHeight="1">
      <c r="A25" s="82">
        <v>31</v>
      </c>
      <c r="B25" s="59" t="str">
        <f>VLOOKUP(C25,Lists!I:J,2,FALSE)</f>
        <v>Tank</v>
      </c>
      <c r="C25" s="65" t="str">
        <f>VLOOKUP(E25,Lists!D:E,2,FALSE)</f>
        <v>SnS/Greatsword</v>
      </c>
      <c r="D25" s="13" t="s">
        <v>36</v>
      </c>
      <c r="E25" s="83" t="s">
        <v>293</v>
      </c>
      <c r="F25" s="13" t="s">
        <v>483</v>
      </c>
      <c r="G25" s="82">
        <v>8</v>
      </c>
      <c r="H25" s="82">
        <v>50</v>
      </c>
      <c r="I25" s="84">
        <f t="shared" si="0"/>
        <v>58</v>
      </c>
      <c r="J25" s="85">
        <v>426713</v>
      </c>
      <c r="K25" s="85">
        <v>240621</v>
      </c>
      <c r="L25" s="85">
        <v>56782</v>
      </c>
      <c r="M25" s="38">
        <f>I25/(HLOOKUP(F25,Team_Composition_23[[#All],[Yellow]:[Red]],10,FALSE)+HLOOKUP(F25,Team_Composition_23[[#All],[Yellow]:[Red]],11,FALSE))</f>
        <v>7.0645554202192443E-2</v>
      </c>
      <c r="N25" s="38">
        <f>J25/HLOOKUP(F25,Team_Composition_23[[#All],[Yellow]:[Red]],6,FALSE)</f>
        <v>2.4182669652524268E-2</v>
      </c>
      <c r="O25" s="38">
        <f>K25/HLOOKUP(F25,Team_Composition_23[[#All],[Yellow]:[Red]],8,FALSE)</f>
        <v>5.4666789107163868E-3</v>
      </c>
      <c r="P25" s="38">
        <f>L25/HLOOKUP(F25,Team_Composition_23[[#All],[Yellow]:[Red]],7,FALSE)</f>
        <v>2.3397495896826199E-3</v>
      </c>
      <c r="Q25" s="31"/>
      <c r="R25" s="45" t="s">
        <v>33</v>
      </c>
      <c r="S25" s="46">
        <f t="shared" si="2"/>
        <v>0</v>
      </c>
      <c r="T25" s="47">
        <f t="shared" si="3"/>
        <v>0</v>
      </c>
      <c r="U25" s="31"/>
      <c r="V25" s="48" t="str">
        <f ca="1">IFERROR(__xludf.DUMMYFUNCTION("""COMPUTED_VALUE"""),"Thundercats")</f>
        <v>Thundercats</v>
      </c>
      <c r="W25" s="49">
        <f ca="1">IFERROR(__xludf.DUMMYFUNCTION("""COMPUTED_VALUE"""),1041810)</f>
        <v>1041810</v>
      </c>
      <c r="X25" s="31"/>
      <c r="Y25" s="48" t="str">
        <f ca="1">IFERROR(__xludf.DUMMYFUNCTION("""COMPUTED_VALUE"""),"EgirlWaifu")</f>
        <v>EgirlWaifu</v>
      </c>
      <c r="Z25" s="49">
        <f ca="1">IFERROR(__xludf.DUMMYFUNCTION("""COMPUTED_VALUE"""),1430287)</f>
        <v>1430287</v>
      </c>
      <c r="AA25" s="31"/>
      <c r="AB25" s="45" t="s">
        <v>33</v>
      </c>
      <c r="AC25" s="50">
        <f t="shared" si="4"/>
        <v>0</v>
      </c>
      <c r="AD25" s="51">
        <f t="shared" si="5"/>
        <v>0</v>
      </c>
    </row>
    <row r="26" spans="1:30" ht="22.5" customHeight="1">
      <c r="A26" s="82">
        <v>17</v>
      </c>
      <c r="B26" s="34" t="str">
        <f>VLOOKUP(C26,Lists!I:J,2,FALSE)</f>
        <v>KS</v>
      </c>
      <c r="C26" s="34" t="str">
        <f>VLOOKUP(E26,Lists!D:E,2,FALSE)</f>
        <v>Greatsword/Dagger</v>
      </c>
      <c r="D26" s="13" t="s">
        <v>36</v>
      </c>
      <c r="E26" s="83" t="s">
        <v>290</v>
      </c>
      <c r="F26" s="13" t="s">
        <v>483</v>
      </c>
      <c r="G26" s="82">
        <v>22</v>
      </c>
      <c r="H26" s="82">
        <v>35</v>
      </c>
      <c r="I26" s="84">
        <f t="shared" si="0"/>
        <v>57</v>
      </c>
      <c r="J26" s="85">
        <v>1053007</v>
      </c>
      <c r="K26" s="85">
        <v>983655</v>
      </c>
      <c r="L26" s="85">
        <v>111658</v>
      </c>
      <c r="M26" s="38">
        <f>I26/(HLOOKUP(F26,Team_Composition_23[[#All],[Yellow]:[Red]],10,FALSE)+HLOOKUP(F26,Team_Composition_23[[#All],[Yellow]:[Red]],11,FALSE))</f>
        <v>6.9427527405602929E-2</v>
      </c>
      <c r="N26" s="38">
        <f>J26/HLOOKUP(F26,Team_Composition_23[[#All],[Yellow]:[Red]],6,FALSE)</f>
        <v>5.9675989301464033E-2</v>
      </c>
      <c r="O26" s="38">
        <f>K26/HLOOKUP(F26,Team_Composition_23[[#All],[Yellow]:[Red]],8,FALSE)</f>
        <v>2.2347700507938738E-2</v>
      </c>
      <c r="P26" s="38">
        <f>L26/HLOOKUP(F26,Team_Composition_23[[#All],[Yellow]:[Red]],7,FALSE)</f>
        <v>4.6009608623292942E-3</v>
      </c>
      <c r="Q26" s="31"/>
      <c r="R26" s="48"/>
      <c r="S26" s="63"/>
      <c r="T26" s="63"/>
      <c r="U26" s="31"/>
      <c r="V26" s="48" t="str">
        <f ca="1">IFERROR(__xludf.DUMMYFUNCTION("""COMPUTED_VALUE"""),"Yes")</f>
        <v>Yes</v>
      </c>
      <c r="W26" s="49">
        <f ca="1">IFERROR(__xludf.DUMMYFUNCTION("""COMPUTED_VALUE"""),1041026)</f>
        <v>1041026</v>
      </c>
      <c r="X26" s="31"/>
      <c r="Y26" s="48" t="str">
        <f ca="1">IFERROR(__xludf.DUMMYFUNCTION("""COMPUTED_VALUE"""),"Dusk")</f>
        <v>Dusk</v>
      </c>
      <c r="Z26" s="49">
        <f ca="1">IFERROR(__xludf.DUMMYFUNCTION("""COMPUTED_VALUE"""),1388939)</f>
        <v>1388939</v>
      </c>
      <c r="AA26" s="31"/>
      <c r="AB26" s="48"/>
      <c r="AC26" s="63"/>
      <c r="AD26" s="63"/>
    </row>
    <row r="27" spans="1:30" ht="22.5" customHeight="1">
      <c r="A27" s="82">
        <v>18</v>
      </c>
      <c r="B27" s="53" t="str">
        <f>VLOOKUP(C27,Lists!I:J,2,FALSE)</f>
        <v>KS</v>
      </c>
      <c r="C27" s="53" t="str">
        <f>VLOOKUP(E27,Lists!D:E,2,FALSE)</f>
        <v>Greatsword/Dagger</v>
      </c>
      <c r="D27" s="13" t="s">
        <v>34</v>
      </c>
      <c r="E27" s="83" t="s">
        <v>502</v>
      </c>
      <c r="F27" s="13" t="s">
        <v>476</v>
      </c>
      <c r="G27" s="82">
        <v>21</v>
      </c>
      <c r="H27" s="82">
        <v>35</v>
      </c>
      <c r="I27" s="84">
        <f t="shared" si="0"/>
        <v>56</v>
      </c>
      <c r="J27" s="85">
        <v>953071</v>
      </c>
      <c r="K27" s="85">
        <v>945205</v>
      </c>
      <c r="L27" s="85">
        <v>67156</v>
      </c>
      <c r="M27" s="38">
        <f>I27/(HLOOKUP(F27,Team_Composition_23[[#All],[Yellow]:[Red]],10,FALSE)+HLOOKUP(F27,Team_Composition_23[[#All],[Yellow]:[Red]],11,FALSE))</f>
        <v>1.3996500874781305E-2</v>
      </c>
      <c r="N27" s="38">
        <f>J27/HLOOKUP(F27,Team_Composition_23[[#All],[Yellow]:[Red]],6,FALSE)</f>
        <v>2.1483179754317003E-2</v>
      </c>
      <c r="O27" s="38">
        <f>K27/HLOOKUP(F27,Team_Composition_23[[#All],[Yellow]:[Red]],8,FALSE)</f>
        <v>5.3953866491601034E-2</v>
      </c>
      <c r="P27" s="38">
        <f>L27/HLOOKUP(F27,Team_Composition_23[[#All],[Yellow]:[Red]],7,FALSE)</f>
        <v>5.1878850878354461E-3</v>
      </c>
      <c r="Q27" s="31"/>
      <c r="R27" s="31"/>
      <c r="S27" s="64"/>
      <c r="T27" s="64"/>
      <c r="U27" s="31"/>
      <c r="V27" s="31"/>
      <c r="W27" s="31"/>
      <c r="X27" s="31"/>
      <c r="Y27" s="31"/>
      <c r="Z27" s="31"/>
      <c r="AA27" s="31"/>
      <c r="AB27" s="31"/>
      <c r="AC27" s="64"/>
      <c r="AD27" s="64"/>
    </row>
    <row r="28" spans="1:30" ht="22.5" customHeight="1">
      <c r="A28" s="82">
        <v>56</v>
      </c>
      <c r="B28" s="57" t="str">
        <f>VLOOKUP(C28,Lists!I:J,2,FALSE)</f>
        <v>Tank</v>
      </c>
      <c r="C28" s="66" t="s">
        <v>14</v>
      </c>
      <c r="D28" s="13" t="s">
        <v>36</v>
      </c>
      <c r="E28" s="83" t="s">
        <v>315</v>
      </c>
      <c r="F28" s="13" t="s">
        <v>476</v>
      </c>
      <c r="G28" s="82">
        <v>0</v>
      </c>
      <c r="H28" s="82">
        <v>56</v>
      </c>
      <c r="I28" s="84">
        <f t="shared" si="0"/>
        <v>56</v>
      </c>
      <c r="J28" s="85">
        <v>24337</v>
      </c>
      <c r="K28" s="85">
        <v>285599</v>
      </c>
      <c r="L28" s="85">
        <v>942954</v>
      </c>
      <c r="M28" s="38">
        <f>I28/(HLOOKUP(F28,Team_Composition_23[[#All],[Yellow]:[Red]],10,FALSE)+HLOOKUP(F28,Team_Composition_23[[#All],[Yellow]:[Red]],11,FALSE))</f>
        <v>1.3996500874781305E-2</v>
      </c>
      <c r="N28" s="38">
        <f>J28/HLOOKUP(F28,Team_Composition_23[[#All],[Yellow]:[Red]],6,FALSE)</f>
        <v>5.4858047897880942E-4</v>
      </c>
      <c r="O28" s="38">
        <f>K28/HLOOKUP(F28,Team_Composition_23[[#All],[Yellow]:[Red]],8,FALSE)</f>
        <v>1.6302463821218426E-2</v>
      </c>
      <c r="P28" s="38">
        <f>L28/HLOOKUP(F28,Team_Composition_23[[#All],[Yellow]:[Red]],7,FALSE)</f>
        <v>7.2844377198087812E-2</v>
      </c>
      <c r="Q28" s="31"/>
      <c r="R28" s="227" t="s">
        <v>39</v>
      </c>
      <c r="S28" s="228"/>
      <c r="T28" s="228"/>
      <c r="U28" s="31"/>
      <c r="V28" s="31"/>
      <c r="W28" s="31"/>
      <c r="X28" s="31"/>
      <c r="Y28" s="31"/>
      <c r="Z28" s="31"/>
      <c r="AA28" s="31"/>
      <c r="AB28" s="227" t="s">
        <v>39</v>
      </c>
      <c r="AC28" s="228"/>
      <c r="AD28" s="228"/>
    </row>
    <row r="29" spans="1:30" ht="22.5" customHeight="1">
      <c r="A29" s="82">
        <v>57</v>
      </c>
      <c r="B29" s="52" t="str">
        <f>VLOOKUP(C29,Lists!I:J,2,FALSE)</f>
        <v>Healer</v>
      </c>
      <c r="C29" s="65" t="str">
        <f>VLOOKUP(E29,Lists!D:E,2,FALSE)</f>
        <v>Wand/Longbow</v>
      </c>
      <c r="D29" s="13" t="s">
        <v>36</v>
      </c>
      <c r="E29" s="83" t="s">
        <v>299</v>
      </c>
      <c r="F29" s="13" t="s">
        <v>476</v>
      </c>
      <c r="G29" s="82">
        <v>0</v>
      </c>
      <c r="H29" s="82">
        <v>55</v>
      </c>
      <c r="I29" s="84">
        <f t="shared" si="0"/>
        <v>55</v>
      </c>
      <c r="J29" s="85">
        <v>15589</v>
      </c>
      <c r="K29" s="85">
        <v>400701</v>
      </c>
      <c r="L29" s="85">
        <v>2027001</v>
      </c>
      <c r="M29" s="38">
        <f>I29/(HLOOKUP(F29,Team_Composition_23[[#All],[Yellow]:[Red]],10,FALSE)+HLOOKUP(F29,Team_Composition_23[[#All],[Yellow]:[Red]],11,FALSE))</f>
        <v>1.374656335916021E-2</v>
      </c>
      <c r="N29" s="38">
        <f>J29/HLOOKUP(F29,Team_Composition_23[[#All],[Yellow]:[Red]],6,FALSE)</f>
        <v>3.5139175275509144E-4</v>
      </c>
      <c r="O29" s="38">
        <f>K29/HLOOKUP(F29,Team_Composition_23[[#All],[Yellow]:[Red]],8,FALSE)</f>
        <v>2.2872676569687025E-2</v>
      </c>
      <c r="P29" s="38">
        <f>L29/HLOOKUP(F29,Team_Composition_23[[#All],[Yellow]:[Red]],7,FALSE)</f>
        <v>0.15658836531251916</v>
      </c>
      <c r="Q29" s="31"/>
      <c r="R29" s="41" t="s">
        <v>482</v>
      </c>
      <c r="S29" s="42" t="s">
        <v>476</v>
      </c>
      <c r="T29" s="42" t="s">
        <v>483</v>
      </c>
      <c r="U29" s="31"/>
      <c r="V29" s="31"/>
      <c r="W29" s="31"/>
      <c r="X29" s="31"/>
      <c r="Y29" s="31"/>
      <c r="Z29" s="31"/>
      <c r="AA29" s="31"/>
      <c r="AB29" s="41" t="s">
        <v>482</v>
      </c>
      <c r="AC29" s="42" t="s">
        <v>485</v>
      </c>
      <c r="AD29" s="42" t="s">
        <v>36</v>
      </c>
    </row>
    <row r="30" spans="1:30" ht="22.5" customHeight="1">
      <c r="A30" s="82">
        <v>58</v>
      </c>
      <c r="B30" s="62" t="str">
        <f>VLOOKUP(C30,Lists!I:J,2,FALSE)</f>
        <v>Healer</v>
      </c>
      <c r="C30" s="66" t="str">
        <f>VLOOKUP(E30,Lists!D:E,2,FALSE)</f>
        <v>Wand/Orb</v>
      </c>
      <c r="D30" s="13" t="s">
        <v>36</v>
      </c>
      <c r="E30" s="83" t="s">
        <v>300</v>
      </c>
      <c r="F30" s="13" t="s">
        <v>476</v>
      </c>
      <c r="G30" s="82">
        <v>0</v>
      </c>
      <c r="H30" s="82">
        <v>54</v>
      </c>
      <c r="I30" s="84">
        <f t="shared" si="0"/>
        <v>54</v>
      </c>
      <c r="J30" s="85">
        <v>6328</v>
      </c>
      <c r="K30" s="85">
        <v>590334</v>
      </c>
      <c r="L30" s="85">
        <v>942297</v>
      </c>
      <c r="M30" s="38">
        <f>I30/(HLOOKUP(F30,Team_Composition_23[[#All],[Yellow]:[Red]],10,FALSE)+HLOOKUP(F30,Team_Composition_23[[#All],[Yellow]:[Red]],11,FALSE))</f>
        <v>1.3496625843539115E-2</v>
      </c>
      <c r="N30" s="38">
        <f>J30/HLOOKUP(F30,Team_Composition_23[[#All],[Yellow]:[Red]],6,FALSE)</f>
        <v>1.426394901170196E-4</v>
      </c>
      <c r="O30" s="38">
        <f>K30/HLOOKUP(F30,Team_Composition_23[[#All],[Yellow]:[Red]],8,FALSE)</f>
        <v>3.369724220825409E-2</v>
      </c>
      <c r="P30" s="38">
        <f>L30/HLOOKUP(F30,Team_Composition_23[[#All],[Yellow]:[Red]],7,FALSE)</f>
        <v>7.2793623125440424E-2</v>
      </c>
      <c r="Q30" s="31"/>
      <c r="R30" s="45" t="s">
        <v>468</v>
      </c>
      <c r="S30" s="46">
        <f>SUMIFS(Scoreboard_31[Damage Dealt],Scoreboard_31[Role],"Ranged DPS",Scoreboard_31[Team],"Yellow")</f>
        <v>15600475</v>
      </c>
      <c r="T30" s="47">
        <f>SUMIFS(Scoreboard_31[Damage Dealt],Scoreboard_31[Role],"Ranged DPS",Scoreboard_31[Team],"Red")</f>
        <v>10888821</v>
      </c>
      <c r="U30" s="31"/>
      <c r="V30" s="31"/>
      <c r="W30" s="31"/>
      <c r="X30" s="31"/>
      <c r="Y30" s="31"/>
      <c r="Z30" s="31"/>
      <c r="AA30" s="31"/>
      <c r="AB30" s="45" t="s">
        <v>468</v>
      </c>
      <c r="AC30" s="50">
        <f>SUMIFS(Scoreboard_31[Damage Dealt],Scoreboard_31[Role],"Ranged DPS",Scoreboard_31[Guild],"Best Regards")</f>
        <v>14964280</v>
      </c>
      <c r="AD30" s="51">
        <f>SUMIFS(Scoreboard_31[Damage Dealt],Scoreboard_31[Role],"Ranged DPS",Scoreboard_31[Guild],"Unhinged肉")</f>
        <v>11525016</v>
      </c>
    </row>
    <row r="31" spans="1:30" ht="22.5" customHeight="1">
      <c r="A31" s="82">
        <v>59</v>
      </c>
      <c r="B31" s="52" t="str">
        <f>VLOOKUP(C31,Lists!I:J,2,FALSE)</f>
        <v>Healer</v>
      </c>
      <c r="C31" s="65" t="str">
        <f>VLOOKUP(E31,Lists!D:E,2,FALSE)</f>
        <v>Wand/Orb</v>
      </c>
      <c r="D31" s="13" t="s">
        <v>36</v>
      </c>
      <c r="E31" s="83" t="s">
        <v>301</v>
      </c>
      <c r="F31" s="13" t="s">
        <v>483</v>
      </c>
      <c r="G31" s="82">
        <v>0</v>
      </c>
      <c r="H31" s="82">
        <v>54</v>
      </c>
      <c r="I31" s="84">
        <f t="shared" si="0"/>
        <v>54</v>
      </c>
      <c r="J31" s="85">
        <v>0</v>
      </c>
      <c r="K31" s="85">
        <v>310859</v>
      </c>
      <c r="L31" s="85">
        <v>316081</v>
      </c>
      <c r="M31" s="38">
        <f>I31/(HLOOKUP(F31,Team_Composition_23[[#All],[Yellow]:[Red]],10,FALSE)+HLOOKUP(F31,Team_Composition_23[[#All],[Yellow]:[Red]],11,FALSE))</f>
        <v>6.5773447015834346E-2</v>
      </c>
      <c r="N31" s="38">
        <f>J31/HLOOKUP(F31,Team_Composition_23[[#All],[Yellow]:[Red]],6,FALSE)</f>
        <v>0</v>
      </c>
      <c r="O31" s="38">
        <f>K31/HLOOKUP(F31,Team_Composition_23[[#All],[Yellow]:[Red]],8,FALSE)</f>
        <v>7.0624190719279908E-3</v>
      </c>
      <c r="P31" s="38">
        <f>L31/HLOOKUP(F31,Team_Composition_23[[#All],[Yellow]:[Red]],7,FALSE)</f>
        <v>1.3024380790681417E-2</v>
      </c>
      <c r="Q31" s="31"/>
      <c r="R31" s="45" t="s">
        <v>469</v>
      </c>
      <c r="S31" s="46">
        <f>SUMIFS(Scoreboard_31[Damage Taken],Scoreboard_31[Role],"Ranged DPS",Scoreboard_31[Team],"Yellow")</f>
        <v>8667339</v>
      </c>
      <c r="T31" s="47">
        <f>SUMIFS(Scoreboard_31[Damage Taken],Scoreboard_31[Role],"Ranged DPS",Scoreboard_31[Team],"Red")</f>
        <v>4788628</v>
      </c>
      <c r="U31" s="31"/>
      <c r="V31" s="31"/>
      <c r="W31" s="31"/>
      <c r="X31" s="31"/>
      <c r="Y31" s="31"/>
      <c r="Z31" s="31"/>
      <c r="AA31" s="31"/>
      <c r="AB31" s="45" t="s">
        <v>469</v>
      </c>
      <c r="AC31" s="50">
        <f>SUMIFS(Scoreboard_31[Damage Taken],Scoreboard_31[Role],"Ranged DPS",Scoreboard_31[Guild],"Best Regards")</f>
        <v>7946670</v>
      </c>
      <c r="AD31" s="51">
        <f>SUMIFS(Scoreboard_31[Damage Taken],Scoreboard_31[Role],"Ranged DPS",Scoreboard_31[Guild],"Unhinged肉")</f>
        <v>5509297</v>
      </c>
    </row>
    <row r="32" spans="1:30" ht="22.5" customHeight="1">
      <c r="A32" s="82">
        <v>12</v>
      </c>
      <c r="B32" s="66" t="str">
        <f>VLOOKUP(C32,Lists!I:J,2,FALSE)</f>
        <v>KS</v>
      </c>
      <c r="C32" s="66" t="str">
        <f>VLOOKUP(E32,Lists!D:E,2,FALSE)</f>
        <v>Greatsword/Dagger</v>
      </c>
      <c r="D32" s="13" t="s">
        <v>36</v>
      </c>
      <c r="E32" s="83" t="s">
        <v>287</v>
      </c>
      <c r="F32" s="13" t="s">
        <v>476</v>
      </c>
      <c r="G32" s="82">
        <v>26</v>
      </c>
      <c r="H32" s="82">
        <v>27</v>
      </c>
      <c r="I32" s="84">
        <f t="shared" si="0"/>
        <v>53</v>
      </c>
      <c r="J32" s="85">
        <v>985818</v>
      </c>
      <c r="K32" s="85">
        <v>1165322</v>
      </c>
      <c r="L32" s="85">
        <v>23583</v>
      </c>
      <c r="M32" s="38">
        <f>I32/(HLOOKUP(F32,Team_Composition_23[[#All],[Yellow]:[Red]],10,FALSE)+HLOOKUP(F32,Team_Composition_23[[#All],[Yellow]:[Red]],11,FALSE))</f>
        <v>1.324668832791802E-2</v>
      </c>
      <c r="N32" s="38">
        <f>J32/HLOOKUP(F32,Team_Composition_23[[#All],[Yellow]:[Red]],6,FALSE)</f>
        <v>2.2221330099269916E-2</v>
      </c>
      <c r="O32" s="38">
        <f>K32/HLOOKUP(F32,Team_Composition_23[[#All],[Yellow]:[Red]],8,FALSE)</f>
        <v>6.6518509326257802E-2</v>
      </c>
      <c r="P32" s="38">
        <f>L32/HLOOKUP(F32,Team_Composition_23[[#All],[Yellow]:[Red]],7,FALSE)</f>
        <v>1.8218162789091566E-3</v>
      </c>
      <c r="Q32" s="31"/>
      <c r="R32" s="45" t="s">
        <v>470</v>
      </c>
      <c r="S32" s="46">
        <f>SUMIFS(Scoreboard_31[Amount Healed],Scoreboard_31[Role],"Ranged DPS",Scoreboard_31[Team],"Yellow")</f>
        <v>575132</v>
      </c>
      <c r="T32" s="47">
        <f>SUMIFS(Scoreboard_31[Amount Healed],Scoreboard_31[Role],"Ranged DPS",Scoreboard_31[Team],"Red")</f>
        <v>364312</v>
      </c>
      <c r="U32" s="31"/>
      <c r="V32" s="31"/>
      <c r="W32" s="31"/>
      <c r="X32" s="31"/>
      <c r="Y32" s="31"/>
      <c r="Z32" s="31"/>
      <c r="AA32" s="31"/>
      <c r="AB32" s="45" t="s">
        <v>470</v>
      </c>
      <c r="AC32" s="50">
        <f>SUMIFS(Scoreboard_31[Amount Healed],Scoreboard_31[Role],"Ranged DPS",Scoreboard_31[Guild],"Best Regards")</f>
        <v>629868</v>
      </c>
      <c r="AD32" s="51">
        <f>SUMIFS(Scoreboard_31[Amount Healed],Scoreboard_31[Role],"Ranged DPS",Scoreboard_31[Guild],"Unhinged肉")</f>
        <v>309576</v>
      </c>
    </row>
    <row r="33" spans="1:30" ht="22.5" customHeight="1">
      <c r="A33" s="82">
        <v>60</v>
      </c>
      <c r="B33" s="40" t="str">
        <f>VLOOKUP(C33,Lists!I:J,2,FALSE)</f>
        <v>Healer</v>
      </c>
      <c r="C33" s="53" t="str">
        <f>VLOOKUP(E33,Lists!D:E,2,FALSE)</f>
        <v>Wand/Longbow</v>
      </c>
      <c r="D33" s="13" t="s">
        <v>34</v>
      </c>
      <c r="E33" s="83" t="s">
        <v>108</v>
      </c>
      <c r="F33" s="13" t="s">
        <v>483</v>
      </c>
      <c r="G33" s="82">
        <v>0</v>
      </c>
      <c r="H33" s="82">
        <v>53</v>
      </c>
      <c r="I33" s="84">
        <f t="shared" si="0"/>
        <v>53</v>
      </c>
      <c r="J33" s="85">
        <v>35870</v>
      </c>
      <c r="K33" s="85">
        <v>612618</v>
      </c>
      <c r="L33" s="85">
        <v>1735123</v>
      </c>
      <c r="M33" s="38">
        <f>I33/(HLOOKUP(F33,Team_Composition_23[[#All],[Yellow]:[Red]],10,FALSE)+HLOOKUP(F33,Team_Composition_23[[#All],[Yellow]:[Red]],11,FALSE))</f>
        <v>6.4555420219244819E-2</v>
      </c>
      <c r="N33" s="38">
        <f>J33/HLOOKUP(F33,Team_Composition_23[[#All],[Yellow]:[Red]],6,FALSE)</f>
        <v>2.0328238428078019E-3</v>
      </c>
      <c r="O33" s="38">
        <f>K33/HLOOKUP(F33,Team_Composition_23[[#All],[Yellow]:[Red]],8,FALSE)</f>
        <v>1.3918094850097254E-2</v>
      </c>
      <c r="P33" s="38">
        <f>L33/HLOOKUP(F33,Team_Composition_23[[#All],[Yellow]:[Red]],7,FALSE)</f>
        <v>7.1497187969759374E-2</v>
      </c>
      <c r="Q33" s="31"/>
      <c r="R33" s="45" t="s">
        <v>465</v>
      </c>
      <c r="S33" s="46">
        <f>SUMIFS(Scoreboard_31[Kills],Scoreboard_31[Role],"Ranged DPS",Scoreboard_31[Team],"Yellow")</f>
        <v>179</v>
      </c>
      <c r="T33" s="47">
        <f>SUMIFS(Scoreboard_31[Kills],Scoreboard_31[Role],"Ranged DPS",Scoreboard_31[Team],"Red")</f>
        <v>137</v>
      </c>
      <c r="U33" s="31"/>
      <c r="V33" s="31"/>
      <c r="W33" s="31"/>
      <c r="X33" s="31"/>
      <c r="Y33" s="31"/>
      <c r="Z33" s="31"/>
      <c r="AA33" s="31"/>
      <c r="AB33" s="45" t="s">
        <v>465</v>
      </c>
      <c r="AC33" s="50">
        <f>SUMIFS(Scoreboard_31[Kills],Scoreboard_31[Role],"Ranged DPS",Scoreboard_31[Guild],"Best Regards")</f>
        <v>176</v>
      </c>
      <c r="AD33" s="51">
        <f>SUMIFS(Scoreboard_31[Kills],Scoreboard_31[Role],"Ranged DPS",Scoreboard_31[Guild],"Unhinged肉")</f>
        <v>140</v>
      </c>
    </row>
    <row r="34" spans="1:30" ht="22.5" customHeight="1">
      <c r="A34" s="82">
        <v>41</v>
      </c>
      <c r="B34" s="33" t="str">
        <f>VLOOKUP(C34,Lists!I:J,2,FALSE)</f>
        <v>Tank</v>
      </c>
      <c r="C34" s="34" t="str">
        <f>VLOOKUP(E34,Lists!D:E,2,FALSE)</f>
        <v>SnS/Greatsword</v>
      </c>
      <c r="D34" s="13" t="s">
        <v>34</v>
      </c>
      <c r="E34" s="83" t="s">
        <v>55</v>
      </c>
      <c r="F34" s="13" t="s">
        <v>476</v>
      </c>
      <c r="G34" s="82">
        <v>1</v>
      </c>
      <c r="H34" s="82">
        <v>51</v>
      </c>
      <c r="I34" s="84">
        <f t="shared" si="0"/>
        <v>52</v>
      </c>
      <c r="J34" s="85">
        <v>207770</v>
      </c>
      <c r="K34" s="85">
        <v>311069</v>
      </c>
      <c r="L34" s="85">
        <v>9075</v>
      </c>
      <c r="M34" s="38">
        <f>I34/(HLOOKUP(F34,Team_Composition_23[[#All],[Yellow]:[Red]],10,FALSE)+HLOOKUP(F34,Team_Composition_23[[#All],[Yellow]:[Red]],11,FALSE))</f>
        <v>1.2996750812296926E-2</v>
      </c>
      <c r="N34" s="38">
        <f>J34/HLOOKUP(F34,Team_Composition_23[[#All],[Yellow]:[Red]],6,FALSE)</f>
        <v>4.683344952846581E-3</v>
      </c>
      <c r="O34" s="38">
        <f>K34/HLOOKUP(F34,Team_Composition_23[[#All],[Yellow]:[Red]],8,FALSE)</f>
        <v>1.7756333595014672E-2</v>
      </c>
      <c r="P34" s="38">
        <f>L34/HLOOKUP(F34,Team_Composition_23[[#All],[Yellow]:[Red]],7,FALSE)</f>
        <v>7.0105511305179993E-4</v>
      </c>
      <c r="Q34" s="31"/>
      <c r="R34" s="45" t="s">
        <v>466</v>
      </c>
      <c r="S34" s="46">
        <f>SUMIFS(Scoreboard_31[Assists],Scoreboard_31[Role],"Ranged DPS",Scoreboard_31[Team],"Yellow")</f>
        <v>406</v>
      </c>
      <c r="T34" s="47">
        <f>SUMIFS(Scoreboard_31[Assists],Scoreboard_31[Role],"Ranged DPS",Scoreboard_31[Team],"Red")</f>
        <v>237</v>
      </c>
      <c r="U34" s="31"/>
      <c r="V34" s="31"/>
      <c r="W34" s="31"/>
      <c r="X34" s="31"/>
      <c r="Y34" s="31"/>
      <c r="Z34" s="31"/>
      <c r="AA34" s="31"/>
      <c r="AB34" s="45" t="s">
        <v>466</v>
      </c>
      <c r="AC34" s="50">
        <f>SUMIFS(Scoreboard_31[Assists],Scoreboard_31[Role],"Ranged DPS",Scoreboard_31[Guild],"Best Regards")</f>
        <v>339</v>
      </c>
      <c r="AD34" s="51">
        <f>SUMIFS(Scoreboard_31[Assists],Scoreboard_31[Role],"Ranged DPS",Scoreboard_31[Team],"Unhinged肉")</f>
        <v>0</v>
      </c>
    </row>
    <row r="35" spans="1:30" ht="22.5" customHeight="1">
      <c r="A35" s="82">
        <v>32</v>
      </c>
      <c r="B35" s="54" t="str">
        <f>VLOOKUP(C35,Lists!I:J,2,FALSE)</f>
        <v>Healer</v>
      </c>
      <c r="C35" s="53" t="str">
        <f>VLOOKUP(E35,Lists!D:E,2,FALSE)</f>
        <v>Wand/Longbow</v>
      </c>
      <c r="D35" s="13" t="s">
        <v>34</v>
      </c>
      <c r="E35" s="83" t="s">
        <v>134</v>
      </c>
      <c r="F35" s="13" t="s">
        <v>476</v>
      </c>
      <c r="G35" s="82">
        <v>8</v>
      </c>
      <c r="H35" s="82">
        <v>43</v>
      </c>
      <c r="I35" s="84">
        <f t="shared" si="0"/>
        <v>51</v>
      </c>
      <c r="J35" s="85">
        <v>910042</v>
      </c>
      <c r="K35" s="85">
        <v>738124</v>
      </c>
      <c r="L35" s="85">
        <v>0</v>
      </c>
      <c r="M35" s="38">
        <f>I35/(HLOOKUP(F35,Team_Composition_23[[#All],[Yellow]:[Red]],10,FALSE)+HLOOKUP(F35,Team_Composition_23[[#All],[Yellow]:[Red]],11,FALSE))</f>
        <v>1.2746813296675831E-2</v>
      </c>
      <c r="N35" s="38">
        <f>J35/HLOOKUP(F35,Team_Composition_23[[#All],[Yellow]:[Red]],6,FALSE)</f>
        <v>2.0513262778930588E-2</v>
      </c>
      <c r="O35" s="38">
        <f>K35/HLOOKUP(F35,Team_Composition_23[[#All],[Yellow]:[Red]],8,FALSE)</f>
        <v>4.2133340122244935E-2</v>
      </c>
      <c r="P35" s="38">
        <f>L35/HLOOKUP(F35,Team_Composition_23[[#All],[Yellow]:[Red]],7,FALSE)</f>
        <v>0</v>
      </c>
      <c r="Q35" s="31"/>
      <c r="R35" s="45" t="s">
        <v>54</v>
      </c>
      <c r="S35" s="46">
        <f t="shared" ref="S35:S46" si="6">COUNTIFS(C:C,R35,F:F,"Yellow")</f>
        <v>3</v>
      </c>
      <c r="T35" s="47">
        <f t="shared" ref="T35:T46" si="7">COUNTIFS(C:C,R35,F:F,"Red")</f>
        <v>2</v>
      </c>
      <c r="U35" s="31"/>
      <c r="V35" s="31"/>
      <c r="W35" s="31"/>
      <c r="X35" s="31"/>
      <c r="Y35" s="31"/>
      <c r="Z35" s="31"/>
      <c r="AA35" s="31"/>
      <c r="AB35" s="45" t="s">
        <v>54</v>
      </c>
      <c r="AC35" s="50">
        <f t="shared" ref="AC35:AC46" si="8">COUNTIFS(C:C,AB35,D:D,"Best Regards")</f>
        <v>3</v>
      </c>
      <c r="AD35" s="51">
        <f t="shared" ref="AD35:AD46" si="9">COUNTIFS(C:C,AB35,D:D,"Unhinged肉")</f>
        <v>2</v>
      </c>
    </row>
    <row r="36" spans="1:30" ht="22.5" customHeight="1">
      <c r="A36" s="82">
        <v>34</v>
      </c>
      <c r="B36" s="55" t="str">
        <f>VLOOKUP(C36,Lists!I:J,2,FALSE)</f>
        <v>Ranged DPS</v>
      </c>
      <c r="C36" s="66" t="str">
        <f>VLOOKUP(E36,Lists!D:E,2,FALSE)</f>
        <v>SnS/Wand</v>
      </c>
      <c r="D36" s="13" t="s">
        <v>34</v>
      </c>
      <c r="E36" s="83" t="s">
        <v>162</v>
      </c>
      <c r="F36" s="13" t="s">
        <v>483</v>
      </c>
      <c r="G36" s="82">
        <v>4</v>
      </c>
      <c r="H36" s="82">
        <v>46</v>
      </c>
      <c r="I36" s="84">
        <f t="shared" si="0"/>
        <v>50</v>
      </c>
      <c r="J36" s="85">
        <v>1234155</v>
      </c>
      <c r="K36" s="85">
        <v>557164</v>
      </c>
      <c r="L36" s="85">
        <v>307909</v>
      </c>
      <c r="M36" s="38">
        <f>I36/(HLOOKUP(F36,Team_Composition_23[[#All],[Yellow]:[Red]],10,FALSE)+HLOOKUP(F36,Team_Composition_23[[#All],[Yellow]:[Red]],11,FALSE))</f>
        <v>6.090133982947625E-2</v>
      </c>
      <c r="N36" s="38">
        <f>J36/HLOOKUP(F36,Team_Composition_23[[#All],[Yellow]:[Red]],6,FALSE)</f>
        <v>6.9942004731543425E-2</v>
      </c>
      <c r="O36" s="38">
        <f>K36/HLOOKUP(F36,Team_Composition_23[[#All],[Yellow]:[Red]],8,FALSE)</f>
        <v>1.2658233024592137E-2</v>
      </c>
      <c r="P36" s="38">
        <f>L36/HLOOKUP(F36,Team_Composition_23[[#All],[Yellow]:[Red]],7,FALSE)</f>
        <v>1.2687646726243982E-2</v>
      </c>
      <c r="Q36" s="31"/>
      <c r="R36" s="45" t="s">
        <v>43</v>
      </c>
      <c r="S36" s="46">
        <f t="shared" si="6"/>
        <v>0</v>
      </c>
      <c r="T36" s="47">
        <f t="shared" si="7"/>
        <v>1</v>
      </c>
      <c r="U36" s="31"/>
      <c r="V36" s="31"/>
      <c r="W36" s="31"/>
      <c r="X36" s="31"/>
      <c r="Y36" s="31"/>
      <c r="Z36" s="31"/>
      <c r="AA36" s="31"/>
      <c r="AB36" s="45" t="s">
        <v>43</v>
      </c>
      <c r="AC36" s="50">
        <f t="shared" si="8"/>
        <v>1</v>
      </c>
      <c r="AD36" s="51">
        <f t="shared" si="9"/>
        <v>0</v>
      </c>
    </row>
    <row r="37" spans="1:30" ht="22.5" customHeight="1">
      <c r="A37" s="82">
        <v>26</v>
      </c>
      <c r="B37" s="54" t="str">
        <f>VLOOKUP(C37,Lists!I:J,2,FALSE)</f>
        <v>Ranged DPS</v>
      </c>
      <c r="C37" s="53" t="str">
        <f>VLOOKUP(E37,Lists!D:E,2,FALSE)</f>
        <v>Staff/Orb</v>
      </c>
      <c r="D37" s="13" t="s">
        <v>34</v>
      </c>
      <c r="E37" s="83" t="s">
        <v>160</v>
      </c>
      <c r="F37" s="13" t="s">
        <v>476</v>
      </c>
      <c r="G37" s="82">
        <v>13</v>
      </c>
      <c r="H37" s="82">
        <v>36</v>
      </c>
      <c r="I37" s="84">
        <f t="shared" si="0"/>
        <v>49</v>
      </c>
      <c r="J37" s="85">
        <v>1723344</v>
      </c>
      <c r="K37" s="85">
        <v>1296760</v>
      </c>
      <c r="L37" s="85">
        <v>11036</v>
      </c>
      <c r="M37" s="38">
        <f>I37/(HLOOKUP(F37,Team_Composition_23[[#All],[Yellow]:[Red]],10,FALSE)+HLOOKUP(F37,Team_Composition_23[[#All],[Yellow]:[Red]],11,FALSE))</f>
        <v>1.2246938265433641E-2</v>
      </c>
      <c r="N37" s="38">
        <f>J37/HLOOKUP(F37,Team_Composition_23[[#All],[Yellow]:[Red]],6,FALSE)</f>
        <v>3.8845908573992581E-2</v>
      </c>
      <c r="O37" s="38">
        <f>K37/HLOOKUP(F37,Team_Composition_23[[#All],[Yellow]:[Red]],8,FALSE)</f>
        <v>7.4021208004240932E-2</v>
      </c>
      <c r="P37" s="38">
        <f>L37/HLOOKUP(F37,Team_Composition_23[[#All],[Yellow]:[Red]],7,FALSE)</f>
        <v>8.5254481847269023E-4</v>
      </c>
      <c r="Q37" s="31"/>
      <c r="R37" s="45" t="s">
        <v>45</v>
      </c>
      <c r="S37" s="46">
        <f t="shared" si="6"/>
        <v>4</v>
      </c>
      <c r="T37" s="47">
        <f t="shared" si="7"/>
        <v>2</v>
      </c>
      <c r="U37" s="31"/>
      <c r="V37" s="31"/>
      <c r="W37" s="31"/>
      <c r="X37" s="31"/>
      <c r="Y37" s="31"/>
      <c r="Z37" s="31"/>
      <c r="AA37" s="31"/>
      <c r="AB37" s="45" t="s">
        <v>45</v>
      </c>
      <c r="AC37" s="50">
        <f t="shared" si="8"/>
        <v>4</v>
      </c>
      <c r="AD37" s="51">
        <f t="shared" si="9"/>
        <v>2</v>
      </c>
    </row>
    <row r="38" spans="1:30" ht="22.5" customHeight="1">
      <c r="A38" s="82">
        <v>13</v>
      </c>
      <c r="B38" s="34" t="str">
        <f>VLOOKUP(C38,Lists!I:J,2,FALSE)</f>
        <v>KS</v>
      </c>
      <c r="C38" s="34" t="str">
        <f>VLOOKUP(E38,Lists!D:E,2,FALSE)</f>
        <v>Crossbow/Dagger</v>
      </c>
      <c r="D38" s="13" t="s">
        <v>36</v>
      </c>
      <c r="E38" s="83" t="s">
        <v>233</v>
      </c>
      <c r="F38" s="13" t="s">
        <v>483</v>
      </c>
      <c r="G38" s="82">
        <v>26</v>
      </c>
      <c r="H38" s="82">
        <v>21</v>
      </c>
      <c r="I38" s="84">
        <f t="shared" si="0"/>
        <v>47</v>
      </c>
      <c r="J38" s="85">
        <v>1061471</v>
      </c>
      <c r="K38" s="85">
        <v>632562</v>
      </c>
      <c r="L38" s="85">
        <v>18240</v>
      </c>
      <c r="M38" s="38">
        <f>I38/(HLOOKUP(F38,Team_Composition_23[[#All],[Yellow]:[Red]],10,FALSE)+HLOOKUP(F38,Team_Composition_23[[#All],[Yellow]:[Red]],11,FALSE))</f>
        <v>5.7247259439707675E-2</v>
      </c>
      <c r="N38" s="38">
        <f>J38/HLOOKUP(F38,Team_Composition_23[[#All],[Yellow]:[Red]],6,FALSE)</f>
        <v>6.0155660921356012E-2</v>
      </c>
      <c r="O38" s="38">
        <f>K38/HLOOKUP(F38,Team_Composition_23[[#All],[Yellow]:[Red]],8,FALSE)</f>
        <v>1.4371203449077923E-2</v>
      </c>
      <c r="P38" s="38">
        <f>L38/HLOOKUP(F38,Team_Composition_23[[#All],[Yellow]:[Red]],7,FALSE)</f>
        <v>7.51594387584287E-4</v>
      </c>
      <c r="Q38" s="31"/>
      <c r="R38" s="45" t="s">
        <v>81</v>
      </c>
      <c r="S38" s="46">
        <f t="shared" si="6"/>
        <v>0</v>
      </c>
      <c r="T38" s="47">
        <f t="shared" si="7"/>
        <v>0</v>
      </c>
      <c r="U38" s="31"/>
      <c r="V38" s="31"/>
      <c r="W38" s="31"/>
      <c r="X38" s="31"/>
      <c r="Y38" s="31"/>
      <c r="Z38" s="31"/>
      <c r="AA38" s="31"/>
      <c r="AB38" s="45" t="s">
        <v>81</v>
      </c>
      <c r="AC38" s="50">
        <f t="shared" si="8"/>
        <v>0</v>
      </c>
      <c r="AD38" s="51">
        <f t="shared" si="9"/>
        <v>0</v>
      </c>
    </row>
    <row r="39" spans="1:30" ht="22.5" customHeight="1">
      <c r="A39" s="82">
        <v>42</v>
      </c>
      <c r="B39" s="40" t="str">
        <f>VLOOKUP(C39,Lists!I:J,2,FALSE)</f>
        <v>Healer</v>
      </c>
      <c r="C39" s="53" t="s">
        <v>10</v>
      </c>
      <c r="D39" s="13" t="s">
        <v>36</v>
      </c>
      <c r="E39" s="83" t="s">
        <v>271</v>
      </c>
      <c r="F39" s="13" t="s">
        <v>476</v>
      </c>
      <c r="G39" s="82">
        <v>1</v>
      </c>
      <c r="H39" s="82">
        <v>46</v>
      </c>
      <c r="I39" s="84">
        <f t="shared" si="0"/>
        <v>47</v>
      </c>
      <c r="J39" s="85">
        <v>31566</v>
      </c>
      <c r="K39" s="85">
        <v>315948</v>
      </c>
      <c r="L39" s="85">
        <v>1604614</v>
      </c>
      <c r="M39" s="38">
        <f>I39/(HLOOKUP(F39,Team_Composition_23[[#All],[Yellow]:[Red]],10,FALSE)+HLOOKUP(F39,Team_Composition_23[[#All],[Yellow]:[Red]],11,FALSE))</f>
        <v>1.1747063234191453E-2</v>
      </c>
      <c r="N39" s="38">
        <f>J39/HLOOKUP(F39,Team_Composition_23[[#All],[Yellow]:[Red]],6,FALSE)</f>
        <v>7.1152941609257914E-4</v>
      </c>
      <c r="O39" s="38">
        <f>K39/HLOOKUP(F39,Team_Composition_23[[#All],[Yellow]:[Red]],8,FALSE)</f>
        <v>1.8034834993772106E-2</v>
      </c>
      <c r="P39" s="38">
        <f>L39/HLOOKUP(F39,Team_Composition_23[[#All],[Yellow]:[Red]],7,FALSE)</f>
        <v>0.12395844068038576</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82">
        <v>61</v>
      </c>
      <c r="B40" s="60" t="str">
        <f>VLOOKUP(C40,Lists!I:J,2,FALSE)</f>
        <v>Healer</v>
      </c>
      <c r="C40" s="34" t="str">
        <f>VLOOKUP(E40,Lists!D:E,2,FALSE)</f>
        <v>Wand/Orb</v>
      </c>
      <c r="D40" s="13" t="s">
        <v>36</v>
      </c>
      <c r="E40" s="83" t="s">
        <v>276</v>
      </c>
      <c r="F40" s="13" t="s">
        <v>476</v>
      </c>
      <c r="G40" s="82">
        <v>0</v>
      </c>
      <c r="H40" s="82">
        <v>47</v>
      </c>
      <c r="I40" s="84">
        <f t="shared" si="0"/>
        <v>47</v>
      </c>
      <c r="J40" s="85">
        <v>14695</v>
      </c>
      <c r="K40" s="85">
        <v>262159</v>
      </c>
      <c r="L40" s="85">
        <v>706130</v>
      </c>
      <c r="M40" s="38">
        <f>I40/(HLOOKUP(F40,Team_Composition_23[[#All],[Yellow]:[Red]],10,FALSE)+HLOOKUP(F40,Team_Composition_23[[#All],[Yellow]:[Red]],11,FALSE))</f>
        <v>1.1747063234191453E-2</v>
      </c>
      <c r="N40" s="38">
        <f>J40/HLOOKUP(F40,Team_Composition_23[[#All],[Yellow]:[Red]],6,FALSE)</f>
        <v>3.3124009280493096E-4</v>
      </c>
      <c r="O40" s="38">
        <f>K40/HLOOKUP(F40,Team_Composition_23[[#All],[Yellow]:[Red]],8,FALSE)</f>
        <v>1.4964469808741634E-2</v>
      </c>
      <c r="P40" s="38">
        <f>L40/HLOOKUP(F40,Team_Composition_23[[#All],[Yellow]:[Red]],7,FALSE)</f>
        <v>5.4549426664382089E-2</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82">
        <v>29</v>
      </c>
      <c r="B41" s="67" t="str">
        <f>VLOOKUP(C41,Lists!I:J,2,FALSE)</f>
        <v>Ranged DPS</v>
      </c>
      <c r="C41" s="65" t="s">
        <v>32</v>
      </c>
      <c r="D41" s="13" t="s">
        <v>34</v>
      </c>
      <c r="E41" s="83" t="s">
        <v>172</v>
      </c>
      <c r="F41" s="13" t="s">
        <v>483</v>
      </c>
      <c r="G41" s="82">
        <v>10</v>
      </c>
      <c r="H41" s="82">
        <v>36</v>
      </c>
      <c r="I41" s="84">
        <f t="shared" si="0"/>
        <v>46</v>
      </c>
      <c r="J41" s="85">
        <v>1160734</v>
      </c>
      <c r="K41" s="85">
        <v>1024389</v>
      </c>
      <c r="L41" s="85">
        <v>0</v>
      </c>
      <c r="M41" s="38">
        <f>I41/(HLOOKUP(F41,Team_Composition_23[[#All],[Yellow]:[Red]],10,FALSE)+HLOOKUP(F41,Team_Composition_23[[#All],[Yellow]:[Red]],11,FALSE))</f>
        <v>5.6029232643118147E-2</v>
      </c>
      <c r="N41" s="38">
        <f>J41/HLOOKUP(F41,Team_Composition_23[[#All],[Yellow]:[Red]],6,FALSE)</f>
        <v>6.5781091451287174E-2</v>
      </c>
      <c r="O41" s="38">
        <f>K41/HLOOKUP(F41,Team_Composition_23[[#All],[Yellow]:[Red]],8,FALSE)</f>
        <v>2.3273138016506656E-2</v>
      </c>
      <c r="P41" s="38">
        <f>L41/HLOOKUP(F41,Team_Composition_23[[#All],[Yellow]:[Red]],7,FALSE)</f>
        <v>0</v>
      </c>
      <c r="Q41" s="31"/>
      <c r="R41" s="45" t="s">
        <v>52</v>
      </c>
      <c r="S41" s="46">
        <f t="shared" si="6"/>
        <v>1</v>
      </c>
      <c r="T41" s="47">
        <f t="shared" si="7"/>
        <v>1</v>
      </c>
      <c r="U41" s="31"/>
      <c r="V41" s="31"/>
      <c r="W41" s="31"/>
      <c r="X41" s="31"/>
      <c r="Y41" s="31"/>
      <c r="Z41" s="31"/>
      <c r="AA41" s="31"/>
      <c r="AB41" s="45" t="s">
        <v>52</v>
      </c>
      <c r="AC41" s="50">
        <f t="shared" si="8"/>
        <v>1</v>
      </c>
      <c r="AD41" s="51">
        <f t="shared" si="9"/>
        <v>1</v>
      </c>
    </row>
    <row r="42" spans="1:30" ht="22.5" customHeight="1">
      <c r="A42" s="82">
        <v>62</v>
      </c>
      <c r="B42" s="62" t="str">
        <f>VLOOKUP(C42,Lists!I:J,2,FALSE)</f>
        <v>Healer</v>
      </c>
      <c r="C42" s="66" t="str">
        <f>VLOOKUP(E42,Lists!D:E,2,FALSE)</f>
        <v>Wand/Longbow</v>
      </c>
      <c r="D42" s="13" t="s">
        <v>36</v>
      </c>
      <c r="E42" s="83" t="s">
        <v>309</v>
      </c>
      <c r="F42" s="13" t="s">
        <v>483</v>
      </c>
      <c r="G42" s="82">
        <v>0</v>
      </c>
      <c r="H42" s="82">
        <v>46</v>
      </c>
      <c r="I42" s="84">
        <f t="shared" si="0"/>
        <v>46</v>
      </c>
      <c r="J42" s="85">
        <v>7895</v>
      </c>
      <c r="K42" s="85">
        <v>258949</v>
      </c>
      <c r="L42" s="85">
        <v>1139803</v>
      </c>
      <c r="M42" s="38">
        <f>I42/(HLOOKUP(F42,Team_Composition_23[[#All],[Yellow]:[Red]],10,FALSE)+HLOOKUP(F42,Team_Composition_23[[#All],[Yellow]:[Red]],11,FALSE))</f>
        <v>5.6029232643118147E-2</v>
      </c>
      <c r="N42" s="38">
        <f>J42/HLOOKUP(F42,Team_Composition_23[[#All],[Yellow]:[Red]],6,FALSE)</f>
        <v>4.4742526453770825E-4</v>
      </c>
      <c r="O42" s="38">
        <f>K42/HLOOKUP(F42,Team_Composition_23[[#All],[Yellow]:[Red]],8,FALSE)</f>
        <v>5.883073535772429E-3</v>
      </c>
      <c r="P42" s="38">
        <f>L42/HLOOKUP(F42,Team_Composition_23[[#All],[Yellow]:[Red]],7,FALSE)</f>
        <v>4.6966531674985372E-2</v>
      </c>
      <c r="Q42" s="31"/>
      <c r="R42" s="45" t="s">
        <v>32</v>
      </c>
      <c r="S42" s="46">
        <f t="shared" si="6"/>
        <v>3</v>
      </c>
      <c r="T42" s="47">
        <f t="shared" si="7"/>
        <v>2</v>
      </c>
      <c r="U42" s="31"/>
      <c r="V42" s="31"/>
      <c r="W42" s="31"/>
      <c r="X42" s="31"/>
      <c r="Y42" s="31"/>
      <c r="Z42" s="31"/>
      <c r="AA42" s="31"/>
      <c r="AB42" s="45" t="s">
        <v>32</v>
      </c>
      <c r="AC42" s="50">
        <f t="shared" si="8"/>
        <v>2</v>
      </c>
      <c r="AD42" s="51">
        <f t="shared" si="9"/>
        <v>3</v>
      </c>
    </row>
    <row r="43" spans="1:30" ht="22.5" customHeight="1">
      <c r="A43" s="82">
        <v>27</v>
      </c>
      <c r="B43" s="67" t="str">
        <f>VLOOKUP(C43,Lists!I:J,2,FALSE)</f>
        <v>Ranged DPS</v>
      </c>
      <c r="C43" s="65" t="str">
        <f>VLOOKUP(E43,Lists!D:E,2,FALSE)</f>
        <v>Staff/Dagger</v>
      </c>
      <c r="D43" s="13" t="s">
        <v>36</v>
      </c>
      <c r="E43" s="83" t="s">
        <v>245</v>
      </c>
      <c r="F43" s="13" t="s">
        <v>476</v>
      </c>
      <c r="G43" s="82">
        <v>11</v>
      </c>
      <c r="H43" s="82">
        <v>28</v>
      </c>
      <c r="I43" s="84">
        <f t="shared" si="0"/>
        <v>39</v>
      </c>
      <c r="J43" s="85">
        <v>945721</v>
      </c>
      <c r="K43" s="85">
        <v>894209</v>
      </c>
      <c r="L43" s="85">
        <v>0</v>
      </c>
      <c r="M43" s="38">
        <f>I43/(HLOOKUP(F43,Team_Composition_23[[#All],[Yellow]:[Red]],10,FALSE)+HLOOKUP(F43,Team_Composition_23[[#All],[Yellow]:[Red]],11,FALSE))</f>
        <v>9.7475631092226941E-3</v>
      </c>
      <c r="N43" s="38">
        <f>J43/HLOOKUP(F43,Team_Composition_23[[#All],[Yellow]:[Red]],6,FALSE)</f>
        <v>2.1317503355397897E-2</v>
      </c>
      <c r="O43" s="38">
        <f>K43/HLOOKUP(F43,Team_Composition_23[[#All],[Yellow]:[Red]],8,FALSE)</f>
        <v>5.1042930371282491E-2</v>
      </c>
      <c r="P43" s="38">
        <f>L43/HLOOKUP(F43,Team_Composition_23[[#All],[Yellow]:[Red]],7,FALSE)</f>
        <v>0</v>
      </c>
      <c r="Q43" s="31"/>
      <c r="R43" s="45" t="s">
        <v>56</v>
      </c>
      <c r="S43" s="46">
        <f t="shared" si="6"/>
        <v>0</v>
      </c>
      <c r="T43" s="47">
        <f t="shared" si="7"/>
        <v>0</v>
      </c>
      <c r="U43" s="31"/>
      <c r="V43" s="31"/>
      <c r="W43" s="31"/>
      <c r="X43" s="31"/>
      <c r="Y43" s="31"/>
      <c r="Z43" s="31"/>
      <c r="AA43" s="31"/>
      <c r="AB43" s="45" t="s">
        <v>56</v>
      </c>
      <c r="AC43" s="50">
        <f t="shared" si="8"/>
        <v>0</v>
      </c>
      <c r="AD43" s="51">
        <f t="shared" si="9"/>
        <v>0</v>
      </c>
    </row>
    <row r="44" spans="1:30" ht="22.5" customHeight="1">
      <c r="A44" s="82">
        <v>43</v>
      </c>
      <c r="B44" s="33" t="str">
        <f>VLOOKUP(C44,Lists!I:J,2,FALSE)</f>
        <v>Tank</v>
      </c>
      <c r="C44" s="34" t="s">
        <v>62</v>
      </c>
      <c r="D44" s="13" t="s">
        <v>34</v>
      </c>
      <c r="E44" s="83" t="s">
        <v>61</v>
      </c>
      <c r="F44" s="13" t="s">
        <v>476</v>
      </c>
      <c r="G44" s="82">
        <v>1</v>
      </c>
      <c r="H44" s="82">
        <v>38</v>
      </c>
      <c r="I44" s="84">
        <f t="shared" si="0"/>
        <v>39</v>
      </c>
      <c r="J44" s="85">
        <v>315286</v>
      </c>
      <c r="K44" s="85">
        <v>631916</v>
      </c>
      <c r="L44" s="85">
        <v>18438</v>
      </c>
      <c r="M44" s="38">
        <f>I44/(HLOOKUP(F44,Team_Composition_23[[#All],[Yellow]:[Red]],10,FALSE)+HLOOKUP(F44,Team_Composition_23[[#All],[Yellow]:[Red]],11,FALSE))</f>
        <v>9.7475631092226941E-3</v>
      </c>
      <c r="N44" s="38">
        <f>J44/HLOOKUP(F44,Team_Composition_23[[#All],[Yellow]:[Red]],6,FALSE)</f>
        <v>7.1068638244365743E-3</v>
      </c>
      <c r="O44" s="38">
        <f>K44/HLOOKUP(F44,Team_Composition_23[[#All],[Yellow]:[Red]],8,FALSE)</f>
        <v>3.6070811620660663E-2</v>
      </c>
      <c r="P44" s="38">
        <f>L44/HLOOKUP(F44,Team_Composition_23[[#All],[Yellow]:[Red]],7,FALSE)</f>
        <v>1.4243585867161528E-3</v>
      </c>
      <c r="Q44" s="31"/>
      <c r="R44" s="45" t="s">
        <v>58</v>
      </c>
      <c r="S44" s="46">
        <f t="shared" si="6"/>
        <v>2</v>
      </c>
      <c r="T44" s="47">
        <f t="shared" si="7"/>
        <v>1</v>
      </c>
      <c r="U44" s="31"/>
      <c r="V44" s="31"/>
      <c r="W44" s="31"/>
      <c r="X44" s="31"/>
      <c r="Y44" s="31"/>
      <c r="Z44" s="31"/>
      <c r="AA44" s="31"/>
      <c r="AB44" s="45" t="s">
        <v>58</v>
      </c>
      <c r="AC44" s="50">
        <f t="shared" si="8"/>
        <v>2</v>
      </c>
      <c r="AD44" s="51">
        <f t="shared" si="9"/>
        <v>1</v>
      </c>
    </row>
    <row r="45" spans="1:30" ht="22.5" customHeight="1">
      <c r="A45" s="82">
        <v>63</v>
      </c>
      <c r="B45" s="52" t="str">
        <f>VLOOKUP(C45,Lists!I:J,2,FALSE)</f>
        <v>Healer</v>
      </c>
      <c r="C45" s="65" t="str">
        <f>VLOOKUP(E45,Lists!D:E,2,FALSE)</f>
        <v>Wand/Orb</v>
      </c>
      <c r="D45" s="13" t="s">
        <v>34</v>
      </c>
      <c r="E45" s="83" t="s">
        <v>121</v>
      </c>
      <c r="F45" s="13" t="s">
        <v>483</v>
      </c>
      <c r="G45" s="82">
        <v>0</v>
      </c>
      <c r="H45" s="82">
        <v>39</v>
      </c>
      <c r="I45" s="84">
        <f t="shared" si="0"/>
        <v>39</v>
      </c>
      <c r="J45" s="85">
        <v>11986</v>
      </c>
      <c r="K45" s="85">
        <v>539456</v>
      </c>
      <c r="L45" s="85">
        <v>715102</v>
      </c>
      <c r="M45" s="38">
        <f>I45/(HLOOKUP(F45,Team_Composition_23[[#All],[Yellow]:[Red]],10,FALSE)+HLOOKUP(F45,Team_Composition_23[[#All],[Yellow]:[Red]],11,FALSE))</f>
        <v>4.7503045066991476E-2</v>
      </c>
      <c r="N45" s="38">
        <f>J45/HLOOKUP(F45,Team_Composition_23[[#All],[Yellow]:[Red]],6,FALSE)</f>
        <v>6.792703256173491E-4</v>
      </c>
      <c r="O45" s="38">
        <f>K45/HLOOKUP(F45,Team_Composition_23[[#All],[Yellow]:[Red]],8,FALSE)</f>
        <v>1.2255924206363613E-2</v>
      </c>
      <c r="P45" s="38">
        <f>L45/HLOOKUP(F45,Team_Composition_23[[#All],[Yellow]:[Red]],7,FALSE)</f>
        <v>2.9466373341573402E-2</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82">
        <v>28</v>
      </c>
      <c r="B46" s="55" t="str">
        <f>VLOOKUP(C46,Lists!I:J,2,FALSE)</f>
        <v>Ranged DPS</v>
      </c>
      <c r="C46" s="66" t="str">
        <f>VLOOKUP(E46,Lists!D:E,2,FALSE)</f>
        <v>SnS/Wand</v>
      </c>
      <c r="D46" s="13" t="s">
        <v>36</v>
      </c>
      <c r="E46" s="83" t="s">
        <v>236</v>
      </c>
      <c r="F46" s="13" t="s">
        <v>476</v>
      </c>
      <c r="G46" s="82">
        <v>11</v>
      </c>
      <c r="H46" s="82">
        <v>27</v>
      </c>
      <c r="I46" s="84">
        <f t="shared" si="0"/>
        <v>38</v>
      </c>
      <c r="J46" s="85">
        <v>1273796</v>
      </c>
      <c r="K46" s="85">
        <v>602627</v>
      </c>
      <c r="L46" s="85">
        <v>236016</v>
      </c>
      <c r="M46" s="38">
        <f>I46/(HLOOKUP(F46,Team_Composition_23[[#All],[Yellow]:[Red]],10,FALSE)+HLOOKUP(F46,Team_Composition_23[[#All],[Yellow]:[Red]],11,FALSE))</f>
        <v>9.4976255936015993E-3</v>
      </c>
      <c r="N46" s="38">
        <f>J46/HLOOKUP(F46,Team_Composition_23[[#All],[Yellow]:[Red]],6,FALSE)</f>
        <v>2.8712644113953713E-2</v>
      </c>
      <c r="O46" s="38">
        <f>K46/HLOOKUP(F46,Team_Composition_23[[#All],[Yellow]:[Red]],8,FALSE)</f>
        <v>3.439894700327871E-2</v>
      </c>
      <c r="P46" s="38">
        <f>L46/HLOOKUP(F46,Team_Composition_23[[#All],[Yellow]:[Red]],7,FALSE)</f>
        <v>1.8232531521987175E-2</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82">
        <v>64</v>
      </c>
      <c r="B47" s="56" t="str">
        <f>VLOOKUP(C47,Lists!I:J,2,FALSE)</f>
        <v>Tank</v>
      </c>
      <c r="C47" s="53" t="s">
        <v>14</v>
      </c>
      <c r="D47" s="13" t="s">
        <v>523</v>
      </c>
      <c r="E47" s="83" t="s">
        <v>524</v>
      </c>
      <c r="F47" s="13" t="s">
        <v>483</v>
      </c>
      <c r="G47" s="82">
        <v>0</v>
      </c>
      <c r="H47" s="82">
        <v>38</v>
      </c>
      <c r="I47" s="84">
        <f t="shared" si="0"/>
        <v>38</v>
      </c>
      <c r="J47" s="85">
        <v>41453</v>
      </c>
      <c r="K47" s="85">
        <v>212712</v>
      </c>
      <c r="L47" s="85">
        <v>29338</v>
      </c>
      <c r="M47" s="38">
        <f>I47/(HLOOKUP(F47,Team_Composition_23[[#All],[Yellow]:[Red]],10,FALSE)+HLOOKUP(F47,Team_Composition_23[[#All],[Yellow]:[Red]],11,FALSE))</f>
        <v>4.6285018270401948E-2</v>
      </c>
      <c r="N47" s="38">
        <f>J47/HLOOKUP(F47,Team_Composition_23[[#All],[Yellow]:[Red]],6,FALSE)</f>
        <v>2.3492234947285143E-3</v>
      </c>
      <c r="O47" s="38">
        <f>K47/HLOOKUP(F47,Team_Composition_23[[#All],[Yellow]:[Red]],8,FALSE)</f>
        <v>4.8326131320886537E-3</v>
      </c>
      <c r="P47" s="38">
        <f>L47/HLOOKUP(F47,Team_Composition_23[[#All],[Yellow]:[Red]],7,FALSE)</f>
        <v>1.2088967183633669E-3</v>
      </c>
      <c r="Q47" s="31"/>
      <c r="R47" s="48"/>
      <c r="S47" s="63"/>
      <c r="T47" s="63"/>
      <c r="U47" s="31"/>
      <c r="V47" s="31"/>
      <c r="W47" s="31"/>
      <c r="X47" s="31"/>
      <c r="Y47" s="31"/>
      <c r="Z47" s="31"/>
      <c r="AA47" s="31"/>
      <c r="AB47" s="48"/>
      <c r="AC47" s="63"/>
      <c r="AD47" s="63"/>
    </row>
    <row r="48" spans="1:30" ht="22.5" customHeight="1">
      <c r="A48" s="82">
        <v>65</v>
      </c>
      <c r="B48" s="33" t="str">
        <f>VLOOKUP(C48,Lists!I:J,2,FALSE)</f>
        <v>Tank</v>
      </c>
      <c r="C48" s="34" t="s">
        <v>14</v>
      </c>
      <c r="D48" s="13" t="s">
        <v>34</v>
      </c>
      <c r="E48" s="83" t="s">
        <v>44</v>
      </c>
      <c r="F48" s="13" t="s">
        <v>476</v>
      </c>
      <c r="G48" s="82">
        <v>0</v>
      </c>
      <c r="H48" s="82">
        <v>38</v>
      </c>
      <c r="I48" s="84">
        <f t="shared" si="0"/>
        <v>38</v>
      </c>
      <c r="J48" s="85">
        <v>18598</v>
      </c>
      <c r="K48" s="85">
        <v>455705</v>
      </c>
      <c r="L48" s="85">
        <v>1430287</v>
      </c>
      <c r="M48" s="38">
        <f>I48/(HLOOKUP(F48,Team_Composition_23[[#All],[Yellow]:[Red]],10,FALSE)+HLOOKUP(F48,Team_Composition_23[[#All],[Yellow]:[Red]],11,FALSE))</f>
        <v>9.4976255936015993E-3</v>
      </c>
      <c r="N48" s="38">
        <f>J48/HLOOKUP(F48,Team_Composition_23[[#All],[Yellow]:[Red]],6,FALSE)</f>
        <v>4.1921764178197386E-4</v>
      </c>
      <c r="O48" s="38">
        <f>K48/HLOOKUP(F48,Team_Composition_23[[#All],[Yellow]:[Red]],8,FALSE)</f>
        <v>2.6012395966541701E-2</v>
      </c>
      <c r="P48" s="38">
        <f>L48/HLOOKUP(F48,Team_Composition_23[[#All],[Yellow]:[Red]],7,FALSE)</f>
        <v>0.11049146165085617</v>
      </c>
      <c r="Q48" s="31"/>
      <c r="R48" s="31"/>
      <c r="S48" s="64"/>
      <c r="T48" s="64"/>
      <c r="U48" s="31"/>
      <c r="V48" s="31"/>
      <c r="W48" s="31"/>
      <c r="X48" s="31"/>
      <c r="Y48" s="31"/>
      <c r="Z48" s="31"/>
      <c r="AA48" s="31"/>
      <c r="AB48" s="31"/>
      <c r="AC48" s="64"/>
      <c r="AD48" s="64"/>
    </row>
    <row r="49" spans="1:30" ht="22.5" customHeight="1">
      <c r="A49" s="82">
        <v>66</v>
      </c>
      <c r="B49" s="40" t="str">
        <f>VLOOKUP(C49,Lists!I:J,2,FALSE)</f>
        <v>Healer</v>
      </c>
      <c r="C49" s="53" t="str">
        <f>VLOOKUP(E49,Lists!D:E,2,FALSE)</f>
        <v>Wand/Longbow</v>
      </c>
      <c r="D49" s="13" t="s">
        <v>34</v>
      </c>
      <c r="E49" s="83" t="s">
        <v>17</v>
      </c>
      <c r="F49" s="13" t="s">
        <v>483</v>
      </c>
      <c r="G49" s="82">
        <v>0</v>
      </c>
      <c r="H49" s="82">
        <v>37</v>
      </c>
      <c r="I49" s="84">
        <f t="shared" si="0"/>
        <v>37</v>
      </c>
      <c r="J49" s="85">
        <v>39452</v>
      </c>
      <c r="K49" s="85">
        <v>699028</v>
      </c>
      <c r="L49" s="85">
        <v>2176491</v>
      </c>
      <c r="M49" s="38">
        <f>I49/(HLOOKUP(F49,Team_Composition_23[[#All],[Yellow]:[Red]],10,FALSE)+HLOOKUP(F49,Team_Composition_23[[#All],[Yellow]:[Red]],11,FALSE))</f>
        <v>4.5066991473812421E-2</v>
      </c>
      <c r="N49" s="38">
        <f>J49/HLOOKUP(F49,Team_Composition_23[[#All],[Yellow]:[Red]],6,FALSE)</f>
        <v>2.2358228671997046E-3</v>
      </c>
      <c r="O49" s="38">
        <f>K49/HLOOKUP(F49,Team_Composition_23[[#All],[Yellow]:[Red]],8,FALSE)</f>
        <v>1.588124737907437E-2</v>
      </c>
      <c r="P49" s="38">
        <f>L49/HLOOKUP(F49,Team_Composition_23[[#All],[Yellow]:[Red]],7,FALSE)</f>
        <v>8.9684123915993008E-2</v>
      </c>
      <c r="Q49" s="31"/>
      <c r="R49" s="227" t="s">
        <v>67</v>
      </c>
      <c r="S49" s="228"/>
      <c r="T49" s="228"/>
      <c r="U49" s="31"/>
      <c r="V49" s="31"/>
      <c r="W49" s="31"/>
      <c r="X49" s="31"/>
      <c r="Y49" s="31"/>
      <c r="Z49" s="31"/>
      <c r="AA49" s="31"/>
      <c r="AB49" s="227" t="s">
        <v>67</v>
      </c>
      <c r="AC49" s="228"/>
      <c r="AD49" s="228"/>
    </row>
    <row r="50" spans="1:30" ht="22.5" customHeight="1">
      <c r="A50" s="82">
        <v>67</v>
      </c>
      <c r="B50" s="60" t="str">
        <f>VLOOKUP(C50,Lists!I:J,2,FALSE)</f>
        <v>Healer</v>
      </c>
      <c r="C50" s="34" t="str">
        <f>VLOOKUP(E50,Lists!D:E,2,FALSE)</f>
        <v>Wand/Orb</v>
      </c>
      <c r="D50" s="13" t="s">
        <v>36</v>
      </c>
      <c r="E50" s="83" t="s">
        <v>272</v>
      </c>
      <c r="F50" s="13" t="s">
        <v>483</v>
      </c>
      <c r="G50" s="82">
        <v>0</v>
      </c>
      <c r="H50" s="82">
        <v>37</v>
      </c>
      <c r="I50" s="84">
        <f t="shared" si="0"/>
        <v>37</v>
      </c>
      <c r="J50" s="85">
        <v>14360</v>
      </c>
      <c r="K50" s="85">
        <v>625829</v>
      </c>
      <c r="L50" s="85">
        <v>957120</v>
      </c>
      <c r="M50" s="38">
        <f>I50/(HLOOKUP(F50,Team_Composition_23[[#All],[Yellow]:[Red]],10,FALSE)+HLOOKUP(F50,Team_Composition_23[[#All],[Yellow]:[Red]],11,FALSE))</f>
        <v>4.5066991473812421E-2</v>
      </c>
      <c r="N50" s="38">
        <f>J50/HLOOKUP(F50,Team_Composition_23[[#All],[Yellow]:[Red]],6,FALSE)</f>
        <v>8.1380960085642698E-4</v>
      </c>
      <c r="O50" s="38">
        <f>K50/HLOOKUP(F50,Team_Composition_23[[#All],[Yellow]:[Red]],8,FALSE)</f>
        <v>1.4218236130739734E-2</v>
      </c>
      <c r="P50" s="38">
        <f>L50/HLOOKUP(F50,Team_Composition_23[[#All],[Yellow]:[Red]],7,FALSE)</f>
        <v>3.9438926548501799E-2</v>
      </c>
      <c r="Q50" s="31"/>
      <c r="R50" s="41" t="s">
        <v>482</v>
      </c>
      <c r="S50" s="42" t="s">
        <v>476</v>
      </c>
      <c r="T50" s="42" t="s">
        <v>483</v>
      </c>
      <c r="U50" s="31"/>
      <c r="V50" s="31"/>
      <c r="W50" s="31"/>
      <c r="X50" s="31"/>
      <c r="Y50" s="31"/>
      <c r="Z50" s="31"/>
      <c r="AA50" s="31"/>
      <c r="AB50" s="41" t="s">
        <v>482</v>
      </c>
      <c r="AC50" s="42" t="s">
        <v>485</v>
      </c>
      <c r="AD50" s="42" t="s">
        <v>36</v>
      </c>
    </row>
    <row r="51" spans="1:30" ht="22.5" customHeight="1">
      <c r="A51" s="82">
        <v>19</v>
      </c>
      <c r="B51" s="65" t="str">
        <f>VLOOKUP(C51,Lists!I:J,2,FALSE)</f>
        <v>KS</v>
      </c>
      <c r="C51" s="65" t="str">
        <f>VLOOKUP(E51,Lists!D:E,2,FALSE)</f>
        <v>Crossbow/Dagger</v>
      </c>
      <c r="D51" s="13" t="s">
        <v>36</v>
      </c>
      <c r="E51" s="83" t="s">
        <v>291</v>
      </c>
      <c r="F51" s="13" t="s">
        <v>476</v>
      </c>
      <c r="G51" s="82">
        <v>21</v>
      </c>
      <c r="H51" s="82">
        <v>15</v>
      </c>
      <c r="I51" s="84">
        <f t="shared" si="0"/>
        <v>36</v>
      </c>
      <c r="J51" s="85">
        <v>753985</v>
      </c>
      <c r="K51" s="85">
        <v>651014</v>
      </c>
      <c r="L51" s="85">
        <v>16783</v>
      </c>
      <c r="M51" s="38">
        <f>I51/(HLOOKUP(F51,Team_Composition_23[[#All],[Yellow]:[Red]],10,FALSE)+HLOOKUP(F51,Team_Composition_23[[#All],[Yellow]:[Red]],11,FALSE))</f>
        <v>8.9977505623594096E-3</v>
      </c>
      <c r="N51" s="38">
        <f>J51/HLOOKUP(F51,Team_Composition_23[[#All],[Yellow]:[Red]],6,FALSE)</f>
        <v>1.6995580903268179E-2</v>
      </c>
      <c r="O51" s="38">
        <f>K51/HLOOKUP(F51,Team_Composition_23[[#All],[Yellow]:[Red]],8,FALSE)</f>
        <v>3.7160957083556642E-2</v>
      </c>
      <c r="P51" s="38">
        <f>L51/HLOOKUP(F51,Team_Composition_23[[#All],[Yellow]:[Red]],7,FALSE)</f>
        <v>1.2965077644461001E-3</v>
      </c>
      <c r="Q51" s="31"/>
      <c r="R51" s="45" t="s">
        <v>468</v>
      </c>
      <c r="S51" s="46">
        <f>SUMIFS(Scoreboard_31[Damage Dealt],Scoreboard_31[Role],"Tank",Scoreboard_31[Team],"Yellow")</f>
        <v>1513815</v>
      </c>
      <c r="T51" s="47">
        <f>SUMIFS(Scoreboard_31[Damage Dealt],Scoreboard_31[Role],"Tank",Scoreboard_31[Team],"Red")</f>
        <v>1492629</v>
      </c>
      <c r="U51" s="31"/>
      <c r="V51" s="31"/>
      <c r="W51" s="31"/>
      <c r="X51" s="31"/>
      <c r="Y51" s="31"/>
      <c r="Z51" s="31"/>
      <c r="AA51" s="31"/>
      <c r="AB51" s="45" t="s">
        <v>468</v>
      </c>
      <c r="AC51" s="50">
        <f>SUMIFS(Scoreboard_31[Damage Dealt],Scoreboard_31[Role],"Tank",Scoreboard_31[Guild],"Best Regards")</f>
        <v>1211212</v>
      </c>
      <c r="AD51" s="51">
        <f>SUMIFS(Scoreboard_31[Damage Dealt],Scoreboard_31[Role],"Tank",Scoreboard_31[Guild],"Unhinged肉")</f>
        <v>1631964</v>
      </c>
    </row>
    <row r="52" spans="1:30" ht="22.5" customHeight="1">
      <c r="A52" s="82">
        <v>22</v>
      </c>
      <c r="B52" s="55" t="str">
        <f>VLOOKUP(C52,Lists!I:J,2,FALSE)</f>
        <v>Ranged DPS</v>
      </c>
      <c r="C52" s="66" t="s">
        <v>45</v>
      </c>
      <c r="D52" s="13" t="s">
        <v>34</v>
      </c>
      <c r="E52" s="83" t="s">
        <v>141</v>
      </c>
      <c r="F52" s="13" t="s">
        <v>483</v>
      </c>
      <c r="G52" s="82">
        <v>19</v>
      </c>
      <c r="H52" s="82">
        <v>17</v>
      </c>
      <c r="I52" s="84">
        <f t="shared" si="0"/>
        <v>36</v>
      </c>
      <c r="J52" s="85">
        <v>1377314</v>
      </c>
      <c r="K52" s="85">
        <v>1041810</v>
      </c>
      <c r="L52" s="85">
        <v>50129</v>
      </c>
      <c r="M52" s="38">
        <f>I52/(HLOOKUP(F52,Team_Composition_23[[#All],[Yellow]:[Red]],10,FALSE)+HLOOKUP(F52,Team_Composition_23[[#All],[Yellow]:[Red]],11,FALSE))</f>
        <v>4.38489646772229E-2</v>
      </c>
      <c r="N52" s="38">
        <f>J52/HLOOKUP(F52,Team_Composition_23[[#All],[Yellow]:[Red]],6,FALSE)</f>
        <v>7.805510839790869E-2</v>
      </c>
      <c r="O52" s="38">
        <f>K52/HLOOKUP(F52,Team_Composition_23[[#All],[Yellow]:[Red]],8,FALSE)</f>
        <v>2.3668926469316637E-2</v>
      </c>
      <c r="P52" s="38">
        <f>L52/HLOOKUP(F52,Team_Composition_23[[#All],[Yellow]:[Red]],7,FALSE)</f>
        <v>2.0656071850445575E-3</v>
      </c>
      <c r="Q52" s="31"/>
      <c r="R52" s="45" t="s">
        <v>469</v>
      </c>
      <c r="S52" s="46">
        <f>SUMIFS(Scoreboard_31[Damage Taken],Scoreboard_31[Role],"Tank",Scoreboard_31[Team],"Yellow")</f>
        <v>5317517</v>
      </c>
      <c r="T52" s="47">
        <f>SUMIFS(Scoreboard_31[Damage Taken],Scoreboard_31[Role],"Tank",Scoreboard_31[Team],"Red")</f>
        <v>9169788</v>
      </c>
      <c r="U52" s="31"/>
      <c r="V52" s="31"/>
      <c r="W52" s="31"/>
      <c r="X52" s="31"/>
      <c r="Y52" s="31"/>
      <c r="Z52" s="31"/>
      <c r="AA52" s="31"/>
      <c r="AB52" s="45" t="s">
        <v>469</v>
      </c>
      <c r="AC52" s="50">
        <f>SUMIFS(Scoreboard_31[Damage Taken],Scoreboard_31[Role],"Tank",Scoreboard_31[Guild],"Best Regards")</f>
        <v>7104692</v>
      </c>
      <c r="AD52" s="51">
        <f>SUMIFS(Scoreboard_31[Damage Taken],Scoreboard_31[Role],"Tank",Scoreboard_31[Guild],"Unhinged肉")</f>
        <v>5925225</v>
      </c>
    </row>
    <row r="53" spans="1:30" ht="22.5" customHeight="1">
      <c r="A53" s="82">
        <v>25</v>
      </c>
      <c r="B53" s="73" t="str">
        <f>VLOOKUP(C53,Lists!I:J,2,FALSE)</f>
        <v>Melee DPS</v>
      </c>
      <c r="C53" s="65" t="str">
        <f>VLOOKUP(E53,Lists!D:E,2,FALSE)</f>
        <v>Greatsword/Spear</v>
      </c>
      <c r="D53" s="13" t="s">
        <v>36</v>
      </c>
      <c r="E53" s="83" t="s">
        <v>235</v>
      </c>
      <c r="F53" s="13" t="s">
        <v>476</v>
      </c>
      <c r="G53" s="82">
        <v>14</v>
      </c>
      <c r="H53" s="82">
        <v>22</v>
      </c>
      <c r="I53" s="84">
        <f t="shared" si="0"/>
        <v>36</v>
      </c>
      <c r="J53" s="85">
        <v>625166</v>
      </c>
      <c r="K53" s="85">
        <v>1296447</v>
      </c>
      <c r="L53" s="85">
        <v>34099</v>
      </c>
      <c r="M53" s="38">
        <f>I53/(HLOOKUP(F53,Team_Composition_23[[#All],[Yellow]:[Red]],10,FALSE)+HLOOKUP(F53,Team_Composition_23[[#All],[Yellow]:[Red]],11,FALSE))</f>
        <v>8.9977505623594096E-3</v>
      </c>
      <c r="N53" s="38">
        <f>J53/HLOOKUP(F53,Team_Composition_23[[#All],[Yellow]:[Red]],6,FALSE)</f>
        <v>1.4091870966892649E-2</v>
      </c>
      <c r="O53" s="38">
        <f>K53/HLOOKUP(F53,Team_Composition_23[[#All],[Yellow]:[Red]],8,FALSE)</f>
        <v>7.4003341445968526E-2</v>
      </c>
      <c r="P53" s="38">
        <f>L53/HLOOKUP(F53,Team_Composition_23[[#All],[Yellow]:[Red]],7,FALSE)</f>
        <v>2.6341904462758485E-3</v>
      </c>
      <c r="Q53" s="31"/>
      <c r="R53" s="45" t="s">
        <v>470</v>
      </c>
      <c r="S53" s="46">
        <f>SUMIFS(Scoreboard_31[Amount Healed],Scoreboard_31[Role],"Tank",Scoreboard_31[Team],"Yellow")</f>
        <v>3713848</v>
      </c>
      <c r="T53" s="47">
        <f>SUMIFS(Scoreboard_31[Amount Healed],Scoreboard_31[Role],"Tank",Scoreboard_31[Team],"Red")</f>
        <v>591847</v>
      </c>
      <c r="U53" s="31"/>
      <c r="V53" s="31"/>
      <c r="W53" s="31"/>
      <c r="X53" s="31"/>
      <c r="Y53" s="31"/>
      <c r="Z53" s="31"/>
      <c r="AA53" s="31"/>
      <c r="AB53" s="45" t="s">
        <v>470</v>
      </c>
      <c r="AC53" s="50">
        <f>SUMIFS(Scoreboard_31[Amount Healed],Scoreboard_31[Role],"Tank",Scoreboard_31[Guild],"Best Regards")</f>
        <v>2780261</v>
      </c>
      <c r="AD53" s="51">
        <f>SUMIFS(Scoreboard_31[Amount Healed],Scoreboard_31[Role],"Tank",Scoreboard_31[Guild],"Unhinged肉")</f>
        <v>1410993</v>
      </c>
    </row>
    <row r="54" spans="1:30" ht="22.5" customHeight="1">
      <c r="A54" s="82">
        <v>44</v>
      </c>
      <c r="B54" s="57" t="str">
        <f>VLOOKUP(C54,Lists!I:J,2,FALSE)</f>
        <v>Tank</v>
      </c>
      <c r="C54" s="66" t="str">
        <f>VLOOKUP(E54,Lists!D:E,2,FALSE)</f>
        <v>SnS/Greatsword</v>
      </c>
      <c r="D54" s="13" t="s">
        <v>34</v>
      </c>
      <c r="E54" s="83" t="s">
        <v>150</v>
      </c>
      <c r="F54" s="13" t="s">
        <v>483</v>
      </c>
      <c r="G54" s="82">
        <v>1</v>
      </c>
      <c r="H54" s="82">
        <v>35</v>
      </c>
      <c r="I54" s="84">
        <f t="shared" si="0"/>
        <v>36</v>
      </c>
      <c r="J54" s="85">
        <v>29721</v>
      </c>
      <c r="K54" s="85">
        <v>603760</v>
      </c>
      <c r="L54" s="85">
        <v>15612</v>
      </c>
      <c r="M54" s="38">
        <f>I54/(HLOOKUP(F54,Team_Composition_23[[#All],[Yellow]:[Red]],10,FALSE)+HLOOKUP(F54,Team_Composition_23[[#All],[Yellow]:[Red]],11,FALSE))</f>
        <v>4.38489646772229E-2</v>
      </c>
      <c r="N54" s="38">
        <f>J54/HLOOKUP(F54,Team_Composition_23[[#All],[Yellow]:[Red]],6,FALSE)</f>
        <v>1.6843478514661466E-3</v>
      </c>
      <c r="O54" s="38">
        <f>K54/HLOOKUP(F54,Team_Composition_23[[#All],[Yellow]:[Red]],8,FALSE)</f>
        <v>1.371684956480991E-2</v>
      </c>
      <c r="P54" s="38">
        <f>L54/HLOOKUP(F54,Team_Composition_23[[#All],[Yellow]:[Red]],7,FALSE)</f>
        <v>6.4330545937312986E-4</v>
      </c>
      <c r="Q54" s="31"/>
      <c r="R54" s="45" t="s">
        <v>465</v>
      </c>
      <c r="S54" s="46">
        <f>SUMIFS(Scoreboard_31[Kills],Scoreboard_31[Role],"Tank",Scoreboard_31[Team],"Yellow")</f>
        <v>7</v>
      </c>
      <c r="T54" s="47">
        <f>SUMIFS(Scoreboard_31[Kills],Scoreboard_31[Role],"Tank",Scoreboard_31[Team],"Red")</f>
        <v>16</v>
      </c>
      <c r="U54" s="31"/>
      <c r="V54" s="31"/>
      <c r="W54" s="31"/>
      <c r="X54" s="31"/>
      <c r="Y54" s="31"/>
      <c r="Z54" s="31"/>
      <c r="AA54" s="31"/>
      <c r="AB54" s="45" t="s">
        <v>465</v>
      </c>
      <c r="AC54" s="50">
        <f>SUMIFS(Scoreboard_31[Kills],Scoreboard_31[Role],"Tank",Scoreboard_31[Guild],"Best Regards")</f>
        <v>9</v>
      </c>
      <c r="AD54" s="51">
        <f>SUMIFS(Scoreboard_31[Kills],Scoreboard_31[Role],"Tank",Scoreboard_31[Guild],"Unhinged肉")</f>
        <v>14</v>
      </c>
    </row>
    <row r="55" spans="1:30" ht="22.5" customHeight="1">
      <c r="A55" s="82">
        <v>68</v>
      </c>
      <c r="B55" s="56" t="str">
        <f>VLOOKUP(C55,Lists!I:J,2,FALSE)</f>
        <v>Tank</v>
      </c>
      <c r="C55" s="53" t="str">
        <f>VLOOKUP(E55,Lists!D:E,2,FALSE)</f>
        <v>SnS/Greatsword</v>
      </c>
      <c r="D55" s="13" t="s">
        <v>36</v>
      </c>
      <c r="E55" s="83" t="s">
        <v>302</v>
      </c>
      <c r="F55" s="13" t="s">
        <v>476</v>
      </c>
      <c r="G55" s="82">
        <v>0</v>
      </c>
      <c r="H55" s="82">
        <v>36</v>
      </c>
      <c r="I55" s="84">
        <f t="shared" si="0"/>
        <v>36</v>
      </c>
      <c r="J55" s="85">
        <v>124433</v>
      </c>
      <c r="K55" s="85">
        <v>254151</v>
      </c>
      <c r="L55" s="85">
        <v>25754</v>
      </c>
      <c r="M55" s="38">
        <f>I55/(HLOOKUP(F55,Team_Composition_23[[#All],[Yellow]:[Red]],10,FALSE)+HLOOKUP(F55,Team_Composition_23[[#All],[Yellow]:[Red]],11,FALSE))</f>
        <v>8.9977505623594096E-3</v>
      </c>
      <c r="N55" s="38">
        <f>J55/HLOOKUP(F55,Team_Composition_23[[#All],[Yellow]:[Red]],6,FALSE)</f>
        <v>2.8048450811838021E-3</v>
      </c>
      <c r="O55" s="38">
        <f>K55/HLOOKUP(F55,Team_Composition_23[[#All],[Yellow]:[Red]],8,FALSE)</f>
        <v>1.4507359908915943E-2</v>
      </c>
      <c r="P55" s="38">
        <f>L55/HLOOKUP(F55,Team_Composition_23[[#All],[Yellow]:[Red]],7,FALSE)</f>
        <v>1.9895287472767001E-3</v>
      </c>
      <c r="Q55" s="31"/>
      <c r="R55" s="45" t="s">
        <v>466</v>
      </c>
      <c r="S55" s="46">
        <f>SUMIFS(Scoreboard_31[Assists],Scoreboard_31[Role],"Tank",Scoreboard_31[Team],"Yellow")</f>
        <v>314</v>
      </c>
      <c r="T55" s="47">
        <f>SUMIFS(Scoreboard_31[Assists],Scoreboard_31[Role],"Tank",Scoreboard_31[Team],"Red")</f>
        <v>276</v>
      </c>
      <c r="U55" s="31"/>
      <c r="V55" s="31"/>
      <c r="W55" s="31"/>
      <c r="X55" s="31"/>
      <c r="Y55" s="31"/>
      <c r="Z55" s="31"/>
      <c r="AA55" s="31"/>
      <c r="AB55" s="45" t="s">
        <v>466</v>
      </c>
      <c r="AC55" s="50">
        <f>SUMIFS(Scoreboard_31[Assists],Scoreboard_31[Role],"Tank",Scoreboard_31[Guild],"Best Regards")</f>
        <v>269</v>
      </c>
      <c r="AD55" s="51">
        <f>SUMIFS(Scoreboard_31[Assists],Scoreboard_31[Role],"Tank",Scoreboard_31[Guild],"Unhinged肉")</f>
        <v>270</v>
      </c>
    </row>
    <row r="56" spans="1:30" ht="22.5" customHeight="1">
      <c r="A56" s="82">
        <v>69</v>
      </c>
      <c r="B56" s="60" t="str">
        <f>VLOOKUP(C56,Lists!I:J,2,FALSE)</f>
        <v>Healer</v>
      </c>
      <c r="C56" s="34" t="str">
        <f>VLOOKUP(E56,Lists!D:E,2,FALSE)</f>
        <v>Wand/Longbow</v>
      </c>
      <c r="D56" s="13" t="s">
        <v>36</v>
      </c>
      <c r="E56" s="83" t="s">
        <v>303</v>
      </c>
      <c r="F56" s="13" t="s">
        <v>483</v>
      </c>
      <c r="G56" s="82">
        <v>0</v>
      </c>
      <c r="H56" s="82">
        <v>35</v>
      </c>
      <c r="I56" s="84">
        <f t="shared" si="0"/>
        <v>35</v>
      </c>
      <c r="J56" s="85">
        <v>18409</v>
      </c>
      <c r="K56" s="85">
        <v>701909</v>
      </c>
      <c r="L56" s="85">
        <v>2457373</v>
      </c>
      <c r="M56" s="38">
        <f>I56/(HLOOKUP(F56,Team_Composition_23[[#All],[Yellow]:[Red]],10,FALSE)+HLOOKUP(F56,Team_Composition_23[[#All],[Yellow]:[Red]],11,FALSE))</f>
        <v>4.2630937880633372E-2</v>
      </c>
      <c r="N56" s="38">
        <f>J56/HLOOKUP(F56,Team_Composition_23[[#All],[Yellow]:[Red]],6,FALSE)</f>
        <v>1.0432744388694962E-3</v>
      </c>
      <c r="O56" s="38">
        <f>K56/HLOOKUP(F56,Team_Composition_23[[#All],[Yellow]:[Red]],8,FALSE)</f>
        <v>1.5946700942735786E-2</v>
      </c>
      <c r="P56" s="38">
        <f>L56/HLOOKUP(F56,Team_Composition_23[[#All],[Yellow]:[Red]],7,FALSE)</f>
        <v>0.10125810060313389</v>
      </c>
      <c r="Q56" s="31"/>
      <c r="R56" s="45" t="s">
        <v>62</v>
      </c>
      <c r="S56" s="46">
        <f t="shared" ref="S56:S60" si="10">COUNTIFS(C:C,R56,F:F,"Yellow")</f>
        <v>5</v>
      </c>
      <c r="T56" s="47">
        <f t="shared" ref="T56:T60" si="11">COUNTIFS(C:C,R56,F:F,"Red")</f>
        <v>3</v>
      </c>
      <c r="U56" s="31"/>
      <c r="V56" s="31"/>
      <c r="W56" s="31"/>
      <c r="X56" s="31"/>
      <c r="Y56" s="31"/>
      <c r="Z56" s="31"/>
      <c r="AA56" s="31"/>
      <c r="AB56" s="45" t="s">
        <v>62</v>
      </c>
      <c r="AC56" s="50">
        <f t="shared" ref="AC56:AC60" si="12">COUNTIFS(C:C,AB56,D:D,"Best Regards")</f>
        <v>2</v>
      </c>
      <c r="AD56" s="51">
        <f t="shared" ref="AD56:AD60" si="13">COUNTIFS(C:C,AB56,D:D,"Unhinged肉")</f>
        <v>3</v>
      </c>
    </row>
    <row r="57" spans="1:30" ht="22.5" customHeight="1">
      <c r="A57" s="82">
        <v>70</v>
      </c>
      <c r="B57" s="40" t="str">
        <f>VLOOKUP(C57,Lists!I:J,2,FALSE)</f>
        <v>Healer</v>
      </c>
      <c r="C57" s="53" t="str">
        <f>VLOOKUP(E57,Lists!D:E,2,FALSE)</f>
        <v>Wand/Orb</v>
      </c>
      <c r="D57" s="13" t="s">
        <v>36</v>
      </c>
      <c r="E57" s="83" t="s">
        <v>304</v>
      </c>
      <c r="F57" s="13" t="s">
        <v>476</v>
      </c>
      <c r="G57" s="82">
        <v>0</v>
      </c>
      <c r="H57" s="82">
        <v>33</v>
      </c>
      <c r="I57" s="84">
        <f t="shared" si="0"/>
        <v>33</v>
      </c>
      <c r="J57" s="85">
        <v>6987</v>
      </c>
      <c r="K57" s="85">
        <v>249341</v>
      </c>
      <c r="L57" s="85">
        <v>155372</v>
      </c>
      <c r="M57" s="38">
        <f>I57/(HLOOKUP(F57,Team_Composition_23[[#All],[Yellow]:[Red]],10,FALSE)+HLOOKUP(F57,Team_Composition_23[[#All],[Yellow]:[Red]],11,FALSE))</f>
        <v>8.2479380154961267E-3</v>
      </c>
      <c r="N57" s="38">
        <f>J57/HLOOKUP(F57,Team_Composition_23[[#All],[Yellow]:[Red]],6,FALSE)</f>
        <v>1.5749401350309986E-4</v>
      </c>
      <c r="O57" s="38">
        <f>K57/HLOOKUP(F57,Team_Composition_23[[#All],[Yellow]:[Red]],8,FALSE)</f>
        <v>1.4232797144410253E-2</v>
      </c>
      <c r="P57" s="38">
        <f>L57/HLOOKUP(F57,Team_Composition_23[[#All],[Yellow]:[Red]],7,FALSE)</f>
        <v>1.200268154546383E-2</v>
      </c>
      <c r="Q57" s="31"/>
      <c r="R57" s="45" t="s">
        <v>70</v>
      </c>
      <c r="S57" s="46">
        <f t="shared" si="10"/>
        <v>0</v>
      </c>
      <c r="T57" s="47">
        <f t="shared" si="11"/>
        <v>1</v>
      </c>
      <c r="U57" s="31"/>
      <c r="V57" s="31"/>
      <c r="W57" s="31"/>
      <c r="X57" s="31"/>
      <c r="Y57" s="31"/>
      <c r="Z57" s="31"/>
      <c r="AA57" s="31"/>
      <c r="AB57" s="45" t="s">
        <v>70</v>
      </c>
      <c r="AC57" s="50">
        <f t="shared" si="12"/>
        <v>0</v>
      </c>
      <c r="AD57" s="51">
        <f t="shared" si="13"/>
        <v>1</v>
      </c>
    </row>
    <row r="58" spans="1:30" ht="22.5" customHeight="1">
      <c r="A58" s="82">
        <v>33</v>
      </c>
      <c r="B58" s="69" t="str">
        <f>VLOOKUP(C58,Lists!I:J,2,FALSE)</f>
        <v>Ranged DPS</v>
      </c>
      <c r="C58" s="34" t="str">
        <f>VLOOKUP(E58,Lists!D:E,2,FALSE)</f>
        <v>Staff/Dagger</v>
      </c>
      <c r="D58" s="13" t="s">
        <v>36</v>
      </c>
      <c r="E58" s="83" t="s">
        <v>294</v>
      </c>
      <c r="F58" s="13" t="s">
        <v>476</v>
      </c>
      <c r="G58" s="82">
        <v>6</v>
      </c>
      <c r="H58" s="82">
        <v>26</v>
      </c>
      <c r="I58" s="84">
        <f t="shared" si="0"/>
        <v>32</v>
      </c>
      <c r="J58" s="85">
        <v>887884</v>
      </c>
      <c r="K58" s="85">
        <v>907039</v>
      </c>
      <c r="L58" s="85">
        <v>23531</v>
      </c>
      <c r="M58" s="38">
        <f>I58/(HLOOKUP(F58,Team_Composition_23[[#All],[Yellow]:[Red]],10,FALSE)+HLOOKUP(F58,Team_Composition_23[[#All],[Yellow]:[Red]],11,FALSE))</f>
        <v>7.9980004998750319E-3</v>
      </c>
      <c r="N58" s="38">
        <f>J58/HLOOKUP(F58,Team_Composition_23[[#All],[Yellow]:[Red]],6,FALSE)</f>
        <v>2.0013799153454463E-2</v>
      </c>
      <c r="O58" s="38">
        <f>K58/HLOOKUP(F58,Team_Composition_23[[#All],[Yellow]:[Red]],8,FALSE)</f>
        <v>5.1775288015483742E-2</v>
      </c>
      <c r="P58" s="38">
        <f>L58/HLOOKUP(F58,Team_Composition_23[[#All],[Yellow]:[Red]],7,FALSE)</f>
        <v>1.8177992137985569E-3</v>
      </c>
      <c r="Q58" s="31"/>
      <c r="R58" s="45" t="s">
        <v>14</v>
      </c>
      <c r="S58" s="46">
        <f t="shared" si="10"/>
        <v>10</v>
      </c>
      <c r="T58" s="47">
        <f t="shared" si="11"/>
        <v>11</v>
      </c>
      <c r="U58" s="31"/>
      <c r="V58" s="31"/>
      <c r="W58" s="31"/>
      <c r="X58" s="31"/>
      <c r="Y58" s="31"/>
      <c r="Z58" s="31"/>
      <c r="AA58" s="31"/>
      <c r="AB58" s="45" t="s">
        <v>14</v>
      </c>
      <c r="AC58" s="50">
        <f t="shared" si="12"/>
        <v>11</v>
      </c>
      <c r="AD58" s="51">
        <f t="shared" si="13"/>
        <v>9</v>
      </c>
    </row>
    <row r="59" spans="1:30" ht="22.5" customHeight="1">
      <c r="A59" s="82">
        <v>71</v>
      </c>
      <c r="B59" s="52" t="str">
        <f>VLOOKUP(C59,Lists!I:J,2,FALSE)</f>
        <v>Healer</v>
      </c>
      <c r="C59" s="65" t="str">
        <f>VLOOKUP(E59,Lists!D:E,2,FALSE)</f>
        <v>Wand/Orb</v>
      </c>
      <c r="D59" s="13" t="s">
        <v>36</v>
      </c>
      <c r="E59" s="83" t="s">
        <v>305</v>
      </c>
      <c r="F59" s="13" t="s">
        <v>476</v>
      </c>
      <c r="G59" s="82">
        <v>0</v>
      </c>
      <c r="H59" s="82">
        <v>31</v>
      </c>
      <c r="I59" s="84">
        <f t="shared" si="0"/>
        <v>31</v>
      </c>
      <c r="J59" s="85">
        <v>72768</v>
      </c>
      <c r="K59" s="85">
        <v>250478</v>
      </c>
      <c r="L59" s="85">
        <v>208532</v>
      </c>
      <c r="M59" s="38">
        <f>I59/(HLOOKUP(F59,Team_Composition_23[[#All],[Yellow]:[Red]],10,FALSE)+HLOOKUP(F59,Team_Composition_23[[#All],[Yellow]:[Red]],11,FALSE))</f>
        <v>7.7480629842539362E-3</v>
      </c>
      <c r="N59" s="38">
        <f>J59/HLOOKUP(F59,Team_Composition_23[[#All],[Yellow]:[Red]],6,FALSE)</f>
        <v>1.6402639723191029E-3</v>
      </c>
      <c r="O59" s="38">
        <f>K59/HLOOKUP(F59,Team_Composition_23[[#All],[Yellow]:[Red]],8,FALSE)</f>
        <v>1.4297698987080309E-2</v>
      </c>
      <c r="P59" s="38">
        <f>L59/HLOOKUP(F59,Team_Composition_23[[#All],[Yellow]:[Red]],7,FALSE)</f>
        <v>1.6109358108530904E-2</v>
      </c>
      <c r="Q59" s="31"/>
      <c r="R59" s="45" t="s">
        <v>73</v>
      </c>
      <c r="S59" s="46">
        <f t="shared" si="10"/>
        <v>0</v>
      </c>
      <c r="T59" s="47">
        <f t="shared" si="11"/>
        <v>1</v>
      </c>
      <c r="U59" s="31"/>
      <c r="V59" s="31"/>
      <c r="W59" s="31"/>
      <c r="X59" s="31"/>
      <c r="Y59" s="31"/>
      <c r="Z59" s="31"/>
      <c r="AA59" s="31"/>
      <c r="AB59" s="45" t="s">
        <v>73</v>
      </c>
      <c r="AC59" s="50">
        <f t="shared" si="12"/>
        <v>0</v>
      </c>
      <c r="AD59" s="51">
        <f t="shared" si="13"/>
        <v>1</v>
      </c>
    </row>
    <row r="60" spans="1:30" ht="22.5" customHeight="1">
      <c r="A60" s="82">
        <v>35</v>
      </c>
      <c r="B60" s="71" t="str">
        <f>VLOOKUP(C60,Lists!I:J,2,FALSE)</f>
        <v>Melee DPS</v>
      </c>
      <c r="C60" s="34" t="s">
        <v>24</v>
      </c>
      <c r="D60" s="13" t="s">
        <v>36</v>
      </c>
      <c r="E60" s="83" t="s">
        <v>251</v>
      </c>
      <c r="F60" s="13" t="s">
        <v>483</v>
      </c>
      <c r="G60" s="82">
        <v>4</v>
      </c>
      <c r="H60" s="82">
        <v>25</v>
      </c>
      <c r="I60" s="84">
        <f t="shared" si="0"/>
        <v>29</v>
      </c>
      <c r="J60" s="85">
        <v>721401</v>
      </c>
      <c r="K60" s="85">
        <v>468955</v>
      </c>
      <c r="L60" s="85">
        <v>6915</v>
      </c>
      <c r="M60" s="38">
        <f>I60/(HLOOKUP(F60,Team_Composition_23[[#All],[Yellow]:[Red]],10,FALSE)+HLOOKUP(F60,Team_Composition_23[[#All],[Yellow]:[Red]],11,FALSE))</f>
        <v>3.5322777101096221E-2</v>
      </c>
      <c r="N60" s="38">
        <f>J60/HLOOKUP(F60,Team_Composition_23[[#All],[Yellow]:[Red]],6,FALSE)</f>
        <v>4.0883221439235881E-2</v>
      </c>
      <c r="O60" s="38">
        <f>K60/HLOOKUP(F60,Team_Composition_23[[#All],[Yellow]:[Red]],8,FALSE)</f>
        <v>1.0654208936771948E-2</v>
      </c>
      <c r="P60" s="38">
        <f>L60/HLOOKUP(F60,Team_Composition_23[[#All],[Yellow]:[Red]],7,FALSE)</f>
        <v>2.8493833279305618E-4</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82">
        <v>72</v>
      </c>
      <c r="B61" s="40" t="str">
        <f>VLOOKUP(C61,Lists!I:J,2,FALSE)</f>
        <v>Healer</v>
      </c>
      <c r="C61" s="53" t="s">
        <v>9</v>
      </c>
      <c r="D61" s="13" t="s">
        <v>36</v>
      </c>
      <c r="E61" s="83" t="s">
        <v>273</v>
      </c>
      <c r="F61" s="13" t="s">
        <v>476</v>
      </c>
      <c r="G61" s="82">
        <v>0</v>
      </c>
      <c r="H61" s="82">
        <v>29</v>
      </c>
      <c r="I61" s="84">
        <f t="shared" si="0"/>
        <v>29</v>
      </c>
      <c r="J61" s="85">
        <v>33355</v>
      </c>
      <c r="K61" s="85">
        <v>252927</v>
      </c>
      <c r="L61" s="85">
        <v>1489509</v>
      </c>
      <c r="M61" s="38">
        <f>I61/(HLOOKUP(F61,Team_Composition_23[[#All],[Yellow]:[Red]],10,FALSE)+HLOOKUP(F61,Team_Composition_23[[#All],[Yellow]:[Red]],11,FALSE))</f>
        <v>7.2481879530117473E-3</v>
      </c>
      <c r="N61" s="38">
        <f>J61/HLOOKUP(F61,Team_Composition_23[[#All],[Yellow]:[Red]],6,FALSE)</f>
        <v>7.5185527699955584E-4</v>
      </c>
      <c r="O61" s="38">
        <f>K61/HLOOKUP(F61,Team_Composition_23[[#All],[Yellow]:[Red]],8,FALSE)</f>
        <v>1.4437491962189339E-2</v>
      </c>
      <c r="P61" s="38">
        <f>L61/HLOOKUP(F61,Team_Composition_23[[#All],[Yellow]:[Red]],7,FALSE)</f>
        <v>0.11506643530431664</v>
      </c>
      <c r="Q61" s="31"/>
      <c r="R61" s="48"/>
      <c r="S61" s="63"/>
      <c r="T61" s="63"/>
      <c r="U61" s="31"/>
      <c r="V61" s="31"/>
      <c r="W61" s="31"/>
      <c r="X61" s="31"/>
      <c r="Y61" s="31"/>
      <c r="Z61" s="31"/>
      <c r="AA61" s="31"/>
      <c r="AB61" s="48"/>
      <c r="AC61" s="63"/>
      <c r="AD61" s="63"/>
    </row>
    <row r="62" spans="1:30" ht="22.5" customHeight="1">
      <c r="A62" s="82">
        <v>45</v>
      </c>
      <c r="B62" s="33" t="str">
        <f>VLOOKUP(C62,Lists!I:J,2,FALSE)</f>
        <v>Tank</v>
      </c>
      <c r="C62" s="34" t="str">
        <f>VLOOKUP(E62,Lists!D:E,2,FALSE)</f>
        <v>SnS/Dagger</v>
      </c>
      <c r="D62" s="13" t="s">
        <v>36</v>
      </c>
      <c r="E62" s="83" t="s">
        <v>297</v>
      </c>
      <c r="F62" s="13" t="s">
        <v>483</v>
      </c>
      <c r="G62" s="82">
        <v>1</v>
      </c>
      <c r="H62" s="82">
        <v>27</v>
      </c>
      <c r="I62" s="84">
        <f t="shared" si="0"/>
        <v>28</v>
      </c>
      <c r="J62" s="85">
        <v>122744</v>
      </c>
      <c r="K62" s="85">
        <v>307026</v>
      </c>
      <c r="L62" s="85">
        <v>18761</v>
      </c>
      <c r="M62" s="38">
        <f>I62/(HLOOKUP(F62,Team_Composition_23[[#All],[Yellow]:[Red]],10,FALSE)+HLOOKUP(F62,Team_Composition_23[[#All],[Yellow]:[Red]],11,FALSE))</f>
        <v>3.4104750304506701E-2</v>
      </c>
      <c r="N62" s="38">
        <f>J62/HLOOKUP(F62,Team_Composition_23[[#All],[Yellow]:[Red]],6,FALSE)</f>
        <v>6.9561452400780828E-3</v>
      </c>
      <c r="O62" s="38">
        <f>K62/HLOOKUP(F62,Team_Composition_23[[#All],[Yellow]:[Red]],8,FALSE)</f>
        <v>6.9753369790733532E-3</v>
      </c>
      <c r="P62" s="38">
        <f>L62/HLOOKUP(F62,Team_Composition_23[[#All],[Yellow]:[Red]],7,FALSE)</f>
        <v>7.7306262639631625E-4</v>
      </c>
      <c r="Q62" s="31"/>
      <c r="R62" s="31"/>
      <c r="S62" s="64"/>
      <c r="T62" s="64"/>
      <c r="U62" s="31"/>
      <c r="V62" s="31"/>
      <c r="W62" s="31"/>
      <c r="X62" s="31"/>
      <c r="Y62" s="31"/>
      <c r="Z62" s="31"/>
      <c r="AA62" s="31"/>
      <c r="AB62" s="31"/>
      <c r="AC62" s="64"/>
      <c r="AD62" s="64"/>
    </row>
    <row r="63" spans="1:30" ht="22.5" customHeight="1">
      <c r="A63" s="82">
        <v>37</v>
      </c>
      <c r="B63" s="59" t="str">
        <f>VLOOKUP(C63,Lists!I:J,2,FALSE)</f>
        <v>Tank</v>
      </c>
      <c r="C63" s="65" t="str">
        <f>VLOOKUP(E63,Lists!D:E,2,FALSE)</f>
        <v>SnS/Greatsword</v>
      </c>
      <c r="D63" s="13" t="s">
        <v>36</v>
      </c>
      <c r="E63" s="83" t="s">
        <v>295</v>
      </c>
      <c r="F63" s="13" t="s">
        <v>476</v>
      </c>
      <c r="G63" s="82">
        <v>2</v>
      </c>
      <c r="H63" s="82">
        <v>25</v>
      </c>
      <c r="I63" s="84">
        <f t="shared" si="0"/>
        <v>27</v>
      </c>
      <c r="J63" s="85">
        <v>216228</v>
      </c>
      <c r="K63" s="85">
        <v>504076</v>
      </c>
      <c r="L63" s="85">
        <v>72253</v>
      </c>
      <c r="M63" s="38">
        <f>I63/(HLOOKUP(F63,Team_Composition_23[[#All],[Yellow]:[Red]],10,FALSE)+HLOOKUP(F63,Team_Composition_23[[#All],[Yellow]:[Red]],11,FALSE))</f>
        <v>6.7483129217695576E-3</v>
      </c>
      <c r="N63" s="38">
        <f>J63/HLOOKUP(F63,Team_Composition_23[[#All],[Yellow]:[Red]],6,FALSE)</f>
        <v>4.8739967871401571E-3</v>
      </c>
      <c r="O63" s="38">
        <f>K63/HLOOKUP(F63,Team_Composition_23[[#All],[Yellow]:[Red]],8,FALSE)</f>
        <v>2.8773492740326471E-2</v>
      </c>
      <c r="P63" s="38">
        <f>L63/HLOOKUP(F63,Team_Composition_23[[#All],[Yellow]:[Red]],7,FALSE)</f>
        <v>5.5816347199263584E-3</v>
      </c>
      <c r="Q63" s="31"/>
      <c r="R63" s="227" t="s">
        <v>11</v>
      </c>
      <c r="S63" s="228"/>
      <c r="T63" s="228"/>
      <c r="U63" s="31"/>
      <c r="V63" s="31"/>
      <c r="W63" s="31"/>
      <c r="X63" s="31"/>
      <c r="Y63" s="31"/>
      <c r="Z63" s="31"/>
      <c r="AA63" s="31"/>
      <c r="AB63" s="227" t="s">
        <v>11</v>
      </c>
      <c r="AC63" s="228"/>
      <c r="AD63" s="228"/>
    </row>
    <row r="64" spans="1:30" ht="22.5" customHeight="1">
      <c r="A64" s="82">
        <v>73</v>
      </c>
      <c r="B64" s="60" t="str">
        <f>VLOOKUP(C64,Lists!I:J,2,FALSE)</f>
        <v>Healer</v>
      </c>
      <c r="C64" s="34" t="s">
        <v>9</v>
      </c>
      <c r="D64" s="13" t="s">
        <v>36</v>
      </c>
      <c r="E64" s="83" t="s">
        <v>252</v>
      </c>
      <c r="F64" s="13" t="s">
        <v>476</v>
      </c>
      <c r="G64" s="82">
        <v>0</v>
      </c>
      <c r="H64" s="82">
        <v>27</v>
      </c>
      <c r="I64" s="84">
        <f t="shared" si="0"/>
        <v>27</v>
      </c>
      <c r="J64" s="85">
        <v>251809</v>
      </c>
      <c r="K64" s="85">
        <v>507711</v>
      </c>
      <c r="L64" s="85">
        <v>41499</v>
      </c>
      <c r="M64" s="38">
        <f>I64/(HLOOKUP(F64,Team_Composition_23[[#All],[Yellow]:[Red]],10,FALSE)+HLOOKUP(F64,Team_Composition_23[[#All],[Yellow]:[Red]],11,FALSE))</f>
        <v>6.7483129217695576E-3</v>
      </c>
      <c r="N64" s="38">
        <f>J64/HLOOKUP(F64,Team_Composition_23[[#All],[Yellow]:[Red]],6,FALSE)</f>
        <v>5.6760283449552133E-3</v>
      </c>
      <c r="O64" s="38">
        <f>K64/HLOOKUP(F64,Team_Composition_23[[#All],[Yellow]:[Red]],8,FALSE)</f>
        <v>2.8980984559240856E-2</v>
      </c>
      <c r="P64" s="38">
        <f>L64/HLOOKUP(F64,Team_Composition_23[[#All],[Yellow]:[Red]],7,FALSE)</f>
        <v>3.2058497120150574E-3</v>
      </c>
      <c r="Q64" s="31"/>
      <c r="R64" s="41" t="s">
        <v>482</v>
      </c>
      <c r="S64" s="42" t="s">
        <v>476</v>
      </c>
      <c r="T64" s="42" t="s">
        <v>483</v>
      </c>
      <c r="U64" s="31"/>
      <c r="V64" s="31"/>
      <c r="W64" s="31"/>
      <c r="X64" s="31"/>
      <c r="Y64" s="31"/>
      <c r="Z64" s="31"/>
      <c r="AA64" s="31"/>
      <c r="AB64" s="41" t="s">
        <v>482</v>
      </c>
      <c r="AC64" s="42" t="s">
        <v>485</v>
      </c>
      <c r="AD64" s="42" t="s">
        <v>36</v>
      </c>
    </row>
    <row r="65" spans="1:30" ht="22.5" customHeight="1">
      <c r="A65" s="82">
        <v>46</v>
      </c>
      <c r="B65" s="56" t="str">
        <f>VLOOKUP(C65,Lists!I:J,2,FALSE)</f>
        <v>Tank</v>
      </c>
      <c r="C65" s="53" t="str">
        <f>VLOOKUP(E65,Lists!D:E,2,FALSE)</f>
        <v>SnS/Greatsword</v>
      </c>
      <c r="D65" s="13" t="s">
        <v>36</v>
      </c>
      <c r="E65" s="83" t="s">
        <v>298</v>
      </c>
      <c r="F65" s="13" t="s">
        <v>483</v>
      </c>
      <c r="G65" s="82">
        <v>1</v>
      </c>
      <c r="H65" s="82">
        <v>25</v>
      </c>
      <c r="I65" s="84">
        <f t="shared" si="0"/>
        <v>26</v>
      </c>
      <c r="J65" s="85">
        <v>291344</v>
      </c>
      <c r="K65" s="85">
        <v>741558</v>
      </c>
      <c r="L65" s="85">
        <v>43993</v>
      </c>
      <c r="M65" s="38">
        <f>I65/(HLOOKUP(F65,Team_Composition_23[[#All],[Yellow]:[Red]],10,FALSE)+HLOOKUP(F65,Team_Composition_23[[#All],[Yellow]:[Red]],11,FALSE))</f>
        <v>3.1668696711327646E-2</v>
      </c>
      <c r="N65" s="38">
        <f>J65/HLOOKUP(F65,Team_Composition_23[[#All],[Yellow]:[Red]],6,FALSE)</f>
        <v>1.651104069303028E-2</v>
      </c>
      <c r="O65" s="38">
        <f>K65/HLOOKUP(F65,Team_Composition_23[[#All],[Yellow]:[Red]],8,FALSE)</f>
        <v>1.6847488289355551E-2</v>
      </c>
      <c r="P65" s="38">
        <f>L65/HLOOKUP(F65,Team_Composition_23[[#All],[Yellow]:[Red]],7,FALSE)</f>
        <v>1.8127681958879133E-3</v>
      </c>
      <c r="Q65" s="31"/>
      <c r="R65" s="45" t="s">
        <v>468</v>
      </c>
      <c r="S65" s="46">
        <f>SUMIFS(Scoreboard_31[Damage Dealt],Scoreboard_31[Role],"Healer",Scoreboard_31[Team],"Yellow")</f>
        <v>1636983</v>
      </c>
      <c r="T65" s="47">
        <f>SUMIFS(Scoreboard_31[Damage Dealt],Scoreboard_31[Role],"Healer",Scoreboard_31[Team],"Red")</f>
        <v>302946</v>
      </c>
      <c r="U65" s="31"/>
      <c r="V65" s="31"/>
      <c r="W65" s="31"/>
      <c r="X65" s="31"/>
      <c r="Y65" s="31"/>
      <c r="Z65" s="31"/>
      <c r="AA65" s="31"/>
      <c r="AB65" s="45" t="s">
        <v>468</v>
      </c>
      <c r="AC65" s="50">
        <f>SUMIFS(Scoreboard_31[Damage Dealt],Scoreboard_31[Role],"Healer",Scoreboard_31[Guild],"Best Regards")</f>
        <v>1182573</v>
      </c>
      <c r="AD65" s="51">
        <f>SUMIFS(Scoreboard_31[Damage Dealt],Scoreboard_31[Role],"Healer",Scoreboard_31[Guild],"Unhinged肉")</f>
        <v>562939</v>
      </c>
    </row>
    <row r="66" spans="1:30" ht="22.5" customHeight="1">
      <c r="A66" s="82">
        <v>74</v>
      </c>
      <c r="B66" s="62" t="str">
        <f>VLOOKUP(C66,Lists!I:J,2,FALSE)</f>
        <v>Healer</v>
      </c>
      <c r="C66" s="66" t="str">
        <f>VLOOKUP(E66,Lists!D:E,2,FALSE)</f>
        <v>Wand/Longbow</v>
      </c>
      <c r="D66" s="13" t="s">
        <v>34</v>
      </c>
      <c r="E66" s="83" t="s">
        <v>29</v>
      </c>
      <c r="F66" s="13" t="s">
        <v>476</v>
      </c>
      <c r="G66" s="82">
        <v>0</v>
      </c>
      <c r="H66" s="82">
        <v>26</v>
      </c>
      <c r="I66" s="84">
        <f t="shared" si="0"/>
        <v>26</v>
      </c>
      <c r="J66" s="85">
        <v>66678</v>
      </c>
      <c r="K66" s="85">
        <v>226556</v>
      </c>
      <c r="L66" s="85">
        <v>1504372</v>
      </c>
      <c r="M66" s="38">
        <f>I66/(HLOOKUP(F66,Team_Composition_23[[#All],[Yellow]:[Red]],10,FALSE)+HLOOKUP(F66,Team_Composition_23[[#All],[Yellow]:[Red]],11,FALSE))</f>
        <v>6.4983754061484628E-3</v>
      </c>
      <c r="N66" s="38">
        <f>J66/HLOOKUP(F66,Team_Composition_23[[#All],[Yellow]:[Red]],6,FALSE)</f>
        <v>1.5029892417861303E-3</v>
      </c>
      <c r="O66" s="38">
        <f>K66/HLOOKUP(F66,Team_Composition_23[[#All],[Yellow]:[Red]],8,FALSE)</f>
        <v>1.2932191616497123E-2</v>
      </c>
      <c r="P66" s="38">
        <f>L66/HLOOKUP(F66,Team_Composition_23[[#All],[Yellow]:[Red]],7,FALSE)</f>
        <v>0.11621462066467904</v>
      </c>
      <c r="Q66" s="31"/>
      <c r="R66" s="45" t="s">
        <v>469</v>
      </c>
      <c r="S66" s="46">
        <f>SUMIFS(Scoreboard_31[Damage Taken],Scoreboard_31[Role],"Healer",Scoreboard_31[Team],"Yellow")</f>
        <v>5545929</v>
      </c>
      <c r="T66" s="47">
        <f>SUMIFS(Scoreboard_31[Damage Taken],Scoreboard_31[Role],"Healer",Scoreboard_31[Team],"Red")</f>
        <v>7765174</v>
      </c>
      <c r="U66" s="31"/>
      <c r="V66" s="31"/>
      <c r="W66" s="31"/>
      <c r="X66" s="31"/>
      <c r="Y66" s="31"/>
      <c r="Z66" s="31"/>
      <c r="AA66" s="31"/>
      <c r="AB66" s="45" t="s">
        <v>469</v>
      </c>
      <c r="AC66" s="50">
        <f>SUMIFS(Scoreboard_31[Damage Taken],Scoreboard_31[Role],"Healer",Scoreboard_31[Guild],"Best Regards")</f>
        <v>5733545</v>
      </c>
      <c r="AD66" s="51">
        <f>SUMIFS(Scoreboard_31[Damage Taken],Scoreboard_31[Role],"Healer",Scoreboard_31[Guild],"Unhinged肉")</f>
        <v>6947245</v>
      </c>
    </row>
    <row r="67" spans="1:30" ht="22.5" customHeight="1">
      <c r="A67" s="82">
        <v>30</v>
      </c>
      <c r="B67" s="61" t="str">
        <f>VLOOKUP(C67,Lists!I:J,2,FALSE)</f>
        <v>Melee DPS</v>
      </c>
      <c r="C67" s="53" t="s">
        <v>24</v>
      </c>
      <c r="D67" s="13" t="s">
        <v>36</v>
      </c>
      <c r="E67" s="83" t="s">
        <v>239</v>
      </c>
      <c r="F67" s="13" t="s">
        <v>483</v>
      </c>
      <c r="G67" s="82">
        <v>10</v>
      </c>
      <c r="H67" s="82">
        <v>15</v>
      </c>
      <c r="I67" s="84">
        <f t="shared" si="0"/>
        <v>25</v>
      </c>
      <c r="J67" s="85">
        <v>347735</v>
      </c>
      <c r="K67" s="85">
        <v>446326</v>
      </c>
      <c r="L67" s="85">
        <v>0</v>
      </c>
      <c r="M67" s="38">
        <f>I67/(HLOOKUP(F67,Team_Composition_23[[#All],[Yellow]:[Red]],10,FALSE)+HLOOKUP(F67,Team_Composition_23[[#All],[Yellow]:[Red]],11,FALSE))</f>
        <v>3.0450669914738125E-2</v>
      </c>
      <c r="N67" s="38">
        <f>J67/HLOOKUP(F67,Team_Composition_23[[#All],[Yellow]:[Red]],6,FALSE)</f>
        <v>1.9706830191769473E-2</v>
      </c>
      <c r="O67" s="38">
        <f>K67/HLOOKUP(F67,Team_Composition_23[[#All],[Yellow]:[Red]],8,FALSE)</f>
        <v>1.014009970661082E-2</v>
      </c>
      <c r="P67" s="38">
        <f>L67/HLOOKUP(F67,Team_Composition_23[[#All],[Yellow]:[Red]],7,FALSE)</f>
        <v>0</v>
      </c>
      <c r="Q67" s="31"/>
      <c r="R67" s="45" t="s">
        <v>470</v>
      </c>
      <c r="S67" s="46">
        <f>SUMIFS(Scoreboard_31[Amount Healed],Scoreboard_31[Role],"Healer",Scoreboard_31[Team],"Yellow")</f>
        <v>11854429</v>
      </c>
      <c r="T67" s="47">
        <f>SUMIFS(Scoreboard_31[Amount Healed],Scoreboard_31[Role],"Healer",Scoreboard_31[Team],"Red")</f>
        <v>18035085</v>
      </c>
      <c r="U67" s="31"/>
      <c r="V67" s="31"/>
      <c r="W67" s="31"/>
      <c r="X67" s="31"/>
      <c r="Y67" s="31"/>
      <c r="Z67" s="31"/>
      <c r="AA67" s="31"/>
      <c r="AB67" s="45" t="s">
        <v>470</v>
      </c>
      <c r="AC67" s="50">
        <f>SUMIFS(Scoreboard_31[Amount Healed],Scoreboard_31[Role],"Healer",Scoreboard_31[Guild],"Best Regards")</f>
        <v>14003242</v>
      </c>
      <c r="AD67" s="51">
        <f>SUMIFS(Scoreboard_31[Amount Healed],Scoreboard_31[Role],"Healer",Scoreboard_31[Guild],"Unhinged肉")</f>
        <v>15864998</v>
      </c>
    </row>
    <row r="68" spans="1:30" ht="22.5" customHeight="1">
      <c r="A68" s="82">
        <v>38</v>
      </c>
      <c r="B68" s="57" t="str">
        <f>VLOOKUP(C68,Lists!I:J,2,FALSE)</f>
        <v>Tank</v>
      </c>
      <c r="C68" s="66" t="str">
        <f>VLOOKUP(E68,Lists!D:E,2,FALSE)</f>
        <v>SnS/Greatsword</v>
      </c>
      <c r="D68" s="13" t="s">
        <v>36</v>
      </c>
      <c r="E68" s="83" t="s">
        <v>296</v>
      </c>
      <c r="F68" s="13" t="s">
        <v>483</v>
      </c>
      <c r="G68" s="82">
        <v>2</v>
      </c>
      <c r="H68" s="82">
        <v>21</v>
      </c>
      <c r="I68" s="84">
        <f t="shared" si="0"/>
        <v>23</v>
      </c>
      <c r="J68" s="85">
        <v>185218</v>
      </c>
      <c r="K68" s="85">
        <v>354536</v>
      </c>
      <c r="L68" s="85">
        <v>44422</v>
      </c>
      <c r="M68" s="38">
        <f>I68/(HLOOKUP(F68,Team_Composition_23[[#All],[Yellow]:[Red]],10,FALSE)+HLOOKUP(F68,Team_Composition_23[[#All],[Yellow]:[Red]],11,FALSE))</f>
        <v>2.8014616321559074E-2</v>
      </c>
      <c r="N68" s="38">
        <f>J68/HLOOKUP(F68,Team_Composition_23[[#All],[Yellow]:[Red]],6,FALSE)</f>
        <v>1.0496670379625744E-2</v>
      </c>
      <c r="O68" s="38">
        <f>K68/HLOOKUP(F68,Team_Composition_23[[#All],[Yellow]:[Red]],8,FALSE)</f>
        <v>8.0547187248400792E-3</v>
      </c>
      <c r="P68" s="38">
        <f>L68/HLOOKUP(F68,Team_Composition_23[[#All],[Yellow]:[Red]],7,FALSE)</f>
        <v>1.8304454980958992E-3</v>
      </c>
      <c r="Q68" s="31"/>
      <c r="R68" s="45" t="s">
        <v>465</v>
      </c>
      <c r="S68" s="46">
        <f>SUMIFS(Scoreboard_31[Kills],Scoreboard_31[Role],"Healer",Scoreboard_31[Team],"Yellow")</f>
        <v>11</v>
      </c>
      <c r="T68" s="47">
        <f>SUMIFS(Scoreboard_31[Kills],Scoreboard_31[Role],"Healer",Scoreboard_31[Team],"Red")</f>
        <v>0</v>
      </c>
      <c r="U68" s="31"/>
      <c r="V68" s="31"/>
      <c r="W68" s="31"/>
      <c r="X68" s="31"/>
      <c r="Y68" s="31"/>
      <c r="Z68" s="31"/>
      <c r="AA68" s="31"/>
      <c r="AB68" s="45" t="s">
        <v>465</v>
      </c>
      <c r="AC68" s="50">
        <f>SUMIFS(Scoreboard_31[Kills],Scoreboard_31[Role],"Healer",Scoreboard_31[Guild],"Best Regards")</f>
        <v>8</v>
      </c>
      <c r="AD68" s="51">
        <f>SUMIFS(Scoreboard_31[Kills],Scoreboard_31[Role],"Healer",Scoreboard_31[Guild],"Unhinged肉")</f>
        <v>1</v>
      </c>
    </row>
    <row r="69" spans="1:30" ht="22.5" customHeight="1">
      <c r="A69" s="82">
        <v>39</v>
      </c>
      <c r="B69" s="59" t="str">
        <f>VLOOKUP(C69,Lists!I:J,2,FALSE)</f>
        <v>Tank</v>
      </c>
      <c r="C69" s="65" t="str">
        <f>VLOOKUP(E69,Lists!D:E,2,FALSE)</f>
        <v>SnS/Greatsword</v>
      </c>
      <c r="D69" s="13" t="s">
        <v>34</v>
      </c>
      <c r="E69" s="83" t="s">
        <v>148</v>
      </c>
      <c r="F69" s="13" t="s">
        <v>483</v>
      </c>
      <c r="G69" s="82">
        <v>2</v>
      </c>
      <c r="H69" s="82">
        <v>21</v>
      </c>
      <c r="I69" s="84">
        <f t="shared" si="0"/>
        <v>23</v>
      </c>
      <c r="J69" s="85">
        <v>40577</v>
      </c>
      <c r="K69" s="85">
        <v>648999</v>
      </c>
      <c r="L69" s="85">
        <v>14457</v>
      </c>
      <c r="M69" s="38">
        <f>I69/(HLOOKUP(F69,Team_Composition_23[[#All],[Yellow]:[Red]],10,FALSE)+HLOOKUP(F69,Team_Composition_23[[#All],[Yellow]:[Red]],11,FALSE))</f>
        <v>2.8014616321559074E-2</v>
      </c>
      <c r="N69" s="38">
        <f>J69/HLOOKUP(F69,Team_Composition_23[[#All],[Yellow]:[Red]],6,FALSE)</f>
        <v>2.2995788421971614E-3</v>
      </c>
      <c r="O69" s="38">
        <f>K69/HLOOKUP(F69,Team_Composition_23[[#All],[Yellow]:[Red]],8,FALSE)</f>
        <v>1.4744636363310035E-2</v>
      </c>
      <c r="P69" s="38">
        <f>L69/HLOOKUP(F69,Team_Composition_23[[#All],[Yellow]:[Red]],7,FALSE)</f>
        <v>5.9571272265932223E-4</v>
      </c>
      <c r="Q69" s="31"/>
      <c r="R69" s="45" t="s">
        <v>466</v>
      </c>
      <c r="S69" s="46">
        <f>SUMIFS(Scoreboard_31[Assists],Scoreboard_31[Role],"Healer",Scoreboard_31[Team],"Yellow")</f>
        <v>594</v>
      </c>
      <c r="T69" s="47">
        <f>SUMIFS(Scoreboard_31[Assists],Scoreboard_31[Role],"Healer",Scoreboard_31[Team],"Red")</f>
        <v>629</v>
      </c>
      <c r="U69" s="31"/>
      <c r="V69" s="31"/>
      <c r="W69" s="31"/>
      <c r="X69" s="31"/>
      <c r="Y69" s="31"/>
      <c r="Z69" s="31"/>
      <c r="AA69" s="31"/>
      <c r="AB69" s="45" t="s">
        <v>466</v>
      </c>
      <c r="AC69" s="50">
        <f>SUMIFS(Scoreboard_31[Assists],Scoreboard_31[Role],"Healer",Scoreboard_31[Guild],"Best Regards")</f>
        <v>652</v>
      </c>
      <c r="AD69" s="51">
        <f>SUMIFS(Scoreboard_31[Assists],Scoreboard_31[Role],"Healer",Scoreboard_31[Guild],"Unhinged肉")</f>
        <v>555</v>
      </c>
    </row>
    <row r="70" spans="1:30" ht="22.5" customHeight="1">
      <c r="A70" s="82">
        <v>47</v>
      </c>
      <c r="B70" s="33" t="str">
        <f>VLOOKUP(C70,Lists!I:J,2,FALSE)</f>
        <v>Tank</v>
      </c>
      <c r="C70" s="34" t="str">
        <f>VLOOKUP(E70,Lists!D:E,2,FALSE)</f>
        <v>SnS/Spear</v>
      </c>
      <c r="D70" s="13" t="s">
        <v>34</v>
      </c>
      <c r="E70" s="83" t="s">
        <v>79</v>
      </c>
      <c r="F70" s="13" t="s">
        <v>476</v>
      </c>
      <c r="G70" s="82">
        <v>1</v>
      </c>
      <c r="H70" s="82">
        <v>21</v>
      </c>
      <c r="I70" s="84">
        <f t="shared" si="0"/>
        <v>22</v>
      </c>
      <c r="J70" s="85">
        <v>117134</v>
      </c>
      <c r="K70" s="85">
        <v>311316</v>
      </c>
      <c r="L70" s="85">
        <v>27016</v>
      </c>
      <c r="M70" s="38">
        <f>I70/(HLOOKUP(F70,Team_Composition_23[[#All],[Yellow]:[Red]],10,FALSE)+HLOOKUP(F70,Team_Composition_23[[#All],[Yellow]:[Red]],11,FALSE))</f>
        <v>5.4986253436640842E-3</v>
      </c>
      <c r="N70" s="38">
        <f>J70/HLOOKUP(F70,Team_Composition_23[[#All],[Yellow]:[Red]],6,FALSE)</f>
        <v>2.6403182736041363E-3</v>
      </c>
      <c r="O70" s="38">
        <f>K70/HLOOKUP(F70,Team_Composition_23[[#All],[Yellow]:[Red]],8,FALSE)</f>
        <v>1.7770432764002801E-2</v>
      </c>
      <c r="P70" s="38">
        <f>L70/HLOOKUP(F70,Team_Composition_23[[#All],[Yellow]:[Red]],7,FALSE)</f>
        <v>2.0870198274608735E-3</v>
      </c>
      <c r="Q70" s="31"/>
      <c r="R70" s="45" t="s">
        <v>10</v>
      </c>
      <c r="S70" s="46">
        <f t="shared" ref="S70:S72" si="14">COUNTIFS(C:C,R70,F:F,"Yellow")</f>
        <v>5</v>
      </c>
      <c r="T70" s="47">
        <f t="shared" ref="T70:T72" si="15">COUNTIFS(C:C,R70,F:F,"Red")</f>
        <v>9</v>
      </c>
      <c r="U70" s="31"/>
      <c r="V70" s="31"/>
      <c r="W70" s="31"/>
      <c r="X70" s="31"/>
      <c r="Y70" s="31"/>
      <c r="Z70" s="31"/>
      <c r="AA70" s="31"/>
      <c r="AB70" s="45" t="s">
        <v>10</v>
      </c>
      <c r="AC70" s="50">
        <f t="shared" ref="AC70:AC72" si="16">COUNTIFS(C:C,AB70,D:D,"Best Regards")</f>
        <v>6</v>
      </c>
      <c r="AD70" s="51">
        <f t="shared" ref="AD70:AD72" si="17">COUNTIFS(C:C,AB70,D:D,"Unhinged肉")</f>
        <v>8</v>
      </c>
    </row>
    <row r="71" spans="1:30" ht="22.5" customHeight="1">
      <c r="A71" s="82">
        <v>75</v>
      </c>
      <c r="B71" s="52" t="str">
        <f>VLOOKUP(C71,Lists!I:J,2,FALSE)</f>
        <v>Healer</v>
      </c>
      <c r="C71" s="65" t="str">
        <f>VLOOKUP(E71,Lists!D:E,2,FALSE)</f>
        <v>Wand/Orb</v>
      </c>
      <c r="D71" s="13" t="s">
        <v>34</v>
      </c>
      <c r="E71" s="83" t="s">
        <v>96</v>
      </c>
      <c r="F71" s="13" t="s">
        <v>476</v>
      </c>
      <c r="G71" s="82">
        <v>0</v>
      </c>
      <c r="H71" s="82">
        <v>22</v>
      </c>
      <c r="I71" s="84">
        <f t="shared" si="0"/>
        <v>22</v>
      </c>
      <c r="J71" s="85">
        <v>6730</v>
      </c>
      <c r="K71" s="85">
        <v>216787</v>
      </c>
      <c r="L71" s="85">
        <v>968070</v>
      </c>
      <c r="M71" s="38">
        <f>I71/(HLOOKUP(F71,Team_Composition_23[[#All],[Yellow]:[Red]],10,FALSE)+HLOOKUP(F71,Team_Composition_23[[#All],[Yellow]:[Red]],11,FALSE))</f>
        <v>5.4986253436640842E-3</v>
      </c>
      <c r="N71" s="38">
        <f>J71/HLOOKUP(F71,Team_Composition_23[[#All],[Yellow]:[Red]],6,FALSE)</f>
        <v>1.5170097479259511E-4</v>
      </c>
      <c r="O71" s="38">
        <f>K71/HLOOKUP(F71,Team_Composition_23[[#All],[Yellow]:[Red]],8,FALSE)</f>
        <v>1.2374560920768208E-2</v>
      </c>
      <c r="P71" s="38">
        <f>L71/HLOOKUP(F71,Team_Composition_23[[#All],[Yellow]:[Red]],7,FALSE)</f>
        <v>7.4784619646507539E-2</v>
      </c>
      <c r="Q71" s="31"/>
      <c r="R71" s="45" t="s">
        <v>9</v>
      </c>
      <c r="S71" s="46">
        <f t="shared" si="14"/>
        <v>11</v>
      </c>
      <c r="T71" s="47">
        <f t="shared" si="15"/>
        <v>8</v>
      </c>
      <c r="U71" s="31"/>
      <c r="V71" s="31"/>
      <c r="W71" s="31"/>
      <c r="X71" s="31"/>
      <c r="Y71" s="31"/>
      <c r="Z71" s="31"/>
      <c r="AA71" s="31"/>
      <c r="AB71" s="45" t="s">
        <v>9</v>
      </c>
      <c r="AC71" s="50">
        <f t="shared" si="16"/>
        <v>9</v>
      </c>
      <c r="AD71" s="51">
        <f t="shared" si="17"/>
        <v>9</v>
      </c>
    </row>
    <row r="72" spans="1:30" ht="22.5" customHeight="1">
      <c r="A72" s="82">
        <v>76</v>
      </c>
      <c r="B72" s="62" t="str">
        <f>VLOOKUP(C72,Lists!I:J,2,FALSE)</f>
        <v>Healer</v>
      </c>
      <c r="C72" s="66" t="str">
        <f>VLOOKUP(E72,Lists!D:E,2,FALSE)</f>
        <v>Wand/Longbow</v>
      </c>
      <c r="D72" s="13" t="s">
        <v>36</v>
      </c>
      <c r="E72" s="83" t="s">
        <v>128</v>
      </c>
      <c r="F72" s="13" t="s">
        <v>483</v>
      </c>
      <c r="G72" s="82">
        <v>0</v>
      </c>
      <c r="H72" s="82">
        <v>21</v>
      </c>
      <c r="I72" s="84">
        <f t="shared" si="0"/>
        <v>21</v>
      </c>
      <c r="J72" s="85">
        <v>11406</v>
      </c>
      <c r="K72" s="85">
        <v>410853</v>
      </c>
      <c r="L72" s="85">
        <v>689716</v>
      </c>
      <c r="M72" s="38">
        <f>I72/(HLOOKUP(F72,Team_Composition_23[[#All],[Yellow]:[Red]],10,FALSE)+HLOOKUP(F72,Team_Composition_23[[#All],[Yellow]:[Red]],11,FALSE))</f>
        <v>2.5578562728380026E-2</v>
      </c>
      <c r="N72" s="38">
        <f>J72/HLOOKUP(F72,Team_Composition_23[[#All],[Yellow]:[Red]],6,FALSE)</f>
        <v>6.4640057850754915E-4</v>
      </c>
      <c r="O72" s="38">
        <f>K72/HLOOKUP(F72,Team_Composition_23[[#All],[Yellow]:[Red]],8,FALSE)</f>
        <v>9.334187084687369E-3</v>
      </c>
      <c r="P72" s="38">
        <f>L72/HLOOKUP(F72,Team_Composition_23[[#All],[Yellow]:[Red]],7,FALSE)</f>
        <v>2.8420322073853296E-2</v>
      </c>
      <c r="Q72" s="31"/>
      <c r="R72" s="45" t="s">
        <v>18</v>
      </c>
      <c r="S72" s="46">
        <f t="shared" si="14"/>
        <v>0</v>
      </c>
      <c r="T72" s="47">
        <f t="shared" si="15"/>
        <v>0</v>
      </c>
      <c r="U72" s="31"/>
      <c r="V72" s="31"/>
      <c r="W72" s="31"/>
      <c r="X72" s="31"/>
      <c r="Y72" s="31"/>
      <c r="Z72" s="31"/>
      <c r="AA72" s="31"/>
      <c r="AB72" s="45" t="s">
        <v>18</v>
      </c>
      <c r="AC72" s="50">
        <f t="shared" si="16"/>
        <v>0</v>
      </c>
      <c r="AD72" s="51">
        <f t="shared" si="17"/>
        <v>0</v>
      </c>
    </row>
    <row r="73" spans="1:30" ht="22.5" customHeight="1">
      <c r="A73" s="82">
        <v>77</v>
      </c>
      <c r="B73" s="52" t="str">
        <f>VLOOKUP(C73,Lists!I:J,2,FALSE)</f>
        <v>Healer</v>
      </c>
      <c r="C73" s="65" t="s">
        <v>10</v>
      </c>
      <c r="D73" s="13" t="s">
        <v>36</v>
      </c>
      <c r="E73" s="83" t="s">
        <v>285</v>
      </c>
      <c r="F73" s="13" t="s">
        <v>483</v>
      </c>
      <c r="G73" s="82">
        <v>0</v>
      </c>
      <c r="H73" s="82">
        <v>19</v>
      </c>
      <c r="I73" s="84">
        <f t="shared" si="0"/>
        <v>19</v>
      </c>
      <c r="J73" s="85">
        <v>45435</v>
      </c>
      <c r="K73" s="85">
        <v>541218</v>
      </c>
      <c r="L73" s="85">
        <v>408973</v>
      </c>
      <c r="M73" s="38">
        <f>I73/(HLOOKUP(F73,Team_Composition_23[[#All],[Yellow]:[Red]],10,FALSE)+HLOOKUP(F73,Team_Composition_23[[#All],[Yellow]:[Red]],11,FALSE))</f>
        <v>2.3142509135200974E-2</v>
      </c>
      <c r="N73" s="38">
        <f>J73/HLOOKUP(F73,Team_Composition_23[[#All],[Yellow]:[Red]],6,FALSE)</f>
        <v>2.5748913102306239E-3</v>
      </c>
      <c r="O73" s="38">
        <f>K73/HLOOKUP(F73,Team_Composition_23[[#All],[Yellow]:[Red]],8,FALSE)</f>
        <v>1.2295955160605688E-2</v>
      </c>
      <c r="P73" s="38">
        <f>L73/HLOOKUP(F73,Team_Composition_23[[#All],[Yellow]:[Red]],7,FALSE)</f>
        <v>1.6852072997451131E-2</v>
      </c>
      <c r="Q73" s="31"/>
      <c r="R73" s="31"/>
      <c r="S73" s="31"/>
      <c r="T73" s="31"/>
      <c r="U73" s="31"/>
      <c r="V73" s="31"/>
      <c r="W73" s="31"/>
      <c r="X73" s="31"/>
      <c r="Y73" s="31"/>
      <c r="Z73" s="31"/>
      <c r="AA73" s="31"/>
      <c r="AB73" s="31"/>
      <c r="AC73" s="31"/>
      <c r="AD73" s="31"/>
    </row>
    <row r="74" spans="1:30" ht="22.5" customHeight="1">
      <c r="A74" s="82">
        <v>40</v>
      </c>
      <c r="B74" s="62" t="str">
        <f>VLOOKUP(C74,Lists!I:J,2,FALSE)</f>
        <v>Healer</v>
      </c>
      <c r="C74" s="66" t="s">
        <v>9</v>
      </c>
      <c r="D74" s="13" t="s">
        <v>525</v>
      </c>
      <c r="E74" s="83" t="s">
        <v>526</v>
      </c>
      <c r="F74" s="13" t="s">
        <v>476</v>
      </c>
      <c r="G74" s="82">
        <v>2</v>
      </c>
      <c r="H74" s="82">
        <v>16</v>
      </c>
      <c r="I74" s="84">
        <f t="shared" si="0"/>
        <v>18</v>
      </c>
      <c r="J74" s="85">
        <v>194417</v>
      </c>
      <c r="K74" s="85">
        <v>630313</v>
      </c>
      <c r="L74" s="85">
        <v>21274</v>
      </c>
      <c r="M74" s="38">
        <f>I74/(HLOOKUP(F74,Team_Composition_23[[#All],[Yellow]:[Red]],10,FALSE)+HLOOKUP(F74,Team_Composition_23[[#All],[Yellow]:[Red]],11,FALSE))</f>
        <v>4.4988752811797048E-3</v>
      </c>
      <c r="N74" s="38">
        <f>J74/HLOOKUP(F74,Team_Composition_23[[#All],[Yellow]:[Red]],6,FALSE)</f>
        <v>4.3823548909735464E-3</v>
      </c>
      <c r="O74" s="38">
        <f>K74/HLOOKUP(F74,Team_Composition_23[[#All],[Yellow]:[Red]],8,FALSE)</f>
        <v>3.5979309726377369E-2</v>
      </c>
      <c r="P74" s="38">
        <f>L74/HLOOKUP(F74,Team_Composition_23[[#All],[Yellow]:[Red]],7,FALSE)</f>
        <v>1.6434431377480982E-3</v>
      </c>
      <c r="Q74" s="31"/>
    </row>
    <row r="75" spans="1:30" ht="22.5" customHeight="1">
      <c r="A75" s="82">
        <v>78</v>
      </c>
      <c r="B75" s="40" t="str">
        <f>VLOOKUP(C75,Lists!I:J,2,FALSE)</f>
        <v>Healer</v>
      </c>
      <c r="C75" s="53" t="str">
        <f>VLOOKUP(E75,Lists!D:E,2,FALSE)</f>
        <v>Wand/Longbow</v>
      </c>
      <c r="D75" s="13" t="s">
        <v>34</v>
      </c>
      <c r="E75" s="83" t="s">
        <v>165</v>
      </c>
      <c r="F75" s="13" t="s">
        <v>483</v>
      </c>
      <c r="G75" s="82">
        <v>0</v>
      </c>
      <c r="H75" s="82">
        <v>18</v>
      </c>
      <c r="I75" s="84">
        <f t="shared" si="0"/>
        <v>18</v>
      </c>
      <c r="J75" s="85">
        <v>49330</v>
      </c>
      <c r="K75" s="85">
        <v>822250</v>
      </c>
      <c r="L75" s="85">
        <v>2091555</v>
      </c>
      <c r="M75" s="38">
        <f>I75/(HLOOKUP(F75,Team_Composition_23[[#All],[Yellow]:[Red]],10,FALSE)+HLOOKUP(F75,Team_Composition_23[[#All],[Yellow]:[Red]],11,FALSE))</f>
        <v>2.192448233861145E-2</v>
      </c>
      <c r="N75" s="38">
        <f>J75/HLOOKUP(F75,Team_Composition_23[[#All],[Yellow]:[Red]],6,FALSE)</f>
        <v>2.7956286636662631E-3</v>
      </c>
      <c r="O75" s="38">
        <f>K75/HLOOKUP(F75,Team_Composition_23[[#All],[Yellow]:[Red]],8,FALSE)</f>
        <v>1.8680733328913721E-2</v>
      </c>
      <c r="P75" s="38">
        <f>L75/HLOOKUP(F75,Team_Composition_23[[#All],[Yellow]:[Red]],7,FALSE)</f>
        <v>8.6184265313807754E-2</v>
      </c>
      <c r="Q75" s="31"/>
      <c r="R75" s="227" t="s">
        <v>78</v>
      </c>
      <c r="S75" s="228"/>
      <c r="T75" s="228"/>
      <c r="U75" s="31"/>
      <c r="V75" s="31"/>
      <c r="W75" s="31"/>
      <c r="X75" s="31"/>
      <c r="Y75" s="31"/>
      <c r="Z75" s="31"/>
      <c r="AA75" s="31"/>
      <c r="AB75" s="227" t="s">
        <v>78</v>
      </c>
      <c r="AC75" s="228"/>
      <c r="AD75" s="228"/>
    </row>
    <row r="76" spans="1:30" ht="22.5" customHeight="1">
      <c r="A76" s="82">
        <v>79</v>
      </c>
      <c r="B76" s="60" t="str">
        <f>VLOOKUP(C76,Lists!I:J,2,FALSE)</f>
        <v>Healer</v>
      </c>
      <c r="C76" s="34" t="str">
        <f>VLOOKUP(E76,Lists!D:E,2,FALSE)</f>
        <v>Wand/Longbow</v>
      </c>
      <c r="D76" s="13" t="s">
        <v>36</v>
      </c>
      <c r="E76" s="83" t="s">
        <v>279</v>
      </c>
      <c r="F76" s="13" t="s">
        <v>483</v>
      </c>
      <c r="G76" s="82">
        <v>0</v>
      </c>
      <c r="H76" s="82">
        <v>17</v>
      </c>
      <c r="I76" s="84">
        <f t="shared" si="0"/>
        <v>17</v>
      </c>
      <c r="J76" s="85">
        <v>1576</v>
      </c>
      <c r="K76" s="85">
        <v>324255</v>
      </c>
      <c r="L76" s="85">
        <v>491381</v>
      </c>
      <c r="M76" s="38">
        <f>I76/(HLOOKUP(F76,Team_Composition_23[[#All],[Yellow]:[Red]],10,FALSE)+HLOOKUP(F76,Team_Composition_23[[#All],[Yellow]:[Red]],11,FALSE))</f>
        <v>2.0706455542021926E-2</v>
      </c>
      <c r="N76" s="38">
        <f>J76/HLOOKUP(F76,Team_Composition_23[[#All],[Yellow]:[Red]],6,FALSE)</f>
        <v>8.9315036974215107E-5</v>
      </c>
      <c r="O76" s="38">
        <f>K76/HLOOKUP(F76,Team_Composition_23[[#All],[Yellow]:[Red]],8,FALSE)</f>
        <v>7.3667633755754563E-3</v>
      </c>
      <c r="P76" s="38">
        <f>L76/HLOOKUP(F76,Team_Composition_23[[#All],[Yellow]:[Red]],7,FALSE)</f>
        <v>2.0247763254690489E-2</v>
      </c>
      <c r="Q76" s="31"/>
      <c r="R76" s="27" t="s">
        <v>482</v>
      </c>
      <c r="S76" s="72" t="s">
        <v>476</v>
      </c>
      <c r="T76" s="72" t="s">
        <v>483</v>
      </c>
      <c r="U76" s="31"/>
      <c r="V76" s="31"/>
      <c r="W76" s="31"/>
      <c r="X76" s="31"/>
      <c r="Y76" s="31"/>
      <c r="Z76" s="31"/>
      <c r="AA76" s="31"/>
      <c r="AB76" s="27" t="s">
        <v>482</v>
      </c>
      <c r="AC76" s="72" t="s">
        <v>485</v>
      </c>
      <c r="AD76" s="72" t="s">
        <v>36</v>
      </c>
    </row>
    <row r="77" spans="1:30" ht="22.5" customHeight="1">
      <c r="A77" s="82">
        <v>80</v>
      </c>
      <c r="B77" s="56" t="str">
        <f>VLOOKUP(C77,Lists!I:J,2,FALSE)</f>
        <v>Tank</v>
      </c>
      <c r="C77" s="53" t="str">
        <f>VLOOKUP(E77,Lists!D:E,2,FALSE)</f>
        <v>SnS/Greatsword</v>
      </c>
      <c r="D77" s="13" t="s">
        <v>34</v>
      </c>
      <c r="E77" s="83" t="s">
        <v>155</v>
      </c>
      <c r="F77" s="13" t="s">
        <v>483</v>
      </c>
      <c r="G77" s="82">
        <v>0</v>
      </c>
      <c r="H77" s="82">
        <v>14</v>
      </c>
      <c r="I77" s="84">
        <f t="shared" si="0"/>
        <v>14</v>
      </c>
      <c r="J77" s="85">
        <v>82181</v>
      </c>
      <c r="K77" s="85">
        <v>546986</v>
      </c>
      <c r="L77" s="85">
        <v>16513</v>
      </c>
      <c r="M77" s="38">
        <f>I77/(HLOOKUP(F77,Team_Composition_23[[#All],[Yellow]:[Red]],10,FALSE)+HLOOKUP(F77,Team_Composition_23[[#All],[Yellow]:[Red]],11,FALSE))</f>
        <v>1.705237515225335E-2</v>
      </c>
      <c r="N77" s="38">
        <f>J77/HLOOKUP(F77,Team_Composition_23[[#All],[Yellow]:[Red]],6,FALSE)</f>
        <v>4.6573598055697782E-3</v>
      </c>
      <c r="O77" s="38">
        <f>K77/HLOOKUP(F77,Team_Composition_23[[#All],[Yellow]:[Red]],8,FALSE)</f>
        <v>1.2426998602188143E-2</v>
      </c>
      <c r="P77" s="38">
        <f>L77/HLOOKUP(F77,Team_Composition_23[[#All],[Yellow]:[Red]],7,FALSE)</f>
        <v>6.804319145931651E-4</v>
      </c>
      <c r="Q77" s="31"/>
      <c r="R77" s="74" t="s">
        <v>468</v>
      </c>
      <c r="S77" s="75">
        <f>SUMIFS('BR m Unhinged Adentus 1272026'!$J$2:$J$163,'BR m Unhinged Adentus 1272026'!$B$2:$B$163,"KS",'BR m Unhinged Adentus 1272026'!$F$2:$F$163,"Yellow")</f>
        <v>6058186</v>
      </c>
      <c r="T77" s="76">
        <f>SUMIFS('BR m Unhinged Adentus 1272026'!$J$2:$J$163,'BR m Unhinged Adentus 1272026'!$B$2:$B$163,"KS",'BR m Unhinged Adentus 1272026'!$F$2:$F$163,"Red")</f>
        <v>4963060</v>
      </c>
      <c r="U77" s="31"/>
      <c r="V77" s="31"/>
      <c r="W77" s="31"/>
      <c r="X77" s="31"/>
      <c r="Y77" s="31"/>
      <c r="Z77" s="31"/>
      <c r="AA77" s="31"/>
      <c r="AB77" s="74" t="s">
        <v>468</v>
      </c>
      <c r="AC77" s="75">
        <f>SUMIFS('BR m Unhinged Adentus 1272026'!$J$2:$J$163,'BR m Unhinged Adentus 1272026'!$B$2:$B$163,"KS",'BR m Unhinged Adentus 1272026'!$D$2:$D$163,"Best Regards")</f>
        <v>7166965</v>
      </c>
      <c r="AD77" s="76">
        <f>SUMIFS('BR m Unhinged Adentus 1272026'!$J$2:$J$163,'BR m Unhinged Adentus 1272026'!$B$2:$B$163,"KS",'BR m Unhinged Adentus 1272026'!$D$2:$D$163,"Unhinged肉")</f>
        <v>3854281</v>
      </c>
    </row>
    <row r="78" spans="1:30" ht="22.5" customHeight="1">
      <c r="A78" s="82">
        <v>81</v>
      </c>
      <c r="B78" s="60" t="str">
        <f>VLOOKUP(C78,Lists!I:J,2,FALSE)</f>
        <v>Healer</v>
      </c>
      <c r="C78" s="34" t="str">
        <f>VLOOKUP(E78,Lists!D:E,2,FALSE)</f>
        <v>Wand/Orb</v>
      </c>
      <c r="D78" s="13" t="s">
        <v>34</v>
      </c>
      <c r="E78" s="83" t="s">
        <v>74</v>
      </c>
      <c r="F78" s="13" t="s">
        <v>483</v>
      </c>
      <c r="G78" s="82">
        <v>0</v>
      </c>
      <c r="H78" s="82">
        <v>14</v>
      </c>
      <c r="I78" s="84">
        <f t="shared" si="0"/>
        <v>14</v>
      </c>
      <c r="J78" s="85">
        <v>11526</v>
      </c>
      <c r="K78" s="85">
        <v>340866</v>
      </c>
      <c r="L78" s="85">
        <v>466454</v>
      </c>
      <c r="M78" s="38">
        <f>I78/(HLOOKUP(F78,Team_Composition_23[[#All],[Yellow]:[Red]],10,FALSE)+HLOOKUP(F78,Team_Composition_23[[#All],[Yellow]:[Red]],11,FALSE))</f>
        <v>1.705237515225335E-2</v>
      </c>
      <c r="N78" s="38">
        <f>J78/HLOOKUP(F78,Team_Composition_23[[#All],[Yellow]:[Red]],6,FALSE)</f>
        <v>6.5320121584061118E-4</v>
      </c>
      <c r="O78" s="38">
        <f>K78/HLOOKUP(F78,Team_Composition_23[[#All],[Yellow]:[Red]],8,FALSE)</f>
        <v>7.7441494033365825E-3</v>
      </c>
      <c r="P78" s="38">
        <f>L78/HLOOKUP(F78,Team_Composition_23[[#All],[Yellow]:[Red]],7,FALSE)</f>
        <v>1.922062546415795E-2</v>
      </c>
      <c r="Q78" s="31"/>
      <c r="R78" s="78" t="s">
        <v>469</v>
      </c>
      <c r="S78" s="75">
        <f>SUMIFS('BR m Unhinged Adentus 1272026'!$K$2:$K$163,'BR m Unhinged Adentus 1272026'!$B$2:$B$163,"KS",'BR m Unhinged Adentus 1272026'!$F$2:$F$163,"Yellow")</f>
        <v>3727100</v>
      </c>
      <c r="T78" s="76">
        <f>SUMIFS('BR m Unhinged Adentus 1272026'!$K$2:$K$163,'BR m Unhinged Adentus 1272026'!$B$2:$B$163,"KS",'BR m Unhinged Adentus 1272026'!$F$2:$F$163,"Red")</f>
        <v>2287484</v>
      </c>
      <c r="U78" s="31"/>
      <c r="V78" s="31"/>
      <c r="W78" s="31"/>
      <c r="X78" s="31"/>
      <c r="Y78" s="31"/>
      <c r="Z78" s="31"/>
      <c r="AA78" s="31"/>
      <c r="AB78" s="78" t="s">
        <v>469</v>
      </c>
      <c r="AC78" s="75">
        <f>SUMIFS('BR m Unhinged Adentus 1272026'!$K$2:$K$163,'BR m Unhinged Adentus 1272026'!$B$2:$B$163,"KS",'BR m Unhinged Adentus 1272026'!$D$2:$D$163,"Best Regards")</f>
        <v>2582031</v>
      </c>
      <c r="AD78" s="76">
        <f>SUMIFS('BR m Unhinged Adentus 1272026'!$K$2:$K$163,'BR m Unhinged Adentus 1272026'!$B$2:$B$163,"KS",'BR m Unhinged Adentus 1272026'!$D$2:$D$163,"Unhinged肉")</f>
        <v>3432553</v>
      </c>
    </row>
    <row r="79" spans="1:30" ht="22.5" customHeight="1">
      <c r="A79" s="82">
        <v>82</v>
      </c>
      <c r="B79" s="56" t="str">
        <f>VLOOKUP(C79,Lists!I:J,2,FALSE)</f>
        <v>Tank</v>
      </c>
      <c r="C79" s="53" t="str">
        <f>VLOOKUP(E79,Lists!D:E,2,FALSE)</f>
        <v>SnS/Greatsword</v>
      </c>
      <c r="D79" s="13" t="s">
        <v>34</v>
      </c>
      <c r="E79" s="83" t="s">
        <v>57</v>
      </c>
      <c r="F79" s="13" t="s">
        <v>476</v>
      </c>
      <c r="G79" s="82">
        <v>0</v>
      </c>
      <c r="H79" s="82">
        <v>13</v>
      </c>
      <c r="I79" s="84">
        <f t="shared" si="0"/>
        <v>13</v>
      </c>
      <c r="J79" s="85">
        <v>37131</v>
      </c>
      <c r="K79" s="85">
        <v>286864</v>
      </c>
      <c r="L79" s="85">
        <v>8316</v>
      </c>
      <c r="M79" s="38">
        <f>I79/(HLOOKUP(F79,Team_Composition_23[[#All],[Yellow]:[Red]],10,FALSE)+HLOOKUP(F79,Team_Composition_23[[#All],[Yellow]:[Red]],11,FALSE))</f>
        <v>3.2491877030742314E-3</v>
      </c>
      <c r="N79" s="38">
        <f>J79/HLOOKUP(F79,Team_Composition_23[[#All],[Yellow]:[Red]],6,FALSE)</f>
        <v>8.3697011813132984E-4</v>
      </c>
      <c r="O79" s="38">
        <f>K79/HLOOKUP(F79,Team_Composition_23[[#All],[Yellow]:[Red]],8,FALSE)</f>
        <v>1.6374672115833749E-2</v>
      </c>
      <c r="P79" s="38">
        <f>L79/HLOOKUP(F79,Team_Composition_23[[#All],[Yellow]:[Red]],7,FALSE)</f>
        <v>6.4242141268746754E-4</v>
      </c>
      <c r="Q79" s="31"/>
      <c r="R79" s="74" t="s">
        <v>470</v>
      </c>
      <c r="S79" s="75">
        <f>SUMIFS('BR m Unhinged Adentus 1272026'!$L$2:$L$163,'BR m Unhinged Adentus 1272026'!$B$2:$B$163,"KS",'BR m Unhinged Adentus 1272026'!$F$2:$F$163,"Yellow")</f>
        <v>107522</v>
      </c>
      <c r="T79" s="76">
        <f>SUMIFS('BR m Unhinged Adentus 1272026'!$L$2:$L$163,'BR m Unhinged Adentus 1272026'!$B$2:$B$163,"KS",'BR m Unhinged Adentus 1272026'!$F$2:$F$163,"Red")</f>
        <v>162411</v>
      </c>
      <c r="U79" s="31"/>
      <c r="V79" s="31"/>
      <c r="W79" s="31"/>
      <c r="X79" s="31"/>
      <c r="Y79" s="31"/>
      <c r="Z79" s="31"/>
      <c r="AA79" s="31"/>
      <c r="AB79" s="74" t="s">
        <v>470</v>
      </c>
      <c r="AC79" s="75">
        <f>SUMIFS('BR m Unhinged Adentus 1272026'!$L$2:$L$163,'BR m Unhinged Adentus 1272026'!$B$2:$B$163,"KS",'BR m Unhinged Adentus 1272026'!$D$2:$D$163,"Best Regards")</f>
        <v>99669</v>
      </c>
      <c r="AD79" s="76">
        <f>SUMIFS('BR m Unhinged Adentus 1272026'!$L$2:$L$163,'BR m Unhinged Adentus 1272026'!$B$2:$B$163,"KS",'BR m Unhinged Adentus 1272026'!$D$2:$D$163,"Unhinged肉")</f>
        <v>170264</v>
      </c>
    </row>
    <row r="80" spans="1:30" ht="22.5" customHeight="1">
      <c r="A80" s="82">
        <v>83</v>
      </c>
      <c r="B80" s="60" t="str">
        <f>VLOOKUP(C80,Lists!I:J,2,FALSE)</f>
        <v>Healer</v>
      </c>
      <c r="C80" s="34" t="str">
        <f>VLOOKUP(E80,Lists!D:E,2,FALSE)</f>
        <v>Wand/Orb</v>
      </c>
      <c r="D80" s="13" t="s">
        <v>34</v>
      </c>
      <c r="E80" s="83" t="s">
        <v>144</v>
      </c>
      <c r="F80" s="13" t="s">
        <v>476</v>
      </c>
      <c r="G80" s="82">
        <v>0</v>
      </c>
      <c r="H80" s="82">
        <v>13</v>
      </c>
      <c r="I80" s="84">
        <f t="shared" si="0"/>
        <v>13</v>
      </c>
      <c r="J80" s="85">
        <v>3117</v>
      </c>
      <c r="K80" s="85">
        <v>140705</v>
      </c>
      <c r="L80" s="85">
        <v>164343</v>
      </c>
      <c r="M80" s="38">
        <f>I80/(HLOOKUP(F80,Team_Composition_23[[#All],[Yellow]:[Red]],10,FALSE)+HLOOKUP(F80,Team_Composition_23[[#All],[Yellow]:[Red]],11,FALSE))</f>
        <v>3.2491877030742314E-3</v>
      </c>
      <c r="N80" s="38">
        <f>J80/HLOOKUP(F80,Team_Composition_23[[#All],[Yellow]:[Red]],6,FALSE)</f>
        <v>7.0260317745693765E-5</v>
      </c>
      <c r="O80" s="38">
        <f>K80/HLOOKUP(F80,Team_Composition_23[[#All],[Yellow]:[Red]],8,FALSE)</f>
        <v>8.0316743824892199E-3</v>
      </c>
      <c r="P80" s="38">
        <f>L80/HLOOKUP(F80,Team_Composition_23[[#All],[Yellow]:[Red]],7,FALSE)</f>
        <v>1.269570252829443E-2</v>
      </c>
      <c r="Q80" s="31"/>
      <c r="R80" s="78" t="s">
        <v>465</v>
      </c>
      <c r="S80" s="75">
        <f>SUMIFS('BR m Unhinged Adentus 1272026'!$G$2:$G$163,'BR m Unhinged Adentus 1272026'!$B$2:$B$163,"KS",'BR m Unhinged Adentus 1272026'!$F$2:$F$163,"Yellow")</f>
        <v>148</v>
      </c>
      <c r="T80" s="76">
        <f>SUMIFS('BR m Unhinged Adentus 1272026'!$G$2:$G$163,'BR m Unhinged Adentus 1272026'!$B$2:$B$163,"KS",'BR m Unhinged Adentus 1272026'!$F$2:$F$163,"Red")</f>
        <v>113</v>
      </c>
      <c r="U80" s="31"/>
      <c r="V80" s="31"/>
      <c r="W80" s="31"/>
      <c r="X80" s="31"/>
      <c r="Y80" s="31"/>
      <c r="Z80" s="31"/>
      <c r="AA80" s="31"/>
      <c r="AB80" s="78" t="s">
        <v>465</v>
      </c>
      <c r="AC80" s="75">
        <f>SUMIFS('BR m Unhinged Adentus 1272026'!$G$2:$G$163,'BR m Unhinged Adentus 1272026'!$B$2:$B$163,"KS",'BR m Unhinged Adentus 1272026'!$D$2:$D$163,"Best Regards")</f>
        <v>166</v>
      </c>
      <c r="AD80" s="76">
        <f>SUMIFS('BR m Unhinged Adentus 1272026'!$G$2:$G$163,'BR m Unhinged Adentus 1272026'!$B$2:$B$163,"KS",'BR m Unhinged Adentus 1272026'!$D$2:$D$163,"Unhinged肉")</f>
        <v>95</v>
      </c>
    </row>
    <row r="81" spans="1:30" ht="22.5" customHeight="1">
      <c r="A81" s="82">
        <v>36</v>
      </c>
      <c r="B81" s="54" t="str">
        <f>VLOOKUP(C81,Lists!I:J,2,FALSE)</f>
        <v>Ranged DPS</v>
      </c>
      <c r="C81" s="53" t="str">
        <f>VLOOKUP(E81,Lists!D:E,2,FALSE)</f>
        <v>Crossbow/SnS</v>
      </c>
      <c r="D81" s="13" t="s">
        <v>34</v>
      </c>
      <c r="E81" s="83" t="s">
        <v>167</v>
      </c>
      <c r="F81" s="13" t="s">
        <v>483</v>
      </c>
      <c r="G81" s="82">
        <v>3</v>
      </c>
      <c r="H81" s="82">
        <v>9</v>
      </c>
      <c r="I81" s="84">
        <f t="shared" si="0"/>
        <v>12</v>
      </c>
      <c r="J81" s="85">
        <v>433317</v>
      </c>
      <c r="K81" s="85">
        <v>391805</v>
      </c>
      <c r="L81" s="85">
        <v>6274</v>
      </c>
      <c r="M81" s="38">
        <f>I81/(HLOOKUP(F81,Team_Composition_23[[#All],[Yellow]:[Red]],10,FALSE)+HLOOKUP(F81,Team_Composition_23[[#All],[Yellow]:[Red]],11,FALSE))</f>
        <v>1.4616321559074299E-2</v>
      </c>
      <c r="N81" s="38">
        <f>J81/HLOOKUP(F81,Team_Composition_23[[#All],[Yellow]:[Red]],6,FALSE)</f>
        <v>2.4556931393753784E-2</v>
      </c>
      <c r="O81" s="38">
        <f>K81/HLOOKUP(F81,Team_Composition_23[[#All],[Yellow]:[Red]],8,FALSE)</f>
        <v>8.9014347484767907E-3</v>
      </c>
      <c r="P81" s="38">
        <f>L81/HLOOKUP(F81,Team_Composition_23[[#All],[Yellow]:[Red]],7,FALSE)</f>
        <v>2.5852539406270928E-4</v>
      </c>
      <c r="Q81" s="31"/>
      <c r="R81" s="79" t="s">
        <v>466</v>
      </c>
      <c r="S81" s="80">
        <f>SUMIFS('BR m Unhinged Adentus 1272026'!$H$2:$H$163,'BR m Unhinged Adentus 1272026'!$B$2:$B$163,"KS",'BR m Unhinged Adentus 1272026'!$F$2:$F$163,"Yellow")</f>
        <v>151</v>
      </c>
      <c r="T81" s="81">
        <f>SUMIFS('BR m Unhinged Adentus 1272026'!$H$2:$H$163,'BR m Unhinged Adentus 1272026'!$B$2:$B$163,"KS",'BR m Unhinged Adentus 1272026'!$F$2:$F$163,"Red")</f>
        <v>148</v>
      </c>
      <c r="U81" s="31"/>
      <c r="V81" s="31"/>
      <c r="W81" s="31"/>
      <c r="X81" s="31"/>
      <c r="Y81" s="31"/>
      <c r="Z81" s="31"/>
      <c r="AA81" s="31"/>
      <c r="AB81" s="79" t="s">
        <v>466</v>
      </c>
      <c r="AC81" s="80">
        <f>SUMIFS('BR m Unhinged Adentus 1272026'!$H$2:$H$163,'BR m Unhinged Adentus 1272026'!$B$2:$B$163,"KS",'BR m Unhinged Adentus 1272026'!$D$2:$D$163,"Best Regards")</f>
        <v>201</v>
      </c>
      <c r="AD81" s="81">
        <f>SUMIFS('BR m Unhinged Adentus 1272026'!$H$2:$H$163,'BR m Unhinged Adentus 1272026'!$B$2:$B$163,"KS",'BR m Unhinged Adentus 1272026'!$D$2:$D$163,"Unhinged肉")</f>
        <v>98</v>
      </c>
    </row>
    <row r="82" spans="1:30" ht="22.5" customHeight="1">
      <c r="A82" s="82">
        <v>48</v>
      </c>
      <c r="B82" s="57" t="str">
        <f>VLOOKUP(C82,Lists!I:J,2,FALSE)</f>
        <v>Tank</v>
      </c>
      <c r="C82" s="66" t="str">
        <f>VLOOKUP(E82,Lists!D:E,2,FALSE)</f>
        <v>SnS/Greatsword</v>
      </c>
      <c r="D82" s="13" t="s">
        <v>34</v>
      </c>
      <c r="E82" s="83" t="s">
        <v>123</v>
      </c>
      <c r="F82" s="13" t="s">
        <v>483</v>
      </c>
      <c r="G82" s="82">
        <v>1</v>
      </c>
      <c r="H82" s="82">
        <v>11</v>
      </c>
      <c r="I82" s="84">
        <f t="shared" si="0"/>
        <v>12</v>
      </c>
      <c r="J82" s="85">
        <v>80896</v>
      </c>
      <c r="K82" s="85">
        <v>986425</v>
      </c>
      <c r="L82" s="85">
        <v>55280</v>
      </c>
      <c r="M82" s="38">
        <f>I82/(HLOOKUP(F82,Team_Composition_23[[#All],[Yellow]:[Red]],10,FALSE)+HLOOKUP(F82,Team_Composition_23[[#All],[Yellow]:[Red]],11,FALSE))</f>
        <v>1.4616321559074299E-2</v>
      </c>
      <c r="N82" s="38">
        <f>J82/HLOOKUP(F82,Team_Composition_23[[#All],[Yellow]:[Red]],6,FALSE)</f>
        <v>4.5845363141282392E-3</v>
      </c>
      <c r="O82" s="38">
        <f>K82/HLOOKUP(F82,Team_Composition_23[[#All],[Yellow]:[Red]],8,FALSE)</f>
        <v>2.2410632257797165E-2</v>
      </c>
      <c r="P82" s="38">
        <f>L82/HLOOKUP(F82,Team_Composition_23[[#All],[Yellow]:[Red]],7,FALSE)</f>
        <v>2.2778584290383437E-3</v>
      </c>
      <c r="Q82" s="31"/>
      <c r="R82" s="78" t="s">
        <v>54</v>
      </c>
      <c r="S82" s="75">
        <f t="shared" ref="S82:S84" si="18">COUNTIFS(C:C,R82,F:F,"Yellow")</f>
        <v>3</v>
      </c>
      <c r="T82" s="76">
        <f t="shared" ref="T82:T84" si="19">COUNTIFS(C:C,R82,F:F,"Red")</f>
        <v>2</v>
      </c>
      <c r="U82" s="31"/>
      <c r="V82" s="31"/>
      <c r="W82" s="31"/>
      <c r="X82" s="31"/>
      <c r="Y82" s="31"/>
      <c r="Z82" s="31"/>
      <c r="AA82" s="31"/>
      <c r="AB82" s="78" t="s">
        <v>54</v>
      </c>
      <c r="AC82" s="75">
        <f t="shared" ref="AC82:AC84" si="20">COUNTIFS(M:M,AB82,P:P,"Yellow")</f>
        <v>0</v>
      </c>
      <c r="AD82" s="76">
        <f t="shared" ref="AD82:AD84" si="21">COUNTIFS(M:M,AB82,P:P,"Red")</f>
        <v>0</v>
      </c>
    </row>
    <row r="83" spans="1:30" ht="22.5" customHeight="1">
      <c r="A83" s="82">
        <v>84</v>
      </c>
      <c r="B83" s="54" t="str">
        <f>VLOOKUP(C83,Lists!I:J,2,FALSE)</f>
        <v>Ranged DPS</v>
      </c>
      <c r="C83" s="53" t="str">
        <f>VLOOKUP(E83,Lists!D:E,2,FALSE)</f>
        <v>Crossbow/SnS</v>
      </c>
      <c r="D83" s="13" t="s">
        <v>34</v>
      </c>
      <c r="E83" s="83" t="s">
        <v>83</v>
      </c>
      <c r="F83" s="13" t="s">
        <v>476</v>
      </c>
      <c r="G83" s="82">
        <v>0</v>
      </c>
      <c r="H83" s="82">
        <v>12</v>
      </c>
      <c r="I83" s="84">
        <f t="shared" si="0"/>
        <v>12</v>
      </c>
      <c r="J83" s="85">
        <v>81538</v>
      </c>
      <c r="K83" s="85">
        <v>263820</v>
      </c>
      <c r="L83" s="85">
        <v>213744</v>
      </c>
      <c r="M83" s="38">
        <f>I83/(HLOOKUP(F83,Team_Composition_23[[#All],[Yellow]:[Red]],10,FALSE)+HLOOKUP(F83,Team_Composition_23[[#All],[Yellow]:[Red]],11,FALSE))</f>
        <v>2.9992501874531365E-3</v>
      </c>
      <c r="N83" s="38">
        <f>J83/HLOOKUP(F83,Team_Composition_23[[#All],[Yellow]:[Red]],6,FALSE)</f>
        <v>1.8379486006892454E-3</v>
      </c>
      <c r="O83" s="38">
        <f>K83/HLOOKUP(F83,Team_Composition_23[[#All],[Yellow]:[Red]],8,FALSE)</f>
        <v>1.5059282439062622E-2</v>
      </c>
      <c r="P83" s="38">
        <f>L83/HLOOKUP(F83,Team_Composition_23[[#All],[Yellow]:[Red]],7,FALSE)</f>
        <v>1.6511991634616408E-2</v>
      </c>
      <c r="Q83" s="31"/>
      <c r="R83" s="74" t="s">
        <v>69</v>
      </c>
      <c r="S83" s="75">
        <f t="shared" si="18"/>
        <v>2</v>
      </c>
      <c r="T83" s="76">
        <f t="shared" si="19"/>
        <v>2</v>
      </c>
      <c r="U83" s="31"/>
      <c r="V83" s="31"/>
      <c r="W83" s="31"/>
      <c r="X83" s="31"/>
      <c r="Y83" s="31"/>
      <c r="Z83" s="31"/>
      <c r="AA83" s="31"/>
      <c r="AB83" s="74" t="s">
        <v>69</v>
      </c>
      <c r="AC83" s="75">
        <f t="shared" si="20"/>
        <v>0</v>
      </c>
      <c r="AD83" s="76">
        <f t="shared" si="21"/>
        <v>0</v>
      </c>
    </row>
    <row r="84" spans="1:30" ht="22.5" customHeight="1">
      <c r="A84" s="82">
        <v>85</v>
      </c>
      <c r="B84" s="33" t="str">
        <f>VLOOKUP(C84,Lists!I:J,2,FALSE)</f>
        <v>Tank</v>
      </c>
      <c r="C84" s="34" t="str">
        <f>VLOOKUP(E84,Lists!D:E,2,FALSE)</f>
        <v>SnS/Spear</v>
      </c>
      <c r="D84" s="13" t="s">
        <v>36</v>
      </c>
      <c r="E84" s="83" t="s">
        <v>263</v>
      </c>
      <c r="F84" s="13" t="s">
        <v>476</v>
      </c>
      <c r="G84" s="82">
        <v>0</v>
      </c>
      <c r="H84" s="82">
        <v>11</v>
      </c>
      <c r="I84" s="84">
        <f t="shared" si="0"/>
        <v>11</v>
      </c>
      <c r="J84" s="85">
        <v>166744</v>
      </c>
      <c r="K84" s="85">
        <v>575258</v>
      </c>
      <c r="L84" s="85">
        <v>19244</v>
      </c>
      <c r="M84" s="38">
        <f>I84/(HLOOKUP(F84,Team_Composition_23[[#All],[Yellow]:[Red]],10,FALSE)+HLOOKUP(F84,Team_Composition_23[[#All],[Yellow]:[Red]],11,FALSE))</f>
        <v>2.7493126718320421E-3</v>
      </c>
      <c r="N84" s="38">
        <f>J84/HLOOKUP(F84,Team_Composition_23[[#All],[Yellow]:[Red]],6,FALSE)</f>
        <v>3.7585776137914534E-3</v>
      </c>
      <c r="O84" s="38">
        <f>K84/HLOOKUP(F84,Team_Composition_23[[#All],[Yellow]:[Red]],8,FALSE)</f>
        <v>3.2836679165075752E-2</v>
      </c>
      <c r="P84" s="38">
        <f>L84/HLOOKUP(F84,Team_Composition_23[[#All],[Yellow]:[Red]],7,FALSE)</f>
        <v>1.4866230959304503E-3</v>
      </c>
      <c r="Q84" s="31"/>
      <c r="R84" s="78" t="s">
        <v>81</v>
      </c>
      <c r="S84" s="75">
        <f t="shared" si="18"/>
        <v>0</v>
      </c>
      <c r="T84" s="76">
        <f t="shared" si="19"/>
        <v>0</v>
      </c>
      <c r="U84" s="31"/>
      <c r="V84" s="31"/>
      <c r="W84" s="31"/>
      <c r="X84" s="31"/>
      <c r="Y84" s="31"/>
      <c r="Z84" s="31"/>
      <c r="AA84" s="31"/>
      <c r="AB84" s="78" t="s">
        <v>81</v>
      </c>
      <c r="AC84" s="75">
        <f t="shared" si="20"/>
        <v>0</v>
      </c>
      <c r="AD84" s="76">
        <f t="shared" si="21"/>
        <v>0</v>
      </c>
    </row>
    <row r="85" spans="1:30" ht="22.5" customHeight="1">
      <c r="A85" s="82">
        <v>86</v>
      </c>
      <c r="B85" s="56" t="str">
        <f>VLOOKUP(C85,Lists!I:J,2,FALSE)</f>
        <v>Tank</v>
      </c>
      <c r="C85" s="53" t="str">
        <f>VLOOKUP(E85,Lists!D:E,2,FALSE)</f>
        <v>SnS/Greatsword</v>
      </c>
      <c r="D85" s="13" t="s">
        <v>36</v>
      </c>
      <c r="E85" s="83" t="s">
        <v>282</v>
      </c>
      <c r="F85" s="13" t="s">
        <v>483</v>
      </c>
      <c r="G85" s="82">
        <v>0</v>
      </c>
      <c r="H85" s="82">
        <v>10</v>
      </c>
      <c r="I85" s="84">
        <f t="shared" si="0"/>
        <v>10</v>
      </c>
      <c r="J85" s="85">
        <v>28234</v>
      </c>
      <c r="K85" s="85">
        <v>738903</v>
      </c>
      <c r="L85" s="85">
        <v>48553</v>
      </c>
      <c r="M85" s="38">
        <f>I85/(HLOOKUP(F85,Team_Composition_23[[#All],[Yellow]:[Red]],10,FALSE)+HLOOKUP(F85,Team_Composition_23[[#All],[Yellow]:[Red]],11,FALSE))</f>
        <v>1.2180267965895249E-2</v>
      </c>
      <c r="N85" s="38">
        <f>J85/HLOOKUP(F85,Team_Composition_23[[#All],[Yellow]:[Red]],6,FALSE)</f>
        <v>1.6000766205139525E-3</v>
      </c>
      <c r="O85" s="38">
        <f>K85/HLOOKUP(F85,Team_Composition_23[[#All],[Yellow]:[Red]],8,FALSE)</f>
        <v>1.6787169229473195E-2</v>
      </c>
      <c r="P85" s="38">
        <f>L85/HLOOKUP(F85,Team_Composition_23[[#All],[Yellow]:[Red]],7,FALSE)</f>
        <v>2.0006667927839851E-3</v>
      </c>
      <c r="Q85" s="31"/>
      <c r="R85" s="31"/>
      <c r="S85" s="31"/>
      <c r="T85" s="31"/>
      <c r="U85" s="31"/>
      <c r="V85" s="31"/>
      <c r="W85" s="31"/>
      <c r="X85" s="31"/>
      <c r="Y85" s="31"/>
      <c r="Z85" s="31"/>
      <c r="AA85" s="31"/>
      <c r="AB85" s="31"/>
      <c r="AC85" s="31"/>
      <c r="AD85" s="31"/>
    </row>
    <row r="86" spans="1:30" ht="22.5" customHeight="1">
      <c r="A86" s="82">
        <v>87</v>
      </c>
      <c r="B86" s="33" t="str">
        <f>VLOOKUP(C86,Lists!I:J,2,FALSE)</f>
        <v>Tank</v>
      </c>
      <c r="C86" s="34" t="s">
        <v>14</v>
      </c>
      <c r="D86" s="13" t="s">
        <v>34</v>
      </c>
      <c r="E86" s="83" t="s">
        <v>118</v>
      </c>
      <c r="F86" s="13" t="s">
        <v>476</v>
      </c>
      <c r="G86" s="82">
        <v>0</v>
      </c>
      <c r="H86" s="82">
        <v>9</v>
      </c>
      <c r="I86" s="84">
        <f t="shared" si="0"/>
        <v>9</v>
      </c>
      <c r="J86" s="85">
        <v>123621</v>
      </c>
      <c r="K86" s="85">
        <v>677802</v>
      </c>
      <c r="L86" s="85">
        <v>21780</v>
      </c>
      <c r="M86" s="38">
        <f>I86/(HLOOKUP(F86,Team_Composition_23[[#All],[Yellow]:[Red]],10,FALSE)+HLOOKUP(F86,Team_Composition_23[[#All],[Yellow]:[Red]],11,FALSE))</f>
        <v>2.2494376405898524E-3</v>
      </c>
      <c r="N86" s="38">
        <f>J86/HLOOKUP(F86,Team_Composition_23[[#All],[Yellow]:[Red]],6,FALSE)</f>
        <v>2.786541783779406E-3</v>
      </c>
      <c r="O86" s="38">
        <f>K86/HLOOKUP(F86,Team_Composition_23[[#All],[Yellow]:[Red]],8,FALSE)</f>
        <v>3.8690060479726791E-2</v>
      </c>
      <c r="P86" s="38">
        <f>L86/HLOOKUP(F86,Team_Composition_23[[#All],[Yellow]:[Red]],7,FALSE)</f>
        <v>1.6825322713243198E-3</v>
      </c>
      <c r="Q86" s="31"/>
      <c r="R86" s="31"/>
      <c r="S86" s="31"/>
      <c r="T86" s="31"/>
      <c r="U86" s="31"/>
      <c r="V86" s="31"/>
      <c r="W86" s="31"/>
      <c r="X86" s="31"/>
      <c r="Y86" s="31"/>
      <c r="Z86" s="31"/>
      <c r="AA86" s="31"/>
      <c r="AB86" s="31"/>
      <c r="AC86" s="31"/>
      <c r="AD86" s="31"/>
    </row>
    <row r="87" spans="1:30" ht="22.5" customHeight="1">
      <c r="A87" s="82">
        <v>88</v>
      </c>
      <c r="B87" s="56" t="str">
        <f>VLOOKUP(C87,Lists!I:J,2,FALSE)</f>
        <v>Tank</v>
      </c>
      <c r="C87" s="53" t="str">
        <f>VLOOKUP(E87,Lists!D:E,2,FALSE)</f>
        <v>SnS/Greatsword</v>
      </c>
      <c r="D87" s="13" t="s">
        <v>34</v>
      </c>
      <c r="E87" s="83" t="s">
        <v>109</v>
      </c>
      <c r="F87" s="13" t="s">
        <v>483</v>
      </c>
      <c r="G87" s="82">
        <v>0</v>
      </c>
      <c r="H87" s="82">
        <v>9</v>
      </c>
      <c r="I87" s="84">
        <f t="shared" si="0"/>
        <v>9</v>
      </c>
      <c r="J87" s="85">
        <v>38746</v>
      </c>
      <c r="K87" s="85">
        <v>1069301</v>
      </c>
      <c r="L87" s="85">
        <v>52343</v>
      </c>
      <c r="M87" s="38">
        <f>I87/(HLOOKUP(F87,Team_Composition_23[[#All],[Yellow]:[Red]],10,FALSE)+HLOOKUP(F87,Team_Composition_23[[#All],[Yellow]:[Red]],11,FALSE))</f>
        <v>1.0962241169305725E-2</v>
      </c>
      <c r="N87" s="38">
        <f>J87/HLOOKUP(F87,Team_Composition_23[[#All],[Yellow]:[Red]],6,FALSE)</f>
        <v>2.1958124508901894E-3</v>
      </c>
      <c r="O87" s="38">
        <f>K87/HLOOKUP(F87,Team_Composition_23[[#All],[Yellow]:[Red]],8,FALSE)</f>
        <v>2.4293495687857429E-2</v>
      </c>
      <c r="P87" s="38">
        <f>L87/HLOOKUP(F87,Team_Composition_23[[#All],[Yellow]:[Red]],7,FALSE)</f>
        <v>2.1568368985375183E-3</v>
      </c>
      <c r="Q87" s="31"/>
      <c r="R87" s="31"/>
      <c r="S87" s="31"/>
      <c r="T87" s="31"/>
      <c r="U87" s="31"/>
      <c r="V87" s="31"/>
      <c r="W87" s="31"/>
      <c r="X87" s="31"/>
      <c r="Y87" s="31"/>
      <c r="Z87" s="31"/>
      <c r="AA87" s="31"/>
      <c r="AB87" s="31"/>
      <c r="AC87" s="31"/>
      <c r="AD87" s="31"/>
    </row>
    <row r="88" spans="1:30" ht="22.5" customHeight="1">
      <c r="A88" s="82">
        <v>89</v>
      </c>
      <c r="B88" s="33" t="str">
        <f>VLOOKUP(C88,Lists!I:J,2,FALSE)</f>
        <v>Tank</v>
      </c>
      <c r="C88" s="34" t="str">
        <f>VLOOKUP(E88,Lists!D:E,2,FALSE)</f>
        <v>SnS/Spear</v>
      </c>
      <c r="D88" s="13" t="s">
        <v>30</v>
      </c>
      <c r="E88" s="83" t="s">
        <v>175</v>
      </c>
      <c r="F88" s="13" t="s">
        <v>476</v>
      </c>
      <c r="G88" s="82">
        <v>0</v>
      </c>
      <c r="H88" s="82">
        <v>7</v>
      </c>
      <c r="I88" s="84">
        <f t="shared" si="0"/>
        <v>7</v>
      </c>
      <c r="J88" s="85">
        <v>42982</v>
      </c>
      <c r="K88" s="85">
        <v>449212</v>
      </c>
      <c r="L88" s="85">
        <v>27587</v>
      </c>
      <c r="M88" s="38">
        <f>I88/(HLOOKUP(F88,Team_Composition_23[[#All],[Yellow]:[Red]],10,FALSE)+HLOOKUP(F88,Team_Composition_23[[#All],[Yellow]:[Red]],11,FALSE))</f>
        <v>1.7495626093476631E-3</v>
      </c>
      <c r="N88" s="38">
        <f>J88/HLOOKUP(F88,Team_Composition_23[[#All],[Yellow]:[Red]],6,FALSE)</f>
        <v>9.6885754807359936E-4</v>
      </c>
      <c r="O88" s="38">
        <f>K88/HLOOKUP(F88,Team_Composition_23[[#All],[Yellow]:[Red]],8,FALSE)</f>
        <v>2.5641764775286929E-2</v>
      </c>
      <c r="P88" s="38">
        <f>L88/HLOOKUP(F88,Team_Composition_23[[#All],[Yellow]:[Red]],7,FALSE)</f>
        <v>2.131130292425345E-3</v>
      </c>
      <c r="Q88" s="31"/>
      <c r="R88" s="31"/>
      <c r="S88" s="31"/>
      <c r="T88" s="31"/>
      <c r="U88" s="31"/>
      <c r="V88" s="31"/>
      <c r="W88" s="31"/>
      <c r="X88" s="31"/>
      <c r="Y88" s="31"/>
      <c r="Z88" s="31"/>
      <c r="AA88" s="31"/>
      <c r="AB88" s="31"/>
      <c r="AC88" s="31"/>
      <c r="AD88" s="31"/>
    </row>
    <row r="89" spans="1:30" ht="22.5" customHeight="1">
      <c r="A89" s="82">
        <v>49</v>
      </c>
      <c r="B89" s="59" t="str">
        <f>VLOOKUP(C89,Lists!I:J,2,FALSE)</f>
        <v>Tank</v>
      </c>
      <c r="C89" s="65" t="s">
        <v>14</v>
      </c>
      <c r="D89" s="13" t="s">
        <v>34</v>
      </c>
      <c r="E89" s="83" t="s">
        <v>136</v>
      </c>
      <c r="F89" s="13" t="s">
        <v>476</v>
      </c>
      <c r="G89" s="82">
        <v>1</v>
      </c>
      <c r="H89" s="82">
        <v>5</v>
      </c>
      <c r="I89" s="84">
        <f t="shared" si="0"/>
        <v>6</v>
      </c>
      <c r="J89" s="85">
        <v>75907</v>
      </c>
      <c r="K89" s="85">
        <v>394739</v>
      </c>
      <c r="L89" s="85">
        <v>1096453</v>
      </c>
      <c r="M89" s="38">
        <f>I89/(HLOOKUP(F89,Team_Composition_23[[#All],[Yellow]:[Red]],10,FALSE)+HLOOKUP(F89,Team_Composition_23[[#All],[Yellow]:[Red]],11,FALSE))</f>
        <v>1.4996250937265683E-3</v>
      </c>
      <c r="N89" s="38">
        <f>J89/HLOOKUP(F89,Team_Composition_23[[#All],[Yellow]:[Red]],6,FALSE)</f>
        <v>1.7110201922112211E-3</v>
      </c>
      <c r="O89" s="38">
        <f>K89/HLOOKUP(F89,Team_Composition_23[[#All],[Yellow]:[Red]],8,FALSE)</f>
        <v>2.2532355737673943E-2</v>
      </c>
      <c r="P89" s="38">
        <f>L89/HLOOKUP(F89,Team_Composition_23[[#All],[Yellow]:[Red]],7,FALSE)</f>
        <v>8.4702367148317928E-2</v>
      </c>
      <c r="Q89" s="31"/>
      <c r="R89" s="31"/>
      <c r="S89" s="31"/>
      <c r="T89" s="31"/>
      <c r="U89" s="31"/>
      <c r="V89" s="31"/>
      <c r="W89" s="31"/>
      <c r="X89" s="31"/>
      <c r="Y89" s="31"/>
      <c r="Z89" s="31"/>
      <c r="AA89" s="31"/>
      <c r="AB89" s="31"/>
      <c r="AC89" s="31"/>
      <c r="AD89" s="31"/>
    </row>
    <row r="90" spans="1:30" ht="22.5" customHeight="1">
      <c r="A90" s="82">
        <v>50</v>
      </c>
      <c r="B90" s="57" t="str">
        <f>VLOOKUP(C90,Lists!I:J,2,FALSE)</f>
        <v>Tank</v>
      </c>
      <c r="C90" s="66" t="str">
        <f>VLOOKUP(E90,Lists!D:E,2,FALSE)</f>
        <v>SnS/Greatsword</v>
      </c>
      <c r="D90" s="13" t="s">
        <v>34</v>
      </c>
      <c r="E90" s="83" t="s">
        <v>163</v>
      </c>
      <c r="F90" s="13" t="s">
        <v>476</v>
      </c>
      <c r="G90" s="82">
        <v>1</v>
      </c>
      <c r="H90" s="82">
        <v>4</v>
      </c>
      <c r="I90" s="84">
        <f t="shared" si="0"/>
        <v>5</v>
      </c>
      <c r="J90" s="85">
        <v>43644</v>
      </c>
      <c r="K90" s="85">
        <v>179810</v>
      </c>
      <c r="L90" s="85">
        <v>14691</v>
      </c>
      <c r="M90" s="38">
        <f>I90/(HLOOKUP(F90,Team_Composition_23[[#All],[Yellow]:[Red]],10,FALSE)+HLOOKUP(F90,Team_Composition_23[[#All],[Yellow]:[Red]],11,FALSE))</f>
        <v>1.2496875781054736E-3</v>
      </c>
      <c r="N90" s="38">
        <f>J90/HLOOKUP(F90,Team_Composition_23[[#All],[Yellow]:[Red]],6,FALSE)</f>
        <v>9.837796944796467E-4</v>
      </c>
      <c r="O90" s="38">
        <f>K90/HLOOKUP(F90,Team_Composition_23[[#All],[Yellow]:[Red]],8,FALSE)</f>
        <v>1.0263852533423736E-2</v>
      </c>
      <c r="P90" s="38">
        <f>L90/HLOOKUP(F90,Team_Composition_23[[#All],[Yellow]:[Red]],7,FALSE)</f>
        <v>1.1348981449965832E-3</v>
      </c>
      <c r="Q90" s="31"/>
      <c r="R90" s="31"/>
      <c r="S90" s="31"/>
      <c r="T90" s="31"/>
      <c r="U90" s="31"/>
      <c r="V90" s="31"/>
      <c r="W90" s="31"/>
      <c r="X90" s="31"/>
      <c r="Y90" s="31"/>
      <c r="Z90" s="31"/>
      <c r="AA90" s="31"/>
      <c r="AB90" s="31"/>
      <c r="AC90" s="31"/>
      <c r="AD90" s="31"/>
    </row>
    <row r="91" spans="1:30" ht="22.5" customHeight="1">
      <c r="A91" s="82">
        <v>90</v>
      </c>
      <c r="B91" s="56" t="str">
        <f>VLOOKUP(C91,Lists!I:J,2,FALSE)</f>
        <v>Tank</v>
      </c>
      <c r="C91" s="53" t="str">
        <f>VLOOKUP(E91,Lists!D:E,2,FALSE)</f>
        <v>SnS/Greatsword</v>
      </c>
      <c r="D91" s="13" t="s">
        <v>36</v>
      </c>
      <c r="E91" s="83" t="s">
        <v>306</v>
      </c>
      <c r="F91" s="13" t="s">
        <v>483</v>
      </c>
      <c r="G91" s="82">
        <v>0</v>
      </c>
      <c r="H91" s="82">
        <v>5</v>
      </c>
      <c r="I91" s="84">
        <f t="shared" si="0"/>
        <v>5</v>
      </c>
      <c r="J91" s="85">
        <v>23445</v>
      </c>
      <c r="K91" s="85">
        <v>1339516</v>
      </c>
      <c r="L91" s="85">
        <v>21305</v>
      </c>
      <c r="M91" s="38">
        <f>I91/(HLOOKUP(F91,Team_Composition_23[[#All],[Yellow]:[Red]],10,FALSE)+HLOOKUP(F91,Team_Composition_23[[#All],[Yellow]:[Red]],11,FALSE))</f>
        <v>6.0901339829476245E-3</v>
      </c>
      <c r="N91" s="38">
        <f>J91/HLOOKUP(F91,Team_Composition_23[[#All],[Yellow]:[Red]],6,FALSE)</f>
        <v>1.3286745189470006E-3</v>
      </c>
      <c r="O91" s="38">
        <f>K91/HLOOKUP(F91,Team_Composition_23[[#All],[Yellow]:[Red]],8,FALSE)</f>
        <v>3.0432521965111821E-2</v>
      </c>
      <c r="P91" s="38">
        <f>L91/HLOOKUP(F91,Team_Composition_23[[#All],[Yellow]:[Red]],7,FALSE)</f>
        <v>8.7789026466465107E-4</v>
      </c>
      <c r="Q91" s="31"/>
      <c r="R91" s="31"/>
      <c r="S91" s="31"/>
      <c r="T91" s="31"/>
      <c r="U91" s="31"/>
      <c r="V91" s="31"/>
      <c r="W91" s="31"/>
      <c r="X91" s="31"/>
      <c r="Y91" s="31"/>
      <c r="Z91" s="31"/>
      <c r="AA91" s="31"/>
      <c r="AB91" s="31"/>
      <c r="AC91" s="31"/>
      <c r="AD91" s="31"/>
    </row>
    <row r="92" spans="1:30" ht="22.5" customHeight="1">
      <c r="A92" s="82">
        <v>91</v>
      </c>
      <c r="B92" s="33" t="str">
        <f>VLOOKUP(C92,Lists!I:J,2,FALSE)</f>
        <v>Tank</v>
      </c>
      <c r="C92" s="34" t="str">
        <f>VLOOKUP(E92,Lists!D:E,2,FALSE)</f>
        <v>SnS/Longbow</v>
      </c>
      <c r="D92" s="13" t="s">
        <v>36</v>
      </c>
      <c r="E92" s="83" t="s">
        <v>284</v>
      </c>
      <c r="F92" s="13" t="s">
        <v>483</v>
      </c>
      <c r="G92" s="82">
        <v>0</v>
      </c>
      <c r="H92" s="82">
        <v>4</v>
      </c>
      <c r="I92" s="84">
        <f t="shared" si="0"/>
        <v>4</v>
      </c>
      <c r="J92" s="85">
        <v>22524</v>
      </c>
      <c r="K92" s="85">
        <v>583981</v>
      </c>
      <c r="L92" s="85">
        <v>116972</v>
      </c>
      <c r="M92" s="38">
        <f>I92/(HLOOKUP(F92,Team_Composition_23[[#All],[Yellow]:[Red]],10,FALSE)+HLOOKUP(F92,Team_Composition_23[[#All],[Yellow]:[Red]],11,FALSE))</f>
        <v>4.8721071863580996E-3</v>
      </c>
      <c r="N92" s="38">
        <f>J92/HLOOKUP(F92,Team_Composition_23[[#All],[Yellow]:[Red]],6,FALSE)</f>
        <v>1.2764796274157494E-3</v>
      </c>
      <c r="O92" s="38">
        <f>K92/HLOOKUP(F92,Team_Composition_23[[#All],[Yellow]:[Red]],8,FALSE)</f>
        <v>1.3267489607968823E-2</v>
      </c>
      <c r="P92" s="38">
        <f>L92/HLOOKUP(F92,Team_Composition_23[[#All],[Yellow]:[Red]],7,FALSE)</f>
        <v>4.8199286570454617E-3</v>
      </c>
      <c r="Q92" s="31"/>
      <c r="R92" s="31"/>
      <c r="S92" s="31"/>
      <c r="T92" s="31"/>
      <c r="U92" s="31"/>
      <c r="V92" s="31"/>
      <c r="W92" s="31"/>
      <c r="X92" s="31"/>
      <c r="Y92" s="31"/>
      <c r="Z92" s="31"/>
      <c r="AA92" s="31"/>
      <c r="AB92" s="31"/>
      <c r="AC92" s="31"/>
      <c r="AD92" s="31"/>
    </row>
    <row r="93" spans="1:30" ht="22.5" customHeight="1">
      <c r="A93" s="32">
        <v>95</v>
      </c>
      <c r="B93" s="59" t="str">
        <f>VLOOKUP(C93,Lists!I:J,2,FALSE)</f>
        <v>Tank</v>
      </c>
      <c r="C93" s="65" t="str">
        <f>VLOOKUP(E93,Lists!D:E,2,FALSE)</f>
        <v>SnS/Spear</v>
      </c>
      <c r="D93" s="35" t="s">
        <v>30</v>
      </c>
      <c r="E93" s="36" t="s">
        <v>427</v>
      </c>
      <c r="F93" s="35" t="s">
        <v>483</v>
      </c>
      <c r="G93" s="32">
        <v>0</v>
      </c>
      <c r="H93" s="32">
        <v>4</v>
      </c>
      <c r="I93" s="84">
        <f t="shared" si="0"/>
        <v>4</v>
      </c>
      <c r="J93" s="37">
        <v>58296</v>
      </c>
      <c r="K93" s="37">
        <v>652449</v>
      </c>
      <c r="L93" s="37">
        <v>50567</v>
      </c>
      <c r="M93" s="38">
        <f>I93/(HLOOKUP(F93,Team_Composition_23[[#All],[Yellow]:[Red]],10,FALSE)+HLOOKUP(F93,Team_Composition_23[[#All],[Yellow]:[Red]],11,FALSE))</f>
        <v>4.8721071863580996E-3</v>
      </c>
      <c r="N93" s="38">
        <f>J93/HLOOKUP(F93,Team_Composition_23[[#All],[Yellow]:[Red]],6,FALSE)</f>
        <v>3.3037496164015504E-3</v>
      </c>
      <c r="O93" s="38">
        <f>K93/HLOOKUP(F93,Team_Composition_23[[#All],[Yellow]:[Red]],8,FALSE)</f>
        <v>1.4823017062592191E-2</v>
      </c>
      <c r="P93" s="38">
        <f>L93/HLOOKUP(F93,Team_Composition_23[[#All],[Yellow]:[Red]],7,FALSE)</f>
        <v>2.083655339746417E-3</v>
      </c>
      <c r="Q93" s="31"/>
      <c r="R93" s="31"/>
      <c r="S93" s="31"/>
      <c r="T93" s="31"/>
      <c r="U93" s="31"/>
      <c r="V93" s="31"/>
      <c r="W93" s="31"/>
      <c r="X93" s="31"/>
      <c r="Y93" s="31"/>
      <c r="Z93" s="31"/>
      <c r="AA93" s="31"/>
      <c r="AB93" s="31"/>
      <c r="AC93" s="31"/>
      <c r="AD93" s="31"/>
    </row>
    <row r="94" spans="1:30" ht="22.5" customHeight="1">
      <c r="A94" s="82">
        <v>92</v>
      </c>
      <c r="B94" s="62" t="str">
        <f>VLOOKUP(C94,Lists!I:J,2,FALSE)</f>
        <v>Healer</v>
      </c>
      <c r="C94" s="66" t="str">
        <f>VLOOKUP(E94,Lists!D:E,2,FALSE)</f>
        <v>Wand/Longbow</v>
      </c>
      <c r="D94" s="13" t="s">
        <v>34</v>
      </c>
      <c r="E94" s="83" t="s">
        <v>135</v>
      </c>
      <c r="F94" s="13" t="s">
        <v>476</v>
      </c>
      <c r="G94" s="82">
        <v>0</v>
      </c>
      <c r="H94" s="82">
        <v>3</v>
      </c>
      <c r="I94" s="84">
        <f t="shared" si="0"/>
        <v>3</v>
      </c>
      <c r="J94" s="85">
        <v>2981</v>
      </c>
      <c r="K94" s="85">
        <v>308084</v>
      </c>
      <c r="L94" s="85">
        <v>541096</v>
      </c>
      <c r="M94" s="38">
        <f>I94/(HLOOKUP(F94,Team_Composition_23[[#All],[Yellow]:[Red]],10,FALSE)+HLOOKUP(F94,Team_Composition_23[[#All],[Yellow]:[Red]],11,FALSE))</f>
        <v>7.4981254686328413E-4</v>
      </c>
      <c r="N94" s="38">
        <f>J94/HLOOKUP(F94,Team_Composition_23[[#All],[Yellow]:[Red]],6,FALSE)</f>
        <v>6.7194740840523931E-5</v>
      </c>
      <c r="O94" s="38">
        <f>K94/HLOOKUP(F94,Team_Composition_23[[#All],[Yellow]:[Red]],8,FALSE)</f>
        <v>1.7585944852384839E-2</v>
      </c>
      <c r="P94" s="38">
        <f>L94/HLOOKUP(F94,Team_Composition_23[[#All],[Yellow]:[Red]],7,FALSE)</f>
        <v>4.1800343520867957E-2</v>
      </c>
      <c r="Q94" s="31"/>
      <c r="R94" s="31"/>
      <c r="S94" s="31"/>
      <c r="T94" s="31"/>
      <c r="U94" s="31"/>
      <c r="V94" s="31"/>
      <c r="W94" s="31"/>
      <c r="X94" s="31"/>
      <c r="Y94" s="31"/>
      <c r="Z94" s="31"/>
      <c r="AA94" s="31"/>
      <c r="AB94" s="31"/>
      <c r="AC94" s="31"/>
      <c r="AD94" s="31"/>
    </row>
    <row r="95" spans="1:30" ht="22.5" customHeight="1">
      <c r="A95" s="82">
        <v>93</v>
      </c>
      <c r="B95" s="52" t="str">
        <f>VLOOKUP(C95,Lists!I:J,2,FALSE)</f>
        <v>Healer</v>
      </c>
      <c r="C95" s="65" t="str">
        <f>VLOOKUP(E95,Lists!D:E,2,FALSE)</f>
        <v>Wand/Longbow</v>
      </c>
      <c r="D95" s="13" t="s">
        <v>36</v>
      </c>
      <c r="E95" s="83" t="s">
        <v>307</v>
      </c>
      <c r="F95" s="13" t="s">
        <v>483</v>
      </c>
      <c r="G95" s="82">
        <v>0</v>
      </c>
      <c r="H95" s="82">
        <v>2</v>
      </c>
      <c r="I95" s="84">
        <f t="shared" si="0"/>
        <v>2</v>
      </c>
      <c r="J95" s="85">
        <v>25111</v>
      </c>
      <c r="K95" s="85">
        <v>455647</v>
      </c>
      <c r="L95" s="85">
        <v>1223824</v>
      </c>
      <c r="M95" s="38">
        <f>I95/(HLOOKUP(F95,Team_Composition_23[[#All],[Yellow]:[Red]],10,FALSE)+HLOOKUP(F95,Team_Composition_23[[#All],[Yellow]:[Red]],11,FALSE))</f>
        <v>2.4360535931790498E-3</v>
      </c>
      <c r="N95" s="38">
        <f>J95/HLOOKUP(F95,Team_Composition_23[[#All],[Yellow]:[Red]],6,FALSE)</f>
        <v>1.4230900339210124E-3</v>
      </c>
      <c r="O95" s="38">
        <f>K95/HLOOKUP(F95,Team_Composition_23[[#All],[Yellow]:[Red]],8,FALSE)</f>
        <v>1.035186390893226E-2</v>
      </c>
      <c r="P95" s="38">
        <f>L95/HLOOKUP(F95,Team_Composition_23[[#All],[Yellow]:[Red]],7,FALSE)</f>
        <v>5.0428686940293448E-2</v>
      </c>
      <c r="Q95" s="31"/>
      <c r="R95" s="31"/>
      <c r="S95" s="31"/>
      <c r="T95" s="31"/>
      <c r="U95" s="31"/>
      <c r="V95" s="31"/>
      <c r="W95" s="31"/>
      <c r="X95" s="31"/>
      <c r="Y95" s="31"/>
      <c r="Z95" s="31"/>
      <c r="AA95" s="31"/>
      <c r="AB95" s="31"/>
      <c r="AC95" s="31"/>
      <c r="AD95" s="31"/>
    </row>
    <row r="96" spans="1:30" ht="22.5" customHeight="1">
      <c r="A96" s="82">
        <v>94</v>
      </c>
      <c r="B96" s="62" t="str">
        <f>VLOOKUP(C96,Lists!I:J,2,FALSE)</f>
        <v>Healer</v>
      </c>
      <c r="C96" s="66" t="str">
        <f>VLOOKUP(E96,Lists!D:E,2,FALSE)</f>
        <v>Wand/Orb</v>
      </c>
      <c r="D96" s="13" t="s">
        <v>36</v>
      </c>
      <c r="E96" s="83" t="s">
        <v>308</v>
      </c>
      <c r="F96" s="13" t="s">
        <v>483</v>
      </c>
      <c r="G96" s="82">
        <v>0</v>
      </c>
      <c r="H96" s="82">
        <v>2</v>
      </c>
      <c r="I96" s="84">
        <f t="shared" si="0"/>
        <v>2</v>
      </c>
      <c r="J96" s="85">
        <v>5650</v>
      </c>
      <c r="K96" s="85">
        <v>488127</v>
      </c>
      <c r="L96" s="85">
        <v>1005773</v>
      </c>
      <c r="M96" s="38">
        <f>I96/(HLOOKUP(F96,Team_Composition_23[[#All],[Yellow]:[Red]],10,FALSE)+HLOOKUP(F96,Team_Composition_23[[#All],[Yellow]:[Red]],11,FALSE))</f>
        <v>2.4360535931790498E-3</v>
      </c>
      <c r="N96" s="38">
        <f>J96/HLOOKUP(F96,Team_Composition_23[[#All],[Yellow]:[Red]],6,FALSE)</f>
        <v>3.2019667443167215E-4</v>
      </c>
      <c r="O96" s="38">
        <f>K96/HLOOKUP(F96,Team_Composition_23[[#All],[Yellow]:[Red]],8,FALSE)</f>
        <v>1.1089778434348031E-2</v>
      </c>
      <c r="P96" s="38">
        <f>L96/HLOOKUP(F96,Team_Composition_23[[#All],[Yellow]:[Red]],7,FALSE)</f>
        <v>4.1443713924551047E-2</v>
      </c>
      <c r="Q96" s="31"/>
      <c r="R96" s="31"/>
      <c r="S96" s="31"/>
      <c r="T96" s="31"/>
      <c r="U96" s="31"/>
      <c r="V96" s="31"/>
      <c r="W96" s="31"/>
      <c r="X96" s="31"/>
      <c r="Y96" s="31"/>
      <c r="Z96" s="31"/>
      <c r="AA96" s="31"/>
      <c r="AB96" s="31"/>
      <c r="AC96" s="31"/>
      <c r="AD96" s="31"/>
    </row>
    <row r="97" spans="1:30" ht="22.5" customHeight="1">
      <c r="A97" s="32">
        <v>96</v>
      </c>
      <c r="B97" s="56" t="str">
        <f>VLOOKUP(C97,Lists!I:J,2,FALSE)</f>
        <v>Tank</v>
      </c>
      <c r="C97" s="53" t="str">
        <f>VLOOKUP(E97,Lists!D:E,2,FALSE)</f>
        <v>SnS/Spear</v>
      </c>
      <c r="D97" s="35" t="s">
        <v>30</v>
      </c>
      <c r="E97" s="36" t="s">
        <v>175</v>
      </c>
      <c r="F97" s="35" t="s">
        <v>483</v>
      </c>
      <c r="G97" s="32">
        <v>0</v>
      </c>
      <c r="H97" s="32">
        <v>2</v>
      </c>
      <c r="I97" s="84">
        <f t="shared" si="0"/>
        <v>2</v>
      </c>
      <c r="J97" s="37">
        <v>20537</v>
      </c>
      <c r="K97" s="37">
        <v>143015</v>
      </c>
      <c r="L97" s="37">
        <v>6949</v>
      </c>
      <c r="M97" s="38">
        <f>I97/(HLOOKUP(F97,Team_Composition_23[[#All],[Yellow]:[Red]],10,FALSE)+HLOOKUP(F97,Team_Composition_23[[#All],[Yellow]:[Red]],11,FALSE))</f>
        <v>2.4360535931790498E-3</v>
      </c>
      <c r="N97" s="38">
        <f>J97/HLOOKUP(F97,Team_Composition_23[[#All],[Yellow]:[Red]],6,FALSE)</f>
        <v>1.1638724075757967E-3</v>
      </c>
      <c r="O97" s="38">
        <f>K97/HLOOKUP(F97,Team_Composition_23[[#All],[Yellow]:[Red]],8,FALSE)</f>
        <v>3.2491639732862218E-3</v>
      </c>
      <c r="P97" s="38">
        <f>L97/HLOOKUP(F97,Team_Composition_23[[#All],[Yellow]:[Red]],7,FALSE)</f>
        <v>2.863393311032462E-4</v>
      </c>
      <c r="Q97" s="31"/>
      <c r="R97" s="31"/>
      <c r="S97" s="31"/>
      <c r="T97" s="31"/>
      <c r="U97" s="31"/>
      <c r="V97" s="31"/>
      <c r="W97" s="31"/>
      <c r="X97" s="31"/>
      <c r="Y97" s="31"/>
      <c r="Z97" s="31"/>
      <c r="AA97" s="31"/>
      <c r="AB97" s="31"/>
      <c r="AC97" s="31"/>
      <c r="AD97" s="31"/>
    </row>
    <row r="98" spans="1:30" ht="22.5" customHeight="1">
      <c r="A98" s="82"/>
      <c r="B98" s="186" t="e">
        <f>VLOOKUP(C98,Lists!I:J,2,FALSE)</f>
        <v>#N/A</v>
      </c>
      <c r="C98" s="186" t="e">
        <f>VLOOKUP(E98,Lists!D:E,2,FALSE)</f>
        <v>#N/A</v>
      </c>
      <c r="D98" s="13"/>
      <c r="E98" s="83"/>
      <c r="F98" s="13"/>
      <c r="G98" s="82"/>
      <c r="H98" s="82"/>
      <c r="I98" s="49"/>
      <c r="J98" s="85"/>
      <c r="K98" s="85"/>
      <c r="L98" s="85"/>
      <c r="M98" s="87"/>
      <c r="N98" s="87"/>
      <c r="O98" s="87"/>
      <c r="P98" s="87"/>
      <c r="Q98" s="31"/>
      <c r="R98" s="31"/>
      <c r="S98" s="31"/>
      <c r="T98" s="31"/>
      <c r="U98" s="31"/>
      <c r="V98" s="31"/>
      <c r="W98" s="31"/>
      <c r="X98" s="31"/>
      <c r="Y98" s="31"/>
      <c r="Z98" s="31"/>
      <c r="AA98" s="31"/>
      <c r="AB98" s="31"/>
      <c r="AC98" s="31"/>
      <c r="AD98" s="31"/>
    </row>
    <row r="99" spans="1:30" ht="22.5" customHeight="1">
      <c r="A99" s="82"/>
      <c r="B99" s="187" t="e">
        <f>VLOOKUP(C99,Lists!I:J,2,FALSE)</f>
        <v>#N/A</v>
      </c>
      <c r="C99" s="187" t="e">
        <f>VLOOKUP(E99,Lists!D:E,2,FALSE)</f>
        <v>#N/A</v>
      </c>
      <c r="D99" s="13"/>
      <c r="E99" s="83"/>
      <c r="F99" s="13"/>
      <c r="G99" s="82"/>
      <c r="H99" s="82"/>
      <c r="I99" s="49"/>
      <c r="J99" s="85"/>
      <c r="K99" s="85"/>
      <c r="L99" s="85"/>
      <c r="M99" s="87"/>
      <c r="N99" s="87"/>
      <c r="O99" s="87"/>
      <c r="P99" s="87"/>
      <c r="Q99" s="31"/>
      <c r="R99" s="31"/>
      <c r="S99" s="31"/>
      <c r="T99" s="31"/>
      <c r="U99" s="31"/>
      <c r="V99" s="31"/>
      <c r="W99" s="31"/>
      <c r="X99" s="31"/>
      <c r="Y99" s="31"/>
      <c r="Z99" s="31"/>
      <c r="AA99" s="31"/>
      <c r="AB99" s="31"/>
      <c r="AC99" s="31"/>
      <c r="AD99" s="31"/>
    </row>
    <row r="100" spans="1:30" ht="22.5" customHeight="1">
      <c r="A100" s="82"/>
      <c r="B100" s="186" t="e">
        <f>VLOOKUP(C100,Lists!I:J,2,FALSE)</f>
        <v>#N/A</v>
      </c>
      <c r="C100" s="186" t="e">
        <f>VLOOKUP(E100,Lists!D:E,2,FALSE)</f>
        <v>#N/A</v>
      </c>
      <c r="D100" s="13"/>
      <c r="E100" s="83"/>
      <c r="F100" s="13"/>
      <c r="G100" s="82"/>
      <c r="H100" s="82"/>
      <c r="I100" s="49"/>
      <c r="J100" s="85"/>
      <c r="K100" s="85"/>
      <c r="L100" s="85"/>
      <c r="M100" s="87"/>
      <c r="N100" s="87"/>
      <c r="O100" s="87"/>
      <c r="P100" s="87"/>
      <c r="Q100" s="31"/>
      <c r="R100" s="31"/>
      <c r="S100" s="31"/>
      <c r="T100" s="31"/>
      <c r="U100" s="31"/>
      <c r="V100" s="31"/>
      <c r="W100" s="31"/>
      <c r="X100" s="31"/>
      <c r="Y100" s="31"/>
      <c r="Z100" s="31"/>
      <c r="AA100" s="31"/>
      <c r="AB100" s="31"/>
      <c r="AC100" s="31"/>
      <c r="AD100" s="31"/>
    </row>
    <row r="101" spans="1:30" ht="22.5" customHeight="1">
      <c r="A101" s="82"/>
      <c r="B101" s="187" t="e">
        <f>VLOOKUP(C101,Lists!I:J,2,FALSE)</f>
        <v>#N/A</v>
      </c>
      <c r="C101" s="187" t="e">
        <f>VLOOKUP(E101,Lists!D:E,2,FALSE)</f>
        <v>#N/A</v>
      </c>
      <c r="D101" s="13"/>
      <c r="E101" s="83"/>
      <c r="F101" s="13"/>
      <c r="G101" s="82"/>
      <c r="H101" s="82"/>
      <c r="I101" s="49"/>
      <c r="J101" s="85"/>
      <c r="K101" s="85"/>
      <c r="L101" s="85"/>
      <c r="M101" s="87"/>
      <c r="N101" s="87"/>
      <c r="O101" s="87"/>
      <c r="P101" s="87"/>
      <c r="Q101" s="31"/>
      <c r="R101" s="31"/>
      <c r="S101" s="31"/>
      <c r="T101" s="31"/>
      <c r="U101" s="31"/>
      <c r="V101" s="31"/>
      <c r="W101" s="31"/>
      <c r="X101" s="31"/>
      <c r="Y101" s="31"/>
      <c r="Z101" s="31"/>
      <c r="AA101" s="31"/>
      <c r="AB101" s="31"/>
      <c r="AC101" s="31"/>
      <c r="AD101" s="31"/>
    </row>
    <row r="102" spans="1:30" ht="22.5" customHeight="1">
      <c r="A102" s="82"/>
      <c r="B102" s="186" t="e">
        <f>VLOOKUP(C102,Lists!I:J,2,FALSE)</f>
        <v>#N/A</v>
      </c>
      <c r="C102" s="186" t="e">
        <f>VLOOKUP(E102,Lists!D:E,2,FALSE)</f>
        <v>#N/A</v>
      </c>
      <c r="D102" s="13"/>
      <c r="E102" s="83"/>
      <c r="F102" s="13"/>
      <c r="G102" s="82"/>
      <c r="H102" s="82"/>
      <c r="I102" s="49"/>
      <c r="J102" s="85"/>
      <c r="K102" s="85"/>
      <c r="L102" s="85"/>
      <c r="M102" s="87"/>
      <c r="N102" s="87"/>
      <c r="O102" s="87"/>
      <c r="P102" s="87"/>
      <c r="Q102" s="31"/>
      <c r="R102" s="31"/>
      <c r="S102" s="31"/>
      <c r="T102" s="31"/>
      <c r="U102" s="31"/>
      <c r="V102" s="31"/>
      <c r="W102" s="31"/>
      <c r="X102" s="31"/>
      <c r="Y102" s="31"/>
      <c r="Z102" s="31"/>
      <c r="AA102" s="31"/>
      <c r="AB102" s="31"/>
      <c r="AC102" s="31"/>
      <c r="AD102" s="31"/>
    </row>
    <row r="103" spans="1:30" ht="22.5" customHeight="1">
      <c r="A103" s="82"/>
      <c r="B103" s="187" t="e">
        <f>VLOOKUP(C103,Lists!I:J,2,FALSE)</f>
        <v>#N/A</v>
      </c>
      <c r="C103" s="187" t="e">
        <f>VLOOKUP(E103,Lists!D:E,2,FALSE)</f>
        <v>#N/A</v>
      </c>
      <c r="D103" s="13"/>
      <c r="E103" s="83"/>
      <c r="F103" s="13"/>
      <c r="G103" s="82"/>
      <c r="H103" s="82"/>
      <c r="I103" s="49"/>
      <c r="J103" s="85"/>
      <c r="K103" s="85"/>
      <c r="L103" s="85"/>
      <c r="M103" s="87"/>
      <c r="N103" s="87"/>
      <c r="O103" s="87"/>
      <c r="P103" s="87"/>
      <c r="Q103" s="31"/>
      <c r="R103" s="31"/>
      <c r="S103" s="31"/>
      <c r="T103" s="31"/>
      <c r="U103" s="31"/>
      <c r="V103" s="31"/>
      <c r="W103" s="31"/>
      <c r="X103" s="31"/>
      <c r="Y103" s="31"/>
      <c r="Z103" s="31"/>
      <c r="AA103" s="31"/>
      <c r="AB103" s="31"/>
      <c r="AC103" s="31"/>
      <c r="AD103" s="31"/>
    </row>
    <row r="104" spans="1:30" ht="22.5" customHeight="1">
      <c r="A104" s="82"/>
      <c r="B104" s="186" t="e">
        <f>VLOOKUP(C104,Lists!I:J,2,FALSE)</f>
        <v>#N/A</v>
      </c>
      <c r="C104" s="88"/>
      <c r="D104" s="13"/>
      <c r="E104" s="83"/>
      <c r="F104" s="13"/>
      <c r="G104" s="82"/>
      <c r="H104" s="82"/>
      <c r="I104" s="49"/>
      <c r="J104" s="85"/>
      <c r="K104" s="85"/>
      <c r="L104" s="85"/>
      <c r="M104" s="87"/>
      <c r="N104" s="87"/>
      <c r="O104" s="87"/>
      <c r="P104" s="87"/>
      <c r="Q104" s="31"/>
      <c r="R104" s="31"/>
      <c r="S104" s="31"/>
      <c r="T104" s="31"/>
      <c r="U104" s="31"/>
      <c r="V104" s="31"/>
      <c r="W104" s="31"/>
      <c r="X104" s="31"/>
      <c r="Y104" s="31"/>
      <c r="Z104" s="31"/>
      <c r="AA104" s="31"/>
      <c r="AB104" s="31"/>
      <c r="AC104" s="31"/>
      <c r="AD104" s="31"/>
    </row>
    <row r="105" spans="1:30" ht="22.5" customHeight="1">
      <c r="A105" s="82"/>
      <c r="B105" s="187" t="e">
        <f>VLOOKUP(C105,Lists!I:J,2,FALSE)</f>
        <v>#N/A</v>
      </c>
      <c r="C105" s="86"/>
      <c r="D105" s="13"/>
      <c r="E105" s="83"/>
      <c r="F105" s="13"/>
      <c r="G105" s="82"/>
      <c r="H105" s="82"/>
      <c r="I105" s="49"/>
      <c r="J105" s="85"/>
      <c r="K105" s="85"/>
      <c r="L105" s="85"/>
      <c r="M105" s="87"/>
      <c r="N105" s="87"/>
      <c r="O105" s="87"/>
      <c r="P105" s="87"/>
      <c r="Q105" s="31"/>
      <c r="R105" s="31"/>
      <c r="S105" s="31"/>
      <c r="T105" s="31"/>
      <c r="U105" s="31"/>
      <c r="V105" s="31"/>
      <c r="W105" s="31"/>
      <c r="X105" s="31"/>
      <c r="Y105" s="31"/>
      <c r="Z105" s="31"/>
      <c r="AA105" s="31"/>
      <c r="AB105" s="31"/>
      <c r="AC105" s="31"/>
      <c r="AD105" s="31"/>
    </row>
    <row r="106" spans="1:30" ht="22.5" customHeight="1">
      <c r="A106" s="82"/>
      <c r="B106" s="186" t="e">
        <f>VLOOKUP(C106,Lists!I:J,2,FALSE)</f>
        <v>#N/A</v>
      </c>
      <c r="C106" s="88"/>
      <c r="D106" s="13"/>
      <c r="E106" s="83"/>
      <c r="F106" s="13"/>
      <c r="G106" s="82"/>
      <c r="H106" s="82"/>
      <c r="I106" s="49"/>
      <c r="J106" s="85"/>
      <c r="K106" s="85"/>
      <c r="L106" s="85"/>
      <c r="M106" s="87"/>
      <c r="N106" s="87"/>
      <c r="O106" s="87"/>
      <c r="P106" s="87"/>
      <c r="Q106" s="31"/>
      <c r="R106" s="31"/>
      <c r="S106" s="31"/>
      <c r="T106" s="31"/>
      <c r="U106" s="31"/>
      <c r="V106" s="31"/>
      <c r="W106" s="31"/>
      <c r="X106" s="31"/>
      <c r="Y106" s="31"/>
      <c r="Z106" s="31"/>
      <c r="AA106" s="31"/>
      <c r="AB106" s="31"/>
      <c r="AC106" s="31"/>
      <c r="AD106" s="31"/>
    </row>
    <row r="107" spans="1:30" ht="22.5" customHeight="1">
      <c r="A107" s="82"/>
      <c r="B107" s="187" t="e">
        <f>VLOOKUP(C107,Lists!I:J,2,FALSE)</f>
        <v>#N/A</v>
      </c>
      <c r="C107" s="86"/>
      <c r="D107" s="13"/>
      <c r="E107" s="83"/>
      <c r="F107" s="13"/>
      <c r="G107" s="82"/>
      <c r="H107" s="82"/>
      <c r="I107" s="49"/>
      <c r="J107" s="85"/>
      <c r="K107" s="85"/>
      <c r="L107" s="85"/>
      <c r="M107" s="87"/>
      <c r="N107" s="87"/>
      <c r="O107" s="87"/>
      <c r="P107" s="87"/>
      <c r="Q107" s="31"/>
      <c r="R107" s="31"/>
      <c r="S107" s="31"/>
      <c r="T107" s="31"/>
      <c r="U107" s="31"/>
      <c r="V107" s="31"/>
      <c r="W107" s="31"/>
      <c r="X107" s="31"/>
      <c r="Y107" s="31"/>
      <c r="Z107" s="31"/>
      <c r="AA107" s="31"/>
      <c r="AB107" s="31"/>
      <c r="AC107" s="31"/>
      <c r="AD107" s="31"/>
    </row>
    <row r="108" spans="1:30" ht="22.5" customHeight="1">
      <c r="A108" s="82"/>
      <c r="B108" s="186" t="e">
        <f>VLOOKUP(C108,Lists!I:J,2,FALSE)</f>
        <v>#N/A</v>
      </c>
      <c r="C108" s="88"/>
      <c r="D108" s="13"/>
      <c r="E108" s="83"/>
      <c r="F108" s="13"/>
      <c r="G108" s="82"/>
      <c r="H108" s="82"/>
      <c r="I108" s="49"/>
      <c r="J108" s="85"/>
      <c r="K108" s="85"/>
      <c r="L108" s="85"/>
      <c r="M108" s="87"/>
      <c r="N108" s="87"/>
      <c r="O108" s="87"/>
      <c r="P108" s="87"/>
      <c r="Q108" s="31"/>
      <c r="R108" s="31"/>
      <c r="S108" s="31"/>
      <c r="T108" s="31"/>
      <c r="U108" s="31"/>
      <c r="V108" s="31"/>
      <c r="W108" s="31"/>
      <c r="X108" s="31"/>
      <c r="Y108" s="31"/>
      <c r="Z108" s="31"/>
      <c r="AA108" s="31"/>
      <c r="AB108" s="31"/>
      <c r="AC108" s="31"/>
      <c r="AD108" s="31"/>
    </row>
    <row r="109" spans="1:30" ht="22.5" customHeight="1">
      <c r="A109" s="82"/>
      <c r="B109" s="187" t="e">
        <f>VLOOKUP(C109,Lists!I:J,2,FALSE)</f>
        <v>#N/A</v>
      </c>
      <c r="C109" s="86"/>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186" t="e">
        <f>VLOOKUP(C110,Lists!I:J,2,FALSE)</f>
        <v>#N/A</v>
      </c>
      <c r="C110" s="88"/>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187" t="e">
        <f>VLOOKUP(C111,Lists!I:J,2,FALSE)</f>
        <v>#N/A</v>
      </c>
      <c r="C111" s="86"/>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186" t="e">
        <f>VLOOKUP(C112,Lists!I:J,2,FALSE)</f>
        <v>#N/A</v>
      </c>
      <c r="C112" s="88"/>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187" t="e">
        <f>VLOOKUP(C113,Lists!I:J,2,FALSE)</f>
        <v>#N/A</v>
      </c>
      <c r="C113" s="86"/>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186" t="e">
        <f>VLOOKUP(C114,Lists!I:J,2,FALSE)</f>
        <v>#N/A</v>
      </c>
      <c r="C114" s="88"/>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187" t="e">
        <f>VLOOKUP(C115,Lists!I:J,2,FALSE)</f>
        <v>#N/A</v>
      </c>
      <c r="C115" s="86"/>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186" t="e">
        <f>VLOOKUP(C116,Lists!I:J,2,FALSE)</f>
        <v>#N/A</v>
      </c>
      <c r="C116" s="88"/>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187" t="e">
        <f>VLOOKUP(C117,Lists!I:J,2,FALSE)</f>
        <v>#N/A</v>
      </c>
      <c r="C117" s="86"/>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186" t="e">
        <f>VLOOKUP(C118,Lists!I:J,2,FALSE)</f>
        <v>#N/A</v>
      </c>
      <c r="C118" s="88"/>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187" t="e">
        <f>VLOOKUP(C119,Lists!I:J,2,FALSE)</f>
        <v>#N/A</v>
      </c>
      <c r="C119" s="86"/>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186" t="e">
        <f>VLOOKUP(C120,Lists!I:J,2,FALSE)</f>
        <v>#N/A</v>
      </c>
      <c r="C120" s="88"/>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187" t="e">
        <f>VLOOKUP(C121,Lists!I:J,2,FALSE)</f>
        <v>#N/A</v>
      </c>
      <c r="C121" s="86"/>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186" t="e">
        <f>VLOOKUP(C122,Lists!I:J,2,FALSE)</f>
        <v>#N/A</v>
      </c>
      <c r="C122" s="88"/>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187" t="e">
        <f>VLOOKUP(C123,Lists!I:J,2,FALSE)</f>
        <v>#N/A</v>
      </c>
      <c r="C123" s="86"/>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186" t="e">
        <f>VLOOKUP(C124,Lists!I:J,2,FALSE)</f>
        <v>#N/A</v>
      </c>
      <c r="C124" s="88"/>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187" t="e">
        <f>VLOOKUP(C125,Lists!I:J,2,FALSE)</f>
        <v>#N/A</v>
      </c>
      <c r="C125" s="86"/>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186" t="e">
        <f>VLOOKUP(C126,Lists!I:J,2,FALSE)</f>
        <v>#N/A</v>
      </c>
      <c r="C126" s="88"/>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187" t="e">
        <f>VLOOKUP(C127,Lists!I:J,2,FALSE)</f>
        <v>#N/A</v>
      </c>
      <c r="C127" s="86"/>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186" t="e">
        <f>VLOOKUP(C128,Lists!I:J,2,FALSE)</f>
        <v>#N/A</v>
      </c>
      <c r="C128" s="88"/>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187" t="e">
        <f>VLOOKUP(C129,Lists!I:J,2,FALSE)</f>
        <v>#N/A</v>
      </c>
      <c r="C129" s="86"/>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186" t="e">
        <f>VLOOKUP(C130,Lists!I:J,2,FALSE)</f>
        <v>#N/A</v>
      </c>
      <c r="C130" s="88"/>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187" t="e">
        <f>VLOOKUP(C131,Lists!I:J,2,FALSE)</f>
        <v>#N/A</v>
      </c>
      <c r="C131" s="86"/>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186" t="e">
        <f>VLOOKUP(C132,Lists!I:J,2,FALSE)</f>
        <v>#N/A</v>
      </c>
      <c r="C132" s="88"/>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187" t="e">
        <f>VLOOKUP(C133,Lists!I:J,2,FALSE)</f>
        <v>#N/A</v>
      </c>
      <c r="C133" s="86"/>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186" t="e">
        <f>VLOOKUP(C134,Lists!I:J,2,FALSE)</f>
        <v>#N/A</v>
      </c>
      <c r="C134" s="88"/>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187" t="e">
        <f>VLOOKUP(C135,Lists!I:J,2,FALSE)</f>
        <v>#N/A</v>
      </c>
      <c r="C135" s="86"/>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186" t="e">
        <f>VLOOKUP(C136,Lists!I:J,2,FALSE)</f>
        <v>#N/A</v>
      </c>
      <c r="C136" s="88"/>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187" t="e">
        <f>VLOOKUP(C137,Lists!I:J,2,FALSE)</f>
        <v>#N/A</v>
      </c>
      <c r="C137" s="86"/>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186" t="e">
        <f>VLOOKUP(C138,Lists!I:J,2,FALSE)</f>
        <v>#N/A</v>
      </c>
      <c r="C138" s="88"/>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187" t="e">
        <f>VLOOKUP(C139,Lists!I:J,2,FALSE)</f>
        <v>#N/A</v>
      </c>
      <c r="C139" s="86"/>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186" t="e">
        <f>VLOOKUP(C140,Lists!I:J,2,FALSE)</f>
        <v>#N/A</v>
      </c>
      <c r="C140" s="88"/>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187" t="e">
        <f>VLOOKUP(C141,Lists!I:J,2,FALSE)</f>
        <v>#N/A</v>
      </c>
      <c r="C141" s="86"/>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186" t="e">
        <f>VLOOKUP(C142,Lists!I:J,2,FALSE)</f>
        <v>#N/A</v>
      </c>
      <c r="C142" s="88"/>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187" t="e">
        <f>VLOOKUP(C143,Lists!I:J,2,FALSE)</f>
        <v>#N/A</v>
      </c>
      <c r="C143" s="86"/>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186" t="e">
        <f>VLOOKUP(C144,Lists!I:J,2,FALSE)</f>
        <v>#N/A</v>
      </c>
      <c r="C144" s="88"/>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187" t="e">
        <f>VLOOKUP(C145,Lists!I:J,2,FALSE)</f>
        <v>#N/A</v>
      </c>
      <c r="C145" s="86"/>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186" t="e">
        <f>VLOOKUP(C146,Lists!I:J,2,FALSE)</f>
        <v>#N/A</v>
      </c>
      <c r="C146" s="88"/>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187" t="e">
        <f>VLOOKUP(C147,Lists!I:J,2,FALSE)</f>
        <v>#N/A</v>
      </c>
      <c r="C147" s="86"/>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186" t="e">
        <f>VLOOKUP(C148,Lists!I:J,2,FALSE)</f>
        <v>#N/A</v>
      </c>
      <c r="C148" s="88"/>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187" t="e">
        <f>VLOOKUP(C149,Lists!I:J,2,FALSE)</f>
        <v>#N/A</v>
      </c>
      <c r="C149" s="86"/>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186" t="e">
        <f>VLOOKUP(C150,Lists!I:J,2,FALSE)</f>
        <v>#N/A</v>
      </c>
      <c r="C150" s="88"/>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187" t="e">
        <f>VLOOKUP(C151,Lists!I:J,2,FALSE)</f>
        <v>#N/A</v>
      </c>
      <c r="C151" s="86"/>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186" t="e">
        <f>VLOOKUP(C152,Lists!I:J,2,FALSE)</f>
        <v>#N/A</v>
      </c>
      <c r="C152" s="88"/>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187" t="e">
        <f>VLOOKUP(C153,Lists!I:J,2,FALSE)</f>
        <v>#N/A</v>
      </c>
      <c r="C153" s="86"/>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186" t="e">
        <f>VLOOKUP(C154,Lists!I:J,2,FALSE)</f>
        <v>#N/A</v>
      </c>
      <c r="C154" s="88"/>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187" t="e">
        <f>VLOOKUP(C155,Lists!I:J,2,FALSE)</f>
        <v>#N/A</v>
      </c>
      <c r="C155" s="86"/>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186" t="e">
        <f>VLOOKUP(C156,Lists!I:J,2,FALSE)</f>
        <v>#N/A</v>
      </c>
      <c r="C156" s="88"/>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187" t="e">
        <f>VLOOKUP(C157,Lists!I:J,2,FALSE)</f>
        <v>#N/A</v>
      </c>
      <c r="C157" s="86"/>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186" t="e">
        <f>VLOOKUP(C158,Lists!I:J,2,FALSE)</f>
        <v>#N/A</v>
      </c>
      <c r="C158" s="88"/>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187" t="e">
        <f>VLOOKUP(C159,Lists!I:J,2,FALSE)</f>
        <v>#N/A</v>
      </c>
      <c r="C159" s="86"/>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186" t="e">
        <f>VLOOKUP(C160,Lists!I:J,2,FALSE)</f>
        <v>#N/A</v>
      </c>
      <c r="C160" s="88"/>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187" t="e">
        <f>VLOOKUP(C161,Lists!I:J,2,FALSE)</f>
        <v>#N/A</v>
      </c>
      <c r="C161" s="86"/>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186" t="e">
        <f>VLOOKUP(C162,Lists!I:J,2,FALSE)</f>
        <v>#N/A</v>
      </c>
      <c r="C162" s="88"/>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188" t="e">
        <f>VLOOKUP(C163,Lists!I:J,2,FALSE)</f>
        <v>#N/A</v>
      </c>
      <c r="C163" s="90"/>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E00-000000000000}">
      <formula1>#REF!</formula1>
    </dataValidation>
    <dataValidation type="list" allowBlank="1" sqref="F2:F163" xr:uid="{00000000-0002-0000-0E00-000002000000}">
      <formula1>"Yellow,Red"</formula1>
    </dataValidation>
    <dataValidation type="custom" allowBlank="1" showDropDown="1" sqref="S4:T14 AC4:AD14 S17:T25 AC17:AD25 AC30:AD46 S30:T46 AC51:AD60 S51:T60 S65:T72 AC65:AD72 S77:T84 AC77:AD84 A2:A163 G2:L163" xr:uid="{00000000-0002-0000-0E00-000003000000}">
      <formula1>AND(ISNUMBER(A2),(NOT(OR(NOT(ISERROR(DATEVALUE(A2))), AND(ISNUMBER(A2), LEFT(CELL("format", A2))="D")))))</formula1>
    </dataValidation>
    <dataValidation allowBlank="1" showDropDown="1" sqref="E2:E163" xr:uid="{00000000-0002-0000-0E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26" t="s">
        <v>463</v>
      </c>
      <c r="B1" s="26" t="s">
        <v>5</v>
      </c>
      <c r="C1" s="26" t="s">
        <v>2</v>
      </c>
      <c r="D1" s="26" t="s">
        <v>3</v>
      </c>
      <c r="E1" s="26" t="s">
        <v>1</v>
      </c>
      <c r="F1" s="26" t="s">
        <v>464</v>
      </c>
      <c r="G1" s="26" t="s">
        <v>465</v>
      </c>
      <c r="H1" s="27" t="s">
        <v>466</v>
      </c>
      <c r="I1" s="28" t="s">
        <v>467</v>
      </c>
      <c r="J1" s="27" t="s">
        <v>468</v>
      </c>
      <c r="K1" s="27" t="s">
        <v>469</v>
      </c>
      <c r="L1" s="27" t="s">
        <v>470</v>
      </c>
      <c r="M1" s="29" t="s">
        <v>471</v>
      </c>
      <c r="N1" s="29" t="s">
        <v>472</v>
      </c>
      <c r="O1" s="30" t="s">
        <v>473</v>
      </c>
      <c r="P1" s="30" t="s">
        <v>474</v>
      </c>
      <c r="Q1" s="31"/>
      <c r="R1" s="31"/>
      <c r="S1" s="31"/>
      <c r="T1" s="31"/>
      <c r="U1" s="31"/>
      <c r="V1" s="31"/>
      <c r="W1" s="31"/>
      <c r="X1" s="31"/>
      <c r="Y1" s="31"/>
      <c r="Z1" s="31"/>
      <c r="AA1" s="31"/>
      <c r="AB1" s="31"/>
      <c r="AC1" s="31"/>
      <c r="AD1" s="31"/>
    </row>
    <row r="2" spans="1:30" ht="22.5" customHeight="1">
      <c r="A2" s="32">
        <v>1</v>
      </c>
      <c r="B2" s="87" t="str">
        <f>VLOOKUP(C2,Lists!I:J,2,FALSE)</f>
        <v>Melee DPS</v>
      </c>
      <c r="C2" s="87" t="str">
        <f>VLOOKUP(E2,Lists!D:E,2,FALSE)</f>
        <v>Greatsword/Spear</v>
      </c>
      <c r="D2" s="35" t="s">
        <v>34</v>
      </c>
      <c r="E2" s="36" t="s">
        <v>145</v>
      </c>
      <c r="F2" s="35" t="s">
        <v>476</v>
      </c>
      <c r="G2" s="32">
        <v>54</v>
      </c>
      <c r="H2" s="32">
        <v>106</v>
      </c>
      <c r="I2" s="84">
        <f t="shared" ref="I2:I97" si="0">SUM(G2:H2)</f>
        <v>160</v>
      </c>
      <c r="J2" s="37">
        <v>3255471</v>
      </c>
      <c r="K2" s="37">
        <v>1431455</v>
      </c>
      <c r="L2" s="37">
        <v>25046</v>
      </c>
      <c r="M2" s="38">
        <f>I2/(HLOOKUP(F2,Team_Composition_23[[#All],[Yellow]:[Red]],10,FALSE)+HLOOKUP(F2,Team_Composition_23[[#All],[Yellow]:[Red]],11,FALSE))</f>
        <v>3.9990002499375156E-2</v>
      </c>
      <c r="N2" s="38">
        <f>J2/HLOOKUP(F2,Team_Composition_23[[#All],[Yellow]:[Red]],6,FALSE)</f>
        <v>7.338159347830972E-2</v>
      </c>
      <c r="O2" s="38">
        <f>K2/HLOOKUP(F2,Team_Composition_23[[#All],[Yellow]:[Red]],8,FALSE)</f>
        <v>8.1709821635237601E-2</v>
      </c>
      <c r="P2" s="38">
        <f>L2/HLOOKUP(F2,Team_Composition_23[[#All],[Yellow]:[Red]],7,FALSE)</f>
        <v>1.9348348607708407E-3</v>
      </c>
      <c r="Q2" s="31"/>
      <c r="R2" s="227" t="s">
        <v>477</v>
      </c>
      <c r="S2" s="228"/>
      <c r="T2" s="228"/>
      <c r="U2" s="31"/>
      <c r="V2" s="229" t="s">
        <v>478</v>
      </c>
      <c r="W2" s="228"/>
      <c r="X2" s="39"/>
      <c r="Y2" s="229" t="s">
        <v>479</v>
      </c>
      <c r="Z2" s="228"/>
      <c r="AA2" s="31"/>
      <c r="AB2" s="227" t="s">
        <v>480</v>
      </c>
      <c r="AC2" s="228"/>
      <c r="AD2" s="228"/>
    </row>
    <row r="3" spans="1:30" ht="22.5" customHeight="1">
      <c r="A3" s="32">
        <v>2</v>
      </c>
      <c r="B3" s="87" t="str">
        <f>VLOOKUP(C3,Lists!I:J,2,FALSE)</f>
        <v>Melee DPS</v>
      </c>
      <c r="C3" s="87" t="str">
        <f>VLOOKUP(E3,Lists!D:E,2,FALSE)</f>
        <v>Greatsword/Spear</v>
      </c>
      <c r="D3" s="35" t="s">
        <v>34</v>
      </c>
      <c r="E3" s="36" t="s">
        <v>147</v>
      </c>
      <c r="F3" s="35" t="s">
        <v>476</v>
      </c>
      <c r="G3" s="32">
        <v>54</v>
      </c>
      <c r="H3" s="32">
        <v>95</v>
      </c>
      <c r="I3" s="84">
        <f t="shared" si="0"/>
        <v>149</v>
      </c>
      <c r="J3" s="37">
        <v>2833226</v>
      </c>
      <c r="K3" s="37">
        <v>1618413</v>
      </c>
      <c r="L3" s="37">
        <v>15597</v>
      </c>
      <c r="M3" s="38">
        <f>I3/(HLOOKUP(F3,Team_Composition_23[[#All],[Yellow]:[Red]],10,FALSE)+HLOOKUP(F3,Team_Composition_23[[#All],[Yellow]:[Red]],11,FALSE))</f>
        <v>3.7240689827543111E-2</v>
      </c>
      <c r="N3" s="38">
        <f>J3/HLOOKUP(F3,Team_Composition_23[[#All],[Yellow]:[Red]],6,FALSE)</f>
        <v>6.3863766122990356E-2</v>
      </c>
      <c r="O3" s="38">
        <f>K3/HLOOKUP(F3,Team_Composition_23[[#All],[Yellow]:[Red]],8,FALSE)</f>
        <v>9.2381693844479779E-2</v>
      </c>
      <c r="P3" s="38">
        <f>L3/HLOOKUP(F3,Team_Composition_23[[#All],[Yellow]:[Red]],7,FALSE)</f>
        <v>1.2048877794235727E-3</v>
      </c>
      <c r="Q3" s="31"/>
      <c r="R3" s="41" t="s">
        <v>482</v>
      </c>
      <c r="S3" s="42" t="s">
        <v>476</v>
      </c>
      <c r="T3" s="42" t="s">
        <v>483</v>
      </c>
      <c r="U3" s="31"/>
      <c r="V3" s="43" t="s">
        <v>1</v>
      </c>
      <c r="W3" s="44" t="s">
        <v>467</v>
      </c>
      <c r="X3" s="31"/>
      <c r="Y3" s="43" t="s">
        <v>1</v>
      </c>
      <c r="Z3" s="44" t="s">
        <v>484</v>
      </c>
      <c r="AA3" s="31"/>
      <c r="AB3" s="41" t="s">
        <v>482</v>
      </c>
      <c r="AC3" s="42" t="s">
        <v>7</v>
      </c>
      <c r="AD3" s="42" t="s">
        <v>527</v>
      </c>
    </row>
    <row r="4" spans="1:30" ht="22.5" customHeight="1">
      <c r="A4" s="32">
        <v>3</v>
      </c>
      <c r="B4" s="87" t="str">
        <f>VLOOKUP(C4,Lists!I:J,2,FALSE)</f>
        <v>Ranged DPS</v>
      </c>
      <c r="C4" s="87" t="str">
        <f>VLOOKUP(E4,Lists!D:E,2,FALSE)</f>
        <v>Staff/Longbow</v>
      </c>
      <c r="D4" s="35" t="s">
        <v>30</v>
      </c>
      <c r="E4" s="36" t="s">
        <v>224</v>
      </c>
      <c r="F4" s="35" t="s">
        <v>483</v>
      </c>
      <c r="G4" s="32">
        <v>45</v>
      </c>
      <c r="H4" s="32">
        <v>88</v>
      </c>
      <c r="I4" s="84">
        <f t="shared" si="0"/>
        <v>133</v>
      </c>
      <c r="J4" s="37">
        <v>3974954</v>
      </c>
      <c r="K4" s="37">
        <v>825643</v>
      </c>
      <c r="L4" s="37">
        <v>53033</v>
      </c>
      <c r="M4" s="38">
        <f>I4/(HLOOKUP(F4,Team_Composition_23[[#All],[Yellow]:[Red]],10,FALSE)+HLOOKUP(F4,Team_Composition_23[[#All],[Yellow]:[Red]],11,FALSE))</f>
        <v>0.16199756394640683</v>
      </c>
      <c r="N4" s="38">
        <f>J4/HLOOKUP(F4,Team_Composition_23[[#All],[Yellow]:[Red]],6,FALSE)</f>
        <v>0.22526850474670318</v>
      </c>
      <c r="O4" s="38">
        <f>K4/HLOOKUP(F4,Team_Composition_23[[#All],[Yellow]:[Red]],8,FALSE)</f>
        <v>1.8757819042729478E-2</v>
      </c>
      <c r="P4" s="38">
        <f>L4/HLOOKUP(F4,Team_Composition_23[[#All],[Yellow]:[Red]],7,FALSE)</f>
        <v>2.185268923067845E-3</v>
      </c>
      <c r="Q4" s="31"/>
      <c r="R4" s="45" t="s">
        <v>25</v>
      </c>
      <c r="S4" s="46">
        <f>COUNTIFS(Scoreboard_30[Role],R4,Scoreboard_30[Team],"Yellow")</f>
        <v>4</v>
      </c>
      <c r="T4" s="47">
        <f>COUNTIFS(Scoreboard_30[Role],R4,Scoreboard_30[Team],"Red")</f>
        <v>6</v>
      </c>
      <c r="U4" s="31"/>
      <c r="V4" s="48" t="str">
        <f ca="1">IFERROR(__xludf.DUMMYFUNCTION("query(A1:P238, ""Select E,I where B!='Healer' Order by I Desc Limit 10"", 0)"),"B")</f>
        <v>B</v>
      </c>
      <c r="W4" s="49">
        <f ca="1">IFERROR(__xludf.DUMMYFUNCTION("""COMPUTED_VALUE"""),160)</f>
        <v>160</v>
      </c>
      <c r="X4" s="31"/>
      <c r="Y4" s="48" t="str">
        <f ca="1">IFERROR(__xludf.DUMMYFUNCTION("query(A1:P238, ""Select E,J Order by J Desc Limit 10"", 0)"),"GUNWALLET")</f>
        <v>GUNWALLET</v>
      </c>
      <c r="Z4" s="49">
        <f ca="1">IFERROR(__xludf.DUMMYFUNCTION("""COMPUTED_VALUE"""),3974954)</f>
        <v>3974954</v>
      </c>
      <c r="AA4" s="31"/>
      <c r="AB4" s="45" t="s">
        <v>25</v>
      </c>
      <c r="AC4" s="50">
        <f>COUNTIFS(Scoreboard_30[Role],AB4,Scoreboard_30[Guild],"FTP")</f>
        <v>0</v>
      </c>
      <c r="AD4" s="51">
        <f>COUNTIFS(Scoreboard_30[Role],AB4,Scoreboard_30[Guild],"Undercooked")</f>
        <v>0</v>
      </c>
    </row>
    <row r="5" spans="1:30" ht="22.5" customHeight="1">
      <c r="A5" s="32">
        <v>12</v>
      </c>
      <c r="B5" s="87" t="str">
        <f>VLOOKUP(C5,Lists!I:J,2,FALSE)</f>
        <v>Ranged DPS</v>
      </c>
      <c r="C5" s="87" t="str">
        <f>VLOOKUP(E5,Lists!D:E,2,FALSE)</f>
        <v>Crossbow/SnS</v>
      </c>
      <c r="D5" s="35" t="s">
        <v>30</v>
      </c>
      <c r="E5" s="36" t="s">
        <v>405</v>
      </c>
      <c r="F5" s="35" t="s">
        <v>483</v>
      </c>
      <c r="G5" s="32">
        <v>35</v>
      </c>
      <c r="H5" s="32">
        <v>96</v>
      </c>
      <c r="I5" s="84">
        <f t="shared" si="0"/>
        <v>131</v>
      </c>
      <c r="J5" s="37">
        <v>2918597</v>
      </c>
      <c r="K5" s="37">
        <v>750818</v>
      </c>
      <c r="L5" s="37">
        <v>33369</v>
      </c>
      <c r="M5" s="38">
        <f>I5/(HLOOKUP(F5,Team_Composition_23[[#All],[Yellow]:[Red]],10,FALSE)+HLOOKUP(F5,Team_Composition_23[[#All],[Yellow]:[Red]],11,FALSE))</f>
        <v>0.15956151035322777</v>
      </c>
      <c r="N5" s="38">
        <f>J5/HLOOKUP(F5,Team_Composition_23[[#All],[Yellow]:[Red]],6,FALSE)</f>
        <v>0.16540266431969117</v>
      </c>
      <c r="O5" s="38">
        <f>K5/HLOOKUP(F5,Team_Composition_23[[#All],[Yellow]:[Red]],8,FALSE)</f>
        <v>1.705786663003751E-2</v>
      </c>
      <c r="P5" s="38">
        <f>L5/HLOOKUP(F5,Team_Composition_23[[#All],[Yellow]:[Red]],7,FALSE)</f>
        <v>1.3749974297861884E-3</v>
      </c>
      <c r="Q5" s="31"/>
      <c r="R5" s="45" t="s">
        <v>39</v>
      </c>
      <c r="S5" s="46">
        <f>COUNTIFS(Scoreboard_30[Role],R5,Scoreboard_30[Team],"Yellow")</f>
        <v>8</v>
      </c>
      <c r="T5" s="47">
        <f>COUNTIFS(Scoreboard_30[Role],R5,Scoreboard_30[Team],"Red")</f>
        <v>7</v>
      </c>
      <c r="U5" s="31"/>
      <c r="V5" s="48" t="str">
        <f ca="1">IFERROR(__xludf.DUMMYFUNCTION("""COMPUTED_VALUE"""),"K")</f>
        <v>K</v>
      </c>
      <c r="W5" s="49">
        <f ca="1">IFERROR(__xludf.DUMMYFUNCTION("""COMPUTED_VALUE"""),149)</f>
        <v>149</v>
      </c>
      <c r="X5" s="31"/>
      <c r="Y5" s="48" t="str">
        <f ca="1">IFERROR(__xludf.DUMMYFUNCTION("""COMPUTED_VALUE"""),"B")</f>
        <v>B</v>
      </c>
      <c r="Z5" s="49">
        <f ca="1">IFERROR(__xludf.DUMMYFUNCTION("""COMPUTED_VALUE"""),3255471)</f>
        <v>3255471</v>
      </c>
      <c r="AA5" s="31"/>
      <c r="AB5" s="45" t="s">
        <v>39</v>
      </c>
      <c r="AC5" s="50">
        <f>COUNTIFS(Scoreboard_30[Role],AB5,Scoreboard_30[Guild],"FTP")</f>
        <v>0</v>
      </c>
      <c r="AD5" s="51">
        <f>COUNTIFS(Scoreboard_30[Role],AB5,Scoreboard_30[Guild],"Undercooked")</f>
        <v>0</v>
      </c>
    </row>
    <row r="6" spans="1:30" ht="22.5" customHeight="1">
      <c r="A6" s="32">
        <v>20</v>
      </c>
      <c r="B6" s="87" t="str">
        <f>VLOOKUP(C6,Lists!I:J,2,FALSE)</f>
        <v>Ranged DPS</v>
      </c>
      <c r="C6" s="87" t="str">
        <f>VLOOKUP(E6,Lists!D:E,2,FALSE)</f>
        <v>Crossbow/SnS</v>
      </c>
      <c r="D6" s="35" t="s">
        <v>30</v>
      </c>
      <c r="E6" s="36" t="s">
        <v>399</v>
      </c>
      <c r="F6" s="35" t="s">
        <v>483</v>
      </c>
      <c r="G6" s="32">
        <v>28</v>
      </c>
      <c r="H6" s="32">
        <v>96</v>
      </c>
      <c r="I6" s="84">
        <f t="shared" si="0"/>
        <v>124</v>
      </c>
      <c r="J6" s="37">
        <v>3036908</v>
      </c>
      <c r="K6" s="37">
        <v>1272466</v>
      </c>
      <c r="L6" s="37">
        <v>56497</v>
      </c>
      <c r="M6" s="38">
        <f>I6/(HLOOKUP(F6,Team_Composition_23[[#All],[Yellow]:[Red]],10,FALSE)+HLOOKUP(F6,Team_Composition_23[[#All],[Yellow]:[Red]],11,FALSE))</f>
        <v>0.15103532277710111</v>
      </c>
      <c r="N6" s="38">
        <f>J6/HLOOKUP(F6,Team_Composition_23[[#All],[Yellow]:[Red]],6,FALSE)</f>
        <v>0.17210758268229037</v>
      </c>
      <c r="O6" s="38">
        <f>K6/HLOOKUP(F6,Team_Composition_23[[#All],[Yellow]:[Red]],8,FALSE)</f>
        <v>2.890921011384558E-2</v>
      </c>
      <c r="P6" s="38">
        <f>L6/HLOOKUP(F6,Team_Composition_23[[#All],[Yellow]:[Red]],7,FALSE)</f>
        <v>2.3280059273766153E-3</v>
      </c>
      <c r="Q6" s="31"/>
      <c r="R6" s="45" t="s">
        <v>67</v>
      </c>
      <c r="S6" s="46">
        <f>COUNTIFS(Scoreboard_30[Role],R6,Scoreboard_30[Team],"Yellow")</f>
        <v>16</v>
      </c>
      <c r="T6" s="47">
        <f>COUNTIFS(Scoreboard_30[Role],R6,Scoreboard_30[Team],"Red")</f>
        <v>10</v>
      </c>
      <c r="U6" s="31"/>
      <c r="V6" s="48" t="str">
        <f ca="1">IFERROR(__xludf.DUMMYFUNCTION("""COMPUTED_VALUE"""),"GUNWALLET")</f>
        <v>GUNWALLET</v>
      </c>
      <c r="W6" s="49">
        <f ca="1">IFERROR(__xludf.DUMMYFUNCTION("""COMPUTED_VALUE"""),133)</f>
        <v>133</v>
      </c>
      <c r="X6" s="31"/>
      <c r="Y6" s="48" t="str">
        <f ca="1">IFERROR(__xludf.DUMMYFUNCTION("""COMPUTED_VALUE"""),"HEALERTANKDPS")</f>
        <v>HEALERTANKDPS</v>
      </c>
      <c r="Z6" s="49">
        <f ca="1">IFERROR(__xludf.DUMMYFUNCTION("""COMPUTED_VALUE"""),3036908)</f>
        <v>3036908</v>
      </c>
      <c r="AA6" s="31"/>
      <c r="AB6" s="45" t="s">
        <v>67</v>
      </c>
      <c r="AC6" s="50">
        <f>COUNTIFS(Scoreboard_30[Role],AB6,Scoreboard_30[Guild],"FTP")</f>
        <v>0</v>
      </c>
      <c r="AD6" s="51">
        <f>COUNTIFS(Scoreboard_30[Role],AB6,Scoreboard_30[Guild],"Undercooked")</f>
        <v>0</v>
      </c>
    </row>
    <row r="7" spans="1:30" ht="22.5" customHeight="1">
      <c r="A7" s="32">
        <v>9</v>
      </c>
      <c r="B7" s="87" t="str">
        <f>VLOOKUP(C7,Lists!I:J,2,FALSE)</f>
        <v>Melee DPS</v>
      </c>
      <c r="C7" s="87" t="str">
        <f>VLOOKUP(E7,Lists!D:E,2,FALSE)</f>
        <v>Greatsword/Spear</v>
      </c>
      <c r="D7" s="35" t="s">
        <v>30</v>
      </c>
      <c r="E7" s="36" t="s">
        <v>398</v>
      </c>
      <c r="F7" s="35" t="s">
        <v>483</v>
      </c>
      <c r="G7" s="32">
        <v>39</v>
      </c>
      <c r="H7" s="32">
        <v>81</v>
      </c>
      <c r="I7" s="84">
        <f t="shared" si="0"/>
        <v>120</v>
      </c>
      <c r="J7" s="37">
        <v>2401341</v>
      </c>
      <c r="K7" s="37">
        <v>1080369</v>
      </c>
      <c r="L7" s="37">
        <v>130384</v>
      </c>
      <c r="M7" s="38">
        <f>I7/(HLOOKUP(F7,Team_Composition_23[[#All],[Yellow]:[Red]],10,FALSE)+HLOOKUP(F7,Team_Composition_23[[#All],[Yellow]:[Red]],11,FALSE))</f>
        <v>0.146163215590743</v>
      </c>
      <c r="N7" s="38">
        <f>J7/HLOOKUP(F7,Team_Composition_23[[#All],[Yellow]:[Red]],6,FALSE)</f>
        <v>0.13608874378343824</v>
      </c>
      <c r="O7" s="38">
        <f>K7/HLOOKUP(F7,Team_Composition_23[[#All],[Yellow]:[Red]],8,FALSE)</f>
        <v>2.4544950058771893E-2</v>
      </c>
      <c r="P7" s="38">
        <f>L7/HLOOKUP(F7,Team_Composition_23[[#All],[Yellow]:[Red]],7,FALSE)</f>
        <v>5.3725812845827675E-3</v>
      </c>
      <c r="Q7" s="31"/>
      <c r="R7" s="45" t="s">
        <v>11</v>
      </c>
      <c r="S7" s="46">
        <f>COUNTIFS(Scoreboard_30[Role],R7,Scoreboard_30[Team],"Yellow")</f>
        <v>15</v>
      </c>
      <c r="T7" s="47">
        <f>COUNTIFS(Scoreboard_30[Role],R7,Scoreboard_30[Team],"Red")</f>
        <v>17</v>
      </c>
      <c r="U7" s="31"/>
      <c r="V7" s="48" t="str">
        <f ca="1">IFERROR(__xludf.DUMMYFUNCTION("""COMPUTED_VALUE"""),"Nyvri")</f>
        <v>Nyvri</v>
      </c>
      <c r="W7" s="49">
        <f ca="1">IFERROR(__xludf.DUMMYFUNCTION("""COMPUTED_VALUE"""),131)</f>
        <v>131</v>
      </c>
      <c r="X7" s="31"/>
      <c r="Y7" s="48" t="str">
        <f ca="1">IFERROR(__xludf.DUMMYFUNCTION("""COMPUTED_VALUE"""),"Nyvri")</f>
        <v>Nyvri</v>
      </c>
      <c r="Z7" s="49">
        <f ca="1">IFERROR(__xludf.DUMMYFUNCTION("""COMPUTED_VALUE"""),2918597)</f>
        <v>2918597</v>
      </c>
      <c r="AA7" s="31"/>
      <c r="AB7" s="45" t="s">
        <v>11</v>
      </c>
      <c r="AC7" s="50">
        <f>COUNTIFS(Scoreboard_30[Role],AB7,Scoreboard_30[Guild],"FTP")</f>
        <v>0</v>
      </c>
      <c r="AD7" s="51">
        <f>COUNTIFS(Scoreboard_30[Role],AB7,Scoreboard_30[Guild],"Undercooked")</f>
        <v>0</v>
      </c>
    </row>
    <row r="8" spans="1:30" ht="22.5" customHeight="1">
      <c r="A8" s="32">
        <v>5</v>
      </c>
      <c r="B8" s="87" t="str">
        <f>VLOOKUP(C8,Lists!I:J,2,FALSE)</f>
        <v>Ranged DPS</v>
      </c>
      <c r="C8" s="87" t="s">
        <v>45</v>
      </c>
      <c r="D8" s="35" t="s">
        <v>34</v>
      </c>
      <c r="E8" s="36" t="s">
        <v>167</v>
      </c>
      <c r="F8" s="35" t="s">
        <v>476</v>
      </c>
      <c r="G8" s="32">
        <v>42</v>
      </c>
      <c r="H8" s="32">
        <v>74</v>
      </c>
      <c r="I8" s="84">
        <f t="shared" si="0"/>
        <v>116</v>
      </c>
      <c r="J8" s="37">
        <v>2883729</v>
      </c>
      <c r="K8" s="37">
        <v>1196844</v>
      </c>
      <c r="L8" s="37">
        <v>27304</v>
      </c>
      <c r="M8" s="38">
        <f>I8/(HLOOKUP(F8,Team_Composition_23[[#All],[Yellow]:[Red]],10,FALSE)+HLOOKUP(F8,Team_Composition_23[[#All],[Yellow]:[Red]],11,FALSE))</f>
        <v>2.8992751812046989E-2</v>
      </c>
      <c r="N8" s="38">
        <f>J8/HLOOKUP(F8,Team_Composition_23[[#All],[Yellow]:[Red]],6,FALSE)</f>
        <v>6.5002154582121177E-2</v>
      </c>
      <c r="O8" s="38">
        <f>K8/HLOOKUP(F8,Team_Composition_23[[#All],[Yellow]:[Red]],8,FALSE)</f>
        <v>6.8317837281091143E-2</v>
      </c>
      <c r="P8" s="38">
        <f>L8/HLOOKUP(F8,Team_Composition_23[[#All],[Yellow]:[Red]],7,FALSE)</f>
        <v>2.1092681880734263E-3</v>
      </c>
      <c r="Q8" s="31"/>
      <c r="R8" s="45" t="s">
        <v>468</v>
      </c>
      <c r="S8" s="46">
        <f>SUMIFS(Scoreboard_30[Damage Dealt],Scoreboard_30[Team],"Yellow")</f>
        <v>35142693</v>
      </c>
      <c r="T8" s="47">
        <f>SUMIFS(Scoreboard_30[Damage Dealt],Scoreboard_30[Team],"Red")</f>
        <v>42287002</v>
      </c>
      <c r="U8" s="31"/>
      <c r="V8" s="48" t="str">
        <f ca="1">IFERROR(__xludf.DUMMYFUNCTION("""COMPUTED_VALUE"""),"HEALERTANKDPS")</f>
        <v>HEALERTANKDPS</v>
      </c>
      <c r="W8" s="49">
        <f ca="1">IFERROR(__xludf.DUMMYFUNCTION("""COMPUTED_VALUE"""),124)</f>
        <v>124</v>
      </c>
      <c r="X8" s="31"/>
      <c r="Y8" s="48" t="str">
        <f ca="1">IFERROR(__xludf.DUMMYFUNCTION("""COMPUTED_VALUE"""),"charigueya")</f>
        <v>charigueya</v>
      </c>
      <c r="Z8" s="49">
        <f ca="1">IFERROR(__xludf.DUMMYFUNCTION("""COMPUTED_VALUE"""),2883729)</f>
        <v>2883729</v>
      </c>
      <c r="AA8" s="31"/>
      <c r="AB8" s="45" t="s">
        <v>468</v>
      </c>
      <c r="AC8" s="50">
        <f>SUMIFS(Scoreboard_30[Damage Dealt],Scoreboard_30[Guild],"FTP")</f>
        <v>0</v>
      </c>
      <c r="AD8" s="51">
        <f>SUMIFS(Scoreboard_30[Damage Dealt],Scoreboard_30[Guild],"Undercooked")</f>
        <v>0</v>
      </c>
    </row>
    <row r="9" spans="1:30" ht="22.5" customHeight="1">
      <c r="A9" s="32">
        <v>21</v>
      </c>
      <c r="B9" s="87" t="str">
        <f>VLOOKUP(C9,Lists!I:J,2,FALSE)</f>
        <v>Ranged DPS</v>
      </c>
      <c r="C9" s="87" t="str">
        <f>VLOOKUP(E9,Lists!D:E,2,FALSE)</f>
        <v>Staff/Dagger</v>
      </c>
      <c r="D9" s="35" t="s">
        <v>30</v>
      </c>
      <c r="E9" s="36" t="s">
        <v>231</v>
      </c>
      <c r="F9" s="35" t="s">
        <v>483</v>
      </c>
      <c r="G9" s="32">
        <v>28</v>
      </c>
      <c r="H9" s="32">
        <v>88</v>
      </c>
      <c r="I9" s="84">
        <f t="shared" si="0"/>
        <v>116</v>
      </c>
      <c r="J9" s="37">
        <v>2214881</v>
      </c>
      <c r="K9" s="37">
        <v>1116657</v>
      </c>
      <c r="L9" s="37">
        <v>0</v>
      </c>
      <c r="M9" s="38">
        <f>I9/(HLOOKUP(F9,Team_Composition_23[[#All],[Yellow]:[Red]],10,FALSE)+HLOOKUP(F9,Team_Composition_23[[#All],[Yellow]:[Red]],11,FALSE))</f>
        <v>0.14129110840438489</v>
      </c>
      <c r="N9" s="38">
        <f>J9/HLOOKUP(F9,Team_Composition_23[[#All],[Yellow]:[Red]],6,FALSE)</f>
        <v>0.12552168680741529</v>
      </c>
      <c r="O9" s="38">
        <f>K9/HLOOKUP(F9,Team_Composition_23[[#All],[Yellow]:[Red]],8,FALSE)</f>
        <v>2.5369378700960548E-2</v>
      </c>
      <c r="P9" s="38">
        <f>L9/HLOOKUP(F9,Team_Composition_23[[#All],[Yellow]:[Red]],7,FALSE)</f>
        <v>0</v>
      </c>
      <c r="Q9" s="31"/>
      <c r="R9" s="45" t="s">
        <v>470</v>
      </c>
      <c r="S9" s="46">
        <f>SUMIFS(Scoreboard_30[Amount Healed],Scoreboard_30[Team],"Yellow")</f>
        <v>27140685</v>
      </c>
      <c r="T9" s="47">
        <f>SUMIFS(Scoreboard_30[Amount Healed],Scoreboard_30[Team],"Red")</f>
        <v>22499248</v>
      </c>
      <c r="U9" s="31"/>
      <c r="V9" s="48" t="str">
        <f ca="1">IFERROR(__xludf.DUMMYFUNCTION("""COMPUTED_VALUE"""),"nightghost1")</f>
        <v>nightghost1</v>
      </c>
      <c r="W9" s="49">
        <f ca="1">IFERROR(__xludf.DUMMYFUNCTION("""COMPUTED_VALUE"""),120)</f>
        <v>120</v>
      </c>
      <c r="X9" s="31"/>
      <c r="Y9" s="48" t="str">
        <f ca="1">IFERROR(__xludf.DUMMYFUNCTION("""COMPUTED_VALUE"""),"K")</f>
        <v>K</v>
      </c>
      <c r="Z9" s="49">
        <f ca="1">IFERROR(__xludf.DUMMYFUNCTION("""COMPUTED_VALUE"""),2833226)</f>
        <v>2833226</v>
      </c>
      <c r="AA9" s="31"/>
      <c r="AB9" s="45" t="s">
        <v>470</v>
      </c>
      <c r="AC9" s="50">
        <f>SUMIFS(Scoreboard_30[Amount Healed],Scoreboard_30[Guild],"FTP")</f>
        <v>0</v>
      </c>
      <c r="AD9" s="51">
        <f>SUMIFS(Scoreboard_25[Amount Healed],Scoreboard_25[Guild],"Undercooked")</f>
        <v>16888010</v>
      </c>
    </row>
    <row r="10" spans="1:30" ht="22.5" customHeight="1">
      <c r="A10" s="32">
        <v>23</v>
      </c>
      <c r="B10" s="87" t="str">
        <f>VLOOKUP(C10,Lists!I:J,2,FALSE)</f>
        <v>Ranged DPS</v>
      </c>
      <c r="C10" s="87" t="str">
        <f>VLOOKUP(E10,Lists!D:E,2,FALSE)</f>
        <v>Staff/Orb</v>
      </c>
      <c r="D10" s="35" t="s">
        <v>30</v>
      </c>
      <c r="E10" s="36" t="s">
        <v>397</v>
      </c>
      <c r="F10" s="35" t="s">
        <v>483</v>
      </c>
      <c r="G10" s="32">
        <v>26</v>
      </c>
      <c r="H10" s="32">
        <v>88</v>
      </c>
      <c r="I10" s="84">
        <f t="shared" si="0"/>
        <v>114</v>
      </c>
      <c r="J10" s="37">
        <v>2782187</v>
      </c>
      <c r="K10" s="37">
        <v>1126586</v>
      </c>
      <c r="L10" s="37">
        <v>0</v>
      </c>
      <c r="M10" s="38">
        <f>I10/(HLOOKUP(F10,Team_Composition_23[[#All],[Yellow]:[Red]],10,FALSE)+HLOOKUP(F10,Team_Composition_23[[#All],[Yellow]:[Red]],11,FALSE))</f>
        <v>0.13885505481120586</v>
      </c>
      <c r="N10" s="38">
        <f>J10/HLOOKUP(F10,Team_Composition_23[[#All],[Yellow]:[Red]],6,FALSE)</f>
        <v>0.15767203983133285</v>
      </c>
      <c r="O10" s="38">
        <f>K10/HLOOKUP(F10,Team_Composition_23[[#All],[Yellow]:[Red]],8,FALSE)</f>
        <v>2.5594956081590264E-2</v>
      </c>
      <c r="P10" s="38">
        <f>L10/HLOOKUP(F10,Team_Composition_23[[#All],[Yellow]:[Red]],7,FALSE)</f>
        <v>0</v>
      </c>
      <c r="Q10" s="31"/>
      <c r="R10" s="45" t="s">
        <v>469</v>
      </c>
      <c r="S10" s="46">
        <f>SUMIFS(Scoreboard_30[Damage Taken],Scoreboard_30[Team],"Yellow")</f>
        <v>41901933</v>
      </c>
      <c r="T10" s="47">
        <f>SUMIFS(Scoreboard_30[Damage Taken],Scoreboard_30[Team],"Red")</f>
        <v>35300760</v>
      </c>
      <c r="U10" s="31"/>
      <c r="V10" s="48" t="str">
        <f ca="1">IFERROR(__xludf.DUMMYFUNCTION("""COMPUTED_VALUE"""),"charigueya")</f>
        <v>charigueya</v>
      </c>
      <c r="W10" s="49">
        <f ca="1">IFERROR(__xludf.DUMMYFUNCTION("""COMPUTED_VALUE"""),116)</f>
        <v>116</v>
      </c>
      <c r="X10" s="31"/>
      <c r="Y10" s="48" t="str">
        <f ca="1">IFERROR(__xludf.DUMMYFUNCTION("""COMPUTED_VALUE"""),"SuperSaiyanAndy")</f>
        <v>SuperSaiyanAndy</v>
      </c>
      <c r="Z10" s="49">
        <f ca="1">IFERROR(__xludf.DUMMYFUNCTION("""COMPUTED_VALUE"""),2782187)</f>
        <v>2782187</v>
      </c>
      <c r="AA10" s="31"/>
      <c r="AB10" s="45" t="s">
        <v>469</v>
      </c>
      <c r="AC10" s="50">
        <f>SUMIFS(Scoreboard_30[Damage Taken],Scoreboard_30[Guild],"FTP")</f>
        <v>0</v>
      </c>
      <c r="AD10" s="51">
        <f>SUMIFS(Scoreboard_30[Damage Taken],Scoreboard_30[Guild],"Undercooked")</f>
        <v>0</v>
      </c>
    </row>
    <row r="11" spans="1:30" ht="22.5" customHeight="1">
      <c r="A11" s="32">
        <v>27</v>
      </c>
      <c r="B11" s="87" t="str">
        <f>VLOOKUP(C11,Lists!I:J,2,FALSE)</f>
        <v>Ranged DPS</v>
      </c>
      <c r="C11" s="87" t="str">
        <f>VLOOKUP(E11,Lists!D:E,2,FALSE)</f>
        <v>Staff/Dagger</v>
      </c>
      <c r="D11" s="35" t="s">
        <v>34</v>
      </c>
      <c r="E11" s="36" t="s">
        <v>158</v>
      </c>
      <c r="F11" s="35" t="s">
        <v>476</v>
      </c>
      <c r="G11" s="32">
        <v>21</v>
      </c>
      <c r="H11" s="32">
        <v>89</v>
      </c>
      <c r="I11" s="84">
        <f t="shared" si="0"/>
        <v>110</v>
      </c>
      <c r="J11" s="37">
        <v>2324929</v>
      </c>
      <c r="K11" s="37">
        <v>1144606</v>
      </c>
      <c r="L11" s="37">
        <v>28324</v>
      </c>
      <c r="M11" s="38">
        <f>I11/(HLOOKUP(F11,Team_Composition_23[[#All],[Yellow]:[Red]],10,FALSE)+HLOOKUP(F11,Team_Composition_23[[#All],[Yellow]:[Red]],11,FALSE))</f>
        <v>2.749312671832042E-2</v>
      </c>
      <c r="N11" s="38">
        <f>J11/HLOOKUP(F11,Team_Composition_23[[#All],[Yellow]:[Red]],6,FALSE)</f>
        <v>5.2406240062938099E-2</v>
      </c>
      <c r="O11" s="38">
        <f>K11/HLOOKUP(F11,Team_Composition_23[[#All],[Yellow]:[Red]],8,FALSE)</f>
        <v>6.5336005744241185E-2</v>
      </c>
      <c r="P11" s="38">
        <f>L11/HLOOKUP(F11,Team_Composition_23[[#All],[Yellow]:[Red]],7,FALSE)</f>
        <v>2.188064465242885E-3</v>
      </c>
      <c r="Q11" s="31"/>
      <c r="R11" s="45" t="s">
        <v>495</v>
      </c>
      <c r="S11" s="46">
        <f ca="1">IFERROR(DIVIDE(SUMIFS(Scoreboard_30[Amount Healed],Scoreboard_30[Team],"Yellow"), SUMIFS(Scoreboard_30[Damage Taken],Scoreboard_30[Team],"Yellow"))*(100),0)</f>
        <v>0</v>
      </c>
      <c r="T11" s="47">
        <f ca="1">IFERROR(DIVIDE(SUMIFS(Scoreboard_30[Amount Healed],Scoreboard_30[Team],"Red"), SUMIFS(Scoreboard_30[Damage Taken],Scoreboard_30[Team],"Red"))*(100),0)</f>
        <v>0</v>
      </c>
      <c r="U11" s="31"/>
      <c r="V11" s="48" t="str">
        <f ca="1">IFERROR(__xludf.DUMMYFUNCTION("""COMPUTED_VALUE"""),"Sodapop")</f>
        <v>Sodapop</v>
      </c>
      <c r="W11" s="49">
        <f ca="1">IFERROR(__xludf.DUMMYFUNCTION("""COMPUTED_VALUE"""),116)</f>
        <v>116</v>
      </c>
      <c r="X11" s="31"/>
      <c r="Y11" s="48" t="str">
        <f ca="1">IFERROR(__xludf.DUMMYFUNCTION("""COMPUTED_VALUE"""),"Ryujin")</f>
        <v>Ryujin</v>
      </c>
      <c r="Z11" s="49">
        <f ca="1">IFERROR(__xludf.DUMMYFUNCTION("""COMPUTED_VALUE"""),2748270)</f>
        <v>2748270</v>
      </c>
      <c r="AA11" s="31"/>
      <c r="AB11" s="45" t="s">
        <v>495</v>
      </c>
      <c r="AC11" s="50">
        <f ca="1">IFERROR(DIVIDE(SUMIFS(Scoreboard_30[Amount Healed],Scoreboard_30[Guild],"FTP"), SUMIFS(Scoreboard_30[Damage Taken],Scoreboard_30[Guild],"FTP"))*(100),0)</f>
        <v>0</v>
      </c>
      <c r="AD11" s="51">
        <f ca="1">IFERROR(DIVIDE(SUMIFS(Scoreboard_30[Amount Healed],Scoreboard_30[Guild],"Undercooked"), SUMIFS(Scoreboard_30[Damage Taken],Scoreboard_30[Guild],"Undercooked"))*(100),0)</f>
        <v>0</v>
      </c>
    </row>
    <row r="12" spans="1:30" ht="22.5" customHeight="1">
      <c r="A12" s="32">
        <v>13</v>
      </c>
      <c r="B12" s="87" t="str">
        <f>VLOOKUP(C12,Lists!I:J,2,FALSE)</f>
        <v>Melee DPS</v>
      </c>
      <c r="C12" s="87" t="str">
        <f>VLOOKUP(E12,Lists!D:E,2,FALSE)</f>
        <v>Spear/Dagger</v>
      </c>
      <c r="D12" s="35" t="s">
        <v>34</v>
      </c>
      <c r="E12" s="36" t="s">
        <v>104</v>
      </c>
      <c r="F12" s="35" t="s">
        <v>476</v>
      </c>
      <c r="G12" s="32">
        <v>35</v>
      </c>
      <c r="H12" s="32">
        <v>70</v>
      </c>
      <c r="I12" s="84">
        <f t="shared" si="0"/>
        <v>105</v>
      </c>
      <c r="J12" s="37">
        <v>2093783</v>
      </c>
      <c r="K12" s="37">
        <v>1580235</v>
      </c>
      <c r="L12" s="37">
        <v>24371</v>
      </c>
      <c r="M12" s="38">
        <f>I12/(HLOOKUP(F12,Team_Composition_23[[#All],[Yellow]:[Red]],10,FALSE)+HLOOKUP(F12,Team_Composition_23[[#All],[Yellow]:[Red]],11,FALSE))</f>
        <v>2.6243439140214948E-2</v>
      </c>
      <c r="N12" s="38">
        <f>J12/HLOOKUP(F12,Team_Composition_23[[#All],[Yellow]:[Red]],6,FALSE)</f>
        <v>4.7195976538508794E-2</v>
      </c>
      <c r="O12" s="38">
        <f>K12/HLOOKUP(F12,Team_Composition_23[[#All],[Yellow]:[Red]],8,FALSE)</f>
        <v>9.0202430388492613E-2</v>
      </c>
      <c r="P12" s="38">
        <f>L12/HLOOKUP(F12,Team_Composition_23[[#All],[Yellow]:[Red]],7,FALSE)</f>
        <v>1.8826902655851698E-3</v>
      </c>
      <c r="Q12" s="31"/>
      <c r="R12" s="45" t="s">
        <v>465</v>
      </c>
      <c r="S12" s="46">
        <f>SUMIFS(Scoreboard_30[Kills],Scoreboard_30[Team],"Yellow")</f>
        <v>516</v>
      </c>
      <c r="T12" s="47">
        <f>SUMIFS(Scoreboard_30[Kills],Scoreboard_30[Team],"Red")</f>
        <v>610</v>
      </c>
      <c r="U12" s="31"/>
      <c r="V12" s="48" t="str">
        <f ca="1">IFERROR(__xludf.DUMMYFUNCTION("""COMPUTED_VALUE"""),"SuperSaiyanAndy")</f>
        <v>SuperSaiyanAndy</v>
      </c>
      <c r="W12" s="49">
        <f ca="1">IFERROR(__xludf.DUMMYFUNCTION("""COMPUTED_VALUE"""),114)</f>
        <v>114</v>
      </c>
      <c r="X12" s="31"/>
      <c r="Y12" s="48" t="str">
        <f ca="1">IFERROR(__xludf.DUMMYFUNCTION("""COMPUTED_VALUE"""),"nightghost1")</f>
        <v>nightghost1</v>
      </c>
      <c r="Z12" s="49">
        <f ca="1">IFERROR(__xludf.DUMMYFUNCTION("""COMPUTED_VALUE"""),2401341)</f>
        <v>2401341</v>
      </c>
      <c r="AA12" s="31"/>
      <c r="AB12" s="45" t="s">
        <v>465</v>
      </c>
      <c r="AC12" s="50">
        <f>SUMIFS(Scoreboard_30[Kills],Scoreboard_30[Guild],"FTP")</f>
        <v>0</v>
      </c>
      <c r="AD12" s="51">
        <f>SUMIFS(Scoreboard_30[Kills],Scoreboard_30[Guild],"Undercooked")</f>
        <v>0</v>
      </c>
    </row>
    <row r="13" spans="1:30" ht="22.5" customHeight="1">
      <c r="A13" s="32">
        <v>16</v>
      </c>
      <c r="B13" s="87" t="str">
        <f>VLOOKUP(C13,Lists!I:J,2,FALSE)</f>
        <v>Melee DPS</v>
      </c>
      <c r="C13" s="87" t="str">
        <f>VLOOKUP(E13,Lists!D:E,2,FALSE)</f>
        <v>Greatsword/Spear</v>
      </c>
      <c r="D13" s="35" t="s">
        <v>30</v>
      </c>
      <c r="E13" s="36" t="s">
        <v>222</v>
      </c>
      <c r="F13" s="35" t="s">
        <v>483</v>
      </c>
      <c r="G13" s="32">
        <v>30</v>
      </c>
      <c r="H13" s="32">
        <v>70</v>
      </c>
      <c r="I13" s="84">
        <f t="shared" si="0"/>
        <v>100</v>
      </c>
      <c r="J13" s="37">
        <v>1735741</v>
      </c>
      <c r="K13" s="37">
        <v>1418785</v>
      </c>
      <c r="L13" s="37">
        <v>39755</v>
      </c>
      <c r="M13" s="38">
        <f>I13/(HLOOKUP(F13,Team_Composition_23[[#All],[Yellow]:[Red]],10,FALSE)+HLOOKUP(F13,Team_Composition_23[[#All],[Yellow]:[Red]],11,FALSE))</f>
        <v>0.1218026796589525</v>
      </c>
      <c r="N13" s="38">
        <f>J13/HLOOKUP(F13,Team_Composition_23[[#All],[Yellow]:[Red]],6,FALSE)</f>
        <v>9.8367875376053987E-2</v>
      </c>
      <c r="O13" s="38">
        <f>K13/HLOOKUP(F13,Team_Composition_23[[#All],[Yellow]:[Red]],8,FALSE)</f>
        <v>3.2233437806096513E-2</v>
      </c>
      <c r="P13" s="38">
        <f>L13/HLOOKUP(F13,Team_Composition_23[[#All],[Yellow]:[Red]],7,FALSE)</f>
        <v>1.638137877105994E-3</v>
      </c>
      <c r="Q13" s="31"/>
      <c r="R13" s="45" t="s">
        <v>466</v>
      </c>
      <c r="S13" s="46">
        <f>SUMIFS(Scoreboard_30[Assists],Scoreboard_30[Team],"Yellow")</f>
        <v>2214</v>
      </c>
      <c r="T13" s="47">
        <f>SUMIFS(Scoreboard_30[Assists],Scoreboard_30[Team],"Red")</f>
        <v>2528</v>
      </c>
      <c r="U13" s="31"/>
      <c r="V13" s="48" t="str">
        <f ca="1">IFERROR(__xludf.DUMMYFUNCTION("""COMPUTED_VALUE"""),"Ceviche")</f>
        <v>Ceviche</v>
      </c>
      <c r="W13" s="49">
        <f ca="1">IFERROR(__xludf.DUMMYFUNCTION("""COMPUTED_VALUE"""),110)</f>
        <v>110</v>
      </c>
      <c r="X13" s="31"/>
      <c r="Y13" s="48" t="str">
        <f ca="1">IFERROR(__xludf.DUMMYFUNCTION("""COMPUTED_VALUE"""),"Ceviche")</f>
        <v>Ceviche</v>
      </c>
      <c r="Z13" s="49">
        <f ca="1">IFERROR(__xludf.DUMMYFUNCTION("""COMPUTED_VALUE"""),2324929)</f>
        <v>2324929</v>
      </c>
      <c r="AA13" s="31"/>
      <c r="AB13" s="45" t="s">
        <v>466</v>
      </c>
      <c r="AC13" s="50">
        <f>SUMIFS(Scoreboard_30[Assists],Scoreboard_30[Guild],"FTP")</f>
        <v>0</v>
      </c>
      <c r="AD13" s="51">
        <f>SUMIFS(Scoreboard_30[Assists],Scoreboard_30[Guild],"Undercooked")</f>
        <v>0</v>
      </c>
    </row>
    <row r="14" spans="1:30" ht="22.5" customHeight="1">
      <c r="A14" s="32">
        <v>7</v>
      </c>
      <c r="B14" s="87" t="str">
        <f>VLOOKUP(C14,Lists!I:J,2,FALSE)</f>
        <v>KS</v>
      </c>
      <c r="C14" s="87" t="str">
        <f>VLOOKUP(E14,Lists!D:E,2,FALSE)</f>
        <v>Greatsword/Dagger</v>
      </c>
      <c r="D14" s="35" t="s">
        <v>30</v>
      </c>
      <c r="E14" s="36" t="s">
        <v>394</v>
      </c>
      <c r="F14" s="35" t="s">
        <v>483</v>
      </c>
      <c r="G14" s="32">
        <v>40</v>
      </c>
      <c r="H14" s="32">
        <v>59</v>
      </c>
      <c r="I14" s="84">
        <f t="shared" si="0"/>
        <v>99</v>
      </c>
      <c r="J14" s="37">
        <v>1753174</v>
      </c>
      <c r="K14" s="37">
        <v>1063141</v>
      </c>
      <c r="L14" s="37">
        <v>39357</v>
      </c>
      <c r="M14" s="38">
        <f>I14/(HLOOKUP(F14,Team_Composition_23[[#All],[Yellow]:[Red]],10,FALSE)+HLOOKUP(F14,Team_Composition_23[[#All],[Yellow]:[Red]],11,FALSE))</f>
        <v>0.12058465286236297</v>
      </c>
      <c r="N14" s="38">
        <f>J14/HLOOKUP(F14,Team_Composition_23[[#All],[Yellow]:[Red]],6,FALSE)</f>
        <v>9.9355837964614585E-2</v>
      </c>
      <c r="O14" s="38">
        <f>K14/HLOOKUP(F14,Team_Composition_23[[#All],[Yellow]:[Red]],8,FALSE)</f>
        <v>2.4153546381313059E-2</v>
      </c>
      <c r="P14" s="38">
        <f>L14/HLOOKUP(F14,Team_Composition_23[[#All],[Yellow]:[Red]],7,FALSE)</f>
        <v>1.6217379557102404E-3</v>
      </c>
      <c r="Q14" s="31"/>
      <c r="R14" s="48"/>
      <c r="S14" s="58">
        <f t="shared" ref="S14:T14" si="1">SUM(S4:S7)</f>
        <v>43</v>
      </c>
      <c r="T14" s="58">
        <f t="shared" si="1"/>
        <v>40</v>
      </c>
      <c r="U14" s="31"/>
      <c r="V14" s="31"/>
      <c r="W14" s="31"/>
      <c r="X14" s="31"/>
      <c r="Y14" s="31"/>
      <c r="Z14" s="31"/>
      <c r="AA14" s="31"/>
      <c r="AB14" s="48"/>
      <c r="AC14" s="58"/>
      <c r="AD14" s="58"/>
    </row>
    <row r="15" spans="1:30" ht="22.5" customHeight="1">
      <c r="A15" s="32">
        <v>63</v>
      </c>
      <c r="B15" s="87" t="str">
        <f>VLOOKUP(C15,Lists!I:J,2,FALSE)</f>
        <v>Healer</v>
      </c>
      <c r="C15" s="87" t="str">
        <f>VLOOKUP(E15,Lists!D:E,2,FALSE)</f>
        <v>Wand/Orb</v>
      </c>
      <c r="D15" s="35" t="s">
        <v>34</v>
      </c>
      <c r="E15" s="36" t="s">
        <v>146</v>
      </c>
      <c r="F15" s="35" t="s">
        <v>476</v>
      </c>
      <c r="G15" s="32">
        <v>0</v>
      </c>
      <c r="H15" s="32">
        <v>99</v>
      </c>
      <c r="I15" s="84">
        <f t="shared" si="0"/>
        <v>99</v>
      </c>
      <c r="J15" s="37">
        <v>11867</v>
      </c>
      <c r="K15" s="37">
        <v>324669</v>
      </c>
      <c r="L15" s="37">
        <v>1793947</v>
      </c>
      <c r="M15" s="38">
        <f>I15/(HLOOKUP(F15,Team_Composition_23[[#All],[Yellow]:[Red]],10,FALSE)+HLOOKUP(F15,Team_Composition_23[[#All],[Yellow]:[Red]],11,FALSE))</f>
        <v>2.4743814046488379E-2</v>
      </c>
      <c r="N15" s="38">
        <f>J15/HLOOKUP(F15,Team_Composition_23[[#All],[Yellow]:[Red]],6,FALSE)</f>
        <v>2.6749412598272307E-4</v>
      </c>
      <c r="O15" s="38">
        <f>K15/HLOOKUP(F15,Team_Composition_23[[#All],[Yellow]:[Red]],8,FALSE)</f>
        <v>1.8532644114199158E-2</v>
      </c>
      <c r="P15" s="38">
        <f>L15/HLOOKUP(F15,Team_Composition_23[[#All],[Yellow]:[Red]],7,FALSE)</f>
        <v>0.13858465199933193</v>
      </c>
      <c r="Q15" s="31"/>
      <c r="R15" s="227" t="s">
        <v>25</v>
      </c>
      <c r="S15" s="228"/>
      <c r="T15" s="228"/>
      <c r="U15" s="31"/>
      <c r="V15" s="229" t="s">
        <v>496</v>
      </c>
      <c r="W15" s="228"/>
      <c r="X15" s="31"/>
      <c r="Y15" s="229" t="s">
        <v>497</v>
      </c>
      <c r="Z15" s="228"/>
      <c r="AA15" s="31"/>
      <c r="AB15" s="227" t="s">
        <v>25</v>
      </c>
      <c r="AC15" s="228"/>
      <c r="AD15" s="228"/>
    </row>
    <row r="16" spans="1:30" ht="22.5" customHeight="1">
      <c r="A16" s="32">
        <v>6</v>
      </c>
      <c r="B16" s="87" t="str">
        <f>VLOOKUP(C16,Lists!I:J,2,FALSE)</f>
        <v>Melee DPS</v>
      </c>
      <c r="C16" s="87" t="str">
        <f>VLOOKUP(E16,Lists!D:E,2,FALSE)</f>
        <v>Spear/Dagger</v>
      </c>
      <c r="D16" s="35" t="s">
        <v>30</v>
      </c>
      <c r="E16" s="36" t="s">
        <v>228</v>
      </c>
      <c r="F16" s="35" t="s">
        <v>483</v>
      </c>
      <c r="G16" s="32">
        <v>42</v>
      </c>
      <c r="H16" s="32">
        <v>55</v>
      </c>
      <c r="I16" s="84">
        <f t="shared" si="0"/>
        <v>97</v>
      </c>
      <c r="J16" s="37">
        <v>2128539</v>
      </c>
      <c r="K16" s="37">
        <v>834631</v>
      </c>
      <c r="L16" s="37">
        <v>193</v>
      </c>
      <c r="M16" s="38">
        <f>I16/(HLOOKUP(F16,Team_Composition_23[[#All],[Yellow]:[Red]],10,FALSE)+HLOOKUP(F16,Team_Composition_23[[#All],[Yellow]:[Red]],11,FALSE))</f>
        <v>0.11814859926918392</v>
      </c>
      <c r="N16" s="38">
        <f>J16/HLOOKUP(F16,Team_Composition_23[[#All],[Yellow]:[Red]],6,FALSE)</f>
        <v>0.1206285149023216</v>
      </c>
      <c r="O16" s="38">
        <f>K16/HLOOKUP(F16,Team_Composition_23[[#All],[Yellow]:[Red]],8,FALSE)</f>
        <v>1.8962017803641946E-2</v>
      </c>
      <c r="P16" s="38">
        <f>L16/HLOOKUP(F16,Team_Composition_23[[#All],[Yellow]:[Red]],7,FALSE)</f>
        <v>7.9527257019609327E-6</v>
      </c>
      <c r="Q16" s="31"/>
      <c r="R16" s="41" t="s">
        <v>482</v>
      </c>
      <c r="S16" s="42" t="s">
        <v>476</v>
      </c>
      <c r="T16" s="42" t="s">
        <v>483</v>
      </c>
      <c r="U16" s="31"/>
      <c r="V16" s="43" t="s">
        <v>1</v>
      </c>
      <c r="W16" s="44" t="s">
        <v>498</v>
      </c>
      <c r="X16" s="31"/>
      <c r="Y16" s="43" t="s">
        <v>1</v>
      </c>
      <c r="Z16" s="44" t="s">
        <v>499</v>
      </c>
      <c r="AA16" s="31"/>
      <c r="AB16" s="41" t="s">
        <v>482</v>
      </c>
      <c r="AC16" s="42" t="s">
        <v>7</v>
      </c>
      <c r="AD16" s="42" t="s">
        <v>527</v>
      </c>
    </row>
    <row r="17" spans="1:30" ht="22.5" customHeight="1">
      <c r="A17" s="32">
        <v>14</v>
      </c>
      <c r="B17" s="87" t="str">
        <f>VLOOKUP(C17,Lists!I:J,2,FALSE)</f>
        <v>KS</v>
      </c>
      <c r="C17" s="87" t="str">
        <f>VLOOKUP(E17,Lists!D:E,2,FALSE)</f>
        <v>Greatsword/Dagger</v>
      </c>
      <c r="D17" s="35" t="s">
        <v>30</v>
      </c>
      <c r="E17" s="36" t="s">
        <v>393</v>
      </c>
      <c r="F17" s="35" t="s">
        <v>483</v>
      </c>
      <c r="G17" s="32">
        <v>35</v>
      </c>
      <c r="H17" s="32">
        <v>62</v>
      </c>
      <c r="I17" s="84">
        <f t="shared" si="0"/>
        <v>97</v>
      </c>
      <c r="J17" s="37">
        <v>1960501</v>
      </c>
      <c r="K17" s="37">
        <v>955614</v>
      </c>
      <c r="L17" s="37">
        <v>154824</v>
      </c>
      <c r="M17" s="38">
        <f>I17/(HLOOKUP(F17,Team_Composition_23[[#All],[Yellow]:[Red]],10,FALSE)+HLOOKUP(F17,Team_Composition_23[[#All],[Yellow]:[Red]],11,FALSE))</f>
        <v>0.11814859926918392</v>
      </c>
      <c r="N17" s="38">
        <f>J17/HLOOKUP(F17,Team_Composition_23[[#All],[Yellow]:[Red]],6,FALSE)</f>
        <v>0.11110546910087923</v>
      </c>
      <c r="O17" s="38">
        <f>K17/HLOOKUP(F17,Team_Composition_23[[#All],[Yellow]:[Red]],8,FALSE)</f>
        <v>2.171063581559934E-2</v>
      </c>
      <c r="P17" s="38">
        <f>L17/HLOOKUP(F17,Team_Composition_23[[#All],[Yellow]:[Red]],7,FALSE)</f>
        <v>6.3796518346134678E-3</v>
      </c>
      <c r="Q17" s="31"/>
      <c r="R17" s="45" t="s">
        <v>468</v>
      </c>
      <c r="S17" s="46">
        <f>SUMIFS(Scoreboard_30[Damage Dealt],Scoreboard_30[Role],"Melee DPS",Scoreboard_30[Team],"Yellow")</f>
        <v>9468034</v>
      </c>
      <c r="T17" s="47">
        <f>SUMIFS(Scoreboard_30[Damage Dealt],Scoreboard_30[Role],"Melee DPS",Scoreboard_30[Team],"Red")</f>
        <v>10503822</v>
      </c>
      <c r="U17" s="31"/>
      <c r="V17" s="48" t="str">
        <f ca="1">IFERROR(__xludf.DUMMYFUNCTION("query(A1:P238, ""Select E,K Order by K Desc Limit 10"", 0)"),"RayPeat")</f>
        <v>RayPeat</v>
      </c>
      <c r="W17" s="49">
        <f ca="1">IFERROR(__xludf.DUMMYFUNCTION("""COMPUTED_VALUE"""),1700333)</f>
        <v>1700333</v>
      </c>
      <c r="X17" s="31"/>
      <c r="Y17" s="48" t="str">
        <f ca="1">IFERROR(__xludf.DUMMYFUNCTION("query(A1:P238, ""Select E,L Order by L Desc Limit 10"", 0)"),"EgirlWaifu")</f>
        <v>EgirlWaifu</v>
      </c>
      <c r="Z17" s="49">
        <f ca="1">IFERROR(__xludf.DUMMYFUNCTION("""COMPUTED_VALUE"""),3185448)</f>
        <v>3185448</v>
      </c>
      <c r="AA17" s="31"/>
      <c r="AB17" s="45" t="s">
        <v>468</v>
      </c>
      <c r="AC17" s="50">
        <f>SUMIFS(Scoreboard_30[Damage Dealt],Scoreboard_30[Role],"Melee DPS",Scoreboard_30[Guild],"FTP")</f>
        <v>0</v>
      </c>
      <c r="AD17" s="51">
        <f>SUMIFS(Scoreboard_30[Damage Dealt],Scoreboard_30[Role],"Melee DPS",Scoreboard_30[Guild],"Undercooked")</f>
        <v>0</v>
      </c>
    </row>
    <row r="18" spans="1:30" ht="22.5" customHeight="1">
      <c r="A18" s="32">
        <v>15</v>
      </c>
      <c r="B18" s="87" t="str">
        <f>VLOOKUP(C18,Lists!I:J,2,FALSE)</f>
        <v>Ranged DPS</v>
      </c>
      <c r="C18" s="87" t="str">
        <f>VLOOKUP(E18,Lists!D:E,2,FALSE)</f>
        <v>Staff/Orb</v>
      </c>
      <c r="D18" s="35" t="s">
        <v>34</v>
      </c>
      <c r="E18" s="36" t="s">
        <v>156</v>
      </c>
      <c r="F18" s="35" t="s">
        <v>476</v>
      </c>
      <c r="G18" s="32">
        <v>32</v>
      </c>
      <c r="H18" s="32">
        <v>64</v>
      </c>
      <c r="I18" s="84">
        <f t="shared" si="0"/>
        <v>96</v>
      </c>
      <c r="J18" s="37">
        <v>2748270</v>
      </c>
      <c r="K18" s="37">
        <v>1245545</v>
      </c>
      <c r="L18" s="37">
        <v>12064</v>
      </c>
      <c r="M18" s="38">
        <f>I18/(HLOOKUP(F18,Team_Composition_23[[#All],[Yellow]:[Red]],10,FALSE)+HLOOKUP(F18,Team_Composition_23[[#All],[Yellow]:[Red]],11,FALSE))</f>
        <v>2.3994001499625092E-2</v>
      </c>
      <c r="N18" s="38">
        <f>J18/HLOOKUP(F18,Team_Composition_23[[#All],[Yellow]:[Red]],6,FALSE)</f>
        <v>6.1948772361552065E-2</v>
      </c>
      <c r="O18" s="38">
        <f>K18/HLOOKUP(F18,Team_Composition_23[[#All],[Yellow]:[Red]],8,FALSE)</f>
        <v>7.10977710012973E-2</v>
      </c>
      <c r="P18" s="38">
        <f>L18/HLOOKUP(F18,Team_Composition_23[[#All],[Yellow]:[Red]],7,FALSE)</f>
        <v>9.3195910565916403E-4</v>
      </c>
      <c r="Q18" s="31"/>
      <c r="R18" s="45" t="s">
        <v>469</v>
      </c>
      <c r="S18" s="46">
        <f>SUMIFS(Scoreboard_30[Damage Taken],Scoreboard_30[Role],"Melee DPS",Scoreboard_30[Team],"Yellow")</f>
        <v>6013346</v>
      </c>
      <c r="T18" s="47">
        <f>SUMIFS(Scoreboard_30[Damage Taken],Scoreboard_30[Role],"Melee DPS",Scoreboard_30[Team],"Red")</f>
        <v>5943498</v>
      </c>
      <c r="U18" s="31"/>
      <c r="V18" s="48" t="str">
        <f ca="1">IFERROR(__xludf.DUMMYFUNCTION("""COMPUTED_VALUE"""),"Basilieus")</f>
        <v>Basilieus</v>
      </c>
      <c r="W18" s="49">
        <f ca="1">IFERROR(__xludf.DUMMYFUNCTION("""COMPUTED_VALUE"""),1685962)</f>
        <v>1685962</v>
      </c>
      <c r="X18" s="31"/>
      <c r="Y18" s="48" t="str">
        <f ca="1">IFERROR(__xludf.DUMMYFUNCTION("""COMPUTED_VALUE"""),"Z")</f>
        <v>Z</v>
      </c>
      <c r="Z18" s="49">
        <f ca="1">IFERROR(__xludf.DUMMYFUNCTION("""COMPUTED_VALUE"""),2674789)</f>
        <v>2674789</v>
      </c>
      <c r="AA18" s="31"/>
      <c r="AB18" s="45" t="s">
        <v>469</v>
      </c>
      <c r="AC18" s="50">
        <f>SUMIFS(Scoreboard_30[Damage Taken],Scoreboard_30[Role],"Melee DPS",Scoreboard_30[Guild],"FTP")</f>
        <v>0</v>
      </c>
      <c r="AD18" s="51">
        <f>SUMIFS(Scoreboard_30[Damage Taken],Scoreboard_30[Role],"Melee DPS",Scoreboard_30[Guild],"Undercooked")</f>
        <v>0</v>
      </c>
    </row>
    <row r="19" spans="1:30" ht="22.5" customHeight="1">
      <c r="A19" s="32">
        <v>46</v>
      </c>
      <c r="B19" s="87" t="str">
        <f>VLOOKUP(C19,Lists!I:J,2,FALSE)</f>
        <v>Healer</v>
      </c>
      <c r="C19" s="87" t="str">
        <f>VLOOKUP(E19,Lists!D:E,2,FALSE)</f>
        <v>Wand/Longbow</v>
      </c>
      <c r="D19" s="35" t="s">
        <v>34</v>
      </c>
      <c r="E19" s="36" t="s">
        <v>149</v>
      </c>
      <c r="F19" s="35" t="s">
        <v>476</v>
      </c>
      <c r="G19" s="32">
        <v>1</v>
      </c>
      <c r="H19" s="32">
        <v>93</v>
      </c>
      <c r="I19" s="84">
        <f t="shared" si="0"/>
        <v>94</v>
      </c>
      <c r="J19" s="37">
        <v>70234</v>
      </c>
      <c r="K19" s="37">
        <v>787635</v>
      </c>
      <c r="L19" s="37">
        <v>2674789</v>
      </c>
      <c r="M19" s="38">
        <f>I19/(HLOOKUP(F19,Team_Composition_23[[#All],[Yellow]:[Red]],10,FALSE)+HLOOKUP(F19,Team_Composition_23[[#All],[Yellow]:[Red]],11,FALSE))</f>
        <v>2.3494126468382906E-2</v>
      </c>
      <c r="N19" s="38">
        <f>J19/HLOOKUP(F19,Team_Composition_23[[#All],[Yellow]:[Red]],6,FALSE)</f>
        <v>1.5831450614536592E-3</v>
      </c>
      <c r="O19" s="38">
        <f>K19/HLOOKUP(F19,Team_Composition_23[[#All],[Yellow]:[Red]],8,FALSE)</f>
        <v>4.4959509983667226E-2</v>
      </c>
      <c r="P19" s="38">
        <f>L19/HLOOKUP(F19,Team_Composition_23[[#All],[Yellow]:[Red]],7,FALSE)</f>
        <v>0.20663079942531248</v>
      </c>
      <c r="Q19" s="31"/>
      <c r="R19" s="45" t="s">
        <v>470</v>
      </c>
      <c r="S19" s="46">
        <f>SUMIFS(Scoreboard_30[Amount Healed],Scoreboard_30[Role],"Melee DPS",Scoreboard_30[Team],"Yellow")</f>
        <v>73206</v>
      </c>
      <c r="T19" s="47">
        <f>SUMIFS(Scoreboard_30[Amount Healed],Scoreboard_30[Role],"Melee DPS",Scoreboard_30[Team],"Red")</f>
        <v>488837</v>
      </c>
      <c r="U19" s="31"/>
      <c r="V19" s="48" t="str">
        <f ca="1">IFERROR(__xludf.DUMMYFUNCTION("""COMPUTED_VALUE"""),"K")</f>
        <v>K</v>
      </c>
      <c r="W19" s="49">
        <f ca="1">IFERROR(__xludf.DUMMYFUNCTION("""COMPUTED_VALUE"""),1618413)</f>
        <v>1618413</v>
      </c>
      <c r="X19" s="31"/>
      <c r="Y19" s="48" t="str">
        <f ca="1">IFERROR(__xludf.DUMMYFUNCTION("""COMPUTED_VALUE"""),"apgonzo")</f>
        <v>apgonzo</v>
      </c>
      <c r="Z19" s="49">
        <f ca="1">IFERROR(__xludf.DUMMYFUNCTION("""COMPUTED_VALUE"""),2552089)</f>
        <v>2552089</v>
      </c>
      <c r="AA19" s="31"/>
      <c r="AB19" s="45" t="s">
        <v>470</v>
      </c>
      <c r="AC19" s="50">
        <f>SUMIFS(Scoreboard_30[Amount Healed],Scoreboard_30[Role],"Melee DPS",Scoreboard_30[Guild],"FTP")</f>
        <v>0</v>
      </c>
      <c r="AD19" s="51">
        <f>SUMIFS(Scoreboard_30[Amount Healed],Scoreboard_30[Role],"Melee DPS",Scoreboard_30[Guild],"Undercooked")</f>
        <v>0</v>
      </c>
    </row>
    <row r="20" spans="1:30" ht="22.5" customHeight="1">
      <c r="A20" s="32">
        <v>17</v>
      </c>
      <c r="B20" s="87" t="str">
        <f>VLOOKUP(C20,Lists!I:J,2,FALSE)</f>
        <v>KS</v>
      </c>
      <c r="C20" s="87" t="str">
        <f>VLOOKUP(E20,Lists!D:E,2,FALSE)</f>
        <v>Crossbow/Dagger</v>
      </c>
      <c r="D20" s="35" t="s">
        <v>30</v>
      </c>
      <c r="E20" s="36" t="s">
        <v>401</v>
      </c>
      <c r="F20" s="35" t="s">
        <v>483</v>
      </c>
      <c r="G20" s="32">
        <v>29</v>
      </c>
      <c r="H20" s="32">
        <v>64</v>
      </c>
      <c r="I20" s="84">
        <f t="shared" si="0"/>
        <v>93</v>
      </c>
      <c r="J20" s="37">
        <v>1745444</v>
      </c>
      <c r="K20" s="37">
        <v>355681</v>
      </c>
      <c r="L20" s="37">
        <v>0</v>
      </c>
      <c r="M20" s="38">
        <f>I20/(HLOOKUP(F20,Team_Composition_23[[#All],[Yellow]:[Red]],10,FALSE)+HLOOKUP(F20,Team_Composition_23[[#All],[Yellow]:[Red]],11,FALSE))</f>
        <v>0.11327649208282582</v>
      </c>
      <c r="N20" s="38">
        <f>J20/HLOOKUP(F20,Team_Composition_23[[#All],[Yellow]:[Red]],6,FALSE)</f>
        <v>9.8917763576409842E-2</v>
      </c>
      <c r="O20" s="38">
        <f>K20/HLOOKUP(F20,Team_Composition_23[[#All],[Yellow]:[Red]],8,FALSE)</f>
        <v>8.0807320293844465E-3</v>
      </c>
      <c r="P20" s="38">
        <f>L20/HLOOKUP(F20,Team_Composition_23[[#All],[Yellow]:[Red]],7,FALSE)</f>
        <v>0</v>
      </c>
      <c r="Q20" s="31"/>
      <c r="R20" s="45" t="s">
        <v>465</v>
      </c>
      <c r="S20" s="46">
        <f>SUMIFS(Scoreboard_30[Kills],Scoreboard_30[Role],"Melee DPS",Scoreboard_30[Team],"Yellow")</f>
        <v>160</v>
      </c>
      <c r="T20" s="47">
        <f>SUMIFS(Scoreboard_30[Kills],Scoreboard_30[Role],"Melee DPS",Scoreboard_30[Team],"Red")</f>
        <v>171</v>
      </c>
      <c r="U20" s="31"/>
      <c r="V20" s="48" t="str">
        <f ca="1">IFERROR(__xludf.DUMMYFUNCTION("""COMPUTED_VALUE"""),"Superluigi")</f>
        <v>Superluigi</v>
      </c>
      <c r="W20" s="49">
        <f ca="1">IFERROR(__xludf.DUMMYFUNCTION("""COMPUTED_VALUE"""),1580235)</f>
        <v>1580235</v>
      </c>
      <c r="X20" s="31"/>
      <c r="Y20" s="48" t="str">
        <f ca="1">IFERROR(__xludf.DUMMYFUNCTION("""COMPUTED_VALUE"""),"Reinnier")</f>
        <v>Reinnier</v>
      </c>
      <c r="Z20" s="49">
        <f ca="1">IFERROR(__xludf.DUMMYFUNCTION("""COMPUTED_VALUE"""),2497931)</f>
        <v>2497931</v>
      </c>
      <c r="AA20" s="31"/>
      <c r="AB20" s="45" t="s">
        <v>465</v>
      </c>
      <c r="AC20" s="50">
        <f>SUMIFS(Scoreboard_30[Kills],Scoreboard_30[Role],"Melee DPS",Scoreboard_30[Guild],"FTP")</f>
        <v>0</v>
      </c>
      <c r="AD20" s="51">
        <f>SUMIFS(Scoreboard_30[Kills],Scoreboard_30[Role],"Melee DPS",Scoreboard_30[Guild],"Undercooked")</f>
        <v>0</v>
      </c>
    </row>
    <row r="21" spans="1:30" ht="22.5" customHeight="1">
      <c r="A21" s="32">
        <v>64</v>
      </c>
      <c r="B21" s="87" t="str">
        <f>VLOOKUP(C21,Lists!I:J,2,FALSE)</f>
        <v>Healer</v>
      </c>
      <c r="C21" s="87" t="str">
        <f>VLOOKUP(E21,Lists!D:E,2,FALSE)</f>
        <v>Wand/Orb</v>
      </c>
      <c r="D21" s="35" t="s">
        <v>30</v>
      </c>
      <c r="E21" s="36" t="s">
        <v>200</v>
      </c>
      <c r="F21" s="35" t="s">
        <v>483</v>
      </c>
      <c r="G21" s="32">
        <v>0</v>
      </c>
      <c r="H21" s="32">
        <v>93</v>
      </c>
      <c r="I21" s="84">
        <f t="shared" si="0"/>
        <v>93</v>
      </c>
      <c r="J21" s="37">
        <v>363</v>
      </c>
      <c r="K21" s="37">
        <v>325754</v>
      </c>
      <c r="L21" s="37">
        <v>774632</v>
      </c>
      <c r="M21" s="38">
        <f>I21/(HLOOKUP(F21,Team_Composition_23[[#All],[Yellow]:[Red]],10,FALSE)+HLOOKUP(F21,Team_Composition_23[[#All],[Yellow]:[Red]],11,FALSE))</f>
        <v>0.11327649208282582</v>
      </c>
      <c r="N21" s="38">
        <f>J21/HLOOKUP(F21,Team_Composition_23[[#All],[Yellow]:[Red]],6,FALSE)</f>
        <v>2.0571927932512743E-5</v>
      </c>
      <c r="O21" s="38">
        <f>K21/HLOOKUP(F21,Team_Composition_23[[#All],[Yellow]:[Red]],8,FALSE)</f>
        <v>7.4008192214374711E-3</v>
      </c>
      <c r="P21" s="38">
        <f>L21/HLOOKUP(F21,Team_Composition_23[[#All],[Yellow]:[Red]],7,FALSE)</f>
        <v>3.1919356559385499E-2</v>
      </c>
      <c r="Q21" s="31"/>
      <c r="R21" s="45" t="s">
        <v>466</v>
      </c>
      <c r="S21" s="46">
        <f>SUMIFS(Scoreboard_30[Assists],Scoreboard_30[Role],"Melee DPS",Scoreboard_30[Team],"Yellow")</f>
        <v>328</v>
      </c>
      <c r="T21" s="47">
        <f>SUMIFS(Scoreboard_30[Assists],Scoreboard_30[Role],"Melee DPS",Scoreboard_30[Team],"Red")</f>
        <v>373</v>
      </c>
      <c r="U21" s="31"/>
      <c r="V21" s="48" t="str">
        <f ca="1">IFERROR(__xludf.DUMMYFUNCTION("""COMPUTED_VALUE"""),"B")</f>
        <v>B</v>
      </c>
      <c r="W21" s="49">
        <f ca="1">IFERROR(__xludf.DUMMYFUNCTION("""COMPUTED_VALUE"""),1431455)</f>
        <v>1431455</v>
      </c>
      <c r="X21" s="31"/>
      <c r="Y21" s="48" t="str">
        <f ca="1">IFERROR(__xludf.DUMMYFUNCTION("""COMPUTED_VALUE"""),"Raye")</f>
        <v>Raye</v>
      </c>
      <c r="Z21" s="49">
        <f ca="1">IFERROR(__xludf.DUMMYFUNCTION("""COMPUTED_VALUE"""),2176552)</f>
        <v>2176552</v>
      </c>
      <c r="AA21" s="31"/>
      <c r="AB21" s="45" t="s">
        <v>466</v>
      </c>
      <c r="AC21" s="50">
        <f>SUMIFS(Scoreboard_30[Assists],Scoreboard_30[Role],"Melee DPS",Scoreboard_30[Guild],"FTP")</f>
        <v>0</v>
      </c>
      <c r="AD21" s="51">
        <f>SUMIFS(Scoreboard_30[Assists],Scoreboard_30[Role],"Melee DPS",Scoreboard_30[Guild],"Undercooked")</f>
        <v>0</v>
      </c>
    </row>
    <row r="22" spans="1:30" ht="22.5" customHeight="1">
      <c r="A22" s="32">
        <v>36</v>
      </c>
      <c r="B22" s="87" t="str">
        <f>VLOOKUP(C22,Lists!I:J,2,FALSE)</f>
        <v>Ranged DPS</v>
      </c>
      <c r="C22" s="87" t="s">
        <v>52</v>
      </c>
      <c r="D22" s="35" t="s">
        <v>34</v>
      </c>
      <c r="E22" s="36" t="s">
        <v>162</v>
      </c>
      <c r="F22" s="35" t="s">
        <v>476</v>
      </c>
      <c r="G22" s="32">
        <v>9</v>
      </c>
      <c r="H22" s="32">
        <v>83</v>
      </c>
      <c r="I22" s="84">
        <f t="shared" si="0"/>
        <v>92</v>
      </c>
      <c r="J22" s="37">
        <v>1661571</v>
      </c>
      <c r="K22" s="37">
        <v>1041512</v>
      </c>
      <c r="L22" s="37">
        <v>538050</v>
      </c>
      <c r="M22" s="38">
        <f>I22/(HLOOKUP(F22,Team_Composition_23[[#All],[Yellow]:[Red]],10,FALSE)+HLOOKUP(F22,Team_Composition_23[[#All],[Yellow]:[Red]],11,FALSE))</f>
        <v>2.2994251437140716E-2</v>
      </c>
      <c r="N22" s="38">
        <f>J22/HLOOKUP(F22,Team_Composition_23[[#All],[Yellow]:[Red]],6,FALSE)</f>
        <v>3.7453482969852465E-2</v>
      </c>
      <c r="O22" s="38">
        <f>K22/HLOOKUP(F22,Team_Composition_23[[#All],[Yellow]:[Red]],8,FALSE)</f>
        <v>5.9451229518887837E-2</v>
      </c>
      <c r="P22" s="38">
        <f>L22/HLOOKUP(F22,Team_Composition_23[[#All],[Yellow]:[Red]],7,FALSE)</f>
        <v>4.1565036206889359E-2</v>
      </c>
      <c r="Q22" s="31"/>
      <c r="R22" s="45" t="s">
        <v>24</v>
      </c>
      <c r="S22" s="46">
        <f t="shared" ref="S22:S25" si="2">COUNTIFS(C:C,R22,F:F,"Yellow")</f>
        <v>2</v>
      </c>
      <c r="T22" s="47">
        <f t="shared" ref="T22:T25" si="3">COUNTIFS(C:C,R22,F:F,"Red")</f>
        <v>4</v>
      </c>
      <c r="U22" s="31"/>
      <c r="V22" s="48" t="str">
        <f ca="1">IFERROR(__xludf.DUMMYFUNCTION("""COMPUTED_VALUE"""),"Params")</f>
        <v>Params</v>
      </c>
      <c r="W22" s="49">
        <f ca="1">IFERROR(__xludf.DUMMYFUNCTION("""COMPUTED_VALUE"""),1418785)</f>
        <v>1418785</v>
      </c>
      <c r="X22" s="31"/>
      <c r="Y22" s="48" t="str">
        <f ca="1">IFERROR(__xludf.DUMMYFUNCTION("""COMPUTED_VALUE"""),"Teensy")</f>
        <v>Teensy</v>
      </c>
      <c r="Z22" s="49">
        <f ca="1">IFERROR(__xludf.DUMMYFUNCTION("""COMPUTED_VALUE"""),2173935)</f>
        <v>2173935</v>
      </c>
      <c r="AA22" s="31"/>
      <c r="AB22" s="45" t="s">
        <v>24</v>
      </c>
      <c r="AC22" s="50">
        <f t="shared" ref="AC22:AC25" si="4">COUNTIFS(C:C,AB22,D:D,"FTP")</f>
        <v>0</v>
      </c>
      <c r="AD22" s="51">
        <f t="shared" ref="AD22:AD25" si="5">COUNTIFS(C:C,AB22,D:D,"Undercooked")</f>
        <v>0</v>
      </c>
    </row>
    <row r="23" spans="1:30" ht="22.5" customHeight="1">
      <c r="A23" s="32">
        <v>4</v>
      </c>
      <c r="B23" s="87" t="str">
        <f>VLOOKUP(C23,Lists!I:J,2,FALSE)</f>
        <v>KS</v>
      </c>
      <c r="C23" s="87" t="str">
        <f>VLOOKUP(E23,Lists!D:E,2,FALSE)</f>
        <v>Crossbow/Dagger</v>
      </c>
      <c r="D23" s="35" t="s">
        <v>30</v>
      </c>
      <c r="E23" s="36" t="s">
        <v>229</v>
      </c>
      <c r="F23" s="35" t="s">
        <v>483</v>
      </c>
      <c r="G23" s="32">
        <v>43</v>
      </c>
      <c r="H23" s="32">
        <v>48</v>
      </c>
      <c r="I23" s="84">
        <f t="shared" si="0"/>
        <v>91</v>
      </c>
      <c r="J23" s="37">
        <v>1835969</v>
      </c>
      <c r="K23" s="37">
        <v>535531</v>
      </c>
      <c r="L23" s="37">
        <v>16399</v>
      </c>
      <c r="M23" s="38">
        <f>I23/(HLOOKUP(F23,Team_Composition_23[[#All],[Yellow]:[Red]],10,FALSE)+HLOOKUP(F23,Team_Composition_23[[#All],[Yellow]:[Red]],11,FALSE))</f>
        <v>0.11084043848964677</v>
      </c>
      <c r="N23" s="38">
        <f>J23/HLOOKUP(F23,Team_Composition_23[[#All],[Yellow]:[Red]],6,FALSE)</f>
        <v>0.10404799436453853</v>
      </c>
      <c r="O23" s="38">
        <f>K23/HLOOKUP(F23,Team_Composition_23[[#All],[Yellow]:[Red]],8,FALSE)</f>
        <v>1.2166751961528117E-2</v>
      </c>
      <c r="P23" s="38">
        <f>L23/HLOOKUP(F23,Team_Composition_23[[#All],[Yellow]:[Red]],7,FALSE)</f>
        <v>6.7573444967076329E-4</v>
      </c>
      <c r="Q23" s="31"/>
      <c r="R23" s="45" t="s">
        <v>69</v>
      </c>
      <c r="S23" s="46">
        <f t="shared" si="2"/>
        <v>2</v>
      </c>
      <c r="T23" s="47">
        <f t="shared" si="3"/>
        <v>4</v>
      </c>
      <c r="U23" s="31"/>
      <c r="V23" s="48" t="str">
        <f ca="1">IFERROR(__xludf.DUMMYFUNCTION("""COMPUTED_VALUE"""),"Kiefblunt")</f>
        <v>Kiefblunt</v>
      </c>
      <c r="W23" s="49">
        <f ca="1">IFERROR(__xludf.DUMMYFUNCTION("""COMPUTED_VALUE"""),1411879)</f>
        <v>1411879</v>
      </c>
      <c r="X23" s="31"/>
      <c r="Y23" s="48" t="str">
        <f ca="1">IFERROR(__xludf.DUMMYFUNCTION("""COMPUTED_VALUE"""),"Jisoo")</f>
        <v>Jisoo</v>
      </c>
      <c r="Z23" s="49">
        <f ca="1">IFERROR(__xludf.DUMMYFUNCTION("""COMPUTED_VALUE"""),2115542)</f>
        <v>2115542</v>
      </c>
      <c r="AA23" s="31"/>
      <c r="AB23" s="45" t="s">
        <v>69</v>
      </c>
      <c r="AC23" s="50">
        <f t="shared" si="4"/>
        <v>0</v>
      </c>
      <c r="AD23" s="51">
        <f t="shared" si="5"/>
        <v>0</v>
      </c>
    </row>
    <row r="24" spans="1:30" ht="22.5" customHeight="1">
      <c r="A24" s="32">
        <v>22</v>
      </c>
      <c r="B24" s="87" t="str">
        <f>VLOOKUP(C24,Lists!I:J,2,FALSE)</f>
        <v>Ranged DPS</v>
      </c>
      <c r="C24" s="87" t="s">
        <v>45</v>
      </c>
      <c r="D24" s="35" t="s">
        <v>34</v>
      </c>
      <c r="E24" s="36" t="s">
        <v>83</v>
      </c>
      <c r="F24" s="35" t="s">
        <v>476</v>
      </c>
      <c r="G24" s="32">
        <v>28</v>
      </c>
      <c r="H24" s="32">
        <v>55</v>
      </c>
      <c r="I24" s="84">
        <f t="shared" si="0"/>
        <v>83</v>
      </c>
      <c r="J24" s="37">
        <v>1983527</v>
      </c>
      <c r="K24" s="37">
        <v>730844</v>
      </c>
      <c r="L24" s="37">
        <v>55320</v>
      </c>
      <c r="M24" s="38">
        <f>I24/(HLOOKUP(F24,Team_Composition_23[[#All],[Yellow]:[Red]],10,FALSE)+HLOOKUP(F24,Team_Composition_23[[#All],[Yellow]:[Red]],11,FALSE))</f>
        <v>2.0744813796550861E-2</v>
      </c>
      <c r="N24" s="38">
        <f>J24/HLOOKUP(F24,Team_Composition_23[[#All],[Yellow]:[Red]],6,FALSE)</f>
        <v>4.471069530868229E-2</v>
      </c>
      <c r="O24" s="38">
        <f>K24/HLOOKUP(F24,Team_Composition_23[[#All],[Yellow]:[Red]],8,FALSE)</f>
        <v>4.1717785667857943E-2</v>
      </c>
      <c r="P24" s="38">
        <f>L24/HLOOKUP(F24,Team_Composition_23[[#All],[Yellow]:[Red]],7,FALSE)</f>
        <v>4.2735392676612203E-3</v>
      </c>
      <c r="Q24" s="31"/>
      <c r="R24" s="45" t="s">
        <v>23</v>
      </c>
      <c r="S24" s="46">
        <f t="shared" si="2"/>
        <v>2</v>
      </c>
      <c r="T24" s="47">
        <f t="shared" si="3"/>
        <v>2</v>
      </c>
      <c r="U24" s="31"/>
      <c r="V24" s="48" t="str">
        <f ca="1">IFERROR(__xludf.DUMMYFUNCTION("""COMPUTED_VALUE"""),"DiegoLASCR")</f>
        <v>DiegoLASCR</v>
      </c>
      <c r="W24" s="49">
        <f ca="1">IFERROR(__xludf.DUMMYFUNCTION("""COMPUTED_VALUE"""),1405308)</f>
        <v>1405308</v>
      </c>
      <c r="X24" s="31"/>
      <c r="Y24" s="48" t="str">
        <f ca="1">IFERROR(__xludf.DUMMYFUNCTION("""COMPUTED_VALUE"""),"MICTECACIHUATL")</f>
        <v>MICTECACIHUATL</v>
      </c>
      <c r="Z24" s="49">
        <f ca="1">IFERROR(__xludf.DUMMYFUNCTION("""COMPUTED_VALUE"""),2004505)</f>
        <v>2004505</v>
      </c>
      <c r="AA24" s="31"/>
      <c r="AB24" s="45" t="s">
        <v>23</v>
      </c>
      <c r="AC24" s="50">
        <f t="shared" si="4"/>
        <v>0</v>
      </c>
      <c r="AD24" s="51">
        <f t="shared" si="5"/>
        <v>0</v>
      </c>
    </row>
    <row r="25" spans="1:30" ht="22.5" customHeight="1">
      <c r="A25" s="32">
        <v>25</v>
      </c>
      <c r="B25" s="87" t="str">
        <f>VLOOKUP(C25,Lists!I:J,2,FALSE)</f>
        <v>Melee DPS</v>
      </c>
      <c r="C25" s="87" t="str">
        <f>VLOOKUP(E25,Lists!D:E,2,FALSE)</f>
        <v>Spear/Dagger</v>
      </c>
      <c r="D25" s="35" t="s">
        <v>30</v>
      </c>
      <c r="E25" s="36" t="s">
        <v>217</v>
      </c>
      <c r="F25" s="35" t="s">
        <v>483</v>
      </c>
      <c r="G25" s="32">
        <v>23</v>
      </c>
      <c r="H25" s="32">
        <v>59</v>
      </c>
      <c r="I25" s="84">
        <f t="shared" si="0"/>
        <v>82</v>
      </c>
      <c r="J25" s="37">
        <v>1919386</v>
      </c>
      <c r="K25" s="37">
        <v>1264986</v>
      </c>
      <c r="L25" s="37">
        <v>0</v>
      </c>
      <c r="M25" s="38">
        <f>I25/(HLOOKUP(F25,Team_Composition_23[[#All],[Yellow]:[Red]],10,FALSE)+HLOOKUP(F25,Team_Composition_23[[#All],[Yellow]:[Red]],11,FALSE))</f>
        <v>9.9878197320341047E-2</v>
      </c>
      <c r="N25" s="38">
        <f>J25/HLOOKUP(F25,Team_Composition_23[[#All],[Yellow]:[Red]],6,FALSE)</f>
        <v>0.10877540073463884</v>
      </c>
      <c r="O25" s="38">
        <f>K25/HLOOKUP(F25,Team_Composition_23[[#All],[Yellow]:[Red]],8,FALSE)</f>
        <v>2.8739271670184557E-2</v>
      </c>
      <c r="P25" s="38">
        <f>L25/HLOOKUP(F25,Team_Composition_23[[#All],[Yellow]:[Red]],7,FALSE)</f>
        <v>0</v>
      </c>
      <c r="Q25" s="31"/>
      <c r="R25" s="45" t="s">
        <v>33</v>
      </c>
      <c r="S25" s="46">
        <f t="shared" si="2"/>
        <v>0</v>
      </c>
      <c r="T25" s="47">
        <f t="shared" si="3"/>
        <v>0</v>
      </c>
      <c r="U25" s="31"/>
      <c r="V25" s="48" t="str">
        <f ca="1">IFERROR(__xludf.DUMMYFUNCTION("""COMPUTED_VALUE"""),"H612")</f>
        <v>H612</v>
      </c>
      <c r="W25" s="49">
        <f ca="1">IFERROR(__xludf.DUMMYFUNCTION("""COMPUTED_VALUE"""),1383243)</f>
        <v>1383243</v>
      </c>
      <c r="X25" s="31"/>
      <c r="Y25" s="48" t="str">
        <f ca="1">IFERROR(__xludf.DUMMYFUNCTION("""COMPUTED_VALUE"""),"Niyaa")</f>
        <v>Niyaa</v>
      </c>
      <c r="Z25" s="49">
        <f ca="1">IFERROR(__xludf.DUMMYFUNCTION("""COMPUTED_VALUE"""),1957678)</f>
        <v>1957678</v>
      </c>
      <c r="AA25" s="31"/>
      <c r="AB25" s="45" t="s">
        <v>33</v>
      </c>
      <c r="AC25" s="50">
        <f t="shared" si="4"/>
        <v>0</v>
      </c>
      <c r="AD25" s="51">
        <f t="shared" si="5"/>
        <v>0</v>
      </c>
    </row>
    <row r="26" spans="1:30" ht="22.5" customHeight="1">
      <c r="A26" s="32">
        <v>65</v>
      </c>
      <c r="B26" s="87" t="str">
        <f>VLOOKUP(C26,Lists!I:J,2,FALSE)</f>
        <v>Tank</v>
      </c>
      <c r="C26" s="87" t="str">
        <f>VLOOKUP(E26,Lists!D:E,2,FALSE)</f>
        <v>SnS/Longbow</v>
      </c>
      <c r="D26" s="35" t="s">
        <v>30</v>
      </c>
      <c r="E26" s="36" t="s">
        <v>410</v>
      </c>
      <c r="F26" s="35" t="s">
        <v>483</v>
      </c>
      <c r="G26" s="32">
        <v>0</v>
      </c>
      <c r="H26" s="32">
        <v>82</v>
      </c>
      <c r="I26" s="84">
        <f t="shared" si="0"/>
        <v>82</v>
      </c>
      <c r="J26" s="37">
        <v>4021</v>
      </c>
      <c r="K26" s="37">
        <v>323922</v>
      </c>
      <c r="L26" s="37">
        <v>529932</v>
      </c>
      <c r="M26" s="38">
        <f>I26/(HLOOKUP(F26,Team_Composition_23[[#All],[Yellow]:[Red]],10,FALSE)+HLOOKUP(F26,Team_Composition_23[[#All],[Yellow]:[Red]],11,FALSE))</f>
        <v>9.9878197320341047E-2</v>
      </c>
      <c r="N26" s="38">
        <f>J26/HLOOKUP(F26,Team_Composition_23[[#All],[Yellow]:[Red]],6,FALSE)</f>
        <v>2.2787802263535465E-4</v>
      </c>
      <c r="O26" s="38">
        <f>K26/HLOOKUP(F26,Team_Composition_23[[#All],[Yellow]:[Red]],8,FALSE)</f>
        <v>7.3591979341664834E-3</v>
      </c>
      <c r="P26" s="38">
        <f>L26/HLOOKUP(F26,Team_Composition_23[[#All],[Yellow]:[Red]],7,FALSE)</f>
        <v>2.1836289309282698E-2</v>
      </c>
      <c r="Q26" s="31"/>
      <c r="R26" s="48"/>
      <c r="S26" s="63"/>
      <c r="T26" s="63"/>
      <c r="U26" s="31"/>
      <c r="V26" s="48" t="str">
        <f ca="1">IFERROR(__xludf.DUMMYFUNCTION("""COMPUTED_VALUE"""),"Foonia")</f>
        <v>Foonia</v>
      </c>
      <c r="W26" s="49">
        <f ca="1">IFERROR(__xludf.DUMMYFUNCTION("""COMPUTED_VALUE"""),1382487)</f>
        <v>1382487</v>
      </c>
      <c r="X26" s="31"/>
      <c r="Y26" s="48" t="str">
        <f ca="1">IFERROR(__xludf.DUMMYFUNCTION("""COMPUTED_VALUE"""),"Dusk")</f>
        <v>Dusk</v>
      </c>
      <c r="Z26" s="49">
        <f ca="1">IFERROR(__xludf.DUMMYFUNCTION("""COMPUTED_VALUE"""),1793947)</f>
        <v>1793947</v>
      </c>
      <c r="AA26" s="31"/>
      <c r="AB26" s="48"/>
      <c r="AC26" s="63"/>
      <c r="AD26" s="63"/>
    </row>
    <row r="27" spans="1:30" ht="22.5" customHeight="1">
      <c r="A27" s="32">
        <v>26</v>
      </c>
      <c r="B27" s="87" t="str">
        <f>VLOOKUP(C27,Lists!I:J,2,FALSE)</f>
        <v>KS</v>
      </c>
      <c r="C27" s="87" t="str">
        <f>VLOOKUP(E27,Lists!D:E,2,FALSE)</f>
        <v>Greatsword/Dagger</v>
      </c>
      <c r="D27" s="35" t="s">
        <v>34</v>
      </c>
      <c r="E27" s="36" t="s">
        <v>98</v>
      </c>
      <c r="F27" s="35" t="s">
        <v>476</v>
      </c>
      <c r="G27" s="32">
        <v>22</v>
      </c>
      <c r="H27" s="32">
        <v>59</v>
      </c>
      <c r="I27" s="84">
        <f t="shared" si="0"/>
        <v>81</v>
      </c>
      <c r="J27" s="37">
        <v>1504280</v>
      </c>
      <c r="K27" s="37">
        <v>924119</v>
      </c>
      <c r="L27" s="37">
        <v>6539</v>
      </c>
      <c r="M27" s="38">
        <f>I27/(HLOOKUP(F27,Team_Composition_23[[#All],[Yellow]:[Red]],10,FALSE)+HLOOKUP(F27,Team_Composition_23[[#All],[Yellow]:[Red]],11,FALSE))</f>
        <v>2.0244938765308671E-2</v>
      </c>
      <c r="N27" s="38">
        <f>J27/HLOOKUP(F27,Team_Composition_23[[#All],[Yellow]:[Red]],6,FALSE)</f>
        <v>3.3907985491976968E-2</v>
      </c>
      <c r="O27" s="38">
        <f>K27/HLOOKUP(F27,Team_Composition_23[[#All],[Yellow]:[Red]],8,FALSE)</f>
        <v>5.2750242696930141E-2</v>
      </c>
      <c r="P27" s="38">
        <f>L27/HLOOKUP(F27,Team_Composition_23[[#All],[Yellow]:[Red]],7,FALSE)</f>
        <v>5.051459376579305E-4</v>
      </c>
      <c r="Q27" s="31"/>
      <c r="R27" s="31"/>
      <c r="S27" s="64"/>
      <c r="T27" s="64"/>
      <c r="U27" s="31"/>
      <c r="V27" s="31"/>
      <c r="W27" s="31"/>
      <c r="X27" s="31"/>
      <c r="Y27" s="31"/>
      <c r="Z27" s="31"/>
      <c r="AA27" s="31"/>
      <c r="AB27" s="31"/>
      <c r="AC27" s="64"/>
      <c r="AD27" s="64"/>
    </row>
    <row r="28" spans="1:30" ht="22.5" customHeight="1">
      <c r="A28" s="32">
        <v>11</v>
      </c>
      <c r="B28" s="87" t="str">
        <f>VLOOKUP(C28,Lists!I:J,2,FALSE)</f>
        <v>Ranged DPS</v>
      </c>
      <c r="C28" s="87" t="str">
        <f>VLOOKUP(E28,Lists!D:E,2,FALSE)</f>
        <v>Crossbow/Longbow</v>
      </c>
      <c r="D28" s="35" t="s">
        <v>34</v>
      </c>
      <c r="E28" s="36" t="s">
        <v>51</v>
      </c>
      <c r="F28" s="35" t="s">
        <v>476</v>
      </c>
      <c r="G28" s="32">
        <v>36</v>
      </c>
      <c r="H28" s="32">
        <v>43</v>
      </c>
      <c r="I28" s="84">
        <f t="shared" si="0"/>
        <v>79</v>
      </c>
      <c r="J28" s="37">
        <v>1525770</v>
      </c>
      <c r="K28" s="37">
        <v>546048</v>
      </c>
      <c r="L28" s="37">
        <v>0</v>
      </c>
      <c r="M28" s="38">
        <f>I28/(HLOOKUP(F28,Team_Composition_23[[#All],[Yellow]:[Red]],10,FALSE)+HLOOKUP(F28,Team_Composition_23[[#All],[Yellow]:[Red]],11,FALSE))</f>
        <v>1.9745063734066485E-2</v>
      </c>
      <c r="N28" s="38">
        <f>J28/HLOOKUP(F28,Team_Composition_23[[#All],[Yellow]:[Red]],6,FALSE)</f>
        <v>3.4392391725007111E-2</v>
      </c>
      <c r="O28" s="38">
        <f>K28/HLOOKUP(F28,Team_Composition_23[[#All],[Yellow]:[Red]],8,FALSE)</f>
        <v>3.1169323998503775E-2</v>
      </c>
      <c r="P28" s="38">
        <f>L28/HLOOKUP(F28,Team_Composition_23[[#All],[Yellow]:[Red]],7,FALSE)</f>
        <v>0</v>
      </c>
      <c r="Q28" s="31"/>
      <c r="R28" s="227" t="s">
        <v>39</v>
      </c>
      <c r="S28" s="228"/>
      <c r="T28" s="228"/>
      <c r="U28" s="31"/>
      <c r="V28" s="31"/>
      <c r="W28" s="31"/>
      <c r="X28" s="31"/>
      <c r="Y28" s="31"/>
      <c r="Z28" s="31"/>
      <c r="AA28" s="31"/>
      <c r="AB28" s="227" t="s">
        <v>39</v>
      </c>
      <c r="AC28" s="228"/>
      <c r="AD28" s="228"/>
    </row>
    <row r="29" spans="1:30" ht="22.5" customHeight="1">
      <c r="A29" s="32">
        <v>47</v>
      </c>
      <c r="B29" s="87" t="str">
        <f>VLOOKUP(C29,Lists!I:J,2,FALSE)</f>
        <v>Healer</v>
      </c>
      <c r="C29" s="87" t="str">
        <f>VLOOKUP(E29,Lists!D:E,2,FALSE)</f>
        <v>Wand/Orb</v>
      </c>
      <c r="D29" s="35" t="s">
        <v>34</v>
      </c>
      <c r="E29" s="36" t="s">
        <v>153</v>
      </c>
      <c r="F29" s="35" t="s">
        <v>476</v>
      </c>
      <c r="G29" s="32">
        <v>1</v>
      </c>
      <c r="H29" s="32">
        <v>77</v>
      </c>
      <c r="I29" s="84">
        <f t="shared" si="0"/>
        <v>78</v>
      </c>
      <c r="J29" s="37">
        <v>6823</v>
      </c>
      <c r="K29" s="37">
        <v>698334</v>
      </c>
      <c r="L29" s="37">
        <v>1097546</v>
      </c>
      <c r="M29" s="38">
        <f>I29/(HLOOKUP(F29,Team_Composition_23[[#All],[Yellow]:[Red]],10,FALSE)+HLOOKUP(F29,Team_Composition_23[[#All],[Yellow]:[Red]],11,FALSE))</f>
        <v>1.9495126218445388E-2</v>
      </c>
      <c r="N29" s="38">
        <f>J29/HLOOKUP(F29,Team_Composition_23[[#All],[Yellow]:[Red]],6,FALSE)</f>
        <v>1.5379728841157154E-4</v>
      </c>
      <c r="O29" s="38">
        <f>K29/HLOOKUP(F29,Team_Composition_23[[#All],[Yellow]:[Red]],8,FALSE)</f>
        <v>3.9862061037072079E-2</v>
      </c>
      <c r="P29" s="38">
        <f>L29/HLOOKUP(F29,Team_Composition_23[[#All],[Yellow]:[Red]],7,FALSE)</f>
        <v>8.4786802766892641E-2</v>
      </c>
      <c r="Q29" s="31"/>
      <c r="R29" s="41" t="s">
        <v>482</v>
      </c>
      <c r="S29" s="42" t="s">
        <v>476</v>
      </c>
      <c r="T29" s="42" t="s">
        <v>483</v>
      </c>
      <c r="U29" s="31"/>
      <c r="V29" s="31"/>
      <c r="W29" s="31"/>
      <c r="X29" s="31"/>
      <c r="Y29" s="31"/>
      <c r="Z29" s="31"/>
      <c r="AA29" s="31"/>
      <c r="AB29" s="41" t="s">
        <v>482</v>
      </c>
      <c r="AC29" s="42" t="s">
        <v>7</v>
      </c>
      <c r="AD29" s="42" t="s">
        <v>527</v>
      </c>
    </row>
    <row r="30" spans="1:30" ht="22.5" customHeight="1">
      <c r="A30" s="32">
        <v>30</v>
      </c>
      <c r="B30" s="87" t="str">
        <f>VLOOKUP(C30,Lists!I:J,2,FALSE)</f>
        <v>Melee DPS</v>
      </c>
      <c r="C30" s="87" t="str">
        <f>VLOOKUP(E30,Lists!D:E,2,FALSE)</f>
        <v>Spear/Dagger</v>
      </c>
      <c r="D30" s="35" t="s">
        <v>30</v>
      </c>
      <c r="E30" s="36" t="s">
        <v>400</v>
      </c>
      <c r="F30" s="35" t="s">
        <v>483</v>
      </c>
      <c r="G30" s="32">
        <v>18</v>
      </c>
      <c r="H30" s="32">
        <v>57</v>
      </c>
      <c r="I30" s="84">
        <f t="shared" si="0"/>
        <v>75</v>
      </c>
      <c r="J30" s="37">
        <v>964367</v>
      </c>
      <c r="K30" s="37">
        <v>865409</v>
      </c>
      <c r="L30" s="37">
        <v>296508</v>
      </c>
      <c r="M30" s="38">
        <f>I30/(HLOOKUP(F30,Team_Composition_23[[#All],[Yellow]:[Red]],10,FALSE)+HLOOKUP(F30,Team_Composition_23[[#All],[Yellow]:[Red]],11,FALSE))</f>
        <v>9.1352009744214369E-2</v>
      </c>
      <c r="N30" s="38">
        <f>J30/HLOOKUP(F30,Team_Composition_23[[#All],[Yellow]:[Red]],6,FALSE)</f>
        <v>5.4652585191442192E-2</v>
      </c>
      <c r="O30" s="38">
        <f>K30/HLOOKUP(F30,Team_Composition_23[[#All],[Yellow]:[Red]],8,FALSE)</f>
        <v>1.9661264517411851E-2</v>
      </c>
      <c r="P30" s="38">
        <f>L30/HLOOKUP(F30,Team_Composition_23[[#All],[Yellow]:[Red]],7,FALSE)</f>
        <v>1.221785902817115E-2</v>
      </c>
      <c r="Q30" s="31"/>
      <c r="R30" s="45" t="s">
        <v>468</v>
      </c>
      <c r="S30" s="46">
        <f>SUMIFS(Scoreboard_30[Damage Dealt],Scoreboard_30[Role],"Ranged DPS",Scoreboard_30[Team],"Yellow")</f>
        <v>15417444</v>
      </c>
      <c r="T30" s="47">
        <f>SUMIFS(Scoreboard_30[Damage Dealt],Scoreboard_30[Role],"Ranged DPS",Scoreboard_30[Team],"Red")</f>
        <v>16813838</v>
      </c>
      <c r="U30" s="31"/>
      <c r="V30" s="31"/>
      <c r="W30" s="31"/>
      <c r="X30" s="31"/>
      <c r="Y30" s="31"/>
      <c r="Z30" s="31"/>
      <c r="AA30" s="31"/>
      <c r="AB30" s="45" t="s">
        <v>468</v>
      </c>
      <c r="AC30" s="50">
        <f>SUMIFS(Scoreboard_30[Damage Dealt],Scoreboard_30[Role],"Ranged DPS",Scoreboard_30[Guild],"FTP")</f>
        <v>0</v>
      </c>
      <c r="AD30" s="51">
        <f>SUMIFS(Scoreboard_30[Damage Dealt],Scoreboard_30[Role],"Ranged DPS",Scoreboard_30[Guild],"Undercooked")</f>
        <v>0</v>
      </c>
    </row>
    <row r="31" spans="1:30" ht="22.5" customHeight="1">
      <c r="A31" s="32">
        <v>31</v>
      </c>
      <c r="B31" s="87" t="str">
        <f>VLOOKUP(C31,Lists!I:J,2,FALSE)</f>
        <v>Melee DPS</v>
      </c>
      <c r="C31" s="87" t="s">
        <v>24</v>
      </c>
      <c r="D31" s="35" t="s">
        <v>34</v>
      </c>
      <c r="E31" s="36" t="s">
        <v>169</v>
      </c>
      <c r="F31" s="35" t="s">
        <v>476</v>
      </c>
      <c r="G31" s="32">
        <v>17</v>
      </c>
      <c r="H31" s="32">
        <v>57</v>
      </c>
      <c r="I31" s="84">
        <f t="shared" si="0"/>
        <v>74</v>
      </c>
      <c r="J31" s="37">
        <v>1285554</v>
      </c>
      <c r="K31" s="37">
        <v>1383243</v>
      </c>
      <c r="L31" s="37">
        <v>8192</v>
      </c>
      <c r="M31" s="38">
        <f>I31/(HLOOKUP(F31,Team_Composition_23[[#All],[Yellow]:[Red]],10,FALSE)+HLOOKUP(F31,Team_Composition_23[[#All],[Yellow]:[Red]],11,FALSE))</f>
        <v>1.8495376155961009E-2</v>
      </c>
      <c r="N31" s="38">
        <f>J31/HLOOKUP(F31,Team_Composition_23[[#All],[Yellow]:[Red]],6,FALSE)</f>
        <v>2.897768127021097E-2</v>
      </c>
      <c r="O31" s="38">
        <f>K31/HLOOKUP(F31,Team_Composition_23[[#All],[Yellow]:[Red]],8,FALSE)</f>
        <v>7.8957800844728587E-2</v>
      </c>
      <c r="P31" s="38">
        <f>L31/HLOOKUP(F31,Team_Composition_23[[#All],[Yellow]:[Red]],7,FALSE)</f>
        <v>6.3284225742372946E-4</v>
      </c>
      <c r="Q31" s="31"/>
      <c r="R31" s="45" t="s">
        <v>469</v>
      </c>
      <c r="S31" s="46">
        <f>SUMIFS(Scoreboard_30[Damage Taken],Scoreboard_30[Role],"Ranged DPS",Scoreboard_30[Team],"Yellow")</f>
        <v>8434943</v>
      </c>
      <c r="T31" s="47">
        <f>SUMIFS(Scoreboard_30[Damage Taken],Scoreboard_30[Role],"Ranged DPS",Scoreboard_30[Team],"Red")</f>
        <v>6624628</v>
      </c>
      <c r="U31" s="31"/>
      <c r="V31" s="31"/>
      <c r="W31" s="31"/>
      <c r="X31" s="31"/>
      <c r="Y31" s="31"/>
      <c r="Z31" s="31"/>
      <c r="AA31" s="31"/>
      <c r="AB31" s="45" t="s">
        <v>469</v>
      </c>
      <c r="AC31" s="50">
        <f>SUMIFS(Scoreboard_30[Damage Taken],Scoreboard_30[Role],"Ranged DPS",Scoreboard_30[Guild],"FTP")</f>
        <v>0</v>
      </c>
      <c r="AD31" s="51">
        <f>SUMIFS(Scoreboard_30[Damage Taken],Scoreboard_30[Role],"Ranged DPS",Scoreboard_30[Guild],"Undercooked")</f>
        <v>0</v>
      </c>
    </row>
    <row r="32" spans="1:30" ht="22.5" customHeight="1">
      <c r="A32" s="32">
        <v>66</v>
      </c>
      <c r="B32" s="87" t="str">
        <f>VLOOKUP(C32,Lists!I:J,2,FALSE)</f>
        <v>Healer</v>
      </c>
      <c r="C32" s="87" t="str">
        <f>VLOOKUP(E32,Lists!D:E,2,FALSE)</f>
        <v>Wand/Longbow</v>
      </c>
      <c r="D32" s="35" t="s">
        <v>34</v>
      </c>
      <c r="E32" s="36" t="s">
        <v>108</v>
      </c>
      <c r="F32" s="35" t="s">
        <v>476</v>
      </c>
      <c r="G32" s="32">
        <v>0</v>
      </c>
      <c r="H32" s="32">
        <v>74</v>
      </c>
      <c r="I32" s="84">
        <f t="shared" si="0"/>
        <v>74</v>
      </c>
      <c r="J32" s="37">
        <v>24938</v>
      </c>
      <c r="K32" s="37">
        <v>758588</v>
      </c>
      <c r="L32" s="37">
        <v>2173935</v>
      </c>
      <c r="M32" s="38">
        <f>I32/(HLOOKUP(F32,Team_Composition_23[[#All],[Yellow]:[Red]],10,FALSE)+HLOOKUP(F32,Team_Composition_23[[#All],[Yellow]:[Red]],11,FALSE))</f>
        <v>1.8495376155961009E-2</v>
      </c>
      <c r="N32" s="38">
        <f>J32/HLOOKUP(F32,Team_Composition_23[[#All],[Yellow]:[Red]],6,FALSE)</f>
        <v>5.6212762397886136E-4</v>
      </c>
      <c r="O32" s="38">
        <f>K32/HLOOKUP(F32,Team_Composition_23[[#All],[Yellow]:[Red]],8,FALSE)</f>
        <v>4.3301459126994297E-2</v>
      </c>
      <c r="P32" s="38">
        <f>L32/HLOOKUP(F32,Team_Composition_23[[#All],[Yellow]:[Red]],7,FALSE)</f>
        <v>0.16793920079253605</v>
      </c>
      <c r="Q32" s="31"/>
      <c r="R32" s="45" t="s">
        <v>470</v>
      </c>
      <c r="S32" s="46">
        <f>SUMIFS(Scoreboard_30[Amount Healed],Scoreboard_30[Role],"Ranged DPS",Scoreboard_30[Team],"Yellow")</f>
        <v>695467</v>
      </c>
      <c r="T32" s="47">
        <f>SUMIFS(Scoreboard_30[Amount Healed],Scoreboard_30[Role],"Ranged DPS",Scoreboard_30[Team],"Red")</f>
        <v>669886</v>
      </c>
      <c r="U32" s="31"/>
      <c r="V32" s="31"/>
      <c r="W32" s="31"/>
      <c r="X32" s="31"/>
      <c r="Y32" s="31"/>
      <c r="Z32" s="31"/>
      <c r="AA32" s="31"/>
      <c r="AB32" s="45" t="s">
        <v>470</v>
      </c>
      <c r="AC32" s="50">
        <f>SUMIFS(Scoreboard_30[Amount Healed],Scoreboard_30[Role],"Ranged DPS",Scoreboard_30[Guild],"FTP")</f>
        <v>0</v>
      </c>
      <c r="AD32" s="51">
        <f>SUMIFS(Scoreboard_30[Amount Healed],Scoreboard_30[Role],"Ranged DPS",Scoreboard_30[Guild],"Undercooked")</f>
        <v>0</v>
      </c>
    </row>
    <row r="33" spans="1:30" ht="22.5" customHeight="1">
      <c r="A33" s="32">
        <v>18</v>
      </c>
      <c r="B33" s="87" t="str">
        <f>VLOOKUP(C33,Lists!I:J,2,FALSE)</f>
        <v>Ranged DPS</v>
      </c>
      <c r="C33" s="87" t="str">
        <f>VLOOKUP(E33,Lists!D:E,2,FALSE)</f>
        <v>Crossbow/SnS</v>
      </c>
      <c r="D33" s="35" t="s">
        <v>30</v>
      </c>
      <c r="E33" s="36" t="s">
        <v>403</v>
      </c>
      <c r="F33" s="35" t="s">
        <v>483</v>
      </c>
      <c r="G33" s="32">
        <v>29</v>
      </c>
      <c r="H33" s="32">
        <v>44</v>
      </c>
      <c r="I33" s="84">
        <f t="shared" si="0"/>
        <v>73</v>
      </c>
      <c r="J33" s="37">
        <v>1813381</v>
      </c>
      <c r="K33" s="37">
        <v>932875</v>
      </c>
      <c r="L33" s="37">
        <v>38029</v>
      </c>
      <c r="M33" s="38">
        <f>I33/(HLOOKUP(F33,Team_Composition_23[[#All],[Yellow]:[Red]],10,FALSE)+HLOOKUP(F33,Team_Composition_23[[#All],[Yellow]:[Red]],11,FALSE))</f>
        <v>8.8915956151035327E-2</v>
      </c>
      <c r="N33" s="38">
        <f>J33/HLOOKUP(F33,Team_Composition_23[[#All],[Yellow]:[Red]],6,FALSE)</f>
        <v>0.10276788773054515</v>
      </c>
      <c r="O33" s="38">
        <f>K33/HLOOKUP(F33,Team_Composition_23[[#All],[Yellow]:[Red]],8,FALSE)</f>
        <v>2.1194027490678492E-2</v>
      </c>
      <c r="P33" s="38">
        <f>L33/HLOOKUP(F33,Team_Composition_23[[#All],[Yellow]:[Red]],7,FALSE)</f>
        <v>1.5670166099475248E-3</v>
      </c>
      <c r="Q33" s="31"/>
      <c r="R33" s="45" t="s">
        <v>465</v>
      </c>
      <c r="S33" s="46">
        <f>SUMIFS(Scoreboard_30[Kills],Scoreboard_30[Role],"Ranged DPS",Scoreboard_30[Team],"Yellow")</f>
        <v>179</v>
      </c>
      <c r="T33" s="47">
        <f>SUMIFS(Scoreboard_30[Kills],Scoreboard_30[Role],"Ranged DPS",Scoreboard_30[Team],"Red")</f>
        <v>192</v>
      </c>
      <c r="U33" s="31"/>
      <c r="V33" s="31"/>
      <c r="W33" s="31"/>
      <c r="X33" s="31"/>
      <c r="Y33" s="31"/>
      <c r="Z33" s="31"/>
      <c r="AA33" s="31"/>
      <c r="AB33" s="45" t="s">
        <v>465</v>
      </c>
      <c r="AC33" s="50">
        <f>SUMIFS(Scoreboard_30[Kills],Scoreboard_30[Role],"Ranged DPS",Scoreboard_30[Guild],"FTP")</f>
        <v>0</v>
      </c>
      <c r="AD33" s="51">
        <f>SUMIFS(Scoreboard_30[Kills],Scoreboard_30[Role],"Ranged DPS",Scoreboard_30[Guild],"Undercooked")</f>
        <v>0</v>
      </c>
    </row>
    <row r="34" spans="1:30" ht="22.5" customHeight="1">
      <c r="A34" s="32">
        <v>19</v>
      </c>
      <c r="B34" s="87" t="str">
        <f>VLOOKUP(C34,Lists!I:J,2,FALSE)</f>
        <v>KS</v>
      </c>
      <c r="C34" s="87" t="str">
        <f>VLOOKUP(E34,Lists!D:E,2,FALSE)</f>
        <v>Greatsword/Dagger</v>
      </c>
      <c r="D34" s="35" t="s">
        <v>30</v>
      </c>
      <c r="E34" s="36" t="s">
        <v>396</v>
      </c>
      <c r="F34" s="35" t="s">
        <v>483</v>
      </c>
      <c r="G34" s="32">
        <v>29</v>
      </c>
      <c r="H34" s="32">
        <v>43</v>
      </c>
      <c r="I34" s="84">
        <f t="shared" si="0"/>
        <v>72</v>
      </c>
      <c r="J34" s="37">
        <v>1370986</v>
      </c>
      <c r="K34" s="37">
        <v>795164</v>
      </c>
      <c r="L34" s="37">
        <v>8759</v>
      </c>
      <c r="M34" s="38">
        <f>I34/(HLOOKUP(F34,Team_Composition_23[[#All],[Yellow]:[Red]],10,FALSE)+HLOOKUP(F34,Team_Composition_23[[#All],[Yellow]:[Red]],11,FALSE))</f>
        <v>8.76979293544458E-2</v>
      </c>
      <c r="N34" s="38">
        <f>J34/HLOOKUP(F34,Team_Composition_23[[#All],[Yellow]:[Red]],6,FALSE)</f>
        <v>7.7696488122545218E-2</v>
      </c>
      <c r="O34" s="38">
        <f>K34/HLOOKUP(F34,Team_Composition_23[[#All],[Yellow]:[Red]],8,FALSE)</f>
        <v>1.8065365322897355E-2</v>
      </c>
      <c r="P34" s="38">
        <f>L34/HLOOKUP(F34,Team_Composition_23[[#All],[Yellow]:[Red]],7,FALSE)</f>
        <v>3.6092188820453786E-4</v>
      </c>
      <c r="Q34" s="31"/>
      <c r="R34" s="45" t="s">
        <v>466</v>
      </c>
      <c r="S34" s="46">
        <f>SUMIFS(Scoreboard_30[Assists],Scoreboard_30[Role],"Ranged DPS",Scoreboard_30[Team],"Yellow")</f>
        <v>485</v>
      </c>
      <c r="T34" s="47">
        <f>SUMIFS(Scoreboard_30[Assists],Scoreboard_30[Role],"Ranged DPS",Scoreboard_30[Team],"Red")</f>
        <v>535</v>
      </c>
      <c r="U34" s="31"/>
      <c r="V34" s="31"/>
      <c r="W34" s="31"/>
      <c r="X34" s="31"/>
      <c r="Y34" s="31"/>
      <c r="Z34" s="31"/>
      <c r="AA34" s="31"/>
      <c r="AB34" s="45" t="s">
        <v>466</v>
      </c>
      <c r="AC34" s="50">
        <f>SUMIFS(Scoreboard_30[Assists],Scoreboard_30[Role],"Ranged DPS",Scoreboard_30[Guild],"FTP")</f>
        <v>0</v>
      </c>
      <c r="AD34" s="51">
        <f>SUMIFS(Scoreboard_30[Assists],Scoreboard_30[Role],"Ranged DPS",Scoreboard_30[Team],"Red")</f>
        <v>535</v>
      </c>
    </row>
    <row r="35" spans="1:30" ht="22.5" customHeight="1">
      <c r="A35" s="32">
        <v>24</v>
      </c>
      <c r="B35" s="87" t="str">
        <f>VLOOKUP(C35,Lists!I:J,2,FALSE)</f>
        <v>KS</v>
      </c>
      <c r="C35" s="87" t="str">
        <f>VLOOKUP(E35,Lists!D:E,2,FALSE)</f>
        <v>Greatsword/Dagger</v>
      </c>
      <c r="D35" s="35" t="s">
        <v>30</v>
      </c>
      <c r="E35" s="36" t="s">
        <v>395</v>
      </c>
      <c r="F35" s="35" t="s">
        <v>483</v>
      </c>
      <c r="G35" s="32">
        <v>26</v>
      </c>
      <c r="H35" s="32">
        <v>44</v>
      </c>
      <c r="I35" s="84">
        <f t="shared" si="0"/>
        <v>70</v>
      </c>
      <c r="J35" s="37">
        <v>1204737</v>
      </c>
      <c r="K35" s="37">
        <v>579444</v>
      </c>
      <c r="L35" s="37">
        <v>23801</v>
      </c>
      <c r="M35" s="38">
        <f>I35/(HLOOKUP(F35,Team_Composition_23[[#All],[Yellow]:[Red]],10,FALSE)+HLOOKUP(F35,Team_Composition_23[[#All],[Yellow]:[Red]],11,FALSE))</f>
        <v>8.5261875761266745E-2</v>
      </c>
      <c r="N35" s="38">
        <f>J35/HLOOKUP(F35,Team_Composition_23[[#All],[Yellow]:[Red]],6,FALSE)</f>
        <v>6.8274828489343256E-2</v>
      </c>
      <c r="O35" s="38">
        <f>K35/HLOOKUP(F35,Team_Composition_23[[#All],[Yellow]:[Red]],8,FALSE)</f>
        <v>1.316441330865197E-2</v>
      </c>
      <c r="P35" s="38">
        <f>L35/HLOOKUP(F35,Team_Composition_23[[#All],[Yellow]:[Red]],7,FALSE)</f>
        <v>9.807400229656588E-4</v>
      </c>
      <c r="Q35" s="31"/>
      <c r="R35" s="45" t="s">
        <v>54</v>
      </c>
      <c r="S35" s="46">
        <f t="shared" ref="S35:S46" si="6">COUNTIFS(C:C,R35,F:F,"Yellow")</f>
        <v>3</v>
      </c>
      <c r="T35" s="47">
        <f t="shared" ref="T35:T46" si="7">COUNTIFS(C:C,R35,F:F,"Red")</f>
        <v>3</v>
      </c>
      <c r="U35" s="31"/>
      <c r="V35" s="31"/>
      <c r="W35" s="31"/>
      <c r="X35" s="31"/>
      <c r="Y35" s="31"/>
      <c r="Z35" s="31"/>
      <c r="AA35" s="31"/>
      <c r="AB35" s="45" t="s">
        <v>54</v>
      </c>
      <c r="AC35" s="50">
        <f t="shared" ref="AC35:AC46" si="8">COUNTIFS(C:C,AB35,D:D,"FTP")</f>
        <v>0</v>
      </c>
      <c r="AD35" s="51">
        <f t="shared" ref="AD35:AD46" si="9">COUNTIFS(C:C,AB35,D:D,"Undercooked")</f>
        <v>0</v>
      </c>
    </row>
    <row r="36" spans="1:30" ht="22.5" customHeight="1">
      <c r="A36" s="32">
        <v>28</v>
      </c>
      <c r="B36" s="87" t="str">
        <f>VLOOKUP(C36,Lists!I:J,2,FALSE)</f>
        <v>Melee DPS</v>
      </c>
      <c r="C36" s="87" t="s">
        <v>24</v>
      </c>
      <c r="D36" s="35" t="s">
        <v>30</v>
      </c>
      <c r="E36" s="36" t="s">
        <v>433</v>
      </c>
      <c r="F36" s="35" t="s">
        <v>483</v>
      </c>
      <c r="G36" s="32">
        <v>19</v>
      </c>
      <c r="H36" s="32">
        <v>51</v>
      </c>
      <c r="I36" s="84">
        <f t="shared" si="0"/>
        <v>70</v>
      </c>
      <c r="J36" s="37">
        <v>1354448</v>
      </c>
      <c r="K36" s="37">
        <v>479318</v>
      </c>
      <c r="L36" s="37">
        <v>21997</v>
      </c>
      <c r="M36" s="38">
        <f>I36/(HLOOKUP(F36,Team_Composition_23[[#All],[Yellow]:[Red]],10,FALSE)+HLOOKUP(F36,Team_Composition_23[[#All],[Yellow]:[Red]],11,FALSE))</f>
        <v>8.5261875761266745E-2</v>
      </c>
      <c r="N36" s="38">
        <f>J36/HLOOKUP(F36,Team_Composition_23[[#All],[Yellow]:[Red]],6,FALSE)</f>
        <v>7.675924695409371E-2</v>
      </c>
      <c r="O36" s="38">
        <f>K36/HLOOKUP(F36,Team_Composition_23[[#All],[Yellow]:[Red]],8,FALSE)</f>
        <v>1.0889646382180927E-2</v>
      </c>
      <c r="P36" s="38">
        <f>L36/HLOOKUP(F36,Team_Composition_23[[#All],[Yellow]:[Red]],7,FALSE)</f>
        <v>9.0640470086028298E-4</v>
      </c>
      <c r="Q36" s="31"/>
      <c r="R36" s="45" t="s">
        <v>43</v>
      </c>
      <c r="S36" s="46">
        <f t="shared" si="6"/>
        <v>1</v>
      </c>
      <c r="T36" s="47">
        <f t="shared" si="7"/>
        <v>0</v>
      </c>
      <c r="U36" s="31"/>
      <c r="V36" s="31"/>
      <c r="W36" s="31"/>
      <c r="X36" s="31"/>
      <c r="Y36" s="31"/>
      <c r="Z36" s="31"/>
      <c r="AA36" s="31"/>
      <c r="AB36" s="45" t="s">
        <v>43</v>
      </c>
      <c r="AC36" s="50">
        <f t="shared" si="8"/>
        <v>0</v>
      </c>
      <c r="AD36" s="51">
        <f t="shared" si="9"/>
        <v>0</v>
      </c>
    </row>
    <row r="37" spans="1:30" ht="22.5" customHeight="1">
      <c r="A37" s="32">
        <v>10</v>
      </c>
      <c r="B37" s="87" t="str">
        <f>VLOOKUP(C37,Lists!I:J,2,FALSE)</f>
        <v>KS</v>
      </c>
      <c r="C37" s="87" t="str">
        <f>VLOOKUP(E37,Lists!D:E,2,FALSE)</f>
        <v>Crossbow/Dagger</v>
      </c>
      <c r="D37" s="35" t="s">
        <v>34</v>
      </c>
      <c r="E37" s="36" t="s">
        <v>159</v>
      </c>
      <c r="F37" s="35" t="s">
        <v>476</v>
      </c>
      <c r="G37" s="32">
        <v>39</v>
      </c>
      <c r="H37" s="32">
        <v>28</v>
      </c>
      <c r="I37" s="84">
        <f t="shared" si="0"/>
        <v>67</v>
      </c>
      <c r="J37" s="37">
        <v>1452287</v>
      </c>
      <c r="K37" s="37">
        <v>924852</v>
      </c>
      <c r="L37" s="37">
        <v>0</v>
      </c>
      <c r="M37" s="38">
        <f>I37/(HLOOKUP(F37,Team_Composition_23[[#All],[Yellow]:[Red]],10,FALSE)+HLOOKUP(F37,Team_Composition_23[[#All],[Yellow]:[Red]],11,FALSE))</f>
        <v>1.6745813546613347E-2</v>
      </c>
      <c r="N37" s="38">
        <f>J37/HLOOKUP(F37,Team_Composition_23[[#All],[Yellow]:[Red]],6,FALSE)</f>
        <v>3.2736010932929209E-2</v>
      </c>
      <c r="O37" s="38">
        <f>K37/HLOOKUP(F37,Team_Composition_23[[#All],[Yellow]:[Red]],8,FALSE)</f>
        <v>5.2792083550647954E-2</v>
      </c>
      <c r="P37" s="38">
        <f>L37/HLOOKUP(F37,Team_Composition_23[[#All],[Yellow]:[Red]],7,FALSE)</f>
        <v>0</v>
      </c>
      <c r="Q37" s="31"/>
      <c r="R37" s="45" t="s">
        <v>45</v>
      </c>
      <c r="S37" s="46">
        <f t="shared" si="6"/>
        <v>2</v>
      </c>
      <c r="T37" s="47">
        <f t="shared" si="7"/>
        <v>3</v>
      </c>
      <c r="U37" s="31"/>
      <c r="V37" s="31"/>
      <c r="W37" s="31"/>
      <c r="X37" s="31"/>
      <c r="Y37" s="31"/>
      <c r="Z37" s="31"/>
      <c r="AA37" s="31"/>
      <c r="AB37" s="45" t="s">
        <v>45</v>
      </c>
      <c r="AC37" s="50">
        <f t="shared" si="8"/>
        <v>0</v>
      </c>
      <c r="AD37" s="51">
        <f t="shared" si="9"/>
        <v>0</v>
      </c>
    </row>
    <row r="38" spans="1:30" ht="22.5" customHeight="1">
      <c r="A38" s="32">
        <v>48</v>
      </c>
      <c r="B38" s="87" t="str">
        <f>VLOOKUP(C38,Lists!I:J,2,FALSE)</f>
        <v>Tank</v>
      </c>
      <c r="C38" s="87" t="str">
        <f>VLOOKUP(E38,Lists!D:E,2,FALSE)</f>
        <v>SnS/Greatsword</v>
      </c>
      <c r="D38" s="35" t="s">
        <v>30</v>
      </c>
      <c r="E38" s="36" t="s">
        <v>407</v>
      </c>
      <c r="F38" s="35" t="s">
        <v>483</v>
      </c>
      <c r="G38" s="32">
        <v>1</v>
      </c>
      <c r="H38" s="32">
        <v>66</v>
      </c>
      <c r="I38" s="84">
        <f t="shared" si="0"/>
        <v>67</v>
      </c>
      <c r="J38" s="37">
        <v>518267</v>
      </c>
      <c r="K38" s="37">
        <v>158585</v>
      </c>
      <c r="L38" s="37">
        <v>73362</v>
      </c>
      <c r="M38" s="38">
        <f>I38/(HLOOKUP(F38,Team_Composition_23[[#All],[Yellow]:[Red]],10,FALSE)+HLOOKUP(F38,Team_Composition_23[[#All],[Yellow]:[Red]],11,FALSE))</f>
        <v>8.1607795371498176E-2</v>
      </c>
      <c r="N38" s="38">
        <f>J38/HLOOKUP(F38,Team_Composition_23[[#All],[Yellow]:[Red]],6,FALSE)</f>
        <v>2.9371215905783971E-2</v>
      </c>
      <c r="O38" s="38">
        <f>K38/HLOOKUP(F38,Team_Composition_23[[#All],[Yellow]:[Red]],8,FALSE)</f>
        <v>3.6028994770030799E-3</v>
      </c>
      <c r="P38" s="38">
        <f>L38/HLOOKUP(F38,Team_Composition_23[[#All],[Yellow]:[Red]],7,FALSE)</f>
        <v>3.0229422950635125E-3</v>
      </c>
      <c r="Q38" s="31"/>
      <c r="R38" s="45" t="s">
        <v>81</v>
      </c>
      <c r="S38" s="46">
        <f t="shared" si="6"/>
        <v>0</v>
      </c>
      <c r="T38" s="47">
        <f t="shared" si="7"/>
        <v>0</v>
      </c>
      <c r="U38" s="31"/>
      <c r="V38" s="31"/>
      <c r="W38" s="31"/>
      <c r="X38" s="31"/>
      <c r="Y38" s="31"/>
      <c r="Z38" s="31"/>
      <c r="AA38" s="31"/>
      <c r="AB38" s="45" t="s">
        <v>81</v>
      </c>
      <c r="AC38" s="50">
        <f t="shared" si="8"/>
        <v>0</v>
      </c>
      <c r="AD38" s="51">
        <f t="shared" si="9"/>
        <v>0</v>
      </c>
    </row>
    <row r="39" spans="1:30" ht="22.5" customHeight="1">
      <c r="A39" s="32">
        <v>49</v>
      </c>
      <c r="B39" s="87" t="str">
        <f>VLOOKUP(C39,Lists!I:J,2,FALSE)</f>
        <v>Healer</v>
      </c>
      <c r="C39" s="87" t="str">
        <f>VLOOKUP(E39,Lists!D:E,2,FALSE)</f>
        <v>Wand/Orb</v>
      </c>
      <c r="D39" s="35" t="s">
        <v>34</v>
      </c>
      <c r="E39" s="36" t="s">
        <v>139</v>
      </c>
      <c r="F39" s="35" t="s">
        <v>476</v>
      </c>
      <c r="G39" s="32">
        <v>1</v>
      </c>
      <c r="H39" s="32">
        <v>66</v>
      </c>
      <c r="I39" s="84">
        <f t="shared" si="0"/>
        <v>67</v>
      </c>
      <c r="J39" s="37">
        <v>20589</v>
      </c>
      <c r="K39" s="37">
        <v>428156</v>
      </c>
      <c r="L39" s="37">
        <v>654405</v>
      </c>
      <c r="M39" s="38">
        <f>I39/(HLOOKUP(F39,Team_Composition_23[[#All],[Yellow]:[Red]],10,FALSE)+HLOOKUP(F39,Team_Composition_23[[#All],[Yellow]:[Red]],11,FALSE))</f>
        <v>1.6745813546613347E-2</v>
      </c>
      <c r="N39" s="38">
        <f>J39/HLOOKUP(F39,Team_Composition_23[[#All],[Yellow]:[Red]],6,FALSE)</f>
        <v>4.6409678603339391E-4</v>
      </c>
      <c r="O39" s="38">
        <f>K39/HLOOKUP(F39,Team_Composition_23[[#All],[Yellow]:[Red]],8,FALSE)</f>
        <v>2.443985343029071E-2</v>
      </c>
      <c r="P39" s="38">
        <f>L39/HLOOKUP(F39,Team_Composition_23[[#All],[Yellow]:[Red]],7,FALSE)</f>
        <v>5.0553605648117145E-2</v>
      </c>
      <c r="Q39" s="31"/>
      <c r="R39" s="45" t="s">
        <v>48</v>
      </c>
      <c r="S39" s="46">
        <f t="shared" si="6"/>
        <v>0</v>
      </c>
      <c r="T39" s="47">
        <f t="shared" si="7"/>
        <v>0</v>
      </c>
      <c r="U39" s="31"/>
      <c r="V39" s="31"/>
      <c r="W39" s="31"/>
      <c r="X39" s="31"/>
      <c r="Y39" s="31"/>
      <c r="Z39" s="31"/>
      <c r="AA39" s="31"/>
      <c r="AB39" s="45" t="s">
        <v>48</v>
      </c>
      <c r="AC39" s="50">
        <f t="shared" si="8"/>
        <v>0</v>
      </c>
      <c r="AD39" s="51">
        <f t="shared" si="9"/>
        <v>0</v>
      </c>
    </row>
    <row r="40" spans="1:30" ht="22.5" customHeight="1">
      <c r="A40" s="32">
        <v>8</v>
      </c>
      <c r="B40" s="87" t="str">
        <f>VLOOKUP(C40,Lists!I:J,2,FALSE)</f>
        <v>KS</v>
      </c>
      <c r="C40" s="87" t="str">
        <f>VLOOKUP(E40,Lists!D:E,2,FALSE)</f>
        <v>Crossbow/Dagger</v>
      </c>
      <c r="D40" s="35" t="s">
        <v>34</v>
      </c>
      <c r="E40" s="36" t="s">
        <v>152</v>
      </c>
      <c r="F40" s="35" t="s">
        <v>476</v>
      </c>
      <c r="G40" s="32">
        <v>40</v>
      </c>
      <c r="H40" s="32">
        <v>26</v>
      </c>
      <c r="I40" s="84">
        <f t="shared" si="0"/>
        <v>66</v>
      </c>
      <c r="J40" s="37">
        <v>1711545</v>
      </c>
      <c r="K40" s="37">
        <v>875169</v>
      </c>
      <c r="L40" s="37">
        <v>0</v>
      </c>
      <c r="M40" s="38">
        <f>I40/(HLOOKUP(F40,Team_Composition_23[[#All],[Yellow]:[Red]],10,FALSE)+HLOOKUP(F40,Team_Composition_23[[#All],[Yellow]:[Red]],11,FALSE))</f>
        <v>1.6495876030992253E-2</v>
      </c>
      <c r="N40" s="38">
        <f>J40/HLOOKUP(F40,Team_Composition_23[[#All],[Yellow]:[Red]],6,FALSE)</f>
        <v>3.8579947236462443E-2</v>
      </c>
      <c r="O40" s="38">
        <f>K40/HLOOKUP(F40,Team_Composition_23[[#All],[Yellow]:[Red]],8,FALSE)</f>
        <v>4.9956095644424207E-2</v>
      </c>
      <c r="P40" s="38">
        <f>L40/HLOOKUP(F40,Team_Composition_23[[#All],[Yellow]:[Red]],7,FALSE)</f>
        <v>0</v>
      </c>
      <c r="Q40" s="31"/>
      <c r="R40" s="45" t="s">
        <v>50</v>
      </c>
      <c r="S40" s="46">
        <f t="shared" si="6"/>
        <v>0</v>
      </c>
      <c r="T40" s="47">
        <f t="shared" si="7"/>
        <v>0</v>
      </c>
      <c r="U40" s="31"/>
      <c r="V40" s="31"/>
      <c r="W40" s="31"/>
      <c r="X40" s="31"/>
      <c r="Y40" s="31"/>
      <c r="Z40" s="31"/>
      <c r="AA40" s="31"/>
      <c r="AB40" s="45" t="s">
        <v>50</v>
      </c>
      <c r="AC40" s="50">
        <f t="shared" si="8"/>
        <v>0</v>
      </c>
      <c r="AD40" s="51">
        <f t="shared" si="9"/>
        <v>0</v>
      </c>
    </row>
    <row r="41" spans="1:30" ht="22.5" customHeight="1">
      <c r="A41" s="32">
        <v>67</v>
      </c>
      <c r="B41" s="87" t="str">
        <f>VLOOKUP(C41,Lists!I:J,2,FALSE)</f>
        <v>Healer</v>
      </c>
      <c r="C41" s="87" t="s">
        <v>9</v>
      </c>
      <c r="D41" s="35" t="s">
        <v>30</v>
      </c>
      <c r="E41" s="36" t="s">
        <v>528</v>
      </c>
      <c r="F41" s="35" t="s">
        <v>483</v>
      </c>
      <c r="G41" s="32">
        <v>0</v>
      </c>
      <c r="H41" s="32">
        <v>65</v>
      </c>
      <c r="I41" s="84">
        <f t="shared" si="0"/>
        <v>65</v>
      </c>
      <c r="J41" s="37">
        <v>431403</v>
      </c>
      <c r="K41" s="37">
        <v>596503</v>
      </c>
      <c r="L41" s="37">
        <v>596503</v>
      </c>
      <c r="M41" s="38">
        <f>I41/(HLOOKUP(F41,Team_Composition_23[[#All],[Yellow]:[Red]],10,FALSE)+HLOOKUP(F41,Team_Composition_23[[#All],[Yellow]:[Red]],11,FALSE))</f>
        <v>7.9171741778319121E-2</v>
      </c>
      <c r="N41" s="38">
        <f>J41/HLOOKUP(F41,Team_Composition_23[[#All],[Yellow]:[Red]],6,FALSE)</f>
        <v>2.4448461228291446E-2</v>
      </c>
      <c r="O41" s="38">
        <f>K41/HLOOKUP(F41,Team_Composition_23[[#All],[Yellow]:[Red]],8,FALSE)</f>
        <v>1.3551977467798142E-2</v>
      </c>
      <c r="P41" s="38">
        <f>L41/HLOOKUP(F41,Team_Composition_23[[#All],[Yellow]:[Red]],7,FALSE)</f>
        <v>2.4579402794802082E-2</v>
      </c>
      <c r="Q41" s="31"/>
      <c r="R41" s="45" t="s">
        <v>52</v>
      </c>
      <c r="S41" s="46">
        <f t="shared" si="6"/>
        <v>1</v>
      </c>
      <c r="T41" s="47">
        <f t="shared" si="7"/>
        <v>1</v>
      </c>
      <c r="U41" s="31"/>
      <c r="V41" s="31"/>
      <c r="W41" s="31"/>
      <c r="X41" s="31"/>
      <c r="Y41" s="31"/>
      <c r="Z41" s="31"/>
      <c r="AA41" s="31"/>
      <c r="AB41" s="45" t="s">
        <v>52</v>
      </c>
      <c r="AC41" s="50">
        <f t="shared" si="8"/>
        <v>0</v>
      </c>
      <c r="AD41" s="51">
        <f t="shared" si="9"/>
        <v>0</v>
      </c>
    </row>
    <row r="42" spans="1:30" ht="22.5" customHeight="1">
      <c r="A42" s="32">
        <v>68</v>
      </c>
      <c r="B42" s="87" t="str">
        <f>VLOOKUP(C42,Lists!I:J,2,FALSE)</f>
        <v>Healer</v>
      </c>
      <c r="C42" s="87" t="str">
        <f>VLOOKUP(E42,Lists!D:E,2,FALSE)</f>
        <v>Wand/Longbow</v>
      </c>
      <c r="D42" s="35" t="s">
        <v>30</v>
      </c>
      <c r="E42" s="36" t="s">
        <v>416</v>
      </c>
      <c r="F42" s="35" t="s">
        <v>483</v>
      </c>
      <c r="G42" s="32">
        <v>0</v>
      </c>
      <c r="H42" s="32">
        <v>65</v>
      </c>
      <c r="I42" s="84">
        <f t="shared" si="0"/>
        <v>65</v>
      </c>
      <c r="J42" s="37">
        <v>27951</v>
      </c>
      <c r="K42" s="37">
        <v>303411</v>
      </c>
      <c r="L42" s="37">
        <v>1182998</v>
      </c>
      <c r="M42" s="38">
        <f>I42/(HLOOKUP(F42,Team_Composition_23[[#All],[Yellow]:[Red]],10,FALSE)+HLOOKUP(F42,Team_Composition_23[[#All],[Yellow]:[Red]],11,FALSE))</f>
        <v>7.9171741778319121E-2</v>
      </c>
      <c r="N42" s="38">
        <f>J42/HLOOKUP(F42,Team_Composition_23[[#All],[Yellow]:[Red]],6,FALSE)</f>
        <v>1.5840384508034812E-3</v>
      </c>
      <c r="O42" s="38">
        <f>K42/HLOOKUP(F42,Team_Composition_23[[#All],[Yellow]:[Red]],8,FALSE)</f>
        <v>6.8932076376516157E-3</v>
      </c>
      <c r="P42" s="38">
        <f>L42/HLOOKUP(F42,Team_Composition_23[[#All],[Yellow]:[Red]],7,FALSE)</f>
        <v>4.8746417616416467E-2</v>
      </c>
      <c r="Q42" s="31"/>
      <c r="R42" s="45" t="s">
        <v>32</v>
      </c>
      <c r="S42" s="46">
        <f t="shared" si="6"/>
        <v>2</v>
      </c>
      <c r="T42" s="47">
        <f t="shared" si="7"/>
        <v>1</v>
      </c>
      <c r="U42" s="31"/>
      <c r="V42" s="31"/>
      <c r="W42" s="31"/>
      <c r="X42" s="31"/>
      <c r="Y42" s="31"/>
      <c r="Z42" s="31"/>
      <c r="AA42" s="31"/>
      <c r="AB42" s="45" t="s">
        <v>32</v>
      </c>
      <c r="AC42" s="50">
        <f t="shared" si="8"/>
        <v>0</v>
      </c>
      <c r="AD42" s="51">
        <f t="shared" si="9"/>
        <v>0</v>
      </c>
    </row>
    <row r="43" spans="1:30" ht="22.5" customHeight="1">
      <c r="A43" s="32">
        <v>29</v>
      </c>
      <c r="B43" s="87" t="str">
        <f>VLOOKUP(C43,Lists!I:J,2,FALSE)</f>
        <v>KS</v>
      </c>
      <c r="C43" s="87" t="s">
        <v>54</v>
      </c>
      <c r="D43" s="35" t="s">
        <v>30</v>
      </c>
      <c r="E43" s="36" t="s">
        <v>434</v>
      </c>
      <c r="F43" s="35" t="s">
        <v>483</v>
      </c>
      <c r="G43" s="32">
        <v>19</v>
      </c>
      <c r="H43" s="32">
        <v>44</v>
      </c>
      <c r="I43" s="84">
        <f t="shared" si="0"/>
        <v>63</v>
      </c>
      <c r="J43" s="37">
        <v>1206497</v>
      </c>
      <c r="K43" s="37">
        <v>885997</v>
      </c>
      <c r="L43" s="37">
        <v>14092</v>
      </c>
      <c r="M43" s="38">
        <f>I43/(HLOOKUP(F43,Team_Composition_23[[#All],[Yellow]:[Red]],10,FALSE)+HLOOKUP(F43,Team_Composition_23[[#All],[Yellow]:[Red]],11,FALSE))</f>
        <v>7.6735688185140066E-2</v>
      </c>
      <c r="N43" s="38">
        <f>J43/HLOOKUP(F43,Team_Composition_23[[#All],[Yellow]:[Red]],6,FALSE)</f>
        <v>6.8374571170228174E-2</v>
      </c>
      <c r="O43" s="38">
        <f>K43/HLOOKUP(F43,Team_Composition_23[[#All],[Yellow]:[Red]],8,FALSE)</f>
        <v>2.0129004180258522E-2</v>
      </c>
      <c r="P43" s="38">
        <f>L43/HLOOKUP(F43,Team_Composition_23[[#All],[Yellow]:[Red]],7,FALSE)</f>
        <v>5.8067259374110594E-4</v>
      </c>
      <c r="Q43" s="31"/>
      <c r="R43" s="45" t="s">
        <v>56</v>
      </c>
      <c r="S43" s="46">
        <f t="shared" si="6"/>
        <v>0</v>
      </c>
      <c r="T43" s="47">
        <f t="shared" si="7"/>
        <v>1</v>
      </c>
      <c r="U43" s="31"/>
      <c r="V43" s="31"/>
      <c r="W43" s="31"/>
      <c r="X43" s="31"/>
      <c r="Y43" s="31"/>
      <c r="Z43" s="31"/>
      <c r="AA43" s="31"/>
      <c r="AB43" s="45" t="s">
        <v>56</v>
      </c>
      <c r="AC43" s="50">
        <f t="shared" si="8"/>
        <v>0</v>
      </c>
      <c r="AD43" s="51">
        <f t="shared" si="9"/>
        <v>0</v>
      </c>
    </row>
    <row r="44" spans="1:30" ht="22.5" customHeight="1">
      <c r="A44" s="32">
        <v>50</v>
      </c>
      <c r="B44" s="87" t="str">
        <f>VLOOKUP(C44,Lists!I:J,2,FALSE)</f>
        <v>Healer</v>
      </c>
      <c r="C44" s="87" t="s">
        <v>9</v>
      </c>
      <c r="D44" s="35" t="s">
        <v>34</v>
      </c>
      <c r="E44" s="36" t="s">
        <v>44</v>
      </c>
      <c r="F44" s="35" t="s">
        <v>476</v>
      </c>
      <c r="G44" s="32">
        <v>1</v>
      </c>
      <c r="H44" s="32">
        <v>61</v>
      </c>
      <c r="I44" s="84">
        <f t="shared" si="0"/>
        <v>62</v>
      </c>
      <c r="J44" s="37">
        <v>80975</v>
      </c>
      <c r="K44" s="37">
        <v>820053</v>
      </c>
      <c r="L44" s="37">
        <v>3185448</v>
      </c>
      <c r="M44" s="38">
        <f>I44/(HLOOKUP(F44,Team_Composition_23[[#All],[Yellow]:[Red]],10,FALSE)+HLOOKUP(F44,Team_Composition_23[[#All],[Yellow]:[Red]],11,FALSE))</f>
        <v>1.5496125968507872E-2</v>
      </c>
      <c r="N44" s="38">
        <f>J44/HLOOKUP(F44,Team_Composition_23[[#All],[Yellow]:[Red]],6,FALSE)</f>
        <v>1.8252580139421085E-3</v>
      </c>
      <c r="O44" s="38">
        <f>K44/HLOOKUP(F44,Team_Composition_23[[#All],[Yellow]:[Red]],8,FALSE)</f>
        <v>4.6809983102117425E-2</v>
      </c>
      <c r="P44" s="38">
        <f>L44/HLOOKUP(F44,Team_Composition_23[[#All],[Yellow]:[Red]],7,FALSE)</f>
        <v>0.24607984658519338</v>
      </c>
      <c r="Q44" s="31"/>
      <c r="R44" s="45" t="s">
        <v>58</v>
      </c>
      <c r="S44" s="46">
        <f t="shared" si="6"/>
        <v>2</v>
      </c>
      <c r="T44" s="47">
        <f t="shared" si="7"/>
        <v>1</v>
      </c>
      <c r="U44" s="31"/>
      <c r="V44" s="31"/>
      <c r="W44" s="31"/>
      <c r="X44" s="31"/>
      <c r="Y44" s="31"/>
      <c r="Z44" s="31"/>
      <c r="AA44" s="31"/>
      <c r="AB44" s="45" t="s">
        <v>58</v>
      </c>
      <c r="AC44" s="50">
        <f t="shared" si="8"/>
        <v>0</v>
      </c>
      <c r="AD44" s="51">
        <f t="shared" si="9"/>
        <v>0</v>
      </c>
    </row>
    <row r="45" spans="1:30" ht="22.5" customHeight="1">
      <c r="A45" s="32">
        <v>35</v>
      </c>
      <c r="B45" s="87" t="str">
        <f>VLOOKUP(C45,Lists!I:J,2,FALSE)</f>
        <v>Tank</v>
      </c>
      <c r="C45" s="87" t="str">
        <f>VLOOKUP(E45,Lists!D:E,2,FALSE)</f>
        <v>SnS/Greatsword</v>
      </c>
      <c r="D45" s="35" t="s">
        <v>30</v>
      </c>
      <c r="E45" s="36" t="s">
        <v>214</v>
      </c>
      <c r="F45" s="35" t="s">
        <v>483</v>
      </c>
      <c r="G45" s="32">
        <v>11</v>
      </c>
      <c r="H45" s="32">
        <v>49</v>
      </c>
      <c r="I45" s="84">
        <f t="shared" si="0"/>
        <v>60</v>
      </c>
      <c r="J45" s="37">
        <v>842122</v>
      </c>
      <c r="K45" s="37">
        <v>1382487</v>
      </c>
      <c r="L45" s="37">
        <v>40216</v>
      </c>
      <c r="M45" s="38">
        <f>I45/(HLOOKUP(F45,Team_Composition_23[[#All],[Yellow]:[Red]],10,FALSE)+HLOOKUP(F45,Team_Composition_23[[#All],[Yellow]:[Red]],11,FALSE))</f>
        <v>7.3081607795371498E-2</v>
      </c>
      <c r="N45" s="38">
        <f>J45/HLOOKUP(F45,Team_Composition_23[[#All],[Yellow]:[Red]],6,FALSE)</f>
        <v>4.7724719268274089E-2</v>
      </c>
      <c r="O45" s="38">
        <f>K45/HLOOKUP(F45,Team_Composition_23[[#All],[Yellow]:[Red]],8,FALSE)</f>
        <v>3.1408781973475151E-2</v>
      </c>
      <c r="P45" s="38">
        <f>L45/HLOOKUP(F45,Team_Composition_23[[#All],[Yellow]:[Red]],7,FALSE)</f>
        <v>1.6571337659588646E-3</v>
      </c>
      <c r="Q45" s="31"/>
      <c r="R45" s="45" t="s">
        <v>60</v>
      </c>
      <c r="S45" s="46">
        <f t="shared" si="6"/>
        <v>0</v>
      </c>
      <c r="T45" s="47">
        <f t="shared" si="7"/>
        <v>0</v>
      </c>
      <c r="U45" s="31"/>
      <c r="V45" s="31"/>
      <c r="W45" s="31"/>
      <c r="X45" s="31"/>
      <c r="Y45" s="31"/>
      <c r="Z45" s="31"/>
      <c r="AA45" s="31"/>
      <c r="AB45" s="45" t="s">
        <v>60</v>
      </c>
      <c r="AC45" s="50">
        <f t="shared" si="8"/>
        <v>0</v>
      </c>
      <c r="AD45" s="51">
        <f t="shared" si="9"/>
        <v>0</v>
      </c>
    </row>
    <row r="46" spans="1:30" ht="22.5" customHeight="1">
      <c r="A46" s="32">
        <v>33</v>
      </c>
      <c r="B46" s="87" t="str">
        <f>VLOOKUP(C46,Lists!I:J,2,FALSE)</f>
        <v>Tank</v>
      </c>
      <c r="C46" s="87" t="str">
        <f>VLOOKUP(E46,Lists!D:E,2,FALSE)</f>
        <v>SnS/Greatsword</v>
      </c>
      <c r="D46" s="35" t="s">
        <v>34</v>
      </c>
      <c r="E46" s="36" t="s">
        <v>141</v>
      </c>
      <c r="F46" s="35" t="s">
        <v>476</v>
      </c>
      <c r="G46" s="32">
        <v>15</v>
      </c>
      <c r="H46" s="32">
        <v>43</v>
      </c>
      <c r="I46" s="84">
        <f t="shared" si="0"/>
        <v>58</v>
      </c>
      <c r="J46" s="37">
        <v>1233419</v>
      </c>
      <c r="K46" s="37">
        <v>934363</v>
      </c>
      <c r="L46" s="37">
        <v>44449</v>
      </c>
      <c r="M46" s="38">
        <f>I46/(HLOOKUP(F46,Team_Composition_23[[#All],[Yellow]:[Red]],10,FALSE)+HLOOKUP(F46,Team_Composition_23[[#All],[Yellow]:[Red]],11,FALSE))</f>
        <v>1.4496375906023495E-2</v>
      </c>
      <c r="N46" s="38">
        <f>J46/HLOOKUP(F46,Team_Composition_23[[#All],[Yellow]:[Red]],6,FALSE)</f>
        <v>2.7802505888218112E-2</v>
      </c>
      <c r="O46" s="38">
        <f>K46/HLOOKUP(F46,Team_Composition_23[[#All],[Yellow]:[Red]],8,FALSE)</f>
        <v>5.3334987179174696E-2</v>
      </c>
      <c r="P46" s="38">
        <f>L46/HLOOKUP(F46,Team_Composition_23[[#All],[Yellow]:[Red]],7,FALSE)</f>
        <v>3.4337409057894714E-3</v>
      </c>
      <c r="Q46" s="31"/>
      <c r="R46" s="45" t="s">
        <v>63</v>
      </c>
      <c r="S46" s="46">
        <f t="shared" si="6"/>
        <v>0</v>
      </c>
      <c r="T46" s="47">
        <f t="shared" si="7"/>
        <v>0</v>
      </c>
      <c r="U46" s="31"/>
      <c r="V46" s="31"/>
      <c r="W46" s="31"/>
      <c r="X46" s="31"/>
      <c r="Y46" s="31"/>
      <c r="Z46" s="31"/>
      <c r="AA46" s="31"/>
      <c r="AB46" s="45" t="s">
        <v>63</v>
      </c>
      <c r="AC46" s="50">
        <f t="shared" si="8"/>
        <v>0</v>
      </c>
      <c r="AD46" s="51">
        <f t="shared" si="9"/>
        <v>0</v>
      </c>
    </row>
    <row r="47" spans="1:30" ht="22.5" customHeight="1">
      <c r="A47" s="32">
        <v>69</v>
      </c>
      <c r="B47" s="87" t="str">
        <f>VLOOKUP(C47,Lists!I:J,2,FALSE)</f>
        <v>Healer</v>
      </c>
      <c r="C47" s="87" t="str">
        <f>VLOOKUP(E47,Lists!D:E,2,FALSE)</f>
        <v>Wand/Orb</v>
      </c>
      <c r="D47" s="35" t="s">
        <v>30</v>
      </c>
      <c r="E47" s="36" t="s">
        <v>206</v>
      </c>
      <c r="F47" s="35" t="s">
        <v>483</v>
      </c>
      <c r="G47" s="32">
        <v>0</v>
      </c>
      <c r="H47" s="32">
        <v>58</v>
      </c>
      <c r="I47" s="84">
        <f t="shared" si="0"/>
        <v>58</v>
      </c>
      <c r="J47" s="37">
        <v>8736</v>
      </c>
      <c r="K47" s="37">
        <v>487272</v>
      </c>
      <c r="L47" s="37">
        <v>916949</v>
      </c>
      <c r="M47" s="38">
        <f>I47/(HLOOKUP(F47,Team_Composition_23[[#All],[Yellow]:[Red]],10,FALSE)+HLOOKUP(F47,Team_Composition_23[[#All],[Yellow]:[Red]],11,FALSE))</f>
        <v>7.0645554202192443E-2</v>
      </c>
      <c r="N47" s="38">
        <f>J47/HLOOKUP(F47,Team_Composition_23[[#All],[Yellow]:[Red]],6,FALSE)</f>
        <v>4.9508639784691822E-4</v>
      </c>
      <c r="O47" s="38">
        <f>K47/HLOOKUP(F47,Team_Composition_23[[#All],[Yellow]:[Red]],8,FALSE)</f>
        <v>1.1070353652352018E-2</v>
      </c>
      <c r="P47" s="38">
        <f>L47/HLOOKUP(F47,Team_Composition_23[[#All],[Yellow]:[Red]],7,FALSE)</f>
        <v>3.7783647045012303E-2</v>
      </c>
      <c r="Q47" s="31"/>
      <c r="R47" s="48"/>
      <c r="S47" s="63"/>
      <c r="T47" s="63"/>
      <c r="U47" s="31"/>
      <c r="V47" s="31"/>
      <c r="W47" s="31"/>
      <c r="X47" s="31"/>
      <c r="Y47" s="31"/>
      <c r="Z47" s="31"/>
      <c r="AA47" s="31"/>
      <c r="AB47" s="48"/>
      <c r="AC47" s="63"/>
      <c r="AD47" s="63"/>
    </row>
    <row r="48" spans="1:30" ht="22.5" customHeight="1">
      <c r="A48" s="32">
        <v>70</v>
      </c>
      <c r="B48" s="87" t="str">
        <f>VLOOKUP(C48,Lists!I:J,2,FALSE)</f>
        <v>Healer</v>
      </c>
      <c r="C48" s="87" t="str">
        <f>VLOOKUP(E48,Lists!D:E,2,FALSE)</f>
        <v>Wand/Orb</v>
      </c>
      <c r="D48" s="35" t="s">
        <v>30</v>
      </c>
      <c r="E48" s="83" t="s">
        <v>413</v>
      </c>
      <c r="F48" s="35" t="s">
        <v>483</v>
      </c>
      <c r="G48" s="32">
        <v>0</v>
      </c>
      <c r="H48" s="32">
        <v>58</v>
      </c>
      <c r="I48" s="84">
        <f t="shared" si="0"/>
        <v>58</v>
      </c>
      <c r="J48" s="37">
        <v>0</v>
      </c>
      <c r="K48" s="37">
        <v>198946</v>
      </c>
      <c r="L48" s="37">
        <v>855917</v>
      </c>
      <c r="M48" s="38">
        <f>I48/(HLOOKUP(F48,Team_Composition_23[[#All],[Yellow]:[Red]],10,FALSE)+HLOOKUP(F48,Team_Composition_23[[#All],[Yellow]:[Red]],11,FALSE))</f>
        <v>7.0645554202192443E-2</v>
      </c>
      <c r="N48" s="38">
        <f>J48/HLOOKUP(F48,Team_Composition_23[[#All],[Yellow]:[Red]],6,FALSE)</f>
        <v>0</v>
      </c>
      <c r="O48" s="38">
        <f>K48/HLOOKUP(F48,Team_Composition_23[[#All],[Yellow]:[Red]],8,FALSE)</f>
        <v>4.5198627824312183E-3</v>
      </c>
      <c r="P48" s="38">
        <f>L48/HLOOKUP(F48,Team_Composition_23[[#All],[Yellow]:[Red]],7,FALSE)</f>
        <v>3.5268772666555932E-2</v>
      </c>
      <c r="Q48" s="31"/>
      <c r="R48" s="31"/>
      <c r="S48" s="64"/>
      <c r="T48" s="64"/>
      <c r="U48" s="31"/>
      <c r="V48" s="31"/>
      <c r="W48" s="31"/>
      <c r="X48" s="31"/>
      <c r="Y48" s="31"/>
      <c r="Z48" s="31"/>
      <c r="AA48" s="31"/>
      <c r="AB48" s="31"/>
      <c r="AC48" s="64"/>
      <c r="AD48" s="64"/>
    </row>
    <row r="49" spans="1:30" ht="22.5" customHeight="1">
      <c r="A49" s="32">
        <v>41</v>
      </c>
      <c r="B49" s="87" t="str">
        <f>VLOOKUP(C49,Lists!I:J,2,FALSE)</f>
        <v>Ranged DPS</v>
      </c>
      <c r="C49" s="87" t="str">
        <f>VLOOKUP(E49,Lists!D:E,2,FALSE)</f>
        <v>Staff/Dagger</v>
      </c>
      <c r="D49" s="35" t="s">
        <v>34</v>
      </c>
      <c r="E49" s="36" t="s">
        <v>76</v>
      </c>
      <c r="F49" s="35" t="s">
        <v>476</v>
      </c>
      <c r="G49" s="32">
        <v>4</v>
      </c>
      <c r="H49" s="32">
        <v>53</v>
      </c>
      <c r="I49" s="84">
        <f t="shared" si="0"/>
        <v>57</v>
      </c>
      <c r="J49" s="37">
        <v>1003916</v>
      </c>
      <c r="K49" s="37">
        <v>1411879</v>
      </c>
      <c r="L49" s="37">
        <v>4347</v>
      </c>
      <c r="M49" s="38">
        <f>I49/(HLOOKUP(F49,Team_Composition_23[[#All],[Yellow]:[Red]],10,FALSE)+HLOOKUP(F49,Team_Composition_23[[#All],[Yellow]:[Red]],11,FALSE))</f>
        <v>1.42464383904024E-2</v>
      </c>
      <c r="N49" s="38">
        <f>J49/HLOOKUP(F49,Team_Composition_23[[#All],[Yellow]:[Red]],6,FALSE)</f>
        <v>2.2629277237724062E-2</v>
      </c>
      <c r="O49" s="38">
        <f>K49/HLOOKUP(F49,Team_Composition_23[[#All],[Yellow]:[Red]],8,FALSE)</f>
        <v>8.0592391140858519E-2</v>
      </c>
      <c r="P49" s="38">
        <f>L49/HLOOKUP(F49,Team_Composition_23[[#All],[Yellow]:[Red]],7,FALSE)</f>
        <v>3.3581119299572166E-4</v>
      </c>
      <c r="Q49" s="31"/>
      <c r="R49" s="227" t="s">
        <v>67</v>
      </c>
      <c r="S49" s="228"/>
      <c r="T49" s="228"/>
      <c r="U49" s="31"/>
      <c r="V49" s="31"/>
      <c r="W49" s="31"/>
      <c r="X49" s="31"/>
      <c r="Y49" s="31"/>
      <c r="Z49" s="31"/>
      <c r="AA49" s="31"/>
      <c r="AB49" s="227" t="s">
        <v>67</v>
      </c>
      <c r="AC49" s="228"/>
      <c r="AD49" s="228"/>
    </row>
    <row r="50" spans="1:30" ht="22.5" customHeight="1">
      <c r="A50" s="32">
        <v>32</v>
      </c>
      <c r="B50" s="87" t="str">
        <f>VLOOKUP(C50,Lists!I:J,2,FALSE)</f>
        <v>Tank</v>
      </c>
      <c r="C50" s="87" t="s">
        <v>14</v>
      </c>
      <c r="D50" s="35" t="s">
        <v>34</v>
      </c>
      <c r="E50" s="36" t="s">
        <v>172</v>
      </c>
      <c r="F50" s="35" t="s">
        <v>476</v>
      </c>
      <c r="G50" s="32">
        <v>17</v>
      </c>
      <c r="H50" s="32">
        <v>39</v>
      </c>
      <c r="I50" s="84">
        <f t="shared" si="0"/>
        <v>56</v>
      </c>
      <c r="J50" s="37">
        <v>1103038</v>
      </c>
      <c r="K50" s="37">
        <v>1194972</v>
      </c>
      <c r="L50" s="37">
        <v>0</v>
      </c>
      <c r="M50" s="38">
        <f>I50/(HLOOKUP(F50,Team_Composition_23[[#All],[Yellow]:[Red]],10,FALSE)+HLOOKUP(F50,Team_Composition_23[[#All],[Yellow]:[Red]],11,FALSE))</f>
        <v>1.3996500874781305E-2</v>
      </c>
      <c r="N50" s="38">
        <f>J50/HLOOKUP(F50,Team_Composition_23[[#All],[Yellow]:[Red]],6,FALSE)</f>
        <v>2.4863586899446441E-2</v>
      </c>
      <c r="O50" s="38">
        <f>K50/HLOOKUP(F50,Team_Composition_23[[#All],[Yellow]:[Red]],8,FALSE)</f>
        <v>6.821098042139162E-2</v>
      </c>
      <c r="P50" s="38">
        <f>L50/HLOOKUP(F50,Team_Composition_23[[#All],[Yellow]:[Red]],7,FALSE)</f>
        <v>0</v>
      </c>
      <c r="Q50" s="31"/>
      <c r="R50" s="41" t="s">
        <v>482</v>
      </c>
      <c r="S50" s="42" t="s">
        <v>476</v>
      </c>
      <c r="T50" s="42" t="s">
        <v>483</v>
      </c>
      <c r="U50" s="31"/>
      <c r="V50" s="31"/>
      <c r="W50" s="31"/>
      <c r="X50" s="31"/>
      <c r="Y50" s="31"/>
      <c r="Z50" s="31"/>
      <c r="AA50" s="31"/>
      <c r="AB50" s="41" t="s">
        <v>482</v>
      </c>
      <c r="AC50" s="42" t="s">
        <v>7</v>
      </c>
      <c r="AD50" s="42" t="s">
        <v>527</v>
      </c>
    </row>
    <row r="51" spans="1:30" ht="22.5" customHeight="1">
      <c r="A51" s="32">
        <v>71</v>
      </c>
      <c r="B51" s="87" t="str">
        <f>VLOOKUP(C51,Lists!I:J,2,FALSE)</f>
        <v>Healer</v>
      </c>
      <c r="C51" s="87" t="str">
        <f>VLOOKUP(E51,Lists!D:E,2,FALSE)</f>
        <v>Wand/Longbow</v>
      </c>
      <c r="D51" s="35" t="s">
        <v>34</v>
      </c>
      <c r="E51" s="36" t="s">
        <v>157</v>
      </c>
      <c r="F51" s="35" t="s">
        <v>476</v>
      </c>
      <c r="G51" s="32">
        <v>0</v>
      </c>
      <c r="H51" s="32">
        <v>54</v>
      </c>
      <c r="I51" s="84">
        <f t="shared" si="0"/>
        <v>54</v>
      </c>
      <c r="J51" s="37">
        <v>58048</v>
      </c>
      <c r="K51" s="37">
        <v>773868</v>
      </c>
      <c r="L51" s="37">
        <v>2004505</v>
      </c>
      <c r="M51" s="38">
        <f>I51/(HLOOKUP(F51,Team_Composition_23[[#All],[Yellow]:[Red]],10,FALSE)+HLOOKUP(F51,Team_Composition_23[[#All],[Yellow]:[Red]],11,FALSE))</f>
        <v>1.3496625843539115E-2</v>
      </c>
      <c r="N51" s="38">
        <f>J51/HLOOKUP(F51,Team_Composition_23[[#All],[Yellow]:[Red]],6,FALSE)</f>
        <v>1.3084603543477803E-3</v>
      </c>
      <c r="O51" s="38">
        <f>K51/HLOOKUP(F51,Team_Composition_23[[#All],[Yellow]:[Red]],8,FALSE)</f>
        <v>4.4173666827960402E-2</v>
      </c>
      <c r="P51" s="38">
        <f>L51/HLOOKUP(F51,Team_Composition_23[[#All],[Yellow]:[Red]],7,FALSE)</f>
        <v>0.15485052114467196</v>
      </c>
      <c r="Q51" s="31"/>
      <c r="R51" s="45" t="s">
        <v>468</v>
      </c>
      <c r="S51" s="46">
        <f>SUMIFS(Scoreboard_30[Damage Dealt],Scoreboard_30[Role],"Tank",Scoreboard_30[Team],"Yellow")</f>
        <v>3958488</v>
      </c>
      <c r="T51" s="47">
        <f>SUMIFS(Scoreboard_30[Damage Dealt],Scoreboard_30[Role],"Tank",Scoreboard_30[Team],"Red")</f>
        <v>2761898</v>
      </c>
      <c r="U51" s="31"/>
      <c r="V51" s="31"/>
      <c r="W51" s="31"/>
      <c r="X51" s="31"/>
      <c r="Y51" s="31"/>
      <c r="Z51" s="31"/>
      <c r="AA51" s="31"/>
      <c r="AB51" s="45" t="s">
        <v>468</v>
      </c>
      <c r="AC51" s="50">
        <f>SUMIFS(Scoreboard_30[Damage Dealt],Scoreboard_30[Role],"Tank",Scoreboard_30[Guild],"FTP")</f>
        <v>0</v>
      </c>
      <c r="AD51" s="51">
        <f>SUMIFS(Scoreboard_30[Damage Dealt],Scoreboard_30[Role],"Tank",Scoreboard_30[Guild],"Undercooked")</f>
        <v>0</v>
      </c>
    </row>
    <row r="52" spans="1:30" ht="22.5" customHeight="1">
      <c r="A52" s="32">
        <v>72</v>
      </c>
      <c r="B52" s="87" t="str">
        <f>VLOOKUP(C52,Lists!I:J,2,FALSE)</f>
        <v>Healer</v>
      </c>
      <c r="C52" s="87" t="str">
        <f>VLOOKUP(E52,Lists!D:E,2,FALSE)</f>
        <v>Wand/Greatsword</v>
      </c>
      <c r="D52" s="35" t="s">
        <v>30</v>
      </c>
      <c r="E52" s="36" t="s">
        <v>415</v>
      </c>
      <c r="F52" s="35" t="s">
        <v>483</v>
      </c>
      <c r="G52" s="32">
        <v>0</v>
      </c>
      <c r="H52" s="32">
        <v>54</v>
      </c>
      <c r="I52" s="84">
        <f t="shared" si="0"/>
        <v>54</v>
      </c>
      <c r="J52" s="37">
        <v>15058</v>
      </c>
      <c r="K52" s="37">
        <v>355992</v>
      </c>
      <c r="L52" s="37">
        <v>424534</v>
      </c>
      <c r="M52" s="38">
        <f>I52/(HLOOKUP(F52,Team_Composition_23[[#All],[Yellow]:[Red]],10,FALSE)+HLOOKUP(F52,Team_Composition_23[[#All],[Yellow]:[Red]],11,FALSE))</f>
        <v>6.5773447015834346E-2</v>
      </c>
      <c r="N52" s="38">
        <f>J52/HLOOKUP(F52,Team_Composition_23[[#All],[Yellow]:[Red]],6,FALSE)</f>
        <v>8.5336664134373792E-4</v>
      </c>
      <c r="O52" s="38">
        <f>K52/HLOOKUP(F52,Team_Composition_23[[#All],[Yellow]:[Red]],8,FALSE)</f>
        <v>8.0877976518414756E-3</v>
      </c>
      <c r="P52" s="38">
        <f>L52/HLOOKUP(F52,Team_Composition_23[[#All],[Yellow]:[Red]],7,FALSE)</f>
        <v>1.7493276959358976E-2</v>
      </c>
      <c r="Q52" s="31"/>
      <c r="R52" s="45" t="s">
        <v>469</v>
      </c>
      <c r="S52" s="46">
        <f>SUMIFS(Scoreboard_30[Damage Taken],Scoreboard_30[Role],"Tank",Scoreboard_30[Team],"Yellow")</f>
        <v>13375569</v>
      </c>
      <c r="T52" s="47">
        <f>SUMIFS(Scoreboard_30[Damage Taken],Scoreboard_30[Role],"Tank",Scoreboard_30[Team],"Red")</f>
        <v>7909216</v>
      </c>
      <c r="U52" s="31"/>
      <c r="V52" s="31"/>
      <c r="W52" s="31"/>
      <c r="X52" s="31"/>
      <c r="Y52" s="31"/>
      <c r="Z52" s="31"/>
      <c r="AA52" s="31"/>
      <c r="AB52" s="45" t="s">
        <v>469</v>
      </c>
      <c r="AC52" s="50">
        <f>SUMIFS(Scoreboard_30[Damage Taken],Scoreboard_30[Role],"Tank",Scoreboard_30[Guild],"FTP")</f>
        <v>0</v>
      </c>
      <c r="AD52" s="51">
        <f>SUMIFS(Scoreboard_30[Damage Taken],Scoreboard_30[Role],"Tank",Scoreboard_30[Guild],"Undercooked")</f>
        <v>0</v>
      </c>
    </row>
    <row r="53" spans="1:30" ht="22.5" customHeight="1">
      <c r="A53" s="32">
        <v>51</v>
      </c>
      <c r="B53" s="87" t="str">
        <f>VLOOKUP(C53,Lists!I:J,2,FALSE)</f>
        <v>Healer</v>
      </c>
      <c r="C53" s="87" t="str">
        <f>VLOOKUP(E53,Lists!D:E,2,FALSE)</f>
        <v>Wand/Orb</v>
      </c>
      <c r="D53" s="35" t="s">
        <v>30</v>
      </c>
      <c r="E53" s="36" t="s">
        <v>419</v>
      </c>
      <c r="F53" s="35" t="s">
        <v>483</v>
      </c>
      <c r="G53" s="32">
        <v>1</v>
      </c>
      <c r="H53" s="32">
        <v>52</v>
      </c>
      <c r="I53" s="84">
        <f t="shared" si="0"/>
        <v>53</v>
      </c>
      <c r="J53" s="37">
        <v>27404</v>
      </c>
      <c r="K53" s="37">
        <v>318802</v>
      </c>
      <c r="L53" s="37">
        <v>782133</v>
      </c>
      <c r="M53" s="38">
        <f>I53/(HLOOKUP(F53,Team_Composition_23[[#All],[Yellow]:[Red]],10,FALSE)+HLOOKUP(F53,Team_Composition_23[[#All],[Yellow]:[Red]],11,FALSE))</f>
        <v>6.4555420219244819E-2</v>
      </c>
      <c r="N53" s="38">
        <f>J53/HLOOKUP(F53,Team_Composition_23[[#All],[Yellow]:[Red]],6,FALSE)</f>
        <v>1.5530388789602731E-3</v>
      </c>
      <c r="O53" s="38">
        <f>K53/HLOOKUP(F53,Team_Composition_23[[#All],[Yellow]:[Red]],8,FALSE)</f>
        <v>7.2428764326231106E-3</v>
      </c>
      <c r="P53" s="38">
        <f>L53/HLOOKUP(F53,Team_Composition_23[[#All],[Yellow]:[Red]],7,FALSE)</f>
        <v>3.2228441510113004E-2</v>
      </c>
      <c r="Q53" s="31"/>
      <c r="R53" s="45" t="s">
        <v>470</v>
      </c>
      <c r="S53" s="46">
        <f>SUMIFS(Scoreboard_30[Amount Healed],Scoreboard_30[Role],"Tank",Scoreboard_30[Team],"Yellow")</f>
        <v>1844393</v>
      </c>
      <c r="T53" s="47">
        <f>SUMIFS(Scoreboard_30[Amount Healed],Scoreboard_30[Role],"Tank",Scoreboard_30[Team],"Red")</f>
        <v>1922505</v>
      </c>
      <c r="U53" s="31"/>
      <c r="V53" s="31"/>
      <c r="W53" s="31"/>
      <c r="X53" s="31"/>
      <c r="Y53" s="31"/>
      <c r="Z53" s="31"/>
      <c r="AA53" s="31"/>
      <c r="AB53" s="45" t="s">
        <v>470</v>
      </c>
      <c r="AC53" s="50">
        <f>SUMIFS(Scoreboard_30[Amount Healed],Scoreboard_30[Role],"Tank",Scoreboard_30[Guild],"FTP")</f>
        <v>0</v>
      </c>
      <c r="AD53" s="51">
        <f>SUMIFS(Scoreboard_30[Amount Healed],Scoreboard_30[Role],"Tank",Scoreboard_30[Guild],"Undercooked")</f>
        <v>0</v>
      </c>
    </row>
    <row r="54" spans="1:30" ht="22.5" customHeight="1">
      <c r="A54" s="32">
        <v>73</v>
      </c>
      <c r="B54" s="87" t="str">
        <f>VLOOKUP(C54,Lists!I:J,2,FALSE)</f>
        <v>Healer</v>
      </c>
      <c r="C54" s="87" t="str">
        <f>VLOOKUP(E54,Lists!D:E,2,FALSE)</f>
        <v>Wand/Longbow</v>
      </c>
      <c r="D54" s="35" t="s">
        <v>516</v>
      </c>
      <c r="E54" s="36" t="s">
        <v>188</v>
      </c>
      <c r="F54" s="35" t="s">
        <v>483</v>
      </c>
      <c r="G54" s="32">
        <v>0</v>
      </c>
      <c r="H54" s="32">
        <v>53</v>
      </c>
      <c r="I54" s="84">
        <f t="shared" si="0"/>
        <v>53</v>
      </c>
      <c r="J54" s="37">
        <v>1166</v>
      </c>
      <c r="K54" s="37">
        <v>634005</v>
      </c>
      <c r="L54" s="37">
        <v>2115542</v>
      </c>
      <c r="M54" s="38">
        <f>I54/(HLOOKUP(F54,Team_Composition_23[[#All],[Yellow]:[Red]],10,FALSE)+HLOOKUP(F54,Team_Composition_23[[#All],[Yellow]:[Red]],11,FALSE))</f>
        <v>6.4555420219244819E-2</v>
      </c>
      <c r="N54" s="38">
        <f>J54/HLOOKUP(F54,Team_Composition_23[[#All],[Yellow]:[Red]],6,FALSE)</f>
        <v>6.6079526086253054E-5</v>
      </c>
      <c r="O54" s="38">
        <f>K54/HLOOKUP(F54,Team_Composition_23[[#All],[Yellow]:[Red]],8,FALSE)</f>
        <v>1.4403987028516807E-2</v>
      </c>
      <c r="P54" s="38">
        <f>L54/HLOOKUP(F54,Team_Composition_23[[#All],[Yellow]:[Red]],7,FALSE)</f>
        <v>8.7172669621646812E-2</v>
      </c>
      <c r="Q54" s="31"/>
      <c r="R54" s="45" t="s">
        <v>465</v>
      </c>
      <c r="S54" s="46">
        <f>SUMIFS(Scoreboard_30[Kills],Scoreboard_30[Role],"Tank",Scoreboard_30[Team],"Yellow")</f>
        <v>48</v>
      </c>
      <c r="T54" s="47">
        <f>SUMIFS(Scoreboard_30[Kills],Scoreboard_30[Role],"Tank",Scoreboard_30[Team],"Red")</f>
        <v>23</v>
      </c>
      <c r="U54" s="31"/>
      <c r="V54" s="31"/>
      <c r="W54" s="31"/>
      <c r="X54" s="31"/>
      <c r="Y54" s="31"/>
      <c r="Z54" s="31"/>
      <c r="AA54" s="31"/>
      <c r="AB54" s="45" t="s">
        <v>465</v>
      </c>
      <c r="AC54" s="50">
        <f>SUMIFS(Scoreboard_30[Kills],Scoreboard_30[Role],"Tank",Scoreboard_30[Guild],"FTP")</f>
        <v>0</v>
      </c>
      <c r="AD54" s="51">
        <f>SUMIFS(Scoreboard_30[Kills],Scoreboard_30[Role],"Tank",Scoreboard_30[Guild],"Undercooked")</f>
        <v>0</v>
      </c>
    </row>
    <row r="55" spans="1:30" ht="22.5" customHeight="1">
      <c r="A55" s="32">
        <v>74</v>
      </c>
      <c r="B55" s="87" t="s">
        <v>11</v>
      </c>
      <c r="C55" s="87" t="s">
        <v>9</v>
      </c>
      <c r="D55" s="35" t="s">
        <v>30</v>
      </c>
      <c r="E55" s="36" t="s">
        <v>412</v>
      </c>
      <c r="F55" s="35" t="s">
        <v>483</v>
      </c>
      <c r="G55" s="32">
        <v>0</v>
      </c>
      <c r="H55" s="32">
        <v>52</v>
      </c>
      <c r="I55" s="84">
        <f t="shared" si="0"/>
        <v>52</v>
      </c>
      <c r="J55" s="37">
        <v>6040</v>
      </c>
      <c r="K55" s="37">
        <v>229342</v>
      </c>
      <c r="L55" s="37">
        <v>501213</v>
      </c>
      <c r="M55" s="38">
        <f>I55/(HLOOKUP(F55,Team_Composition_23[[#All],[Yellow]:[Red]],10,FALSE)+HLOOKUP(F55,Team_Composition_23[[#All],[Yellow]:[Red]],11,FALSE))</f>
        <v>6.3337393422655291E-2</v>
      </c>
      <c r="N55" s="38">
        <f>J55/HLOOKUP(F55,Team_Composition_23[[#All],[Yellow]:[Red]],6,FALSE)</f>
        <v>3.4229874576412384E-4</v>
      </c>
      <c r="O55" s="38">
        <f>K55/HLOOKUP(F55,Team_Composition_23[[#All],[Yellow]:[Red]],8,FALSE)</f>
        <v>5.2104308216719131E-3</v>
      </c>
      <c r="P55" s="38">
        <f>L55/HLOOKUP(F55,Team_Composition_23[[#All],[Yellow]:[Red]],7,FALSE)</f>
        <v>2.0652899001331319E-2</v>
      </c>
      <c r="Q55" s="31"/>
      <c r="R55" s="45" t="s">
        <v>466</v>
      </c>
      <c r="S55" s="46">
        <f>SUMIFS(Scoreboard_30[Assists],Scoreboard_30[Role],"Tank",Scoreboard_30[Team],"Yellow")</f>
        <v>427</v>
      </c>
      <c r="T55" s="47">
        <f>SUMIFS(Scoreboard_30[Assists],Scoreboard_30[Role],"Tank",Scoreboard_30[Team],"Red")</f>
        <v>328</v>
      </c>
      <c r="U55" s="31"/>
      <c r="V55" s="31"/>
      <c r="W55" s="31"/>
      <c r="X55" s="31"/>
      <c r="Y55" s="31"/>
      <c r="Z55" s="31"/>
      <c r="AA55" s="31"/>
      <c r="AB55" s="45" t="s">
        <v>466</v>
      </c>
      <c r="AC55" s="50">
        <f>SUMIFS(Scoreboard_30[Assists],Scoreboard_30[Role],"Tank",Scoreboard_30[Guild],"FTP")</f>
        <v>0</v>
      </c>
      <c r="AD55" s="51">
        <f>SUMIFS(Scoreboard_30[Assists],Scoreboard_30[Role],"Tank",Scoreboard_30[Guild],"Undercooked")</f>
        <v>0</v>
      </c>
    </row>
    <row r="56" spans="1:30" ht="22.5" customHeight="1">
      <c r="A56" s="32">
        <v>75</v>
      </c>
      <c r="B56" s="87" t="str">
        <f>VLOOKUP(C56,Lists!I:J,2,FALSE)</f>
        <v>Healer</v>
      </c>
      <c r="C56" s="87" t="str">
        <f>VLOOKUP(E56,Lists!D:E,2,FALSE)</f>
        <v>Wand/Orb</v>
      </c>
      <c r="D56" s="35" t="s">
        <v>30</v>
      </c>
      <c r="E56" s="36" t="s">
        <v>199</v>
      </c>
      <c r="F56" s="35" t="s">
        <v>483</v>
      </c>
      <c r="G56" s="32">
        <v>0</v>
      </c>
      <c r="H56" s="32">
        <v>52</v>
      </c>
      <c r="I56" s="84">
        <f t="shared" si="0"/>
        <v>52</v>
      </c>
      <c r="J56" s="37">
        <v>3219</v>
      </c>
      <c r="K56" s="37">
        <v>697485</v>
      </c>
      <c r="L56" s="37">
        <v>1076268</v>
      </c>
      <c r="M56" s="38">
        <f>I56/(HLOOKUP(F56,Team_Composition_23[[#All],[Yellow]:[Red]],10,FALSE)+HLOOKUP(F56,Team_Composition_23[[#All],[Yellow]:[Red]],11,FALSE))</f>
        <v>6.3337393422655291E-2</v>
      </c>
      <c r="N56" s="38">
        <f>J56/HLOOKUP(F56,Team_Composition_23[[#All],[Yellow]:[Red]],6,FALSE)</f>
        <v>1.8242709645938985E-4</v>
      </c>
      <c r="O56" s="38">
        <f>K56/HLOOKUP(F56,Team_Composition_23[[#All],[Yellow]:[Red]],8,FALSE)</f>
        <v>1.5846191895308469E-2</v>
      </c>
      <c r="P56" s="38">
        <f>L56/HLOOKUP(F56,Team_Composition_23[[#All],[Yellow]:[Red]],7,FALSE)</f>
        <v>4.4348519097399425E-2</v>
      </c>
      <c r="Q56" s="31"/>
      <c r="R56" s="45" t="s">
        <v>62</v>
      </c>
      <c r="S56" s="46">
        <f t="shared" ref="S56:S60" si="10">COUNTIFS(C:C,R56,F:F,"Yellow")</f>
        <v>1</v>
      </c>
      <c r="T56" s="47">
        <f t="shared" ref="T56:T60" si="11">COUNTIFS(C:C,R56,F:F,"Red")</f>
        <v>3</v>
      </c>
      <c r="U56" s="31"/>
      <c r="V56" s="31"/>
      <c r="W56" s="31"/>
      <c r="X56" s="31"/>
      <c r="Y56" s="31"/>
      <c r="Z56" s="31"/>
      <c r="AA56" s="31"/>
      <c r="AB56" s="45" t="s">
        <v>62</v>
      </c>
      <c r="AC56" s="50">
        <f t="shared" ref="AC56:AC60" si="12">COUNTIFS(C:C,AB56,D:D,"FTP")</f>
        <v>0</v>
      </c>
      <c r="AD56" s="51">
        <f t="shared" ref="AD56:AD60" si="13">COUNTIFS(C:C,AB56,D:D,"Undercooked")</f>
        <v>0</v>
      </c>
    </row>
    <row r="57" spans="1:30" ht="22.5" customHeight="1">
      <c r="A57" s="32">
        <v>76</v>
      </c>
      <c r="B57" s="87" t="str">
        <f>VLOOKUP(C57,Lists!I:J,2,FALSE)</f>
        <v>Tank</v>
      </c>
      <c r="C57" s="87" t="s">
        <v>14</v>
      </c>
      <c r="D57" s="35" t="s">
        <v>34</v>
      </c>
      <c r="E57" s="36" t="s">
        <v>529</v>
      </c>
      <c r="F57" s="35" t="s">
        <v>476</v>
      </c>
      <c r="G57" s="32">
        <v>0</v>
      </c>
      <c r="H57" s="32">
        <v>51</v>
      </c>
      <c r="I57" s="84">
        <f t="shared" si="0"/>
        <v>51</v>
      </c>
      <c r="J57" s="37">
        <v>5319</v>
      </c>
      <c r="K57" s="37">
        <v>454519</v>
      </c>
      <c r="L57" s="37">
        <v>887053</v>
      </c>
      <c r="M57" s="38">
        <f>I57/(HLOOKUP(F57,Team_Composition_23[[#All],[Yellow]:[Red]],10,FALSE)+HLOOKUP(F57,Team_Composition_23[[#All],[Yellow]:[Red]],11,FALSE))</f>
        <v>1.2746813296675831E-2</v>
      </c>
      <c r="N57" s="38">
        <f>J57/HLOOKUP(F57,Team_Composition_23[[#All],[Yellow]:[Red]],6,FALSE)</f>
        <v>1.1989561440145817E-4</v>
      </c>
      <c r="O57" s="38">
        <f>K57/HLOOKUP(F57,Team_Composition_23[[#All],[Yellow]:[Red]],8,FALSE)</f>
        <v>2.5944697122736348E-2</v>
      </c>
      <c r="P57" s="38">
        <f>L57/HLOOKUP(F57,Team_Composition_23[[#All],[Yellow]:[Red]],7,FALSE)</f>
        <v>6.8525954952940851E-2</v>
      </c>
      <c r="Q57" s="31"/>
      <c r="R57" s="45" t="s">
        <v>70</v>
      </c>
      <c r="S57" s="46">
        <f t="shared" si="10"/>
        <v>0</v>
      </c>
      <c r="T57" s="47">
        <f t="shared" si="11"/>
        <v>0</v>
      </c>
      <c r="U57" s="31"/>
      <c r="V57" s="31"/>
      <c r="W57" s="31"/>
      <c r="X57" s="31"/>
      <c r="Y57" s="31"/>
      <c r="Z57" s="31"/>
      <c r="AA57" s="31"/>
      <c r="AB57" s="45" t="s">
        <v>70</v>
      </c>
      <c r="AC57" s="50">
        <f t="shared" si="12"/>
        <v>0</v>
      </c>
      <c r="AD57" s="51">
        <f t="shared" si="13"/>
        <v>0</v>
      </c>
    </row>
    <row r="58" spans="1:30" ht="22.5" customHeight="1">
      <c r="A58" s="32">
        <v>77</v>
      </c>
      <c r="B58" s="87" t="str">
        <f>VLOOKUP(C58,Lists!I:J,2,FALSE)</f>
        <v>Healer</v>
      </c>
      <c r="C58" s="87" t="str">
        <f>VLOOKUP(E58,Lists!D:E,2,FALSE)</f>
        <v>Wand/Orb</v>
      </c>
      <c r="D58" s="35" t="s">
        <v>30</v>
      </c>
      <c r="E58" s="36" t="s">
        <v>425</v>
      </c>
      <c r="F58" s="35" t="s">
        <v>483</v>
      </c>
      <c r="G58" s="32">
        <v>0</v>
      </c>
      <c r="H58" s="32">
        <v>50</v>
      </c>
      <c r="I58" s="84">
        <f t="shared" si="0"/>
        <v>50</v>
      </c>
      <c r="J58" s="37">
        <v>11362</v>
      </c>
      <c r="K58" s="37">
        <v>142601</v>
      </c>
      <c r="L58" s="37">
        <v>298551</v>
      </c>
      <c r="M58" s="38">
        <f>I58/(HLOOKUP(F58,Team_Composition_23[[#All],[Yellow]:[Red]],10,FALSE)+HLOOKUP(F58,Team_Composition_23[[#All],[Yellow]:[Red]],11,FALSE))</f>
        <v>6.090133982947625E-2</v>
      </c>
      <c r="N58" s="38">
        <f>J58/HLOOKUP(F58,Team_Composition_23[[#All],[Yellow]:[Red]],6,FALSE)</f>
        <v>6.4390701148542642E-4</v>
      </c>
      <c r="O58" s="38">
        <f>K58/HLOOKUP(F58,Team_Composition_23[[#All],[Yellow]:[Red]],8,FALSE)</f>
        <v>3.2397582893723634E-3</v>
      </c>
      <c r="P58" s="38">
        <f>L58/HLOOKUP(F58,Team_Composition_23[[#All],[Yellow]:[Red]],7,FALSE)</f>
        <v>1.2302042544280509E-2</v>
      </c>
      <c r="Q58" s="31"/>
      <c r="R58" s="45" t="s">
        <v>14</v>
      </c>
      <c r="S58" s="46">
        <f t="shared" si="10"/>
        <v>14</v>
      </c>
      <c r="T58" s="47">
        <f t="shared" si="11"/>
        <v>6</v>
      </c>
      <c r="U58" s="31"/>
      <c r="V58" s="31"/>
      <c r="W58" s="31"/>
      <c r="X58" s="31"/>
      <c r="Y58" s="31"/>
      <c r="Z58" s="31"/>
      <c r="AA58" s="31"/>
      <c r="AB58" s="45" t="s">
        <v>14</v>
      </c>
      <c r="AC58" s="50">
        <f t="shared" si="12"/>
        <v>0</v>
      </c>
      <c r="AD58" s="51">
        <f t="shared" si="13"/>
        <v>0</v>
      </c>
    </row>
    <row r="59" spans="1:30" ht="22.5" customHeight="1">
      <c r="A59" s="32">
        <v>52</v>
      </c>
      <c r="B59" s="87" t="str">
        <f>VLOOKUP(C59,Lists!I:J,2,FALSE)</f>
        <v>Healer</v>
      </c>
      <c r="C59" s="87" t="str">
        <f>VLOOKUP(E59,Lists!D:E,2,FALSE)</f>
        <v>Wand/Longbow</v>
      </c>
      <c r="D59" s="35" t="s">
        <v>34</v>
      </c>
      <c r="E59" s="36" t="s">
        <v>165</v>
      </c>
      <c r="F59" s="35" t="s">
        <v>476</v>
      </c>
      <c r="G59" s="32">
        <v>1</v>
      </c>
      <c r="H59" s="32">
        <v>48</v>
      </c>
      <c r="I59" s="84">
        <f t="shared" si="0"/>
        <v>49</v>
      </c>
      <c r="J59" s="37">
        <v>77228</v>
      </c>
      <c r="K59" s="37">
        <v>719289</v>
      </c>
      <c r="L59" s="37">
        <v>2497931</v>
      </c>
      <c r="M59" s="38">
        <f>I59/(HLOOKUP(F59,Team_Composition_23[[#All],[Yellow]:[Red]],10,FALSE)+HLOOKUP(F59,Team_Composition_23[[#All],[Yellow]:[Red]],11,FALSE))</f>
        <v>1.2246938265433641E-2</v>
      </c>
      <c r="N59" s="38">
        <f>J59/HLOOKUP(F59,Team_Composition_23[[#All],[Yellow]:[Red]],6,FALSE)</f>
        <v>1.7407968620033487E-3</v>
      </c>
      <c r="O59" s="38">
        <f>K59/HLOOKUP(F59,Team_Composition_23[[#All],[Yellow]:[Red]],8,FALSE)</f>
        <v>4.1058207134830237E-2</v>
      </c>
      <c r="P59" s="38">
        <f>L59/HLOOKUP(F59,Team_Composition_23[[#All],[Yellow]:[Red]],7,FALSE)</f>
        <v>0.19296829747664965</v>
      </c>
      <c r="Q59" s="31"/>
      <c r="R59" s="45" t="s">
        <v>73</v>
      </c>
      <c r="S59" s="46">
        <f t="shared" si="10"/>
        <v>1</v>
      </c>
      <c r="T59" s="47">
        <f t="shared" si="11"/>
        <v>1</v>
      </c>
      <c r="U59" s="31"/>
      <c r="V59" s="31"/>
      <c r="W59" s="31"/>
      <c r="X59" s="31"/>
      <c r="Y59" s="31"/>
      <c r="Z59" s="31"/>
      <c r="AA59" s="31"/>
      <c r="AB59" s="45" t="s">
        <v>73</v>
      </c>
      <c r="AC59" s="50">
        <f t="shared" si="12"/>
        <v>0</v>
      </c>
      <c r="AD59" s="51">
        <f t="shared" si="13"/>
        <v>0</v>
      </c>
    </row>
    <row r="60" spans="1:30" ht="22.5" customHeight="1">
      <c r="A60" s="32">
        <v>78</v>
      </c>
      <c r="B60" s="87" t="str">
        <f>VLOOKUP(C60,Lists!I:J,2,FALSE)</f>
        <v>Healer</v>
      </c>
      <c r="C60" s="87" t="str">
        <f>VLOOKUP(E60,Lists!D:E,2,FALSE)</f>
        <v>Wand/Orb</v>
      </c>
      <c r="D60" s="35" t="s">
        <v>30</v>
      </c>
      <c r="E60" s="36" t="s">
        <v>201</v>
      </c>
      <c r="F60" s="35" t="s">
        <v>483</v>
      </c>
      <c r="G60" s="32">
        <v>0</v>
      </c>
      <c r="H60" s="32">
        <v>49</v>
      </c>
      <c r="I60" s="84">
        <f t="shared" si="0"/>
        <v>49</v>
      </c>
      <c r="J60" s="37">
        <v>2628</v>
      </c>
      <c r="K60" s="37">
        <v>404609</v>
      </c>
      <c r="L60" s="37">
        <v>843757</v>
      </c>
      <c r="M60" s="38">
        <f>I60/(HLOOKUP(F60,Team_Composition_23[[#All],[Yellow]:[Red]],10,FALSE)+HLOOKUP(F60,Team_Composition_23[[#All],[Yellow]:[Red]],11,FALSE))</f>
        <v>5.9683313032886723E-2</v>
      </c>
      <c r="N60" s="38">
        <f>J60/HLOOKUP(F60,Team_Composition_23[[#All],[Yellow]:[Red]],6,FALSE)</f>
        <v>1.4893395759405919E-4</v>
      </c>
      <c r="O60" s="38">
        <f>K60/HLOOKUP(F60,Team_Composition_23[[#All],[Yellow]:[Red]],8,FALSE)</f>
        <v>9.1923293785083036E-3</v>
      </c>
      <c r="P60" s="38">
        <f>L60/HLOOKUP(F60,Team_Composition_23[[#All],[Yellow]:[Red]],7,FALSE)</f>
        <v>3.4767709741499744E-2</v>
      </c>
      <c r="Q60" s="31"/>
      <c r="R60" s="45" t="s">
        <v>75</v>
      </c>
      <c r="S60" s="46">
        <f t="shared" si="10"/>
        <v>0</v>
      </c>
      <c r="T60" s="47">
        <f t="shared" si="11"/>
        <v>0</v>
      </c>
      <c r="U60" s="31"/>
      <c r="V60" s="31"/>
      <c r="W60" s="31"/>
      <c r="X60" s="31"/>
      <c r="Y60" s="31"/>
      <c r="Z60" s="31"/>
      <c r="AA60" s="31"/>
      <c r="AB60" s="45" t="s">
        <v>75</v>
      </c>
      <c r="AC60" s="50">
        <f t="shared" si="12"/>
        <v>0</v>
      </c>
      <c r="AD60" s="51">
        <f t="shared" si="13"/>
        <v>0</v>
      </c>
    </row>
    <row r="61" spans="1:30" ht="22.5" customHeight="1">
      <c r="A61" s="32">
        <v>40</v>
      </c>
      <c r="B61" s="87" t="str">
        <f>VLOOKUP(C61,Lists!I:J,2,FALSE)</f>
        <v>Tank</v>
      </c>
      <c r="C61" s="87" t="str">
        <f>VLOOKUP(E61,Lists!D:E,2,FALSE)</f>
        <v>SnS/Greatsword</v>
      </c>
      <c r="D61" s="35" t="s">
        <v>30</v>
      </c>
      <c r="E61" s="36" t="s">
        <v>209</v>
      </c>
      <c r="F61" s="35" t="s">
        <v>483</v>
      </c>
      <c r="G61" s="32">
        <v>5</v>
      </c>
      <c r="H61" s="32">
        <v>39</v>
      </c>
      <c r="I61" s="84">
        <f t="shared" si="0"/>
        <v>44</v>
      </c>
      <c r="J61" s="37">
        <v>547070</v>
      </c>
      <c r="K61" s="37">
        <v>1405308</v>
      </c>
      <c r="L61" s="37">
        <v>114939</v>
      </c>
      <c r="M61" s="38">
        <f>I61/(HLOOKUP(F61,Team_Composition_23[[#All],[Yellow]:[Red]],10,FALSE)+HLOOKUP(F61,Team_Composition_23[[#All],[Yellow]:[Red]],11,FALSE))</f>
        <v>5.3593179049939099E-2</v>
      </c>
      <c r="N61" s="38">
        <f>J61/HLOOKUP(F61,Team_Composition_23[[#All],[Yellow]:[Red]],6,FALSE)</f>
        <v>3.1003538881652193E-2</v>
      </c>
      <c r="O61" s="38">
        <f>K61/HLOOKUP(F61,Team_Composition_23[[#All],[Yellow]:[Red]],8,FALSE)</f>
        <v>3.1927253259944159E-2</v>
      </c>
      <c r="P61" s="38">
        <f>L61/HLOOKUP(F61,Team_Composition_23[[#All],[Yellow]:[Red]],7,FALSE)</f>
        <v>4.7361571992626302E-3</v>
      </c>
      <c r="Q61" s="31"/>
      <c r="R61" s="48"/>
      <c r="S61" s="63"/>
      <c r="T61" s="63"/>
      <c r="U61" s="31"/>
      <c r="V61" s="31"/>
      <c r="W61" s="31"/>
      <c r="X61" s="31"/>
      <c r="Y61" s="31"/>
      <c r="Z61" s="31"/>
      <c r="AA61" s="31"/>
      <c r="AB61" s="48"/>
      <c r="AC61" s="63"/>
      <c r="AD61" s="63"/>
    </row>
    <row r="62" spans="1:30" ht="22.5" customHeight="1">
      <c r="A62" s="32">
        <v>53</v>
      </c>
      <c r="B62" s="87" t="str">
        <f>VLOOKUP(C62,Lists!I:J,2,FALSE)</f>
        <v>Healer</v>
      </c>
      <c r="C62" s="87" t="str">
        <f>VLOOKUP(E62,Lists!D:E,2,FALSE)</f>
        <v>Wand/Longbow</v>
      </c>
      <c r="D62" s="35" t="s">
        <v>30</v>
      </c>
      <c r="E62" s="36" t="s">
        <v>420</v>
      </c>
      <c r="F62" s="35" t="s">
        <v>483</v>
      </c>
      <c r="G62" s="32">
        <v>1</v>
      </c>
      <c r="H62" s="32">
        <v>43</v>
      </c>
      <c r="I62" s="84">
        <f t="shared" si="0"/>
        <v>44</v>
      </c>
      <c r="J62" s="37">
        <v>42231</v>
      </c>
      <c r="K62" s="37">
        <v>637226</v>
      </c>
      <c r="L62" s="37">
        <v>1792677</v>
      </c>
      <c r="M62" s="38">
        <f>I62/(HLOOKUP(F62,Team_Composition_23[[#All],[Yellow]:[Red]],10,FALSE)+HLOOKUP(F62,Team_Composition_23[[#All],[Yellow]:[Red]],11,FALSE))</f>
        <v>5.3593179049939099E-2</v>
      </c>
      <c r="N62" s="38">
        <f>J62/HLOOKUP(F62,Team_Composition_23[[#All],[Yellow]:[Red]],6,FALSE)</f>
        <v>2.3933142934378666E-3</v>
      </c>
      <c r="O62" s="38">
        <f>K62/HLOOKUP(F62,Team_Composition_23[[#All],[Yellow]:[Red]],8,FALSE)</f>
        <v>1.4477165066890089E-2</v>
      </c>
      <c r="P62" s="38">
        <f>L62/HLOOKUP(F62,Team_Composition_23[[#All],[Yellow]:[Red]],7,FALSE)</f>
        <v>7.3868748462249834E-2</v>
      </c>
      <c r="Q62" s="31"/>
      <c r="R62" s="31"/>
      <c r="S62" s="64"/>
      <c r="T62" s="64"/>
      <c r="U62" s="31"/>
      <c r="V62" s="31"/>
      <c r="W62" s="31"/>
      <c r="X62" s="31"/>
      <c r="Y62" s="31"/>
      <c r="Z62" s="31"/>
      <c r="AA62" s="31"/>
      <c r="AB62" s="31"/>
      <c r="AC62" s="64"/>
      <c r="AD62" s="64"/>
    </row>
    <row r="63" spans="1:30" ht="22.5" customHeight="1">
      <c r="A63" s="32">
        <v>54</v>
      </c>
      <c r="B63" s="87" t="str">
        <f>VLOOKUP(C63,Lists!I:J,2,FALSE)</f>
        <v>Healer</v>
      </c>
      <c r="C63" s="87" t="str">
        <f>VLOOKUP(E63,Lists!D:E,2,FALSE)</f>
        <v>Wand/Orb</v>
      </c>
      <c r="D63" s="35" t="s">
        <v>34</v>
      </c>
      <c r="E63" s="36" t="s">
        <v>74</v>
      </c>
      <c r="F63" s="35" t="s">
        <v>476</v>
      </c>
      <c r="G63" s="32">
        <v>1</v>
      </c>
      <c r="H63" s="32">
        <v>43</v>
      </c>
      <c r="I63" s="84">
        <f t="shared" si="0"/>
        <v>44</v>
      </c>
      <c r="J63" s="37">
        <v>12074</v>
      </c>
      <c r="K63" s="37">
        <v>411139</v>
      </c>
      <c r="L63" s="37">
        <v>467068</v>
      </c>
      <c r="M63" s="38">
        <f>I63/(HLOOKUP(F63,Team_Composition_23[[#All],[Yellow]:[Red]],10,FALSE)+HLOOKUP(F63,Team_Composition_23[[#All],[Yellow]:[Red]],11,FALSE))</f>
        <v>1.0997250687328168E-2</v>
      </c>
      <c r="N63" s="38">
        <f>J63/HLOOKUP(F63,Team_Composition_23[[#All],[Yellow]:[Red]],6,FALSE)</f>
        <v>2.721601143604448E-4</v>
      </c>
      <c r="O63" s="38">
        <f>K63/HLOOKUP(F63,Team_Composition_23[[#All],[Yellow]:[Red]],8,FALSE)</f>
        <v>2.3468494893161121E-2</v>
      </c>
      <c r="P63" s="38">
        <f>L63/HLOOKUP(F63,Team_Composition_23[[#All],[Yellow]:[Red]],7,FALSE)</f>
        <v>3.608158782841632E-2</v>
      </c>
      <c r="Q63" s="31"/>
      <c r="R63" s="227" t="s">
        <v>11</v>
      </c>
      <c r="S63" s="228"/>
      <c r="T63" s="228"/>
      <c r="U63" s="31"/>
      <c r="V63" s="31"/>
      <c r="W63" s="31"/>
      <c r="X63" s="31"/>
      <c r="Y63" s="31"/>
      <c r="Z63" s="31"/>
      <c r="AA63" s="31"/>
      <c r="AB63" s="227" t="s">
        <v>11</v>
      </c>
      <c r="AC63" s="228"/>
      <c r="AD63" s="228"/>
    </row>
    <row r="64" spans="1:30" ht="22.5" customHeight="1">
      <c r="A64" s="32">
        <v>44</v>
      </c>
      <c r="B64" s="87" t="str">
        <f>VLOOKUP(C64,Lists!I:J,2,FALSE)</f>
        <v>Tank</v>
      </c>
      <c r="C64" s="87" t="str">
        <f>VLOOKUP(E64,Lists!D:E,2,FALSE)</f>
        <v>SnS/Greatsword</v>
      </c>
      <c r="D64" s="35" t="s">
        <v>34</v>
      </c>
      <c r="E64" s="36" t="s">
        <v>55</v>
      </c>
      <c r="F64" s="35" t="s">
        <v>476</v>
      </c>
      <c r="G64" s="32">
        <v>2</v>
      </c>
      <c r="H64" s="32">
        <v>41</v>
      </c>
      <c r="I64" s="84">
        <f t="shared" si="0"/>
        <v>43</v>
      </c>
      <c r="J64" s="37">
        <v>202370</v>
      </c>
      <c r="K64" s="37">
        <v>432431</v>
      </c>
      <c r="L64" s="37">
        <v>53704</v>
      </c>
      <c r="M64" s="38">
        <f>I64/(HLOOKUP(F64,Team_Composition_23[[#All],[Yellow]:[Red]],10,FALSE)+HLOOKUP(F64,Team_Composition_23[[#All],[Yellow]:[Red]],11,FALSE))</f>
        <v>1.0747313171707074E-2</v>
      </c>
      <c r="N64" s="38">
        <f>J64/HLOOKUP(F64,Team_Composition_23[[#All],[Yellow]:[Red]],6,FALSE)</f>
        <v>4.5616235169060144E-3</v>
      </c>
      <c r="O64" s="38">
        <f>K64/HLOOKUP(F64,Team_Composition_23[[#All],[Yellow]:[Red]],8,FALSE)</f>
        <v>2.4683877508931425E-2</v>
      </c>
      <c r="P64" s="38">
        <f>L64/HLOOKUP(F64,Team_Composition_23[[#All],[Yellow]:[Red]],7,FALSE)</f>
        <v>4.1487012442241169E-3</v>
      </c>
      <c r="Q64" s="31"/>
      <c r="R64" s="41" t="s">
        <v>482</v>
      </c>
      <c r="S64" s="42" t="s">
        <v>476</v>
      </c>
      <c r="T64" s="42" t="s">
        <v>483</v>
      </c>
      <c r="U64" s="31"/>
      <c r="V64" s="31"/>
      <c r="W64" s="31"/>
      <c r="X64" s="31"/>
      <c r="Y64" s="31"/>
      <c r="Z64" s="31"/>
      <c r="AA64" s="31"/>
      <c r="AB64" s="41" t="s">
        <v>482</v>
      </c>
      <c r="AC64" s="42" t="s">
        <v>7</v>
      </c>
      <c r="AD64" s="42" t="s">
        <v>527</v>
      </c>
    </row>
    <row r="65" spans="1:30" ht="22.5" customHeight="1">
      <c r="A65" s="32">
        <v>34</v>
      </c>
      <c r="B65" s="87" t="str">
        <f>VLOOKUP(C65,Lists!I:J,2,FALSE)</f>
        <v>KS</v>
      </c>
      <c r="C65" s="87" t="str">
        <f>VLOOKUP(E65,Lists!D:E,2,FALSE)</f>
        <v>Greatsword/Dagger</v>
      </c>
      <c r="D65" s="35" t="s">
        <v>34</v>
      </c>
      <c r="E65" s="36" t="s">
        <v>502</v>
      </c>
      <c r="F65" s="35" t="s">
        <v>476</v>
      </c>
      <c r="G65" s="32">
        <v>14</v>
      </c>
      <c r="H65" s="32">
        <v>28</v>
      </c>
      <c r="I65" s="84">
        <f t="shared" si="0"/>
        <v>42</v>
      </c>
      <c r="J65" s="37">
        <v>722199</v>
      </c>
      <c r="K65" s="37">
        <v>1700333</v>
      </c>
      <c r="L65" s="37">
        <v>46462</v>
      </c>
      <c r="M65" s="38">
        <f>I65/(HLOOKUP(F65,Team_Composition_23[[#All],[Yellow]:[Red]],10,FALSE)+HLOOKUP(F65,Team_Composition_23[[#All],[Yellow]:[Red]],11,FALSE))</f>
        <v>1.0497375656085979E-2</v>
      </c>
      <c r="N65" s="38">
        <f>J65/HLOOKUP(F65,Team_Composition_23[[#All],[Yellow]:[Red]],6,FALSE)</f>
        <v>1.6279092465711353E-2</v>
      </c>
      <c r="O65" s="38">
        <f>K65/HLOOKUP(F65,Team_Composition_23[[#All],[Yellow]:[Red]],8,FALSE)</f>
        <v>9.7057823089449866E-2</v>
      </c>
      <c r="P65" s="38">
        <f>L65/HLOOKUP(F65,Team_Composition_23[[#All],[Yellow]:[Red]],7,FALSE)</f>
        <v>3.5892476763209617E-3</v>
      </c>
      <c r="Q65" s="31"/>
      <c r="R65" s="45" t="s">
        <v>468</v>
      </c>
      <c r="S65" s="46">
        <f>SUMIFS(Scoreboard_30[Damage Dealt],Scoreboard_30[Role],"Healer",Scoreboard_30[Team],"Yellow")</f>
        <v>504605</v>
      </c>
      <c r="T65" s="47">
        <f>SUMIFS(Scoreboard_30[Damage Dealt],Scoreboard_30[Role],"Healer",Scoreboard_30[Team],"Red")</f>
        <v>1130073</v>
      </c>
      <c r="U65" s="31"/>
      <c r="V65" s="31"/>
      <c r="W65" s="31"/>
      <c r="X65" s="31"/>
      <c r="Y65" s="31"/>
      <c r="Z65" s="31"/>
      <c r="AA65" s="31"/>
      <c r="AB65" s="45" t="s">
        <v>468</v>
      </c>
      <c r="AC65" s="50">
        <f>SUMIFS(Scoreboard_30[Damage Dealt],Scoreboard_30[Role],"Healer",Scoreboard_30[Guild],"FTP")</f>
        <v>0</v>
      </c>
      <c r="AD65" s="51">
        <f>SUMIFS(Scoreboard_30[Damage Dealt],Scoreboard_30[Role],"Healer",Scoreboard_30[Guild],"Undercooked")</f>
        <v>0</v>
      </c>
    </row>
    <row r="66" spans="1:30" ht="22.5" customHeight="1">
      <c r="A66" s="32">
        <v>79</v>
      </c>
      <c r="B66" s="87" t="str">
        <f>VLOOKUP(C66,Lists!I:J,2,FALSE)</f>
        <v>Tank</v>
      </c>
      <c r="C66" s="87" t="s">
        <v>14</v>
      </c>
      <c r="D66" s="35" t="s">
        <v>34</v>
      </c>
      <c r="E66" s="36" t="s">
        <v>530</v>
      </c>
      <c r="F66" s="35" t="s">
        <v>476</v>
      </c>
      <c r="G66" s="32">
        <v>0</v>
      </c>
      <c r="H66" s="32">
        <v>42</v>
      </c>
      <c r="I66" s="84">
        <f t="shared" si="0"/>
        <v>42</v>
      </c>
      <c r="J66" s="37">
        <v>53204</v>
      </c>
      <c r="K66" s="37">
        <v>1118896</v>
      </c>
      <c r="L66" s="37">
        <v>39452</v>
      </c>
      <c r="M66" s="38">
        <f>I66/(HLOOKUP(F66,Team_Composition_23[[#All],[Yellow]:[Red]],10,FALSE)+HLOOKUP(F66,Team_Composition_23[[#All],[Yellow]:[Red]],11,FALSE))</f>
        <v>1.0497375656085979E-2</v>
      </c>
      <c r="N66" s="38">
        <f>J66/HLOOKUP(F66,Team_Composition_23[[#All],[Yellow]:[Red]],6,FALSE)</f>
        <v>1.199271718107761E-3</v>
      </c>
      <c r="O66" s="38">
        <f>K66/HLOOKUP(F66,Team_Composition_23[[#All],[Yellow]:[Red]],8,FALSE)</f>
        <v>6.3868436373047566E-2</v>
      </c>
      <c r="P66" s="38">
        <f>L66/HLOOKUP(F66,Team_Composition_23[[#All],[Yellow]:[Red]],7,FALSE)</f>
        <v>3.0477163989112519E-3</v>
      </c>
      <c r="Q66" s="31"/>
      <c r="R66" s="45" t="s">
        <v>469</v>
      </c>
      <c r="S66" s="46">
        <f>SUMIFS(Scoreboard_30[Damage Taken],Scoreboard_30[Role],"Healer",Scoreboard_30[Team],"Yellow")</f>
        <v>9522681</v>
      </c>
      <c r="T66" s="47">
        <f>SUMIFS(Scoreboard_30[Damage Taken],Scoreboard_30[Role],"Healer",Scoreboard_30[Team],"Red")</f>
        <v>9087346</v>
      </c>
      <c r="U66" s="31"/>
      <c r="V66" s="31"/>
      <c r="W66" s="31"/>
      <c r="X66" s="31"/>
      <c r="Y66" s="31"/>
      <c r="Z66" s="31"/>
      <c r="AA66" s="31"/>
      <c r="AB66" s="45" t="s">
        <v>469</v>
      </c>
      <c r="AC66" s="50">
        <f>SUMIFS(Scoreboard_30[Damage Taken],Scoreboard_30[Role],"Healer",Scoreboard_30[Guild],"FTP")</f>
        <v>0</v>
      </c>
      <c r="AD66" s="51">
        <f>SUMIFS(Scoreboard_30[Damage Taken],Scoreboard_30[Role],"Healer",Scoreboard_30[Guild],"Undercooked")</f>
        <v>0</v>
      </c>
    </row>
    <row r="67" spans="1:30" ht="22.5" customHeight="1">
      <c r="A67" s="32">
        <v>80</v>
      </c>
      <c r="B67" s="87" t="e">
        <f>VLOOKUP(C67,Lists!I:J,2,FALSE)</f>
        <v>#N/A</v>
      </c>
      <c r="C67" s="87">
        <f>VLOOKUP(E67,Lists!D:E,2,FALSE)</f>
        <v>0</v>
      </c>
      <c r="D67" s="35" t="s">
        <v>30</v>
      </c>
      <c r="E67" s="36" t="s">
        <v>187</v>
      </c>
      <c r="F67" s="35" t="s">
        <v>483</v>
      </c>
      <c r="G67" s="32">
        <v>0</v>
      </c>
      <c r="H67" s="32">
        <v>42</v>
      </c>
      <c r="I67" s="84">
        <f t="shared" si="0"/>
        <v>42</v>
      </c>
      <c r="J67" s="37">
        <v>63</v>
      </c>
      <c r="K67" s="37">
        <v>565500</v>
      </c>
      <c r="L67" s="37">
        <v>1776224</v>
      </c>
      <c r="M67" s="38">
        <f>I67/(HLOOKUP(F67,Team_Composition_23[[#All],[Yellow]:[Red]],10,FALSE)+HLOOKUP(F67,Team_Composition_23[[#All],[Yellow]:[Red]],11,FALSE))</f>
        <v>5.1157125456760051E-2</v>
      </c>
      <c r="N67" s="38">
        <f>J67/HLOOKUP(F67,Team_Composition_23[[#All],[Yellow]:[Red]],6,FALSE)</f>
        <v>3.5703345998575834E-6</v>
      </c>
      <c r="O67" s="38">
        <f>K67/HLOOKUP(F67,Team_Composition_23[[#All],[Yellow]:[Red]],8,FALSE)</f>
        <v>1.2847618969292441E-2</v>
      </c>
      <c r="P67" s="38">
        <f>L67/HLOOKUP(F67,Team_Composition_23[[#All],[Yellow]:[Red]],7,FALSE)</f>
        <v>7.3190788897615822E-2</v>
      </c>
      <c r="Q67" s="31"/>
      <c r="R67" s="45" t="s">
        <v>470</v>
      </c>
      <c r="S67" s="46">
        <f>SUMIFS(Scoreboard_30[Amount Healed],Scoreboard_30[Role],"Healer",Scoreboard_30[Team],"Yellow")</f>
        <v>24474618</v>
      </c>
      <c r="T67" s="47">
        <f>SUMIFS(Scoreboard_30[Amount Healed],Scoreboard_30[Role],"Healer",Scoreboard_30[Team],"Red")</f>
        <v>17384564</v>
      </c>
      <c r="U67" s="31"/>
      <c r="V67" s="31"/>
      <c r="W67" s="31"/>
      <c r="X67" s="31"/>
      <c r="Y67" s="31"/>
      <c r="Z67" s="31"/>
      <c r="AA67" s="31"/>
      <c r="AB67" s="45" t="s">
        <v>470</v>
      </c>
      <c r="AC67" s="50">
        <f>SUMIFS(Scoreboard_30[Amount Healed],Scoreboard_30[Role],"Healer",Scoreboard_30[Guild],"FTP")</f>
        <v>0</v>
      </c>
      <c r="AD67" s="51">
        <f>SUMIFS(Scoreboard_30[Amount Healed],Scoreboard_30[Role],"Healer",Scoreboard_30[Guild],"Undercooked")</f>
        <v>0</v>
      </c>
    </row>
    <row r="68" spans="1:30" ht="22.5" customHeight="1">
      <c r="A68" s="32">
        <v>55</v>
      </c>
      <c r="B68" s="87" t="str">
        <f>VLOOKUP(C68,Lists!I:J,2,FALSE)</f>
        <v>Healer</v>
      </c>
      <c r="C68" s="87" t="str">
        <f>VLOOKUP(E68,Lists!D:E,2,FALSE)</f>
        <v>Wand/Longbow</v>
      </c>
      <c r="D68" s="35" t="s">
        <v>34</v>
      </c>
      <c r="E68" s="36" t="s">
        <v>17</v>
      </c>
      <c r="F68" s="35" t="s">
        <v>476</v>
      </c>
      <c r="G68" s="32">
        <v>1</v>
      </c>
      <c r="H68" s="32">
        <v>40</v>
      </c>
      <c r="I68" s="84">
        <f t="shared" si="0"/>
        <v>41</v>
      </c>
      <c r="J68" s="37">
        <v>49128</v>
      </c>
      <c r="K68" s="37">
        <v>857066</v>
      </c>
      <c r="L68" s="37">
        <v>2552089</v>
      </c>
      <c r="M68" s="38">
        <f>I68/(HLOOKUP(F68,Team_Composition_23[[#All],[Yellow]:[Red]],10,FALSE)+HLOOKUP(F68,Team_Composition_23[[#All],[Yellow]:[Red]],11,FALSE))</f>
        <v>1.0247438140464884E-2</v>
      </c>
      <c r="N68" s="38">
        <f>J68/HLOOKUP(F68,Team_Composition_23[[#All],[Yellow]:[Red]],6,FALSE)</f>
        <v>1.1073945749792888E-3</v>
      </c>
      <c r="O68" s="38">
        <f>K68/HLOOKUP(F68,Team_Composition_23[[#All],[Yellow]:[Red]],8,FALSE)</f>
        <v>4.8922746429071504E-2</v>
      </c>
      <c r="P68" s="38">
        <f>L68/HLOOKUP(F68,Team_Composition_23[[#All],[Yellow]:[Red]],7,FALSE)</f>
        <v>0.19715207078933938</v>
      </c>
      <c r="Q68" s="31"/>
      <c r="R68" s="45" t="s">
        <v>465</v>
      </c>
      <c r="S68" s="46">
        <f>SUMIFS(Scoreboard_30[Kills],Scoreboard_30[Role],"Healer",Scoreboard_30[Team],"Yellow")</f>
        <v>7</v>
      </c>
      <c r="T68" s="47">
        <f>SUMIFS(Scoreboard_30[Kills],Scoreboard_30[Role],"Healer",Scoreboard_30[Team],"Red")</f>
        <v>3</v>
      </c>
      <c r="U68" s="31"/>
      <c r="V68" s="31"/>
      <c r="W68" s="31"/>
      <c r="X68" s="31"/>
      <c r="Y68" s="31"/>
      <c r="Z68" s="31"/>
      <c r="AA68" s="31"/>
      <c r="AB68" s="45" t="s">
        <v>465</v>
      </c>
      <c r="AC68" s="50">
        <f>SUMIFS(Scoreboard_30[Kills],Scoreboard_30[Role],"Healer",Scoreboard_30[Guild],"FTP")</f>
        <v>0</v>
      </c>
      <c r="AD68" s="51">
        <f>SUMIFS(Scoreboard_30[Kills],Scoreboard_30[Role],"Healer",Scoreboard_30[Guild],"Undercooked")</f>
        <v>0</v>
      </c>
    </row>
    <row r="69" spans="1:30" ht="22.5" customHeight="1">
      <c r="A69" s="32">
        <v>81</v>
      </c>
      <c r="B69" s="87" t="str">
        <f>VLOOKUP(C69,Lists!I:J,2,FALSE)</f>
        <v>Healer</v>
      </c>
      <c r="C69" s="87" t="str">
        <f>VLOOKUP(E69,Lists!D:E,2,FALSE)</f>
        <v>Wand/Orb</v>
      </c>
      <c r="D69" s="35" t="s">
        <v>34</v>
      </c>
      <c r="E69" s="36" t="s">
        <v>121</v>
      </c>
      <c r="F69" s="35" t="s">
        <v>476</v>
      </c>
      <c r="G69" s="32">
        <v>0</v>
      </c>
      <c r="H69" s="32">
        <v>41</v>
      </c>
      <c r="I69" s="84">
        <f t="shared" si="0"/>
        <v>41</v>
      </c>
      <c r="J69" s="37">
        <v>17869</v>
      </c>
      <c r="K69" s="37">
        <v>506768</v>
      </c>
      <c r="L69" s="37">
        <v>737474</v>
      </c>
      <c r="M69" s="38">
        <f>I69/(HLOOKUP(F69,Team_Composition_23[[#All],[Yellow]:[Red]],10,FALSE)+HLOOKUP(F69,Team_Composition_23[[#All],[Yellow]:[Red]],11,FALSE))</f>
        <v>1.0247438140464884E-2</v>
      </c>
      <c r="N69" s="38">
        <f>J69/HLOOKUP(F69,Team_Composition_23[[#All],[Yellow]:[Red]],6,FALSE)</f>
        <v>4.0278524792999735E-4</v>
      </c>
      <c r="O69" s="38">
        <f>K69/HLOOKUP(F69,Team_Composition_23[[#All],[Yellow]:[Red]],8,FALSE)</f>
        <v>2.8927156557800343E-2</v>
      </c>
      <c r="P69" s="38">
        <f>L69/HLOOKUP(F69,Team_Composition_23[[#All],[Yellow]:[Red]],7,FALSE)</f>
        <v>5.6970789911048272E-2</v>
      </c>
      <c r="Q69" s="31"/>
      <c r="R69" s="45" t="s">
        <v>466</v>
      </c>
      <c r="S69" s="46">
        <f>SUMIFS(Scoreboard_30[Assists],Scoreboard_30[Role],"Healer",Scoreboard_30[Team],"Yellow")</f>
        <v>822</v>
      </c>
      <c r="T69" s="47">
        <f>SUMIFS(Scoreboard_30[Assists],Scoreboard_30[Role],"Healer",Scoreboard_30[Team],"Red")</f>
        <v>886</v>
      </c>
      <c r="U69" s="31"/>
      <c r="V69" s="31"/>
      <c r="W69" s="31"/>
      <c r="X69" s="31"/>
      <c r="Y69" s="31"/>
      <c r="Z69" s="31"/>
      <c r="AA69" s="31"/>
      <c r="AB69" s="45" t="s">
        <v>466</v>
      </c>
      <c r="AC69" s="50">
        <f>SUMIFS(Scoreboard_30[Assists],Scoreboard_30[Role],"Healer",Scoreboard_30[Guild],"FTP")</f>
        <v>0</v>
      </c>
      <c r="AD69" s="51">
        <f>SUMIFS(Scoreboard_30[Assists],Scoreboard_30[Role],"Healer",Scoreboard_30[Guild],"Undercooked")</f>
        <v>0</v>
      </c>
    </row>
    <row r="70" spans="1:30" ht="22.5" customHeight="1">
      <c r="A70" s="32">
        <v>82</v>
      </c>
      <c r="B70" s="87" t="str">
        <f>VLOOKUP(C70,Lists!I:J,2,FALSE)</f>
        <v>Healer</v>
      </c>
      <c r="C70" s="87" t="str">
        <f>VLOOKUP(E70,Lists!D:E,2,FALSE)</f>
        <v>Wand/Longbow</v>
      </c>
      <c r="D70" s="35" t="s">
        <v>34</v>
      </c>
      <c r="E70" s="36" t="s">
        <v>134</v>
      </c>
      <c r="F70" s="35" t="s">
        <v>476</v>
      </c>
      <c r="G70" s="32">
        <v>0</v>
      </c>
      <c r="H70" s="32">
        <v>40</v>
      </c>
      <c r="I70" s="84">
        <f t="shared" si="0"/>
        <v>40</v>
      </c>
      <c r="J70" s="37">
        <v>5006</v>
      </c>
      <c r="K70" s="37">
        <v>877185</v>
      </c>
      <c r="L70" s="37">
        <v>1072116</v>
      </c>
      <c r="M70" s="38">
        <f>I70/(HLOOKUP(F70,Team_Composition_23[[#All],[Yellow]:[Red]],10,FALSE)+HLOOKUP(F70,Team_Composition_23[[#All],[Yellow]:[Red]],11,FALSE))</f>
        <v>9.997500624843789E-3</v>
      </c>
      <c r="N70" s="38">
        <f>J70/HLOOKUP(F70,Team_Composition_23[[#All],[Yellow]:[Red]],6,FALSE)</f>
        <v>1.1284027931823644E-4</v>
      </c>
      <c r="O70" s="38">
        <f>K70/HLOOKUP(F70,Team_Composition_23[[#All],[Yellow]:[Red]],8,FALSE)</f>
        <v>5.0071172262562143E-2</v>
      </c>
      <c r="P70" s="38">
        <f>L70/HLOOKUP(F70,Team_Composition_23[[#All],[Yellow]:[Red]],7,FALSE)</f>
        <v>8.2822303425305069E-2</v>
      </c>
      <c r="Q70" s="31"/>
      <c r="R70" s="45" t="s">
        <v>10</v>
      </c>
      <c r="S70" s="46">
        <f t="shared" ref="S70:S72" si="14">COUNTIFS(C:C,R70,F:F,"Yellow")</f>
        <v>7</v>
      </c>
      <c r="T70" s="47">
        <f t="shared" ref="T70:T72" si="15">COUNTIFS(C:C,R70,F:F,"Red")</f>
        <v>6</v>
      </c>
      <c r="U70" s="31"/>
      <c r="V70" s="31"/>
      <c r="W70" s="31"/>
      <c r="X70" s="31"/>
      <c r="Y70" s="31"/>
      <c r="Z70" s="31"/>
      <c r="AA70" s="31"/>
      <c r="AB70" s="45" t="s">
        <v>10</v>
      </c>
      <c r="AC70" s="50">
        <f t="shared" ref="AC70:AC72" si="16">COUNTIFS(C:C,AB70,D:D,"FTP")</f>
        <v>0</v>
      </c>
      <c r="AD70" s="51">
        <f t="shared" ref="AD70:AD72" si="17">COUNTIFS(C:C,AB70,D:D,"Undercooked")</f>
        <v>0</v>
      </c>
    </row>
    <row r="71" spans="1:30" ht="22.5" customHeight="1">
      <c r="A71" s="32">
        <v>39</v>
      </c>
      <c r="B71" s="87" t="str">
        <f>VLOOKUP(C71,Lists!I:J,2,FALSE)</f>
        <v>Tank</v>
      </c>
      <c r="C71" s="87" t="str">
        <f>VLOOKUP(E71,Lists!D:E,2,FALSE)</f>
        <v>SnS/Greatsword</v>
      </c>
      <c r="D71" s="35" t="s">
        <v>34</v>
      </c>
      <c r="E71" s="36" t="s">
        <v>85</v>
      </c>
      <c r="F71" s="35" t="s">
        <v>476</v>
      </c>
      <c r="G71" s="32">
        <v>6</v>
      </c>
      <c r="H71" s="32">
        <v>33</v>
      </c>
      <c r="I71" s="84">
        <f t="shared" si="0"/>
        <v>39</v>
      </c>
      <c r="J71" s="37">
        <v>543220</v>
      </c>
      <c r="K71" s="37">
        <v>1228690</v>
      </c>
      <c r="L71" s="37">
        <v>101285</v>
      </c>
      <c r="M71" s="38">
        <f>I71/(HLOOKUP(F71,Team_Composition_23[[#All],[Yellow]:[Red]],10,FALSE)+HLOOKUP(F71,Team_Composition_23[[#All],[Yellow]:[Red]],11,FALSE))</f>
        <v>9.7475631092226941E-3</v>
      </c>
      <c r="N71" s="38">
        <f>J71/HLOOKUP(F71,Team_Composition_23[[#All],[Yellow]:[Red]],6,FALSE)</f>
        <v>1.2244725635487893E-2</v>
      </c>
      <c r="O71" s="38">
        <f>K71/HLOOKUP(F71,Team_Composition_23[[#All],[Yellow]:[Red]],8,FALSE)</f>
        <v>7.0135659692410937E-2</v>
      </c>
      <c r="P71" s="38">
        <f>L71/HLOOKUP(F71,Team_Composition_23[[#All],[Yellow]:[Red]],7,FALSE)</f>
        <v>7.8243930716751023E-3</v>
      </c>
      <c r="Q71" s="31"/>
      <c r="R71" s="45" t="s">
        <v>9</v>
      </c>
      <c r="S71" s="46">
        <f t="shared" si="14"/>
        <v>8</v>
      </c>
      <c r="T71" s="47">
        <f t="shared" si="15"/>
        <v>10</v>
      </c>
      <c r="U71" s="31"/>
      <c r="V71" s="31"/>
      <c r="W71" s="31"/>
      <c r="X71" s="31"/>
      <c r="Y71" s="31"/>
      <c r="Z71" s="31"/>
      <c r="AA71" s="31"/>
      <c r="AB71" s="45" t="s">
        <v>9</v>
      </c>
      <c r="AC71" s="50">
        <f t="shared" si="16"/>
        <v>0</v>
      </c>
      <c r="AD71" s="51">
        <f t="shared" si="17"/>
        <v>0</v>
      </c>
    </row>
    <row r="72" spans="1:30" ht="22.5" customHeight="1">
      <c r="A72" s="32">
        <v>83</v>
      </c>
      <c r="B72" s="87" t="str">
        <f>VLOOKUP(C72,Lists!I:J,2,FALSE)</f>
        <v>Healer</v>
      </c>
      <c r="C72" s="87" t="str">
        <f>VLOOKUP(E72,Lists!D:E,2,FALSE)</f>
        <v>Wand/Longbow</v>
      </c>
      <c r="D72" s="35" t="s">
        <v>30</v>
      </c>
      <c r="E72" s="36" t="s">
        <v>414</v>
      </c>
      <c r="F72" s="35" t="s">
        <v>483</v>
      </c>
      <c r="G72" s="32">
        <v>0</v>
      </c>
      <c r="H72" s="32">
        <v>39</v>
      </c>
      <c r="I72" s="84">
        <f t="shared" si="0"/>
        <v>39</v>
      </c>
      <c r="J72" s="37">
        <v>81662</v>
      </c>
      <c r="K72" s="37">
        <v>1063669</v>
      </c>
      <c r="L72" s="37">
        <v>2176552</v>
      </c>
      <c r="M72" s="38">
        <f>I72/(HLOOKUP(F72,Team_Composition_23[[#All],[Yellow]:[Red]],10,FALSE)+HLOOKUP(F72,Team_Composition_23[[#All],[Yellow]:[Red]],11,FALSE))</f>
        <v>4.7503045066991476E-2</v>
      </c>
      <c r="N72" s="38">
        <f>J72/HLOOKUP(F72,Team_Composition_23[[#All],[Yellow]:[Red]],6,FALSE)</f>
        <v>4.6279470491042852E-3</v>
      </c>
      <c r="O72" s="38">
        <f>K72/HLOOKUP(F72,Team_Composition_23[[#All],[Yellow]:[Red]],8,FALSE)</f>
        <v>2.4165542036159719E-2</v>
      </c>
      <c r="P72" s="38">
        <f>L72/HLOOKUP(F72,Team_Composition_23[[#All],[Yellow]:[Red]],7,FALSE)</f>
        <v>8.9686637471784819E-2</v>
      </c>
      <c r="Q72" s="31"/>
      <c r="R72" s="45" t="s">
        <v>18</v>
      </c>
      <c r="S72" s="46">
        <f t="shared" si="14"/>
        <v>0</v>
      </c>
      <c r="T72" s="47">
        <f t="shared" si="15"/>
        <v>1</v>
      </c>
      <c r="U72" s="31"/>
      <c r="V72" s="31"/>
      <c r="W72" s="31"/>
      <c r="X72" s="31"/>
      <c r="Y72" s="31"/>
      <c r="Z72" s="31"/>
      <c r="AA72" s="31"/>
      <c r="AB72" s="45" t="s">
        <v>18</v>
      </c>
      <c r="AC72" s="50">
        <f t="shared" si="16"/>
        <v>0</v>
      </c>
      <c r="AD72" s="51">
        <f t="shared" si="17"/>
        <v>0</v>
      </c>
    </row>
    <row r="73" spans="1:30" ht="22.5" customHeight="1">
      <c r="A73" s="32">
        <v>84</v>
      </c>
      <c r="B73" s="87" t="str">
        <f>VLOOKUP(C73,Lists!I:J,2,FALSE)</f>
        <v>Healer</v>
      </c>
      <c r="C73" s="87" t="s">
        <v>9</v>
      </c>
      <c r="D73" s="35" t="s">
        <v>34</v>
      </c>
      <c r="E73" s="36" t="s">
        <v>168</v>
      </c>
      <c r="F73" s="35" t="s">
        <v>476</v>
      </c>
      <c r="G73" s="32">
        <v>0</v>
      </c>
      <c r="H73" s="32">
        <v>39</v>
      </c>
      <c r="I73" s="84">
        <f t="shared" si="0"/>
        <v>39</v>
      </c>
      <c r="J73" s="37">
        <v>11119</v>
      </c>
      <c r="K73" s="37">
        <v>636322</v>
      </c>
      <c r="L73" s="37">
        <v>1428025</v>
      </c>
      <c r="M73" s="38">
        <f>I73/(HLOOKUP(F73,Team_Composition_23[[#All],[Yellow]:[Red]],10,FALSE)+HLOOKUP(F73,Team_Composition_23[[#All],[Yellow]:[Red]],11,FALSE))</f>
        <v>9.7475631092226941E-3</v>
      </c>
      <c r="N73" s="38">
        <f>J73/HLOOKUP(F73,Team_Composition_23[[#All],[Yellow]:[Red]],6,FALSE)</f>
        <v>2.5063345300428903E-4</v>
      </c>
      <c r="O73" s="38">
        <f>K73/HLOOKUP(F73,Team_Composition_23[[#All],[Yellow]:[Red]],8,FALSE)</f>
        <v>3.6322313396214105E-2</v>
      </c>
      <c r="P73" s="38">
        <f>L73/HLOOKUP(F73,Team_Composition_23[[#All],[Yellow]:[Red]],7,FALSE)</f>
        <v>0.11031671931854507</v>
      </c>
      <c r="Q73" s="31"/>
      <c r="R73" s="31"/>
      <c r="S73" s="31"/>
      <c r="T73" s="31"/>
      <c r="U73" s="31"/>
      <c r="V73" s="31"/>
      <c r="W73" s="31"/>
      <c r="X73" s="31"/>
      <c r="Y73" s="31"/>
      <c r="Z73" s="31"/>
      <c r="AA73" s="31"/>
      <c r="AB73" s="31"/>
      <c r="AC73" s="31"/>
      <c r="AD73" s="31"/>
    </row>
    <row r="74" spans="1:30" ht="22.5" customHeight="1">
      <c r="A74" s="32">
        <v>56</v>
      </c>
      <c r="B74" s="87" t="str">
        <f>VLOOKUP(C74,Lists!I:J,2,FALSE)</f>
        <v>Healer</v>
      </c>
      <c r="C74" s="87" t="s">
        <v>9</v>
      </c>
      <c r="D74" s="35" t="s">
        <v>30</v>
      </c>
      <c r="E74" s="36" t="s">
        <v>408</v>
      </c>
      <c r="F74" s="35" t="s">
        <v>483</v>
      </c>
      <c r="G74" s="32">
        <v>1</v>
      </c>
      <c r="H74" s="32">
        <v>37</v>
      </c>
      <c r="I74" s="84">
        <f t="shared" si="0"/>
        <v>38</v>
      </c>
      <c r="J74" s="37">
        <v>381259</v>
      </c>
      <c r="K74" s="37">
        <v>633485</v>
      </c>
      <c r="L74" s="37">
        <v>35695</v>
      </c>
      <c r="M74" s="38">
        <f>I74/(HLOOKUP(F74,Team_Composition_23[[#All],[Yellow]:[Red]],10,FALSE)+HLOOKUP(F74,Team_Composition_23[[#All],[Yellow]:[Red]],11,FALSE))</f>
        <v>4.6285018270401948E-2</v>
      </c>
      <c r="N74" s="38">
        <f>J74/HLOOKUP(F74,Team_Composition_23[[#All],[Yellow]:[Red]],6,FALSE)</f>
        <v>2.1606701574715909E-2</v>
      </c>
      <c r="O74" s="38">
        <f>K74/HLOOKUP(F74,Team_Composition_23[[#All],[Yellow]:[Red]],8,FALSE)</f>
        <v>1.4392173126016308E-2</v>
      </c>
      <c r="P74" s="38">
        <f>L74/HLOOKUP(F74,Team_Composition_23[[#All],[Yellow]:[Red]],7,FALSE)</f>
        <v>1.470842196536246E-3</v>
      </c>
      <c r="Q74" s="31"/>
      <c r="R74" s="31"/>
      <c r="S74" s="31"/>
      <c r="T74" s="31"/>
      <c r="U74" s="31"/>
      <c r="V74" s="31"/>
      <c r="W74" s="31"/>
      <c r="X74" s="31"/>
      <c r="Y74" s="31"/>
      <c r="Z74" s="31"/>
      <c r="AA74" s="31"/>
      <c r="AB74" s="31"/>
      <c r="AC74" s="31"/>
      <c r="AD74" s="31"/>
    </row>
    <row r="75" spans="1:30" ht="22.5" customHeight="1">
      <c r="A75" s="32">
        <v>57</v>
      </c>
      <c r="B75" s="87" t="str">
        <f>VLOOKUP(C75,Lists!I:J,2,FALSE)</f>
        <v>Tank</v>
      </c>
      <c r="C75" s="87" t="str">
        <f>VLOOKUP(E75,Lists!D:E,2,FALSE)</f>
        <v>Sns/Spear</v>
      </c>
      <c r="D75" s="35" t="s">
        <v>30</v>
      </c>
      <c r="E75" s="36" t="s">
        <v>432</v>
      </c>
      <c r="F75" s="35" t="s">
        <v>483</v>
      </c>
      <c r="G75" s="32">
        <v>1</v>
      </c>
      <c r="H75" s="32">
        <v>37</v>
      </c>
      <c r="I75" s="84">
        <f t="shared" si="0"/>
        <v>38</v>
      </c>
      <c r="J75" s="37">
        <v>173404</v>
      </c>
      <c r="K75" s="37">
        <v>1685962</v>
      </c>
      <c r="L75" s="37">
        <v>1000329</v>
      </c>
      <c r="M75" s="38">
        <f>I75/(HLOOKUP(F75,Team_Composition_23[[#All],[Yellow]:[Red]],10,FALSE)+HLOOKUP(F75,Team_Composition_23[[#All],[Yellow]:[Red]],11,FALSE))</f>
        <v>4.6285018270401948E-2</v>
      </c>
      <c r="N75" s="38">
        <f>J75/HLOOKUP(F75,Team_Composition_23[[#All],[Yellow]:[Red]],6,FALSE)</f>
        <v>9.8271476341857834E-3</v>
      </c>
      <c r="O75" s="38">
        <f>K75/HLOOKUP(F75,Team_Composition_23[[#All],[Yellow]:[Red]],8,FALSE)</f>
        <v>3.8303443629896058E-2</v>
      </c>
      <c r="P75" s="38">
        <f>L75/HLOOKUP(F75,Team_Composition_23[[#All],[Yellow]:[Red]],7,FALSE)</f>
        <v>4.1219389371590039E-2</v>
      </c>
      <c r="Q75" s="31"/>
      <c r="R75" s="227" t="s">
        <v>78</v>
      </c>
      <c r="S75" s="228"/>
      <c r="T75" s="228"/>
      <c r="U75" s="31"/>
      <c r="V75" s="31"/>
      <c r="W75" s="31"/>
      <c r="X75" s="31"/>
      <c r="Y75" s="31"/>
      <c r="Z75" s="31"/>
      <c r="AA75" s="31"/>
      <c r="AB75" s="227" t="s">
        <v>78</v>
      </c>
      <c r="AC75" s="228"/>
      <c r="AD75" s="228"/>
    </row>
    <row r="76" spans="1:30" ht="22.5" customHeight="1">
      <c r="A76" s="32">
        <v>85</v>
      </c>
      <c r="B76" s="87" t="str">
        <f>VLOOKUP(C76,Lists!I:J,2,FALSE)</f>
        <v>Tank</v>
      </c>
      <c r="C76" s="87" t="str">
        <f>VLOOKUP(E76,Lists!D:E,2,FALSE)</f>
        <v>SnS/Greatsword</v>
      </c>
      <c r="D76" s="35" t="s">
        <v>34</v>
      </c>
      <c r="E76" s="36" t="s">
        <v>163</v>
      </c>
      <c r="F76" s="35" t="s">
        <v>476</v>
      </c>
      <c r="G76" s="32">
        <v>0</v>
      </c>
      <c r="H76" s="32">
        <v>37</v>
      </c>
      <c r="I76" s="84">
        <f t="shared" si="0"/>
        <v>37</v>
      </c>
      <c r="J76" s="37">
        <v>65788</v>
      </c>
      <c r="K76" s="37">
        <v>608679</v>
      </c>
      <c r="L76" s="37">
        <v>86734</v>
      </c>
      <c r="M76" s="38">
        <f>I76/(HLOOKUP(F76,Team_Composition_23[[#All],[Yellow]:[Red]],10,FALSE)+HLOOKUP(F76,Team_Composition_23[[#All],[Yellow]:[Red]],11,FALSE))</f>
        <v>9.2476880779805044E-3</v>
      </c>
      <c r="N76" s="38">
        <f>J76/HLOOKUP(F76,Team_Composition_23[[#All],[Yellow]:[Red]],6,FALSE)</f>
        <v>1.4829277458625926E-3</v>
      </c>
      <c r="O76" s="38">
        <f>K76/HLOOKUP(F76,Team_Composition_23[[#All],[Yellow]:[Red]],8,FALSE)</f>
        <v>3.4744405184315812E-2</v>
      </c>
      <c r="P76" s="38">
        <f>L76/HLOOKUP(F76,Team_Composition_23[[#All],[Yellow]:[Red]],7,FALSE)</f>
        <v>6.7003101019762878E-3</v>
      </c>
      <c r="Q76" s="31"/>
      <c r="R76" s="27" t="s">
        <v>482</v>
      </c>
      <c r="S76" s="72" t="s">
        <v>476</v>
      </c>
      <c r="T76" s="72" t="s">
        <v>483</v>
      </c>
      <c r="U76" s="31"/>
      <c r="V76" s="31"/>
      <c r="W76" s="31"/>
      <c r="X76" s="31"/>
      <c r="Y76" s="31"/>
      <c r="Z76" s="31"/>
      <c r="AA76" s="31"/>
      <c r="AB76" s="27" t="s">
        <v>482</v>
      </c>
      <c r="AC76" s="72" t="s">
        <v>485</v>
      </c>
      <c r="AD76" s="72" t="s">
        <v>36</v>
      </c>
    </row>
    <row r="77" spans="1:30" ht="22.5" customHeight="1">
      <c r="A77" s="32">
        <v>58</v>
      </c>
      <c r="B77" s="87" t="str">
        <f>VLOOKUP(C77,Lists!I:J,2,FALSE)</f>
        <v>Ranged DPS</v>
      </c>
      <c r="C77" s="87" t="str">
        <f>VLOOKUP(E77,Lists!D:E,2,FALSE)</f>
        <v>SnS/Wand</v>
      </c>
      <c r="D77" s="35" t="s">
        <v>30</v>
      </c>
      <c r="E77" s="36" t="s">
        <v>424</v>
      </c>
      <c r="F77" s="35" t="s">
        <v>483</v>
      </c>
      <c r="G77" s="32">
        <v>1</v>
      </c>
      <c r="H77" s="32">
        <v>35</v>
      </c>
      <c r="I77" s="84">
        <f t="shared" si="0"/>
        <v>36</v>
      </c>
      <c r="J77" s="37">
        <v>72930</v>
      </c>
      <c r="K77" s="37">
        <v>599583</v>
      </c>
      <c r="L77" s="37">
        <v>488958</v>
      </c>
      <c r="M77" s="38">
        <f>I77/(HLOOKUP(F77,Team_Composition_23[[#All],[Yellow]:[Red]],10,FALSE)+HLOOKUP(F77,Team_Composition_23[[#All],[Yellow]:[Red]],11,FALSE))</f>
        <v>4.38489646772229E-2</v>
      </c>
      <c r="N77" s="38">
        <f>J77/HLOOKUP(F77,Team_Composition_23[[#All],[Yellow]:[Red]],6,FALSE)</f>
        <v>4.1330873391684691E-3</v>
      </c>
      <c r="O77" s="38">
        <f>K77/HLOOKUP(F77,Team_Composition_23[[#All],[Yellow]:[Red]],8,FALSE)</f>
        <v>1.3621952121070327E-2</v>
      </c>
      <c r="P77" s="38">
        <f>L77/HLOOKUP(F77,Team_Composition_23[[#All],[Yellow]:[Red]],7,FALSE)</f>
        <v>2.0147921522173127E-2</v>
      </c>
      <c r="Q77" s="31"/>
      <c r="R77" s="74" t="s">
        <v>468</v>
      </c>
      <c r="S77" s="75">
        <f>SUMIFS('BR m Unhinged Adentus 1272026'!$J$2:$J$163,'BR m Unhinged Adentus 1272026'!$B$2:$B$163,"KS",'BR m Unhinged Adentus 1272026'!$F$2:$F$163,"Yellow")</f>
        <v>6058186</v>
      </c>
      <c r="T77" s="76">
        <f>SUMIFS('BR m Unhinged Adentus 1272026'!$J$2:$J$163,'BR m Unhinged Adentus 1272026'!$B$2:$B$163,"KS",'BR m Unhinged Adentus 1272026'!$F$2:$F$163,"Red")</f>
        <v>4963060</v>
      </c>
      <c r="U77" s="31"/>
      <c r="V77" s="31"/>
      <c r="W77" s="31"/>
      <c r="X77" s="31"/>
      <c r="Y77" s="31"/>
      <c r="Z77" s="31"/>
      <c r="AA77" s="31"/>
      <c r="AB77" s="74" t="s">
        <v>468</v>
      </c>
      <c r="AC77" s="75">
        <f>SUMIFS('BR m Unhinged Adentus 1272026'!$J$2:$J$163,'BR m Unhinged Adentus 1272026'!$B$2:$B$163,"KS",'BR m Unhinged Adentus 1272026'!$D$2:$D$163,"Best Regards")</f>
        <v>7166965</v>
      </c>
      <c r="AD77" s="76">
        <f>SUMIFS('BR m Unhinged Adentus 1272026'!$J$2:$J$163,'BR m Unhinged Adentus 1272026'!$B$2:$B$163,"KS",'BR m Unhinged Adentus 1272026'!$D$2:$D$163,"Unhinged肉")</f>
        <v>3854281</v>
      </c>
    </row>
    <row r="78" spans="1:30" ht="22.5" customHeight="1">
      <c r="A78" s="32">
        <v>86</v>
      </c>
      <c r="B78" s="87" t="str">
        <f>VLOOKUP(C78,Lists!I:J,2,FALSE)</f>
        <v>Healer</v>
      </c>
      <c r="C78" s="87" t="s">
        <v>10</v>
      </c>
      <c r="D78" s="35" t="s">
        <v>30</v>
      </c>
      <c r="E78" s="36" t="s">
        <v>426</v>
      </c>
      <c r="F78" s="35" t="s">
        <v>483</v>
      </c>
      <c r="G78" s="32">
        <v>0</v>
      </c>
      <c r="H78" s="32">
        <v>34</v>
      </c>
      <c r="I78" s="84">
        <f t="shared" si="0"/>
        <v>34</v>
      </c>
      <c r="J78" s="37">
        <v>24198</v>
      </c>
      <c r="K78" s="37">
        <v>1252232</v>
      </c>
      <c r="L78" s="37">
        <v>1957678</v>
      </c>
      <c r="M78" s="38">
        <f>I78/(HLOOKUP(F78,Team_Composition_23[[#All],[Yellow]:[Red]],10,FALSE)+HLOOKUP(F78,Team_Composition_23[[#All],[Yellow]:[Red]],11,FALSE))</f>
        <v>4.1412911084043852E-2</v>
      </c>
      <c r="N78" s="38">
        <f>J78/HLOOKUP(F78,Team_Composition_23[[#All],[Yellow]:[Red]],6,FALSE)</f>
        <v>1.3713485182119652E-3</v>
      </c>
      <c r="O78" s="38">
        <f>K78/HLOOKUP(F78,Team_Composition_23[[#All],[Yellow]:[Red]],8,FALSE)</f>
        <v>2.8449512992316555E-2</v>
      </c>
      <c r="P78" s="38">
        <f>L78/HLOOKUP(F78,Team_Composition_23[[#All],[Yellow]:[Red]],7,FALSE)</f>
        <v>8.0667752055769287E-2</v>
      </c>
      <c r="Q78" s="31"/>
      <c r="R78" s="78" t="s">
        <v>469</v>
      </c>
      <c r="S78" s="75">
        <f>SUMIFS('BR m Unhinged Adentus 1272026'!$K$2:$K$163,'BR m Unhinged Adentus 1272026'!$B$2:$B$163,"KS",'BR m Unhinged Adentus 1272026'!$F$2:$F$163,"Yellow")</f>
        <v>3727100</v>
      </c>
      <c r="T78" s="76">
        <f>SUMIFS('BR m Unhinged Adentus 1272026'!$K$2:$K$163,'BR m Unhinged Adentus 1272026'!$B$2:$B$163,"KS",'BR m Unhinged Adentus 1272026'!$F$2:$F$163,"Red")</f>
        <v>2287484</v>
      </c>
      <c r="U78" s="31"/>
      <c r="V78" s="31"/>
      <c r="W78" s="31"/>
      <c r="X78" s="31"/>
      <c r="Y78" s="31"/>
      <c r="Z78" s="31"/>
      <c r="AA78" s="31"/>
      <c r="AB78" s="78" t="s">
        <v>469</v>
      </c>
      <c r="AC78" s="75">
        <f>SUMIFS('BR m Unhinged Adentus 1272026'!$K$2:$K$163,'BR m Unhinged Adentus 1272026'!$B$2:$B$163,"KS",'BR m Unhinged Adentus 1272026'!$D$2:$D$163,"Best Regards")</f>
        <v>2582031</v>
      </c>
      <c r="AD78" s="76">
        <f>SUMIFS('BR m Unhinged Adentus 1272026'!$K$2:$K$163,'BR m Unhinged Adentus 1272026'!$B$2:$B$163,"KS",'BR m Unhinged Adentus 1272026'!$D$2:$D$163,"Unhinged肉")</f>
        <v>3432553</v>
      </c>
    </row>
    <row r="79" spans="1:30" ht="22.5" customHeight="1">
      <c r="A79" s="32">
        <v>87</v>
      </c>
      <c r="B79" s="87" t="str">
        <f>VLOOKUP(C79,Lists!I:J,2,FALSE)</f>
        <v>Healer</v>
      </c>
      <c r="C79" s="87" t="str">
        <f>VLOOKUP(E79,Lists!D:E,2,FALSE)</f>
        <v>Wand/Longbow</v>
      </c>
      <c r="D79" s="35" t="s">
        <v>30</v>
      </c>
      <c r="E79" s="36" t="s">
        <v>198</v>
      </c>
      <c r="F79" s="35" t="s">
        <v>483</v>
      </c>
      <c r="G79" s="32">
        <v>0</v>
      </c>
      <c r="H79" s="32">
        <v>32</v>
      </c>
      <c r="I79" s="84">
        <f t="shared" si="0"/>
        <v>32</v>
      </c>
      <c r="J79" s="37">
        <v>65393</v>
      </c>
      <c r="K79" s="37">
        <v>806012</v>
      </c>
      <c r="L79" s="37">
        <v>1052965</v>
      </c>
      <c r="M79" s="38">
        <f>I79/(HLOOKUP(F79,Team_Composition_23[[#All],[Yellow]:[Red]],10,FALSE)+HLOOKUP(F79,Team_Composition_23[[#All],[Yellow]:[Red]],11,FALSE))</f>
        <v>3.8976857490864797E-2</v>
      </c>
      <c r="N79" s="38">
        <f>J79/HLOOKUP(F79,Team_Composition_23[[#All],[Yellow]:[Red]],6,FALSE)</f>
        <v>3.7059506426743959E-3</v>
      </c>
      <c r="O79" s="38">
        <f>K79/HLOOKUP(F79,Team_Composition_23[[#All],[Yellow]:[Red]],8,FALSE)</f>
        <v>1.8311821504292378E-2</v>
      </c>
      <c r="P79" s="38">
        <f>L79/HLOOKUP(F79,Team_Composition_23[[#All],[Yellow]:[Red]],7,FALSE)</f>
        <v>4.3388299579094784E-2</v>
      </c>
      <c r="Q79" s="31"/>
      <c r="R79" s="74" t="s">
        <v>470</v>
      </c>
      <c r="S79" s="75">
        <f>SUMIFS('BR m Unhinged Adentus 1272026'!$L$2:$L$163,'BR m Unhinged Adentus 1272026'!$B$2:$B$163,"KS",'BR m Unhinged Adentus 1272026'!$F$2:$F$163,"Yellow")</f>
        <v>107522</v>
      </c>
      <c r="T79" s="76">
        <f>SUMIFS('BR m Unhinged Adentus 1272026'!$L$2:$L$163,'BR m Unhinged Adentus 1272026'!$B$2:$B$163,"KS",'BR m Unhinged Adentus 1272026'!$F$2:$F$163,"Red")</f>
        <v>162411</v>
      </c>
      <c r="U79" s="31"/>
      <c r="V79" s="31"/>
      <c r="W79" s="31"/>
      <c r="X79" s="31"/>
      <c r="Y79" s="31"/>
      <c r="Z79" s="31"/>
      <c r="AA79" s="31"/>
      <c r="AB79" s="74" t="s">
        <v>470</v>
      </c>
      <c r="AC79" s="75">
        <f>SUMIFS('BR m Unhinged Adentus 1272026'!$L$2:$L$163,'BR m Unhinged Adentus 1272026'!$B$2:$B$163,"KS",'BR m Unhinged Adentus 1272026'!$D$2:$D$163,"Best Regards")</f>
        <v>99669</v>
      </c>
      <c r="AD79" s="76">
        <f>SUMIFS('BR m Unhinged Adentus 1272026'!$L$2:$L$163,'BR m Unhinged Adentus 1272026'!$B$2:$B$163,"KS",'BR m Unhinged Adentus 1272026'!$D$2:$D$163,"Unhinged肉")</f>
        <v>170264</v>
      </c>
    </row>
    <row r="80" spans="1:30" ht="22.5" customHeight="1">
      <c r="A80" s="32">
        <v>37</v>
      </c>
      <c r="B80" s="87" t="str">
        <f>VLOOKUP(C80,Lists!I:J,2,FALSE)</f>
        <v>Ranged DPS</v>
      </c>
      <c r="C80" s="87" t="str">
        <f>VLOOKUP(E80,Lists!D:E,2,FALSE)</f>
        <v>Staff/Orb</v>
      </c>
      <c r="D80" s="35" t="s">
        <v>34</v>
      </c>
      <c r="E80" s="36" t="s">
        <v>160</v>
      </c>
      <c r="F80" s="35" t="s">
        <v>476</v>
      </c>
      <c r="G80" s="32">
        <v>7</v>
      </c>
      <c r="H80" s="32">
        <v>24</v>
      </c>
      <c r="I80" s="84">
        <f t="shared" si="0"/>
        <v>31</v>
      </c>
      <c r="J80" s="37">
        <v>1285732</v>
      </c>
      <c r="K80" s="37">
        <v>1117665</v>
      </c>
      <c r="L80" s="37">
        <v>30058</v>
      </c>
      <c r="M80" s="38">
        <f>I80/(HLOOKUP(F80,Team_Composition_23[[#All],[Yellow]:[Red]],10,FALSE)+HLOOKUP(F80,Team_Composition_23[[#All],[Yellow]:[Red]],11,FALSE))</f>
        <v>7.7480629842539362E-3</v>
      </c>
      <c r="N80" s="38">
        <f>J80/HLOOKUP(F80,Team_Composition_23[[#All],[Yellow]:[Red]],6,FALSE)</f>
        <v>2.8981693569395679E-2</v>
      </c>
      <c r="O80" s="38">
        <f>K80/HLOOKUP(F80,Team_Composition_23[[#All],[Yellow]:[Red]],8,FALSE)</f>
        <v>6.3798168854730206E-2</v>
      </c>
      <c r="P80" s="38">
        <f>L80/HLOOKUP(F80,Team_Composition_23[[#All],[Yellow]:[Red]],7,FALSE)</f>
        <v>2.3220181364309645E-3</v>
      </c>
      <c r="Q80" s="31"/>
      <c r="R80" s="78" t="s">
        <v>465</v>
      </c>
      <c r="S80" s="75">
        <f>SUMIFS('BR m Unhinged Adentus 1272026'!$G$2:$G$163,'BR m Unhinged Adentus 1272026'!$B$2:$B$163,"KS",'BR m Unhinged Adentus 1272026'!$F$2:$F$163,"Yellow")</f>
        <v>148</v>
      </c>
      <c r="T80" s="76">
        <f>SUMIFS('BR m Unhinged Adentus 1272026'!$G$2:$G$163,'BR m Unhinged Adentus 1272026'!$B$2:$B$163,"KS",'BR m Unhinged Adentus 1272026'!$F$2:$F$163,"Red")</f>
        <v>113</v>
      </c>
      <c r="U80" s="31"/>
      <c r="V80" s="31"/>
      <c r="W80" s="31"/>
      <c r="X80" s="31"/>
      <c r="Y80" s="31"/>
      <c r="Z80" s="31"/>
      <c r="AA80" s="31"/>
      <c r="AB80" s="78" t="s">
        <v>465</v>
      </c>
      <c r="AC80" s="75">
        <f>SUMIFS('BR m Unhinged Adentus 1272026'!$G$2:$G$163,'BR m Unhinged Adentus 1272026'!$B$2:$B$163,"KS",'BR m Unhinged Adentus 1272026'!$D$2:$D$163,"Best Regards")</f>
        <v>166</v>
      </c>
      <c r="AD80" s="76">
        <f>SUMIFS('BR m Unhinged Adentus 1272026'!$G$2:$G$163,'BR m Unhinged Adentus 1272026'!$B$2:$B$163,"KS",'BR m Unhinged Adentus 1272026'!$D$2:$D$163,"Unhinged肉")</f>
        <v>95</v>
      </c>
    </row>
    <row r="81" spans="1:30" ht="22.5" customHeight="1">
      <c r="A81" s="32">
        <v>45</v>
      </c>
      <c r="B81" s="87" t="str">
        <f>VLOOKUP(C81,Lists!I:J,2,FALSE)</f>
        <v>Tank</v>
      </c>
      <c r="C81" s="87" t="str">
        <f>VLOOKUP(E81,Lists!D:E,2,FALSE)</f>
        <v>SnS/Greatsword</v>
      </c>
      <c r="D81" s="35" t="s">
        <v>34</v>
      </c>
      <c r="E81" s="36" t="s">
        <v>148</v>
      </c>
      <c r="F81" s="35" t="s">
        <v>476</v>
      </c>
      <c r="G81" s="32">
        <v>2</v>
      </c>
      <c r="H81" s="32">
        <v>27</v>
      </c>
      <c r="I81" s="84">
        <f t="shared" si="0"/>
        <v>29</v>
      </c>
      <c r="J81" s="37">
        <v>97628</v>
      </c>
      <c r="K81" s="37">
        <v>585811</v>
      </c>
      <c r="L81" s="37">
        <v>29702</v>
      </c>
      <c r="M81" s="38">
        <f>I81/(HLOOKUP(F81,Team_Composition_23[[#All],[Yellow]:[Red]],10,FALSE)+HLOOKUP(F81,Team_Composition_23[[#All],[Yellow]:[Red]],11,FALSE))</f>
        <v>7.2481879530117473E-3</v>
      </c>
      <c r="N81" s="38">
        <f>J81/HLOOKUP(F81,Team_Composition_23[[#All],[Yellow]:[Red]],6,FALSE)</f>
        <v>2.2006333977788229E-3</v>
      </c>
      <c r="O81" s="38">
        <f>K81/HLOOKUP(F81,Team_Composition_23[[#All],[Yellow]:[Red]],8,FALSE)</f>
        <v>3.3439061878969424E-2</v>
      </c>
      <c r="P81" s="38">
        <f>L81/HLOOKUP(F81,Team_Composition_23[[#All],[Yellow]:[Red]],7,FALSE)</f>
        <v>2.2945166906737807E-3</v>
      </c>
      <c r="Q81" s="31"/>
      <c r="R81" s="79" t="s">
        <v>466</v>
      </c>
      <c r="S81" s="80">
        <f>SUMIFS('BR m Unhinged Adentus 1272026'!$H$2:$H$163,'BR m Unhinged Adentus 1272026'!$B$2:$B$163,"KS",'BR m Unhinged Adentus 1272026'!$F$2:$F$163,"Yellow")</f>
        <v>151</v>
      </c>
      <c r="T81" s="81">
        <f>SUMIFS('BR m Unhinged Adentus 1272026'!$H$2:$H$163,'BR m Unhinged Adentus 1272026'!$B$2:$B$163,"KS",'BR m Unhinged Adentus 1272026'!$F$2:$F$163,"Red")</f>
        <v>148</v>
      </c>
      <c r="U81" s="31"/>
      <c r="V81" s="31"/>
      <c r="W81" s="31"/>
      <c r="X81" s="31"/>
      <c r="Y81" s="31"/>
      <c r="Z81" s="31"/>
      <c r="AA81" s="31"/>
      <c r="AB81" s="79" t="s">
        <v>466</v>
      </c>
      <c r="AC81" s="80">
        <f>SUMIFS('BR m Unhinged Adentus 1272026'!$H$2:$H$163,'BR m Unhinged Adentus 1272026'!$B$2:$B$163,"KS",'BR m Unhinged Adentus 1272026'!$D$2:$D$163,"Best Regards")</f>
        <v>201</v>
      </c>
      <c r="AD81" s="81">
        <f>SUMIFS('BR m Unhinged Adentus 1272026'!$H$2:$H$163,'BR m Unhinged Adentus 1272026'!$B$2:$B$163,"KS",'BR m Unhinged Adentus 1272026'!$D$2:$D$163,"Unhinged肉")</f>
        <v>98</v>
      </c>
    </row>
    <row r="82" spans="1:30" ht="22.5" customHeight="1">
      <c r="A82" s="32">
        <v>43</v>
      </c>
      <c r="B82" s="87" t="str">
        <f>VLOOKUP(C82,Lists!I:J,2,FALSE)</f>
        <v>Tank</v>
      </c>
      <c r="C82" s="87" t="str">
        <f>VLOOKUP(E82,Lists!D:E,2,FALSE)</f>
        <v>SnS/Greatsword</v>
      </c>
      <c r="D82" s="35" t="s">
        <v>30</v>
      </c>
      <c r="E82" s="36" t="s">
        <v>422</v>
      </c>
      <c r="F82" s="35" t="s">
        <v>483</v>
      </c>
      <c r="G82" s="32">
        <v>3</v>
      </c>
      <c r="H82" s="32">
        <v>21</v>
      </c>
      <c r="I82" s="84">
        <f t="shared" si="0"/>
        <v>24</v>
      </c>
      <c r="J82" s="37">
        <v>191023</v>
      </c>
      <c r="K82" s="37">
        <v>327512</v>
      </c>
      <c r="L82" s="37">
        <v>10560</v>
      </c>
      <c r="M82" s="38">
        <f>I82/(HLOOKUP(F82,Team_Composition_23[[#All],[Yellow]:[Red]],10,FALSE)+HLOOKUP(F82,Team_Composition_23[[#All],[Yellow]:[Red]],11,FALSE))</f>
        <v>2.9232643118148598E-2</v>
      </c>
      <c r="N82" s="38">
        <f>J82/HLOOKUP(F82,Team_Composition_23[[#All],[Yellow]:[Red]],6,FALSE)</f>
        <v>1.0825651210612621E-2</v>
      </c>
      <c r="O82" s="38">
        <f>K82/HLOOKUP(F82,Team_Composition_23[[#All],[Yellow]:[Red]],8,FALSE)</f>
        <v>7.4407592995064656E-3</v>
      </c>
      <c r="P82" s="38">
        <f>L82/HLOOKUP(F82,Team_Composition_23[[#All],[Yellow]:[Red]],7,FALSE)</f>
        <v>4.3513359281195565E-4</v>
      </c>
      <c r="Q82" s="31"/>
      <c r="R82" s="78" t="s">
        <v>54</v>
      </c>
      <c r="S82" s="75">
        <f t="shared" ref="S82:S84" si="18">COUNTIFS(C:C,R82,F:F,"Yellow")</f>
        <v>3</v>
      </c>
      <c r="T82" s="76">
        <f t="shared" ref="T82:T84" si="19">COUNTIFS(C:C,R82,F:F,"Red")</f>
        <v>3</v>
      </c>
      <c r="U82" s="31"/>
      <c r="V82" s="31"/>
      <c r="W82" s="31"/>
      <c r="X82" s="31"/>
      <c r="Y82" s="31"/>
      <c r="Z82" s="31"/>
      <c r="AA82" s="31"/>
      <c r="AB82" s="78" t="s">
        <v>54</v>
      </c>
      <c r="AC82" s="75">
        <f t="shared" ref="AC82:AC84" si="20">COUNTIFS(M:M,AB82,P:P,"Yellow")</f>
        <v>0</v>
      </c>
      <c r="AD82" s="76">
        <f t="shared" ref="AD82:AD84" si="21">COUNTIFS(M:M,AB82,P:P,"Red")</f>
        <v>0</v>
      </c>
    </row>
    <row r="83" spans="1:30" ht="22.5" customHeight="1">
      <c r="A83" s="32">
        <v>88</v>
      </c>
      <c r="B83" s="87" t="str">
        <f>VLOOKUP(C83,Lists!I:J,2,FALSE)</f>
        <v>Healer</v>
      </c>
      <c r="C83" s="87" t="str">
        <f>VLOOKUP(E83,Lists!D:E,2,FALSE)</f>
        <v>Wand/Orb</v>
      </c>
      <c r="D83" s="35" t="s">
        <v>34</v>
      </c>
      <c r="E83" s="36" t="s">
        <v>8</v>
      </c>
      <c r="F83" s="35" t="s">
        <v>476</v>
      </c>
      <c r="G83" s="32">
        <v>0</v>
      </c>
      <c r="H83" s="32">
        <v>24</v>
      </c>
      <c r="I83" s="84">
        <f t="shared" si="0"/>
        <v>24</v>
      </c>
      <c r="J83" s="37">
        <v>51705</v>
      </c>
      <c r="K83" s="37">
        <v>570282</v>
      </c>
      <c r="L83" s="37">
        <v>1274950</v>
      </c>
      <c r="M83" s="38">
        <f>I83/(HLOOKUP(F83,Team_Composition_23[[#All],[Yellow]:[Red]],10,FALSE)+HLOOKUP(F83,Team_Composition_23[[#All],[Yellow]:[Red]],11,FALSE))</f>
        <v>5.9985003749062731E-3</v>
      </c>
      <c r="N83" s="38">
        <f>J83/HLOOKUP(F83,Team_Composition_23[[#All],[Yellow]:[Red]],6,FALSE)</f>
        <v>1.1654827491309259E-3</v>
      </c>
      <c r="O83" s="38">
        <f>K83/HLOOKUP(F83,Team_Composition_23[[#All],[Yellow]:[Red]],8,FALSE)</f>
        <v>3.255264084570355E-2</v>
      </c>
      <c r="P83" s="38">
        <f>L83/HLOOKUP(F83,Team_Composition_23[[#All],[Yellow]:[Red]],7,FALSE)</f>
        <v>9.8491483899216775E-2</v>
      </c>
      <c r="Q83" s="31"/>
      <c r="R83" s="74" t="s">
        <v>69</v>
      </c>
      <c r="S83" s="75">
        <f t="shared" si="18"/>
        <v>2</v>
      </c>
      <c r="T83" s="76">
        <f t="shared" si="19"/>
        <v>4</v>
      </c>
      <c r="U83" s="31"/>
      <c r="V83" s="31"/>
      <c r="W83" s="31"/>
      <c r="X83" s="31"/>
      <c r="Y83" s="31"/>
      <c r="Z83" s="31"/>
      <c r="AA83" s="31"/>
      <c r="AB83" s="74" t="s">
        <v>69</v>
      </c>
      <c r="AC83" s="75">
        <f t="shared" si="20"/>
        <v>0</v>
      </c>
      <c r="AD83" s="76">
        <f t="shared" si="21"/>
        <v>0</v>
      </c>
    </row>
    <row r="84" spans="1:30" ht="22.5" customHeight="1">
      <c r="A84" s="32">
        <v>42</v>
      </c>
      <c r="B84" s="87" t="str">
        <f>VLOOKUP(C84,Lists!I:J,2,FALSE)</f>
        <v>Tank</v>
      </c>
      <c r="C84" s="87" t="str">
        <f>VLOOKUP(E84,Lists!D:E,2,FALSE)</f>
        <v>SnS/Spear</v>
      </c>
      <c r="D84" s="35" t="s">
        <v>34</v>
      </c>
      <c r="E84" s="36" t="s">
        <v>79</v>
      </c>
      <c r="F84" s="35" t="s">
        <v>476</v>
      </c>
      <c r="G84" s="32">
        <v>4</v>
      </c>
      <c r="H84" s="32">
        <v>19</v>
      </c>
      <c r="I84" s="84">
        <f t="shared" si="0"/>
        <v>23</v>
      </c>
      <c r="J84" s="37">
        <v>123094</v>
      </c>
      <c r="K84" s="37">
        <v>567641</v>
      </c>
      <c r="L84" s="37">
        <v>34160</v>
      </c>
      <c r="M84" s="38">
        <f>I84/(HLOOKUP(F84,Team_Composition_23[[#All],[Yellow]:[Red]],10,FALSE)+HLOOKUP(F84,Team_Composition_23[[#All],[Yellow]:[Red]],11,FALSE))</f>
        <v>5.7485628592851791E-3</v>
      </c>
      <c r="N84" s="38">
        <f>J84/HLOOKUP(F84,Team_Composition_23[[#All],[Yellow]:[Red]],6,FALSE)</f>
        <v>2.7746626732718729E-3</v>
      </c>
      <c r="O84" s="38">
        <f>K84/HLOOKUP(F84,Team_Composition_23[[#All],[Yellow]:[Red]],8,FALSE)</f>
        <v>3.2401888192676614E-2</v>
      </c>
      <c r="P84" s="38">
        <f>L84/HLOOKUP(F84,Team_Composition_23[[#All],[Yellow]:[Red]],7,FALSE)</f>
        <v>2.6389027726555904E-3</v>
      </c>
      <c r="Q84" s="31"/>
      <c r="R84" s="78" t="s">
        <v>81</v>
      </c>
      <c r="S84" s="75">
        <f t="shared" si="18"/>
        <v>0</v>
      </c>
      <c r="T84" s="76">
        <f t="shared" si="19"/>
        <v>0</v>
      </c>
      <c r="U84" s="31"/>
      <c r="V84" s="31"/>
      <c r="W84" s="31"/>
      <c r="X84" s="31"/>
      <c r="Y84" s="31"/>
      <c r="Z84" s="31"/>
      <c r="AA84" s="31"/>
      <c r="AB84" s="78" t="s">
        <v>81</v>
      </c>
      <c r="AC84" s="75">
        <f t="shared" si="20"/>
        <v>0</v>
      </c>
      <c r="AD84" s="76">
        <f t="shared" si="21"/>
        <v>0</v>
      </c>
    </row>
    <row r="85" spans="1:30" ht="22.5" customHeight="1">
      <c r="A85" s="32">
        <v>89</v>
      </c>
      <c r="B85" s="87" t="str">
        <f>VLOOKUP(C85,Lists!I:J,2,FALSE)</f>
        <v>Tank</v>
      </c>
      <c r="C85" s="87" t="str">
        <f>VLOOKUP(E85,Lists!D:E,2,FALSE)</f>
        <v>SnS/Longbow</v>
      </c>
      <c r="D85" s="35" t="s">
        <v>34</v>
      </c>
      <c r="E85" s="36" t="s">
        <v>114</v>
      </c>
      <c r="F85" s="35" t="s">
        <v>476</v>
      </c>
      <c r="G85" s="32">
        <v>0</v>
      </c>
      <c r="H85" s="32">
        <v>23</v>
      </c>
      <c r="I85" s="84">
        <f t="shared" si="0"/>
        <v>23</v>
      </c>
      <c r="J85" s="37">
        <v>99129</v>
      </c>
      <c r="K85" s="37">
        <v>429392</v>
      </c>
      <c r="L85" s="37">
        <v>206804</v>
      </c>
      <c r="M85" s="38">
        <f>I85/(HLOOKUP(F85,Team_Composition_23[[#All],[Yellow]:[Red]],10,FALSE)+HLOOKUP(F85,Team_Composition_23[[#All],[Yellow]:[Red]],11,FALSE))</f>
        <v>5.7485628592851791E-3</v>
      </c>
      <c r="N85" s="38">
        <f>J85/HLOOKUP(F85,Team_Composition_23[[#All],[Yellow]:[Red]],6,FALSE)</f>
        <v>2.234467448768969E-3</v>
      </c>
      <c r="O85" s="38">
        <f>K85/HLOOKUP(F85,Team_Composition_23[[#All],[Yellow]:[Red]],8,FALSE)</f>
        <v>2.4510406356887185E-2</v>
      </c>
      <c r="P85" s="38">
        <f>L85/HLOOKUP(F85,Team_Composition_23[[#All],[Yellow]:[Red]],7,FALSE)</f>
        <v>1.5975867944855584E-2</v>
      </c>
      <c r="Q85" s="31"/>
      <c r="R85" s="31"/>
      <c r="S85" s="31"/>
      <c r="T85" s="31"/>
      <c r="U85" s="31"/>
      <c r="V85" s="31"/>
      <c r="W85" s="31"/>
      <c r="X85" s="31"/>
      <c r="Y85" s="31"/>
      <c r="Z85" s="31"/>
      <c r="AA85" s="31"/>
      <c r="AB85" s="31"/>
      <c r="AC85" s="31"/>
      <c r="AD85" s="31"/>
    </row>
    <row r="86" spans="1:30" ht="22.5" customHeight="1">
      <c r="A86" s="32">
        <v>90</v>
      </c>
      <c r="B86" s="87" t="str">
        <f>VLOOKUP(C86,Lists!I:J,2,FALSE)</f>
        <v>Healer</v>
      </c>
      <c r="C86" s="87" t="str">
        <f>VLOOKUP(E86,Lists!D:E,2,FALSE)</f>
        <v>Wand/Longbow</v>
      </c>
      <c r="D86" s="35" t="s">
        <v>34</v>
      </c>
      <c r="E86" s="36" t="s">
        <v>135</v>
      </c>
      <c r="F86" s="35" t="s">
        <v>476</v>
      </c>
      <c r="G86" s="32">
        <v>0</v>
      </c>
      <c r="H86" s="32">
        <v>23</v>
      </c>
      <c r="I86" s="84">
        <f t="shared" si="0"/>
        <v>23</v>
      </c>
      <c r="J86" s="37">
        <v>7002</v>
      </c>
      <c r="K86" s="37">
        <v>353327</v>
      </c>
      <c r="L86" s="37">
        <v>860390</v>
      </c>
      <c r="M86" s="38">
        <f>I86/(HLOOKUP(F86,Team_Composition_23[[#All],[Yellow]:[Red]],10,FALSE)+HLOOKUP(F86,Team_Composition_23[[#All],[Yellow]:[Red]],11,FALSE))</f>
        <v>5.7485628592851791E-3</v>
      </c>
      <c r="N86" s="38">
        <f>J86/HLOOKUP(F86,Team_Composition_23[[#All],[Yellow]:[Red]],6,FALSE)</f>
        <v>1.5783212860293478E-4</v>
      </c>
      <c r="O86" s="38">
        <f>K86/HLOOKUP(F86,Team_Composition_23[[#All],[Yellow]:[Red]],8,FALSE)</f>
        <v>2.0168490206757178E-2</v>
      </c>
      <c r="P86" s="38">
        <f>L86/HLOOKUP(F86,Team_Composition_23[[#All],[Yellow]:[Red]],7,FALSE)</f>
        <v>6.6466204817480778E-2</v>
      </c>
      <c r="Q86" s="31"/>
      <c r="R86" s="31"/>
      <c r="S86" s="31"/>
      <c r="T86" s="31"/>
      <c r="U86" s="31"/>
      <c r="V86" s="31"/>
      <c r="W86" s="31"/>
      <c r="X86" s="31"/>
      <c r="Y86" s="31"/>
      <c r="Z86" s="31"/>
      <c r="AA86" s="31"/>
      <c r="AB86" s="31"/>
      <c r="AC86" s="31"/>
      <c r="AD86" s="31"/>
    </row>
    <row r="87" spans="1:30" ht="22.5" customHeight="1">
      <c r="A87" s="32">
        <v>38</v>
      </c>
      <c r="B87" s="87" t="str">
        <f>VLOOKUP(C87,Lists!I:J,2,FALSE)</f>
        <v>KS</v>
      </c>
      <c r="C87" s="87" t="str">
        <f>VLOOKUP(E87,Lists!D:E,2,FALSE)</f>
        <v>Crossbow/Dagger</v>
      </c>
      <c r="D87" s="35" t="s">
        <v>34</v>
      </c>
      <c r="E87" s="36" t="s">
        <v>504</v>
      </c>
      <c r="F87" s="35" t="s">
        <v>476</v>
      </c>
      <c r="G87" s="32">
        <v>7</v>
      </c>
      <c r="H87" s="32">
        <v>11</v>
      </c>
      <c r="I87" s="84">
        <f t="shared" si="0"/>
        <v>18</v>
      </c>
      <c r="J87" s="37">
        <v>403811</v>
      </c>
      <c r="K87" s="37">
        <v>130921</v>
      </c>
      <c r="L87" s="37">
        <v>0</v>
      </c>
      <c r="M87" s="38">
        <f>I87/(HLOOKUP(F87,Team_Composition_23[[#All],[Yellow]:[Red]],10,FALSE)+HLOOKUP(F87,Team_Composition_23[[#All],[Yellow]:[Red]],11,FALSE))</f>
        <v>4.4988752811797048E-3</v>
      </c>
      <c r="N87" s="38">
        <f>J87/HLOOKUP(F87,Team_Composition_23[[#All],[Yellow]:[Red]],6,FALSE)</f>
        <v>9.1023064386289206E-3</v>
      </c>
      <c r="O87" s="38">
        <f>K87/HLOOKUP(F87,Team_Composition_23[[#All],[Yellow]:[Red]],8,FALSE)</f>
        <v>7.4731874619229678E-3</v>
      </c>
      <c r="P87" s="38">
        <f>L87/HLOOKUP(F87,Team_Composition_23[[#All],[Yellow]:[Red]],7,FALSE)</f>
        <v>0</v>
      </c>
      <c r="Q87" s="31"/>
      <c r="R87" s="31"/>
      <c r="S87" s="31"/>
      <c r="T87" s="31"/>
      <c r="U87" s="31"/>
      <c r="V87" s="31"/>
      <c r="W87" s="31"/>
      <c r="X87" s="31"/>
      <c r="Y87" s="31"/>
      <c r="Z87" s="31"/>
      <c r="AA87" s="31"/>
      <c r="AB87" s="31"/>
      <c r="AC87" s="31"/>
      <c r="AD87" s="31"/>
    </row>
    <row r="88" spans="1:30" ht="22.5" customHeight="1">
      <c r="A88" s="32">
        <v>59</v>
      </c>
      <c r="B88" s="87" t="str">
        <f>VLOOKUP(C88,Lists!I:J,2,FALSE)</f>
        <v>Tank</v>
      </c>
      <c r="C88" s="87" t="s">
        <v>14</v>
      </c>
      <c r="D88" s="35" t="s">
        <v>30</v>
      </c>
      <c r="E88" s="36" t="s">
        <v>430</v>
      </c>
      <c r="F88" s="35" t="s">
        <v>483</v>
      </c>
      <c r="G88" s="32">
        <v>1</v>
      </c>
      <c r="H88" s="32">
        <v>17</v>
      </c>
      <c r="I88" s="84">
        <f t="shared" si="0"/>
        <v>18</v>
      </c>
      <c r="J88" s="37">
        <v>178797</v>
      </c>
      <c r="K88" s="37">
        <v>1107806</v>
      </c>
      <c r="L88" s="37">
        <v>54365</v>
      </c>
      <c r="M88" s="38">
        <f>I88/(HLOOKUP(F88,Team_Composition_23[[#All],[Yellow]:[Red]],10,FALSE)+HLOOKUP(F88,Team_Composition_23[[#All],[Yellow]:[Red]],11,FALSE))</f>
        <v>2.192448233861145E-2</v>
      </c>
      <c r="N88" s="38">
        <f>J88/HLOOKUP(F88,Team_Composition_23[[#All],[Yellow]:[Red]],6,FALSE)</f>
        <v>1.0132779610329148E-2</v>
      </c>
      <c r="O88" s="38">
        <f>K88/HLOOKUP(F88,Team_Composition_23[[#All],[Yellow]:[Red]],8,FALSE)</f>
        <v>2.5168292448976094E-2</v>
      </c>
      <c r="P88" s="38">
        <f>L88/HLOOKUP(F88,Team_Composition_23[[#All],[Yellow]:[Red]],7,FALSE)</f>
        <v>2.2401550921611712E-3</v>
      </c>
      <c r="Q88" s="31"/>
      <c r="R88" s="31"/>
      <c r="S88" s="31"/>
      <c r="T88" s="31"/>
      <c r="U88" s="31"/>
      <c r="V88" s="31"/>
      <c r="W88" s="31"/>
      <c r="X88" s="31"/>
      <c r="Y88" s="31"/>
      <c r="Z88" s="31"/>
      <c r="AA88" s="31"/>
      <c r="AB88" s="31"/>
      <c r="AC88" s="31"/>
      <c r="AD88" s="31"/>
    </row>
    <row r="89" spans="1:30" ht="22.5" customHeight="1">
      <c r="A89" s="32">
        <v>91</v>
      </c>
      <c r="B89" s="87" t="str">
        <f>VLOOKUP(C89,Lists!I:J,2,FALSE)</f>
        <v>Tank</v>
      </c>
      <c r="C89" s="87" t="str">
        <f>VLOOKUP(E89,Lists!D:E,2,FALSE)</f>
        <v>SnS/Greatsword</v>
      </c>
      <c r="D89" s="35" t="s">
        <v>34</v>
      </c>
      <c r="E89" s="36" t="s">
        <v>166</v>
      </c>
      <c r="F89" s="35" t="s">
        <v>476</v>
      </c>
      <c r="G89" s="32">
        <v>0</v>
      </c>
      <c r="H89" s="32">
        <v>16</v>
      </c>
      <c r="I89" s="84">
        <f t="shared" si="0"/>
        <v>16</v>
      </c>
      <c r="J89" s="37">
        <v>50962</v>
      </c>
      <c r="K89" s="37">
        <v>1098269</v>
      </c>
      <c r="L89" s="37">
        <v>96830</v>
      </c>
      <c r="M89" s="38">
        <f>I89/(HLOOKUP(F89,Team_Composition_23[[#All],[Yellow]:[Red]],10,FALSE)+HLOOKUP(F89,Team_Composition_23[[#All],[Yellow]:[Red]],11,FALSE))</f>
        <v>3.9990002499375159E-3</v>
      </c>
      <c r="N89" s="38">
        <f>J89/HLOOKUP(F89,Team_Composition_23[[#All],[Yellow]:[Red]],6,FALSE)</f>
        <v>1.1487347811857701E-3</v>
      </c>
      <c r="O89" s="38">
        <f>K89/HLOOKUP(F89,Team_Composition_23[[#All],[Yellow]:[Red]],8,FALSE)</f>
        <v>6.2691013058399164E-2</v>
      </c>
      <c r="P89" s="38">
        <f>L89/HLOOKUP(F89,Team_Composition_23[[#All],[Yellow]:[Red]],7,FALSE)</f>
        <v>7.4802387434496735E-3</v>
      </c>
      <c r="Q89" s="31"/>
      <c r="R89" s="31"/>
      <c r="S89" s="31"/>
      <c r="T89" s="31"/>
      <c r="U89" s="31"/>
      <c r="V89" s="31"/>
      <c r="W89" s="31"/>
      <c r="X89" s="31"/>
      <c r="Y89" s="31"/>
      <c r="Z89" s="31"/>
      <c r="AA89" s="31"/>
      <c r="AB89" s="31"/>
      <c r="AC89" s="31"/>
      <c r="AD89" s="31"/>
    </row>
    <row r="90" spans="1:30" ht="22.5" customHeight="1">
      <c r="A90" s="32">
        <v>60</v>
      </c>
      <c r="B90" s="87" t="str">
        <f>VLOOKUP(C90,Lists!I:J,2,FALSE)</f>
        <v>Tank</v>
      </c>
      <c r="C90" s="87" t="str">
        <f>VLOOKUP(E90,Lists!D:E,2,FALSE)</f>
        <v>SnS/Greatsword</v>
      </c>
      <c r="D90" s="35" t="s">
        <v>34</v>
      </c>
      <c r="E90" s="36" t="s">
        <v>123</v>
      </c>
      <c r="F90" s="35" t="s">
        <v>476</v>
      </c>
      <c r="G90" s="32">
        <v>1</v>
      </c>
      <c r="H90" s="32">
        <v>13</v>
      </c>
      <c r="I90" s="84">
        <f t="shared" si="0"/>
        <v>14</v>
      </c>
      <c r="J90" s="37">
        <v>116793</v>
      </c>
      <c r="K90" s="37">
        <v>1269425</v>
      </c>
      <c r="L90" s="37">
        <v>74968</v>
      </c>
      <c r="M90" s="38">
        <f>I90/(HLOOKUP(F90,Team_Composition_23[[#All],[Yellow]:[Red]],10,FALSE)+HLOOKUP(F90,Team_Composition_23[[#All],[Yellow]:[Red]],11,FALSE))</f>
        <v>3.4991252186953262E-3</v>
      </c>
      <c r="N90" s="38">
        <f>J90/HLOOKUP(F90,Team_Composition_23[[#All],[Yellow]:[Red]],6,FALSE)</f>
        <v>2.6326317903345559E-3</v>
      </c>
      <c r="O90" s="38">
        <f>K90/HLOOKUP(F90,Team_Composition_23[[#All],[Yellow]:[Red]],8,FALSE)</f>
        <v>7.2460880942335937E-2</v>
      </c>
      <c r="P90" s="38">
        <f>L90/HLOOKUP(F90,Team_Composition_23[[#All],[Yellow]:[Red]],7,FALSE)</f>
        <v>5.7913718694509462E-3</v>
      </c>
      <c r="Q90" s="31"/>
      <c r="R90" s="31"/>
      <c r="S90" s="31"/>
      <c r="T90" s="31"/>
      <c r="U90" s="31"/>
      <c r="V90" s="31"/>
      <c r="W90" s="31"/>
      <c r="X90" s="31"/>
      <c r="Y90" s="31"/>
      <c r="Z90" s="31"/>
      <c r="AA90" s="31"/>
      <c r="AB90" s="31"/>
      <c r="AC90" s="31"/>
      <c r="AD90" s="31"/>
    </row>
    <row r="91" spans="1:30" ht="22.5" customHeight="1">
      <c r="A91" s="32">
        <v>61</v>
      </c>
      <c r="B91" s="87" t="str">
        <f>VLOOKUP(C91,Lists!I:J,2,FALSE)</f>
        <v>Tank</v>
      </c>
      <c r="C91" s="87" t="str">
        <f>VLOOKUP(E91,Lists!D:E,2,FALSE)</f>
        <v>SnS/Greatsword</v>
      </c>
      <c r="D91" s="35" t="s">
        <v>30</v>
      </c>
      <c r="E91" s="36" t="s">
        <v>431</v>
      </c>
      <c r="F91" s="35" t="s">
        <v>483</v>
      </c>
      <c r="G91" s="32">
        <v>1</v>
      </c>
      <c r="H91" s="32">
        <v>11</v>
      </c>
      <c r="I91" s="84">
        <f t="shared" si="0"/>
        <v>12</v>
      </c>
      <c r="J91" s="37">
        <v>228361</v>
      </c>
      <c r="K91" s="37">
        <v>722170</v>
      </c>
      <c r="L91" s="37">
        <v>41286</v>
      </c>
      <c r="M91" s="38">
        <f>I91/(HLOOKUP(F91,Team_Composition_23[[#All],[Yellow]:[Red]],10,FALSE)+HLOOKUP(F91,Team_Composition_23[[#All],[Yellow]:[Red]],11,FALSE))</f>
        <v>1.4616321559074299E-2</v>
      </c>
      <c r="N91" s="38">
        <f>J91/HLOOKUP(F91,Team_Composition_23[[#All],[Yellow]:[Red]],6,FALSE)</f>
        <v>1.2941669516794882E-2</v>
      </c>
      <c r="O91" s="38">
        <f>K91/HLOOKUP(F91,Team_Composition_23[[#All],[Yellow]:[Red]],8,FALSE)</f>
        <v>1.6407011478433108E-2</v>
      </c>
      <c r="P91" s="38">
        <f>L91/HLOOKUP(F91,Team_Composition_23[[#All],[Yellow]:[Red]],7,FALSE)</f>
        <v>1.7012240068971971E-3</v>
      </c>
      <c r="Q91" s="31"/>
      <c r="R91" s="31"/>
      <c r="S91" s="31"/>
      <c r="T91" s="31"/>
      <c r="U91" s="31"/>
      <c r="V91" s="31"/>
      <c r="W91" s="31"/>
      <c r="X91" s="31"/>
      <c r="Y91" s="31"/>
      <c r="Z91" s="31"/>
      <c r="AA91" s="31"/>
      <c r="AB91" s="31"/>
      <c r="AC91" s="31"/>
      <c r="AD91" s="31"/>
    </row>
    <row r="92" spans="1:30" ht="22.5" customHeight="1">
      <c r="A92" s="32">
        <v>92</v>
      </c>
      <c r="B92" s="87" t="str">
        <f>VLOOKUP(C92,Lists!I:J,2,FALSE)</f>
        <v>Tank</v>
      </c>
      <c r="C92" s="87" t="str">
        <f>VLOOKUP(E92,Lists!D:E,2,FALSE)</f>
        <v>SnS/Greatsword</v>
      </c>
      <c r="D92" s="35" t="s">
        <v>34</v>
      </c>
      <c r="E92" s="36" t="s">
        <v>57</v>
      </c>
      <c r="F92" s="35" t="s">
        <v>476</v>
      </c>
      <c r="G92" s="32">
        <v>0</v>
      </c>
      <c r="H92" s="32">
        <v>12</v>
      </c>
      <c r="I92" s="84">
        <f t="shared" si="0"/>
        <v>12</v>
      </c>
      <c r="J92" s="37">
        <v>115746</v>
      </c>
      <c r="K92" s="37">
        <v>634143</v>
      </c>
      <c r="L92" s="37">
        <v>47103</v>
      </c>
      <c r="M92" s="38">
        <f>I92/(HLOOKUP(F92,Team_Composition_23[[#All],[Yellow]:[Red]],10,FALSE)+HLOOKUP(F92,Team_Composition_23[[#All],[Yellow]:[Red]],11,FALSE))</f>
        <v>2.9992501874531365E-3</v>
      </c>
      <c r="N92" s="38">
        <f>J92/HLOOKUP(F92,Team_Composition_23[[#All],[Yellow]:[Red]],6,FALSE)</f>
        <v>2.6090313563660794E-3</v>
      </c>
      <c r="O92" s="38">
        <f>K92/HLOOKUP(F92,Team_Composition_23[[#All],[Yellow]:[Red]],8,FALSE)</f>
        <v>3.6197932468177117E-2</v>
      </c>
      <c r="P92" s="38">
        <f>L92/HLOOKUP(F92,Team_Composition_23[[#All],[Yellow]:[Red]],7,FALSE)</f>
        <v>3.6387657289343174E-3</v>
      </c>
      <c r="Q92" s="31"/>
      <c r="R92" s="31"/>
      <c r="S92" s="31"/>
      <c r="T92" s="31"/>
      <c r="U92" s="31"/>
      <c r="V92" s="31"/>
      <c r="W92" s="31"/>
      <c r="X92" s="31"/>
      <c r="Y92" s="31"/>
      <c r="Z92" s="31"/>
      <c r="AA92" s="31"/>
      <c r="AB92" s="31"/>
      <c r="AC92" s="31"/>
      <c r="AD92" s="31"/>
    </row>
    <row r="93" spans="1:30" ht="22.5" customHeight="1">
      <c r="A93" s="32">
        <v>62</v>
      </c>
      <c r="B93" s="87" t="str">
        <f>VLOOKUP(C93,Lists!I:J,2,FALSE)</f>
        <v>Tank</v>
      </c>
      <c r="C93" s="87" t="str">
        <f>VLOOKUP(E93,Lists!D:E,2,FALSE)</f>
        <v>SnS/Greatsword</v>
      </c>
      <c r="D93" s="35" t="s">
        <v>34</v>
      </c>
      <c r="E93" s="36" t="s">
        <v>138</v>
      </c>
      <c r="F93" s="35" t="s">
        <v>476</v>
      </c>
      <c r="G93" s="32">
        <v>1</v>
      </c>
      <c r="H93" s="32">
        <v>10</v>
      </c>
      <c r="I93" s="84">
        <f t="shared" si="0"/>
        <v>11</v>
      </c>
      <c r="J93" s="37">
        <v>61409</v>
      </c>
      <c r="K93" s="37">
        <v>946065</v>
      </c>
      <c r="L93" s="37">
        <v>51950</v>
      </c>
      <c r="M93" s="38">
        <f>I93/(HLOOKUP(F93,Team_Composition_23[[#All],[Yellow]:[Red]],10,FALSE)+HLOOKUP(F93,Team_Composition_23[[#All],[Yellow]:[Red]],11,FALSE))</f>
        <v>2.7493126718320421E-3</v>
      </c>
      <c r="N93" s="38">
        <f>J93/HLOOKUP(F93,Team_Composition_23[[#All],[Yellow]:[Red]],6,FALSE)</f>
        <v>1.3842206777174553E-3</v>
      </c>
      <c r="O93" s="38">
        <f>K93/HLOOKUP(F93,Team_Composition_23[[#All],[Yellow]:[Red]],8,FALSE)</f>
        <v>5.4002956715608286E-2</v>
      </c>
      <c r="P93" s="38">
        <f>L93/HLOOKUP(F93,Team_Composition_23[[#All],[Yellow]:[Red]],7,FALSE)</f>
        <v>4.0132025479934991E-3</v>
      </c>
      <c r="Q93" s="31"/>
      <c r="R93" s="31"/>
      <c r="S93" s="31"/>
      <c r="T93" s="31"/>
      <c r="U93" s="31"/>
      <c r="V93" s="31"/>
      <c r="W93" s="31"/>
      <c r="X93" s="31"/>
      <c r="Y93" s="31"/>
      <c r="Z93" s="31"/>
      <c r="AA93" s="31"/>
      <c r="AB93" s="31"/>
      <c r="AC93" s="31"/>
      <c r="AD93" s="31"/>
    </row>
    <row r="94" spans="1:30" ht="22.5" customHeight="1">
      <c r="A94" s="32">
        <v>93</v>
      </c>
      <c r="B94" s="87" t="str">
        <f>VLOOKUP(C94,Lists!I:J,2,FALSE)</f>
        <v>Tank</v>
      </c>
      <c r="C94" s="87" t="str">
        <f>VLOOKUP(E94,Lists!D:E,2,FALSE)</f>
        <v>SnS/Greatsword</v>
      </c>
      <c r="D94" s="35" t="s">
        <v>34</v>
      </c>
      <c r="E94" s="36" t="s">
        <v>109</v>
      </c>
      <c r="F94" s="35" t="s">
        <v>476</v>
      </c>
      <c r="G94" s="32">
        <v>0</v>
      </c>
      <c r="H94" s="32">
        <v>11</v>
      </c>
      <c r="I94" s="84">
        <f t="shared" si="0"/>
        <v>11</v>
      </c>
      <c r="J94" s="37">
        <v>34088</v>
      </c>
      <c r="K94" s="37">
        <v>1082944</v>
      </c>
      <c r="L94" s="37">
        <v>39062</v>
      </c>
      <c r="M94" s="38">
        <f>I94/(HLOOKUP(F94,Team_Composition_23[[#All],[Yellow]:[Red]],10,FALSE)+HLOOKUP(F94,Team_Composition_23[[#All],[Yellow]:[Red]],11,FALSE))</f>
        <v>2.7493126718320421E-3</v>
      </c>
      <c r="N94" s="38">
        <f>J94/HLOOKUP(F94,Team_Composition_23[[#All],[Yellow]:[Red]],6,FALSE)</f>
        <v>7.6837783487815488E-4</v>
      </c>
      <c r="O94" s="38">
        <f>K94/HLOOKUP(F94,Team_Composition_23[[#All],[Yellow]:[Red]],8,FALSE)</f>
        <v>6.181623668292105E-2</v>
      </c>
      <c r="P94" s="38">
        <f>L94/HLOOKUP(F94,Team_Composition_23[[#All],[Yellow]:[Red]],7,FALSE)</f>
        <v>3.0175884105817529E-3</v>
      </c>
      <c r="Q94" s="31"/>
      <c r="R94" s="31"/>
      <c r="S94" s="31"/>
      <c r="T94" s="31"/>
      <c r="U94" s="31"/>
      <c r="V94" s="31"/>
      <c r="W94" s="31"/>
      <c r="X94" s="31"/>
      <c r="Y94" s="31"/>
      <c r="Z94" s="31"/>
      <c r="AA94" s="31"/>
      <c r="AB94" s="31"/>
      <c r="AC94" s="31"/>
      <c r="AD94" s="31"/>
    </row>
    <row r="95" spans="1:30" ht="22.5" customHeight="1">
      <c r="A95" s="32">
        <v>94</v>
      </c>
      <c r="B95" s="87" t="str">
        <f>VLOOKUP(C95,Lists!I:J,2,FALSE)</f>
        <v>Tank</v>
      </c>
      <c r="C95" s="87" t="str">
        <f>VLOOKUP(E95,Lists!D:E,2,FALSE)</f>
        <v>SnS/Greatsword</v>
      </c>
      <c r="D95" s="35" t="s">
        <v>34</v>
      </c>
      <c r="E95" s="36" t="s">
        <v>118</v>
      </c>
      <c r="F95" s="35" t="s">
        <v>476</v>
      </c>
      <c r="G95" s="32">
        <v>0</v>
      </c>
      <c r="H95" s="32">
        <v>10</v>
      </c>
      <c r="I95" s="84">
        <f t="shared" si="0"/>
        <v>10</v>
      </c>
      <c r="J95" s="37">
        <v>53281</v>
      </c>
      <c r="K95" s="37">
        <v>789329</v>
      </c>
      <c r="L95" s="37">
        <v>51137</v>
      </c>
      <c r="M95" s="38">
        <f>I95/(HLOOKUP(F95,Team_Composition_23[[#All],[Yellow]:[Red]],10,FALSE)+HLOOKUP(F95,Team_Composition_23[[#All],[Yellow]:[Red]],11,FALSE))</f>
        <v>2.4993751562109472E-3</v>
      </c>
      <c r="N95" s="38">
        <f>J95/HLOOKUP(F95,Team_Composition_23[[#All],[Yellow]:[Red]],6,FALSE)</f>
        <v>1.2010073756202467E-3</v>
      </c>
      <c r="O95" s="38">
        <f>K95/HLOOKUP(F95,Team_Composition_23[[#All],[Yellow]:[Red]],8,FALSE)</f>
        <v>4.5056206308630352E-2</v>
      </c>
      <c r="P95" s="38">
        <f>L95/HLOOKUP(F95,Team_Composition_23[[#All],[Yellow]:[Red]],7,FALSE)</f>
        <v>3.9503972800143134E-3</v>
      </c>
      <c r="Q95" s="31"/>
      <c r="R95" s="31"/>
      <c r="S95" s="31"/>
      <c r="T95" s="31"/>
      <c r="U95" s="31"/>
      <c r="V95" s="31"/>
      <c r="W95" s="31"/>
      <c r="X95" s="31"/>
      <c r="Y95" s="31"/>
      <c r="Z95" s="31"/>
      <c r="AA95" s="31"/>
      <c r="AB95" s="31"/>
      <c r="AC95" s="31"/>
      <c r="AD95" s="31"/>
    </row>
    <row r="96" spans="1:30" ht="22.5" customHeight="1">
      <c r="A96" s="32">
        <v>95</v>
      </c>
      <c r="B96" s="87" t="str">
        <f>VLOOKUP(C96,Lists!I:J,2,FALSE)</f>
        <v>Tank</v>
      </c>
      <c r="C96" s="87" t="str">
        <f>VLOOKUP(E96,Lists!D:E,2,FALSE)</f>
        <v>SnS/Spear</v>
      </c>
      <c r="D96" s="35" t="s">
        <v>30</v>
      </c>
      <c r="E96" s="36" t="s">
        <v>427</v>
      </c>
      <c r="F96" s="35" t="s">
        <v>483</v>
      </c>
      <c r="G96" s="32">
        <v>0</v>
      </c>
      <c r="H96" s="32">
        <v>4</v>
      </c>
      <c r="I96" s="84">
        <f t="shared" si="0"/>
        <v>4</v>
      </c>
      <c r="J96" s="37">
        <v>58296</v>
      </c>
      <c r="K96" s="37">
        <v>652449</v>
      </c>
      <c r="L96" s="37">
        <v>50567</v>
      </c>
      <c r="M96" s="38">
        <f>I96/(HLOOKUP(F96,Team_Composition_23[[#All],[Yellow]:[Red]],10,FALSE)+HLOOKUP(F96,Team_Composition_23[[#All],[Yellow]:[Red]],11,FALSE))</f>
        <v>4.8721071863580996E-3</v>
      </c>
      <c r="N96" s="38">
        <f>J96/HLOOKUP(F96,Team_Composition_23[[#All],[Yellow]:[Red]],6,FALSE)</f>
        <v>3.3037496164015504E-3</v>
      </c>
      <c r="O96" s="38">
        <f>K96/HLOOKUP(F96,Team_Composition_23[[#All],[Yellow]:[Red]],8,FALSE)</f>
        <v>1.4823017062592191E-2</v>
      </c>
      <c r="P96" s="38">
        <f>L96/HLOOKUP(F96,Team_Composition_23[[#All],[Yellow]:[Red]],7,FALSE)</f>
        <v>2.083655339746417E-3</v>
      </c>
      <c r="Q96" s="31"/>
      <c r="R96" s="31"/>
      <c r="S96" s="31"/>
      <c r="T96" s="31"/>
      <c r="U96" s="31"/>
      <c r="V96" s="31"/>
      <c r="W96" s="31"/>
      <c r="X96" s="31"/>
      <c r="Y96" s="31"/>
      <c r="Z96" s="31"/>
      <c r="AA96" s="31"/>
      <c r="AB96" s="31"/>
      <c r="AC96" s="31"/>
      <c r="AD96" s="31"/>
    </row>
    <row r="97" spans="1:30" ht="22.5" customHeight="1">
      <c r="A97" s="32">
        <v>96</v>
      </c>
      <c r="B97" s="87" t="str">
        <f>VLOOKUP(C97,Lists!I:J,2,FALSE)</f>
        <v>Tank</v>
      </c>
      <c r="C97" s="87" t="str">
        <f>VLOOKUP(E97,Lists!D:E,2,FALSE)</f>
        <v>SnS/Spear</v>
      </c>
      <c r="D97" s="35" t="s">
        <v>30</v>
      </c>
      <c r="E97" s="36" t="s">
        <v>175</v>
      </c>
      <c r="F97" s="35" t="s">
        <v>483</v>
      </c>
      <c r="G97" s="32">
        <v>0</v>
      </c>
      <c r="H97" s="32">
        <v>2</v>
      </c>
      <c r="I97" s="84">
        <f t="shared" si="0"/>
        <v>2</v>
      </c>
      <c r="J97" s="37">
        <v>20537</v>
      </c>
      <c r="K97" s="37">
        <v>143015</v>
      </c>
      <c r="L97" s="37">
        <v>6949</v>
      </c>
      <c r="M97" s="38">
        <f>I97/(HLOOKUP(F97,Team_Composition_23[[#All],[Yellow]:[Red]],10,FALSE)+HLOOKUP(F97,Team_Composition_23[[#All],[Yellow]:[Red]],11,FALSE))</f>
        <v>2.4360535931790498E-3</v>
      </c>
      <c r="N97" s="38">
        <f>J97/HLOOKUP(F97,Team_Composition_23[[#All],[Yellow]:[Red]],6,FALSE)</f>
        <v>1.1638724075757967E-3</v>
      </c>
      <c r="O97" s="38">
        <f>K97/HLOOKUP(F97,Team_Composition_23[[#All],[Yellow]:[Red]],8,FALSE)</f>
        <v>3.2491639732862218E-3</v>
      </c>
      <c r="P97" s="38">
        <f>L97/HLOOKUP(F97,Team_Composition_23[[#All],[Yellow]:[Red]],7,FALSE)</f>
        <v>2.863393311032462E-4</v>
      </c>
      <c r="Q97" s="31"/>
      <c r="R97" s="31"/>
      <c r="S97" s="31"/>
      <c r="T97" s="31"/>
      <c r="U97" s="31"/>
      <c r="V97" s="31"/>
      <c r="W97" s="31"/>
      <c r="X97" s="31"/>
      <c r="Y97" s="31"/>
      <c r="Z97" s="31"/>
      <c r="AA97" s="31"/>
      <c r="AB97" s="31"/>
      <c r="AC97" s="31"/>
      <c r="AD97" s="31"/>
    </row>
    <row r="98" spans="1:30" ht="22.5" customHeight="1">
      <c r="A98" s="82"/>
      <c r="B98" s="87" t="e">
        <f>VLOOKUP(C98,Lists!I:J,2,FALSE)</f>
        <v>#N/A</v>
      </c>
      <c r="C98" s="87" t="e">
        <f>VLOOKUP(E98,Lists!D:E,2,FALSE)</f>
        <v>#N/A</v>
      </c>
      <c r="D98" s="13"/>
      <c r="E98" s="83"/>
      <c r="F98" s="13"/>
      <c r="G98" s="82"/>
      <c r="H98" s="82"/>
      <c r="I98" s="49"/>
      <c r="J98" s="85"/>
      <c r="K98" s="85"/>
      <c r="L98" s="85"/>
      <c r="M98" s="87"/>
      <c r="N98" s="87"/>
      <c r="O98" s="87"/>
      <c r="P98" s="87"/>
      <c r="Q98" s="31"/>
      <c r="R98" s="31"/>
      <c r="S98" s="31"/>
      <c r="T98" s="31"/>
      <c r="U98" s="31"/>
      <c r="V98" s="31"/>
      <c r="W98" s="31"/>
      <c r="X98" s="31"/>
      <c r="Y98" s="31"/>
      <c r="Z98" s="31"/>
      <c r="AA98" s="31"/>
      <c r="AB98" s="31"/>
      <c r="AC98" s="31"/>
      <c r="AD98" s="31"/>
    </row>
    <row r="99" spans="1:30" ht="22.5" customHeight="1">
      <c r="A99" s="82"/>
      <c r="B99" s="87" t="e">
        <f>VLOOKUP(C99,Lists!I:J,2,FALSE)</f>
        <v>#N/A</v>
      </c>
      <c r="C99" s="87" t="e">
        <f>VLOOKUP(E99,Lists!D:E,2,FALSE)</f>
        <v>#N/A</v>
      </c>
      <c r="D99" s="13"/>
      <c r="E99" s="83"/>
      <c r="F99" s="13"/>
      <c r="G99" s="82"/>
      <c r="H99" s="82"/>
      <c r="I99" s="49"/>
      <c r="J99" s="85"/>
      <c r="K99" s="85"/>
      <c r="L99" s="85"/>
      <c r="M99" s="87"/>
      <c r="N99" s="87"/>
      <c r="O99" s="87"/>
      <c r="P99" s="87"/>
      <c r="Q99" s="31"/>
      <c r="R99" s="31"/>
      <c r="S99" s="31"/>
      <c r="T99" s="31"/>
      <c r="U99" s="31"/>
      <c r="V99" s="31"/>
      <c r="W99" s="31"/>
      <c r="X99" s="31"/>
      <c r="Y99" s="31"/>
      <c r="Z99" s="31"/>
      <c r="AA99" s="31"/>
      <c r="AB99" s="31"/>
      <c r="AC99" s="31"/>
      <c r="AD99" s="31"/>
    </row>
    <row r="100" spans="1:30" ht="22.5" customHeight="1">
      <c r="A100" s="82"/>
      <c r="B100" s="87" t="e">
        <f>VLOOKUP(C100,Lists!I:J,2,FALSE)</f>
        <v>#N/A</v>
      </c>
      <c r="C100" s="87" t="e">
        <f>VLOOKUP(E100,Lists!D:E,2,FALSE)</f>
        <v>#N/A</v>
      </c>
      <c r="D100" s="13"/>
      <c r="E100" s="83"/>
      <c r="F100" s="13"/>
      <c r="G100" s="82"/>
      <c r="H100" s="82"/>
      <c r="I100" s="49"/>
      <c r="J100" s="85"/>
      <c r="K100" s="85"/>
      <c r="L100" s="85"/>
      <c r="M100" s="87"/>
      <c r="N100" s="87"/>
      <c r="O100" s="87"/>
      <c r="P100" s="87"/>
      <c r="Q100" s="31"/>
      <c r="R100" s="31"/>
      <c r="S100" s="31"/>
      <c r="T100" s="31"/>
      <c r="U100" s="31"/>
      <c r="V100" s="31"/>
      <c r="W100" s="31"/>
      <c r="X100" s="31"/>
      <c r="Y100" s="31"/>
      <c r="Z100" s="31"/>
      <c r="AA100" s="31"/>
      <c r="AB100" s="31"/>
      <c r="AC100" s="31"/>
      <c r="AD100" s="31"/>
    </row>
    <row r="101" spans="1:30" ht="22.5" customHeight="1">
      <c r="A101" s="82"/>
      <c r="B101" s="87" t="e">
        <f>VLOOKUP(C101,Lists!I:J,2,FALSE)</f>
        <v>#N/A</v>
      </c>
      <c r="C101" s="87" t="e">
        <f>VLOOKUP(E101,Lists!D:E,2,FALSE)</f>
        <v>#N/A</v>
      </c>
      <c r="D101" s="13"/>
      <c r="E101" s="83"/>
      <c r="F101" s="13"/>
      <c r="G101" s="82"/>
      <c r="H101" s="82"/>
      <c r="I101" s="49"/>
      <c r="J101" s="85"/>
      <c r="K101" s="85"/>
      <c r="L101" s="85"/>
      <c r="M101" s="87"/>
      <c r="N101" s="87"/>
      <c r="O101" s="87"/>
      <c r="P101" s="87"/>
      <c r="Q101" s="31"/>
      <c r="R101" s="31"/>
      <c r="S101" s="31"/>
      <c r="T101" s="31"/>
      <c r="U101" s="31"/>
      <c r="V101" s="31"/>
      <c r="W101" s="31"/>
      <c r="X101" s="31"/>
      <c r="Y101" s="31"/>
      <c r="Z101" s="31"/>
      <c r="AA101" s="31"/>
      <c r="AB101" s="31"/>
      <c r="AC101" s="31"/>
      <c r="AD101" s="31"/>
    </row>
    <row r="102" spans="1:30" ht="22.5" customHeight="1">
      <c r="A102" s="82"/>
      <c r="B102" s="87" t="e">
        <f>VLOOKUP(C102,Lists!I:J,2,FALSE)</f>
        <v>#N/A</v>
      </c>
      <c r="C102" s="87" t="e">
        <f>VLOOKUP(E102,Lists!D:E,2,FALSE)</f>
        <v>#N/A</v>
      </c>
      <c r="D102" s="13"/>
      <c r="E102" s="83"/>
      <c r="F102" s="13"/>
      <c r="G102" s="82"/>
      <c r="H102" s="82"/>
      <c r="I102" s="49"/>
      <c r="J102" s="85"/>
      <c r="K102" s="85"/>
      <c r="L102" s="85"/>
      <c r="M102" s="87"/>
      <c r="N102" s="87"/>
      <c r="O102" s="87"/>
      <c r="P102" s="87"/>
      <c r="Q102" s="31"/>
      <c r="R102" s="31"/>
      <c r="S102" s="31"/>
      <c r="T102" s="31"/>
      <c r="U102" s="31"/>
      <c r="V102" s="31"/>
      <c r="W102" s="31"/>
      <c r="X102" s="31"/>
      <c r="Y102" s="31"/>
      <c r="Z102" s="31"/>
      <c r="AA102" s="31"/>
      <c r="AB102" s="31"/>
      <c r="AC102" s="31"/>
      <c r="AD102" s="31"/>
    </row>
    <row r="103" spans="1:30" ht="22.5" customHeight="1">
      <c r="A103" s="82"/>
      <c r="B103" s="87" t="e">
        <f>VLOOKUP(C103,Lists!I:J,2,FALSE)</f>
        <v>#N/A</v>
      </c>
      <c r="C103" s="87" t="e">
        <f>VLOOKUP(E103,Lists!D:E,2,FALSE)</f>
        <v>#N/A</v>
      </c>
      <c r="D103" s="13"/>
      <c r="E103" s="83"/>
      <c r="F103" s="13"/>
      <c r="G103" s="82"/>
      <c r="H103" s="82"/>
      <c r="I103" s="49"/>
      <c r="J103" s="85"/>
      <c r="K103" s="85"/>
      <c r="L103" s="85"/>
      <c r="M103" s="87"/>
      <c r="N103" s="87"/>
      <c r="O103" s="87"/>
      <c r="P103" s="87"/>
      <c r="Q103" s="31"/>
      <c r="R103" s="31"/>
      <c r="S103" s="31"/>
      <c r="T103" s="31"/>
      <c r="U103" s="31"/>
      <c r="V103" s="31"/>
      <c r="W103" s="31"/>
      <c r="X103" s="31"/>
      <c r="Y103" s="31"/>
      <c r="Z103" s="31"/>
      <c r="AA103" s="31"/>
      <c r="AB103" s="31"/>
      <c r="AC103" s="31"/>
      <c r="AD103" s="31"/>
    </row>
    <row r="104" spans="1:30" ht="22.5" customHeight="1">
      <c r="A104" s="82"/>
      <c r="B104" s="87" t="e">
        <f>VLOOKUP(C104,Lists!I:J,2,FALSE)</f>
        <v>#N/A</v>
      </c>
      <c r="C104" s="87"/>
      <c r="D104" s="13"/>
      <c r="E104" s="83"/>
      <c r="F104" s="13"/>
      <c r="G104" s="82"/>
      <c r="H104" s="82"/>
      <c r="I104" s="49"/>
      <c r="J104" s="85"/>
      <c r="K104" s="85"/>
      <c r="L104" s="85"/>
      <c r="M104" s="87"/>
      <c r="N104" s="87"/>
      <c r="O104" s="87"/>
      <c r="P104" s="87"/>
      <c r="Q104" s="31"/>
      <c r="R104" s="31"/>
      <c r="S104" s="31"/>
      <c r="T104" s="31"/>
      <c r="U104" s="31"/>
      <c r="V104" s="31"/>
      <c r="W104" s="31"/>
      <c r="X104" s="31"/>
      <c r="Y104" s="31"/>
      <c r="Z104" s="31"/>
      <c r="AA104" s="31"/>
      <c r="AB104" s="31"/>
      <c r="AC104" s="31"/>
      <c r="AD104" s="31"/>
    </row>
    <row r="105" spans="1:30" ht="22.5" customHeight="1">
      <c r="A105" s="82"/>
      <c r="B105" s="87" t="e">
        <f>VLOOKUP(C105,Lists!I:J,2,FALSE)</f>
        <v>#N/A</v>
      </c>
      <c r="C105" s="87"/>
      <c r="D105" s="13"/>
      <c r="E105" s="83"/>
      <c r="F105" s="13"/>
      <c r="G105" s="82"/>
      <c r="H105" s="82"/>
      <c r="I105" s="49"/>
      <c r="J105" s="85"/>
      <c r="K105" s="85"/>
      <c r="L105" s="85"/>
      <c r="M105" s="87"/>
      <c r="N105" s="87"/>
      <c r="O105" s="87"/>
      <c r="P105" s="87"/>
      <c r="Q105" s="31"/>
      <c r="R105" s="31"/>
      <c r="S105" s="31"/>
      <c r="T105" s="31"/>
      <c r="U105" s="31"/>
      <c r="V105" s="31"/>
      <c r="W105" s="31"/>
      <c r="X105" s="31"/>
      <c r="Y105" s="31"/>
      <c r="Z105" s="31"/>
      <c r="AA105" s="31"/>
      <c r="AB105" s="31"/>
      <c r="AC105" s="31"/>
      <c r="AD105" s="31"/>
    </row>
    <row r="106" spans="1:30" ht="22.5" customHeight="1">
      <c r="A106" s="82"/>
      <c r="B106" s="87" t="e">
        <f>VLOOKUP(C106,Lists!I:J,2,FALSE)</f>
        <v>#N/A</v>
      </c>
      <c r="C106" s="87"/>
      <c r="D106" s="13"/>
      <c r="E106" s="83"/>
      <c r="F106" s="13"/>
      <c r="G106" s="82"/>
      <c r="H106" s="82"/>
      <c r="I106" s="49"/>
      <c r="J106" s="85"/>
      <c r="K106" s="85"/>
      <c r="L106" s="85"/>
      <c r="M106" s="87"/>
      <c r="N106" s="87"/>
      <c r="O106" s="87"/>
      <c r="P106" s="87"/>
      <c r="Q106" s="31"/>
      <c r="R106" s="31"/>
      <c r="S106" s="31"/>
      <c r="T106" s="31"/>
      <c r="U106" s="31"/>
      <c r="V106" s="31"/>
      <c r="W106" s="31"/>
      <c r="X106" s="31"/>
      <c r="Y106" s="31"/>
      <c r="Z106" s="31"/>
      <c r="AA106" s="31"/>
      <c r="AB106" s="31"/>
      <c r="AC106" s="31"/>
      <c r="AD106" s="31"/>
    </row>
    <row r="107" spans="1:30" ht="22.5" customHeight="1">
      <c r="A107" s="82"/>
      <c r="B107" s="87" t="e">
        <f>VLOOKUP(C107,Lists!I:J,2,FALSE)</f>
        <v>#N/A</v>
      </c>
      <c r="C107" s="87"/>
      <c r="D107" s="13"/>
      <c r="E107" s="83"/>
      <c r="F107" s="13"/>
      <c r="G107" s="82"/>
      <c r="H107" s="82"/>
      <c r="I107" s="49"/>
      <c r="J107" s="85"/>
      <c r="K107" s="85"/>
      <c r="L107" s="85"/>
      <c r="M107" s="87"/>
      <c r="N107" s="87"/>
      <c r="O107" s="87"/>
      <c r="P107" s="87"/>
      <c r="Q107" s="31"/>
      <c r="R107" s="31"/>
      <c r="S107" s="31"/>
      <c r="T107" s="31"/>
      <c r="U107" s="31"/>
      <c r="V107" s="31"/>
      <c r="W107" s="31"/>
      <c r="X107" s="31"/>
      <c r="Y107" s="31"/>
      <c r="Z107" s="31"/>
      <c r="AA107" s="31"/>
      <c r="AB107" s="31"/>
      <c r="AC107" s="31"/>
      <c r="AD107" s="31"/>
    </row>
    <row r="108" spans="1:30" ht="22.5" customHeight="1">
      <c r="A108" s="82"/>
      <c r="B108" s="87" t="e">
        <f>VLOOKUP(C108,Lists!I:J,2,FALSE)</f>
        <v>#N/A</v>
      </c>
      <c r="C108" s="87"/>
      <c r="D108" s="13"/>
      <c r="E108" s="83"/>
      <c r="F108" s="13"/>
      <c r="G108" s="82"/>
      <c r="H108" s="82"/>
      <c r="I108" s="49"/>
      <c r="J108" s="85"/>
      <c r="K108" s="85"/>
      <c r="L108" s="85"/>
      <c r="M108" s="87"/>
      <c r="N108" s="87"/>
      <c r="O108" s="87"/>
      <c r="P108" s="87"/>
      <c r="Q108" s="31"/>
      <c r="R108" s="31"/>
      <c r="S108" s="31"/>
      <c r="T108" s="31"/>
      <c r="U108" s="31"/>
      <c r="V108" s="31"/>
      <c r="W108" s="31"/>
      <c r="X108" s="31"/>
      <c r="Y108" s="31"/>
      <c r="Z108" s="31"/>
      <c r="AA108" s="31"/>
      <c r="AB108" s="31"/>
      <c r="AC108" s="31"/>
      <c r="AD108" s="31"/>
    </row>
    <row r="109" spans="1:30" ht="22.5" customHeight="1">
      <c r="A109" s="82"/>
      <c r="B109" s="87" t="e">
        <f>VLOOKUP(C109,Lists!I:J,2,FALSE)</f>
        <v>#N/A</v>
      </c>
      <c r="C109" s="87"/>
      <c r="D109" s="13"/>
      <c r="E109" s="83"/>
      <c r="F109" s="13"/>
      <c r="G109" s="82"/>
      <c r="H109" s="82"/>
      <c r="I109" s="49"/>
      <c r="J109" s="85"/>
      <c r="K109" s="85"/>
      <c r="L109" s="85"/>
      <c r="M109" s="87"/>
      <c r="N109" s="87"/>
      <c r="O109" s="87"/>
      <c r="P109" s="87"/>
      <c r="Q109" s="31"/>
      <c r="R109" s="31"/>
      <c r="S109" s="31"/>
      <c r="T109" s="31"/>
      <c r="U109" s="31"/>
      <c r="V109" s="31"/>
      <c r="W109" s="31"/>
      <c r="X109" s="31"/>
      <c r="Y109" s="31"/>
      <c r="Z109" s="31"/>
      <c r="AA109" s="31"/>
      <c r="AB109" s="31"/>
      <c r="AC109" s="31"/>
      <c r="AD109" s="31"/>
    </row>
    <row r="110" spans="1:30" ht="22.5" customHeight="1">
      <c r="A110" s="82"/>
      <c r="B110" s="87" t="e">
        <f>VLOOKUP(C110,Lists!I:J,2,FALSE)</f>
        <v>#N/A</v>
      </c>
      <c r="C110" s="87"/>
      <c r="D110" s="13"/>
      <c r="E110" s="83"/>
      <c r="F110" s="13"/>
      <c r="G110" s="82"/>
      <c r="H110" s="82"/>
      <c r="I110" s="49"/>
      <c r="J110" s="85"/>
      <c r="K110" s="85"/>
      <c r="L110" s="85"/>
      <c r="M110" s="87"/>
      <c r="N110" s="87"/>
      <c r="O110" s="87"/>
      <c r="P110" s="87"/>
      <c r="Q110" s="31"/>
      <c r="R110" s="31"/>
      <c r="S110" s="31"/>
      <c r="T110" s="31"/>
      <c r="U110" s="31"/>
      <c r="V110" s="31"/>
      <c r="W110" s="31"/>
      <c r="X110" s="31"/>
      <c r="Y110" s="31"/>
      <c r="Z110" s="31"/>
      <c r="AA110" s="31"/>
      <c r="AB110" s="31"/>
      <c r="AC110" s="31"/>
      <c r="AD110" s="31"/>
    </row>
    <row r="111" spans="1:30" ht="22.5" customHeight="1">
      <c r="A111" s="82"/>
      <c r="B111" s="87" t="e">
        <f>VLOOKUP(C111,Lists!I:J,2,FALSE)</f>
        <v>#N/A</v>
      </c>
      <c r="C111" s="87"/>
      <c r="D111" s="13"/>
      <c r="E111" s="83"/>
      <c r="F111" s="13"/>
      <c r="G111" s="82"/>
      <c r="H111" s="82"/>
      <c r="I111" s="49"/>
      <c r="J111" s="85"/>
      <c r="K111" s="85"/>
      <c r="L111" s="85"/>
      <c r="M111" s="87"/>
      <c r="N111" s="87"/>
      <c r="O111" s="87"/>
      <c r="P111" s="87"/>
      <c r="Q111" s="31"/>
      <c r="R111" s="31"/>
      <c r="S111" s="31"/>
      <c r="T111" s="31"/>
      <c r="U111" s="31"/>
      <c r="V111" s="31"/>
      <c r="W111" s="31"/>
      <c r="X111" s="31"/>
      <c r="Y111" s="31"/>
      <c r="Z111" s="31"/>
      <c r="AA111" s="31"/>
      <c r="AB111" s="31"/>
      <c r="AC111" s="31"/>
      <c r="AD111" s="31"/>
    </row>
    <row r="112" spans="1:30" ht="22.5" customHeight="1">
      <c r="A112" s="82"/>
      <c r="B112" s="87" t="e">
        <f>VLOOKUP(C112,Lists!I:J,2,FALSE)</f>
        <v>#N/A</v>
      </c>
      <c r="C112" s="87"/>
      <c r="D112" s="13"/>
      <c r="E112" s="83"/>
      <c r="F112" s="13"/>
      <c r="G112" s="82"/>
      <c r="H112" s="82"/>
      <c r="I112" s="49"/>
      <c r="J112" s="85"/>
      <c r="K112" s="85"/>
      <c r="L112" s="85"/>
      <c r="M112" s="87"/>
      <c r="N112" s="87"/>
      <c r="O112" s="87"/>
      <c r="P112" s="87"/>
      <c r="Q112" s="31"/>
      <c r="R112" s="31"/>
      <c r="S112" s="31"/>
      <c r="T112" s="31"/>
      <c r="U112" s="31"/>
      <c r="V112" s="31"/>
      <c r="W112" s="31"/>
      <c r="X112" s="31"/>
      <c r="Y112" s="31"/>
      <c r="Z112" s="31"/>
      <c r="AA112" s="31"/>
      <c r="AB112" s="31"/>
      <c r="AC112" s="31"/>
      <c r="AD112" s="31"/>
    </row>
    <row r="113" spans="1:30" ht="22.5" customHeight="1">
      <c r="A113" s="82"/>
      <c r="B113" s="87" t="e">
        <f>VLOOKUP(C113,Lists!I:J,2,FALSE)</f>
        <v>#N/A</v>
      </c>
      <c r="C113" s="87"/>
      <c r="D113" s="13"/>
      <c r="E113" s="83"/>
      <c r="F113" s="13"/>
      <c r="G113" s="82"/>
      <c r="H113" s="82"/>
      <c r="I113" s="49"/>
      <c r="J113" s="85"/>
      <c r="K113" s="85"/>
      <c r="L113" s="85"/>
      <c r="M113" s="87"/>
      <c r="N113" s="87"/>
      <c r="O113" s="87"/>
      <c r="P113" s="87"/>
      <c r="Q113" s="31"/>
      <c r="R113" s="31"/>
      <c r="S113" s="31"/>
      <c r="T113" s="31"/>
      <c r="U113" s="31"/>
      <c r="V113" s="31"/>
      <c r="W113" s="31"/>
      <c r="X113" s="31"/>
      <c r="Y113" s="31"/>
      <c r="Z113" s="31"/>
      <c r="AA113" s="31"/>
      <c r="AB113" s="31"/>
      <c r="AC113" s="31"/>
      <c r="AD113" s="31"/>
    </row>
    <row r="114" spans="1:30" ht="22.5" customHeight="1">
      <c r="A114" s="82"/>
      <c r="B114" s="87" t="e">
        <f>VLOOKUP(C114,Lists!I:J,2,FALSE)</f>
        <v>#N/A</v>
      </c>
      <c r="C114" s="87"/>
      <c r="D114" s="13"/>
      <c r="E114" s="83"/>
      <c r="F114" s="13"/>
      <c r="G114" s="82"/>
      <c r="H114" s="82"/>
      <c r="I114" s="49"/>
      <c r="J114" s="85"/>
      <c r="K114" s="85"/>
      <c r="L114" s="85"/>
      <c r="M114" s="87"/>
      <c r="N114" s="87"/>
      <c r="O114" s="87"/>
      <c r="P114" s="87"/>
      <c r="Q114" s="31"/>
      <c r="R114" s="31"/>
      <c r="S114" s="31"/>
      <c r="T114" s="31"/>
      <c r="U114" s="31"/>
      <c r="V114" s="31"/>
      <c r="W114" s="31"/>
      <c r="X114" s="31"/>
      <c r="Y114" s="31"/>
      <c r="Z114" s="31"/>
      <c r="AA114" s="31"/>
      <c r="AB114" s="31"/>
      <c r="AC114" s="31"/>
      <c r="AD114" s="31"/>
    </row>
    <row r="115" spans="1:30" ht="22.5" customHeight="1">
      <c r="A115" s="82"/>
      <c r="B115" s="87" t="e">
        <f>VLOOKUP(C115,Lists!I:J,2,FALSE)</f>
        <v>#N/A</v>
      </c>
      <c r="C115" s="87"/>
      <c r="D115" s="13"/>
      <c r="E115" s="83"/>
      <c r="F115" s="13"/>
      <c r="G115" s="82"/>
      <c r="H115" s="82"/>
      <c r="I115" s="49"/>
      <c r="J115" s="85"/>
      <c r="K115" s="85"/>
      <c r="L115" s="85"/>
      <c r="M115" s="87"/>
      <c r="N115" s="87"/>
      <c r="O115" s="87"/>
      <c r="P115" s="87"/>
      <c r="Q115" s="31"/>
      <c r="R115" s="31"/>
      <c r="S115" s="31"/>
      <c r="T115" s="31"/>
      <c r="U115" s="31"/>
      <c r="V115" s="31"/>
      <c r="W115" s="31"/>
      <c r="X115" s="31"/>
      <c r="Y115" s="31"/>
      <c r="Z115" s="31"/>
      <c r="AA115" s="31"/>
      <c r="AB115" s="31"/>
      <c r="AC115" s="31"/>
      <c r="AD115" s="31"/>
    </row>
    <row r="116" spans="1:30" ht="22.5" customHeight="1">
      <c r="A116" s="82"/>
      <c r="B116" s="87" t="e">
        <f>VLOOKUP(C116,Lists!I:J,2,FALSE)</f>
        <v>#N/A</v>
      </c>
      <c r="C116" s="87"/>
      <c r="D116" s="13"/>
      <c r="E116" s="83"/>
      <c r="F116" s="13"/>
      <c r="G116" s="82"/>
      <c r="H116" s="82"/>
      <c r="I116" s="49"/>
      <c r="J116" s="85"/>
      <c r="K116" s="85"/>
      <c r="L116" s="85"/>
      <c r="M116" s="87"/>
      <c r="N116" s="87"/>
      <c r="O116" s="87"/>
      <c r="P116" s="87"/>
      <c r="Q116" s="31"/>
      <c r="R116" s="31"/>
      <c r="S116" s="31"/>
      <c r="T116" s="31"/>
      <c r="U116" s="31"/>
      <c r="V116" s="31"/>
      <c r="W116" s="31"/>
      <c r="X116" s="31"/>
      <c r="Y116" s="31"/>
      <c r="Z116" s="31"/>
      <c r="AA116" s="31"/>
      <c r="AB116" s="31"/>
      <c r="AC116" s="31"/>
      <c r="AD116" s="31"/>
    </row>
    <row r="117" spans="1:30" ht="22.5" customHeight="1">
      <c r="A117" s="82"/>
      <c r="B117" s="87" t="e">
        <f>VLOOKUP(C117,Lists!I:J,2,FALSE)</f>
        <v>#N/A</v>
      </c>
      <c r="C117" s="87"/>
      <c r="D117" s="13"/>
      <c r="E117" s="83"/>
      <c r="F117" s="13"/>
      <c r="G117" s="82"/>
      <c r="H117" s="82"/>
      <c r="I117" s="49"/>
      <c r="J117" s="85"/>
      <c r="K117" s="85"/>
      <c r="L117" s="85"/>
      <c r="M117" s="87"/>
      <c r="N117" s="87"/>
      <c r="O117" s="87"/>
      <c r="P117" s="87"/>
      <c r="Q117" s="31"/>
      <c r="R117" s="31"/>
      <c r="S117" s="31"/>
      <c r="T117" s="31"/>
      <c r="U117" s="31"/>
      <c r="V117" s="31"/>
      <c r="W117" s="31"/>
      <c r="X117" s="31"/>
      <c r="Y117" s="31"/>
      <c r="Z117" s="31"/>
      <c r="AA117" s="31"/>
      <c r="AB117" s="31"/>
      <c r="AC117" s="31"/>
      <c r="AD117" s="31"/>
    </row>
    <row r="118" spans="1:30" ht="22.5" customHeight="1">
      <c r="A118" s="82"/>
      <c r="B118" s="87" t="e">
        <f>VLOOKUP(C118,Lists!I:J,2,FALSE)</f>
        <v>#N/A</v>
      </c>
      <c r="C118" s="87"/>
      <c r="D118" s="13"/>
      <c r="E118" s="83"/>
      <c r="F118" s="13"/>
      <c r="G118" s="82"/>
      <c r="H118" s="82"/>
      <c r="I118" s="49"/>
      <c r="J118" s="85"/>
      <c r="K118" s="85"/>
      <c r="L118" s="85"/>
      <c r="M118" s="87"/>
      <c r="N118" s="87"/>
      <c r="O118" s="87"/>
      <c r="P118" s="87"/>
      <c r="Q118" s="31"/>
      <c r="R118" s="31"/>
      <c r="S118" s="31"/>
      <c r="T118" s="31"/>
      <c r="U118" s="31"/>
      <c r="V118" s="31"/>
      <c r="W118" s="31"/>
      <c r="X118" s="31"/>
      <c r="Y118" s="31"/>
      <c r="Z118" s="31"/>
      <c r="AA118" s="31"/>
      <c r="AB118" s="31"/>
      <c r="AC118" s="31"/>
      <c r="AD118" s="31"/>
    </row>
    <row r="119" spans="1:30" ht="22.5" customHeight="1">
      <c r="A119" s="82"/>
      <c r="B119" s="87" t="e">
        <f>VLOOKUP(C119,Lists!I:J,2,FALSE)</f>
        <v>#N/A</v>
      </c>
      <c r="C119" s="87"/>
      <c r="D119" s="13"/>
      <c r="E119" s="83"/>
      <c r="F119" s="13"/>
      <c r="G119" s="82"/>
      <c r="H119" s="82"/>
      <c r="I119" s="49"/>
      <c r="J119" s="85"/>
      <c r="K119" s="85"/>
      <c r="L119" s="85"/>
      <c r="M119" s="87"/>
      <c r="N119" s="87"/>
      <c r="O119" s="87"/>
      <c r="P119" s="87"/>
      <c r="Q119" s="31"/>
      <c r="R119" s="31"/>
      <c r="S119" s="31"/>
      <c r="T119" s="31"/>
      <c r="U119" s="31"/>
      <c r="V119" s="31"/>
      <c r="W119" s="31"/>
      <c r="X119" s="31"/>
      <c r="Y119" s="31"/>
      <c r="Z119" s="31"/>
      <c r="AA119" s="31"/>
      <c r="AB119" s="31"/>
      <c r="AC119" s="31"/>
      <c r="AD119" s="31"/>
    </row>
    <row r="120" spans="1:30" ht="22.5" customHeight="1">
      <c r="A120" s="82"/>
      <c r="B120" s="87" t="e">
        <f>VLOOKUP(C120,Lists!I:J,2,FALSE)</f>
        <v>#N/A</v>
      </c>
      <c r="C120" s="87"/>
      <c r="D120" s="13"/>
      <c r="E120" s="83"/>
      <c r="F120" s="13"/>
      <c r="G120" s="82"/>
      <c r="H120" s="82"/>
      <c r="I120" s="49"/>
      <c r="J120" s="85"/>
      <c r="K120" s="85"/>
      <c r="L120" s="85"/>
      <c r="M120" s="87"/>
      <c r="N120" s="87"/>
      <c r="O120" s="87"/>
      <c r="P120" s="87"/>
      <c r="Q120" s="31"/>
      <c r="R120" s="31"/>
      <c r="S120" s="31"/>
      <c r="T120" s="31"/>
      <c r="U120" s="31"/>
      <c r="V120" s="31"/>
      <c r="W120" s="31"/>
      <c r="X120" s="31"/>
      <c r="Y120" s="31"/>
      <c r="Z120" s="31"/>
      <c r="AA120" s="31"/>
      <c r="AB120" s="31"/>
      <c r="AC120" s="31"/>
      <c r="AD120" s="31"/>
    </row>
    <row r="121" spans="1:30" ht="22.5" customHeight="1">
      <c r="A121" s="82"/>
      <c r="B121" s="87" t="e">
        <f>VLOOKUP(C121,Lists!I:J,2,FALSE)</f>
        <v>#N/A</v>
      </c>
      <c r="C121" s="87"/>
      <c r="D121" s="13"/>
      <c r="E121" s="83"/>
      <c r="F121" s="13"/>
      <c r="G121" s="82"/>
      <c r="H121" s="82"/>
      <c r="I121" s="49"/>
      <c r="J121" s="85"/>
      <c r="K121" s="85"/>
      <c r="L121" s="85"/>
      <c r="M121" s="87"/>
      <c r="N121" s="87"/>
      <c r="O121" s="87"/>
      <c r="P121" s="87"/>
      <c r="Q121" s="31"/>
      <c r="R121" s="31"/>
      <c r="S121" s="31"/>
      <c r="T121" s="31"/>
      <c r="U121" s="31"/>
      <c r="V121" s="31"/>
      <c r="W121" s="31"/>
      <c r="X121" s="31"/>
      <c r="Y121" s="31"/>
      <c r="Z121" s="31"/>
      <c r="AA121" s="31"/>
      <c r="AB121" s="31"/>
      <c r="AC121" s="31"/>
      <c r="AD121" s="31"/>
    </row>
    <row r="122" spans="1:30" ht="22.5" customHeight="1">
      <c r="A122" s="82"/>
      <c r="B122" s="87" t="e">
        <f>VLOOKUP(C122,Lists!I:J,2,FALSE)</f>
        <v>#N/A</v>
      </c>
      <c r="C122" s="87"/>
      <c r="D122" s="13"/>
      <c r="E122" s="83"/>
      <c r="F122" s="13"/>
      <c r="G122" s="82"/>
      <c r="H122" s="82"/>
      <c r="I122" s="49"/>
      <c r="J122" s="85"/>
      <c r="K122" s="85"/>
      <c r="L122" s="85"/>
      <c r="M122" s="87"/>
      <c r="N122" s="87"/>
      <c r="O122" s="87"/>
      <c r="P122" s="87"/>
      <c r="Q122" s="31"/>
      <c r="R122" s="31"/>
      <c r="S122" s="31"/>
      <c r="T122" s="31"/>
      <c r="U122" s="31"/>
      <c r="V122" s="31"/>
      <c r="W122" s="31"/>
      <c r="X122" s="31"/>
      <c r="Y122" s="31"/>
      <c r="Z122" s="31"/>
      <c r="AA122" s="31"/>
      <c r="AB122" s="31"/>
      <c r="AC122" s="31"/>
      <c r="AD122" s="31"/>
    </row>
    <row r="123" spans="1:30" ht="22.5" customHeight="1">
      <c r="A123" s="82"/>
      <c r="B123" s="87" t="e">
        <f>VLOOKUP(C123,Lists!I:J,2,FALSE)</f>
        <v>#N/A</v>
      </c>
      <c r="C123" s="87"/>
      <c r="D123" s="13"/>
      <c r="E123" s="83"/>
      <c r="F123" s="13"/>
      <c r="G123" s="82"/>
      <c r="H123" s="82"/>
      <c r="I123" s="49"/>
      <c r="J123" s="85"/>
      <c r="K123" s="85"/>
      <c r="L123" s="85"/>
      <c r="M123" s="87"/>
      <c r="N123" s="87"/>
      <c r="O123" s="87"/>
      <c r="P123" s="87"/>
      <c r="Q123" s="31"/>
      <c r="R123" s="31"/>
      <c r="S123" s="31"/>
      <c r="T123" s="31"/>
      <c r="U123" s="31"/>
      <c r="V123" s="31"/>
      <c r="W123" s="31"/>
      <c r="X123" s="31"/>
      <c r="Y123" s="31"/>
      <c r="Z123" s="31"/>
      <c r="AA123" s="31"/>
      <c r="AB123" s="31"/>
      <c r="AC123" s="31"/>
      <c r="AD123" s="31"/>
    </row>
    <row r="124" spans="1:30" ht="22.5" customHeight="1">
      <c r="A124" s="82"/>
      <c r="B124" s="87" t="e">
        <f>VLOOKUP(C124,Lists!I:J,2,FALSE)</f>
        <v>#N/A</v>
      </c>
      <c r="C124" s="87"/>
      <c r="D124" s="13"/>
      <c r="E124" s="83"/>
      <c r="F124" s="13"/>
      <c r="G124" s="82"/>
      <c r="H124" s="82"/>
      <c r="I124" s="49"/>
      <c r="J124" s="85"/>
      <c r="K124" s="85"/>
      <c r="L124" s="85"/>
      <c r="M124" s="87"/>
      <c r="N124" s="87"/>
      <c r="O124" s="87"/>
      <c r="P124" s="87"/>
      <c r="Q124" s="31"/>
      <c r="R124" s="31"/>
      <c r="S124" s="31"/>
      <c r="T124" s="31"/>
      <c r="U124" s="31"/>
      <c r="V124" s="31"/>
      <c r="W124" s="31"/>
      <c r="X124" s="31"/>
      <c r="Y124" s="31"/>
      <c r="Z124" s="31"/>
      <c r="AA124" s="31"/>
      <c r="AB124" s="31"/>
      <c r="AC124" s="31"/>
      <c r="AD124" s="31"/>
    </row>
    <row r="125" spans="1:30" ht="22.5" customHeight="1">
      <c r="A125" s="82"/>
      <c r="B125" s="87" t="e">
        <f>VLOOKUP(C125,Lists!I:J,2,FALSE)</f>
        <v>#N/A</v>
      </c>
      <c r="C125" s="87"/>
      <c r="D125" s="13"/>
      <c r="E125" s="83"/>
      <c r="F125" s="13"/>
      <c r="G125" s="82"/>
      <c r="H125" s="82"/>
      <c r="I125" s="49"/>
      <c r="J125" s="85"/>
      <c r="K125" s="85"/>
      <c r="L125" s="85"/>
      <c r="M125" s="87"/>
      <c r="N125" s="87"/>
      <c r="O125" s="87"/>
      <c r="P125" s="87"/>
      <c r="Q125" s="31"/>
      <c r="R125" s="31"/>
      <c r="S125" s="31"/>
      <c r="T125" s="31"/>
      <c r="U125" s="31"/>
      <c r="V125" s="31"/>
      <c r="W125" s="31"/>
      <c r="X125" s="31"/>
      <c r="Y125" s="31"/>
      <c r="Z125" s="31"/>
      <c r="AA125" s="31"/>
      <c r="AB125" s="31"/>
      <c r="AC125" s="31"/>
      <c r="AD125" s="31"/>
    </row>
    <row r="126" spans="1:30" ht="22.5" customHeight="1">
      <c r="A126" s="82"/>
      <c r="B126" s="87" t="e">
        <f>VLOOKUP(C126,Lists!I:J,2,FALSE)</f>
        <v>#N/A</v>
      </c>
      <c r="C126" s="87"/>
      <c r="D126" s="13"/>
      <c r="E126" s="83"/>
      <c r="F126" s="13"/>
      <c r="G126" s="82"/>
      <c r="H126" s="82"/>
      <c r="I126" s="49"/>
      <c r="J126" s="85"/>
      <c r="K126" s="85"/>
      <c r="L126" s="85"/>
      <c r="M126" s="87"/>
      <c r="N126" s="87"/>
      <c r="O126" s="87"/>
      <c r="P126" s="87"/>
      <c r="Q126" s="31"/>
      <c r="R126" s="31"/>
      <c r="S126" s="31"/>
      <c r="T126" s="31"/>
      <c r="U126" s="31"/>
      <c r="V126" s="31"/>
      <c r="W126" s="31"/>
      <c r="X126" s="31"/>
      <c r="Y126" s="31"/>
      <c r="Z126" s="31"/>
      <c r="AA126" s="31"/>
      <c r="AB126" s="31"/>
      <c r="AC126" s="31"/>
      <c r="AD126" s="31"/>
    </row>
    <row r="127" spans="1:30" ht="22.5" customHeight="1">
      <c r="A127" s="82"/>
      <c r="B127" s="87" t="e">
        <f>VLOOKUP(C127,Lists!I:J,2,FALSE)</f>
        <v>#N/A</v>
      </c>
      <c r="C127" s="87"/>
      <c r="D127" s="13"/>
      <c r="E127" s="83"/>
      <c r="F127" s="13"/>
      <c r="G127" s="82"/>
      <c r="H127" s="82"/>
      <c r="I127" s="49"/>
      <c r="J127" s="85"/>
      <c r="K127" s="85"/>
      <c r="L127" s="85"/>
      <c r="M127" s="87"/>
      <c r="N127" s="87"/>
      <c r="O127" s="87"/>
      <c r="P127" s="87"/>
      <c r="Q127" s="31"/>
      <c r="R127" s="31"/>
      <c r="S127" s="31"/>
      <c r="T127" s="31"/>
      <c r="U127" s="31"/>
      <c r="V127" s="31"/>
      <c r="W127" s="31"/>
      <c r="X127" s="31"/>
      <c r="Y127" s="31"/>
      <c r="Z127" s="31"/>
      <c r="AA127" s="31"/>
      <c r="AB127" s="31"/>
      <c r="AC127" s="31"/>
      <c r="AD127" s="31"/>
    </row>
    <row r="128" spans="1:30" ht="22.5" customHeight="1">
      <c r="A128" s="82"/>
      <c r="B128" s="87" t="e">
        <f>VLOOKUP(C128,Lists!I:J,2,FALSE)</f>
        <v>#N/A</v>
      </c>
      <c r="C128" s="87"/>
      <c r="D128" s="13"/>
      <c r="E128" s="83"/>
      <c r="F128" s="13"/>
      <c r="G128" s="82"/>
      <c r="H128" s="82"/>
      <c r="I128" s="49"/>
      <c r="J128" s="85"/>
      <c r="K128" s="85"/>
      <c r="L128" s="85"/>
      <c r="M128" s="87"/>
      <c r="N128" s="87"/>
      <c r="O128" s="87"/>
      <c r="P128" s="87"/>
      <c r="Q128" s="31"/>
      <c r="R128" s="31"/>
      <c r="S128" s="31"/>
      <c r="T128" s="31"/>
      <c r="U128" s="31"/>
      <c r="V128" s="31"/>
      <c r="W128" s="31"/>
      <c r="X128" s="31"/>
      <c r="Y128" s="31"/>
      <c r="Z128" s="31"/>
      <c r="AA128" s="31"/>
      <c r="AB128" s="31"/>
      <c r="AC128" s="31"/>
      <c r="AD128" s="31"/>
    </row>
    <row r="129" spans="1:30" ht="22.5" customHeight="1">
      <c r="A129" s="82"/>
      <c r="B129" s="87" t="e">
        <f>VLOOKUP(C129,Lists!I:J,2,FALSE)</f>
        <v>#N/A</v>
      </c>
      <c r="C129" s="87"/>
      <c r="D129" s="13"/>
      <c r="E129" s="83"/>
      <c r="F129" s="13"/>
      <c r="G129" s="82"/>
      <c r="H129" s="82"/>
      <c r="I129" s="49"/>
      <c r="J129" s="85"/>
      <c r="K129" s="85"/>
      <c r="L129" s="85"/>
      <c r="M129" s="87"/>
      <c r="N129" s="87"/>
      <c r="O129" s="87"/>
      <c r="P129" s="87"/>
      <c r="Q129" s="31"/>
      <c r="R129" s="31"/>
      <c r="S129" s="31"/>
      <c r="T129" s="31"/>
      <c r="U129" s="31"/>
      <c r="V129" s="31"/>
      <c r="W129" s="31"/>
      <c r="X129" s="31"/>
      <c r="Y129" s="31"/>
      <c r="Z129" s="31"/>
      <c r="AA129" s="31"/>
      <c r="AB129" s="31"/>
      <c r="AC129" s="31"/>
      <c r="AD129" s="31"/>
    </row>
    <row r="130" spans="1:30" ht="22.5" customHeight="1">
      <c r="A130" s="82"/>
      <c r="B130" s="87" t="e">
        <f>VLOOKUP(C130,Lists!I:J,2,FALSE)</f>
        <v>#N/A</v>
      </c>
      <c r="C130" s="87"/>
      <c r="D130" s="13"/>
      <c r="E130" s="83"/>
      <c r="F130" s="13"/>
      <c r="G130" s="82"/>
      <c r="H130" s="82"/>
      <c r="I130" s="49"/>
      <c r="J130" s="85"/>
      <c r="K130" s="85"/>
      <c r="L130" s="85"/>
      <c r="M130" s="87"/>
      <c r="N130" s="87"/>
      <c r="O130" s="87"/>
      <c r="P130" s="87"/>
      <c r="Q130" s="31"/>
      <c r="R130" s="31"/>
      <c r="S130" s="31"/>
      <c r="T130" s="31"/>
      <c r="U130" s="31"/>
      <c r="V130" s="31"/>
      <c r="W130" s="31"/>
      <c r="X130" s="31"/>
      <c r="Y130" s="31"/>
      <c r="Z130" s="31"/>
      <c r="AA130" s="31"/>
      <c r="AB130" s="31"/>
      <c r="AC130" s="31"/>
      <c r="AD130" s="31"/>
    </row>
    <row r="131" spans="1:30" ht="22.5" customHeight="1">
      <c r="A131" s="82"/>
      <c r="B131" s="87" t="e">
        <f>VLOOKUP(C131,Lists!I:J,2,FALSE)</f>
        <v>#N/A</v>
      </c>
      <c r="C131" s="87"/>
      <c r="D131" s="13"/>
      <c r="E131" s="83"/>
      <c r="F131" s="13"/>
      <c r="G131" s="82"/>
      <c r="H131" s="82"/>
      <c r="I131" s="49"/>
      <c r="J131" s="85"/>
      <c r="K131" s="85"/>
      <c r="L131" s="85"/>
      <c r="M131" s="87"/>
      <c r="N131" s="87"/>
      <c r="O131" s="87"/>
      <c r="P131" s="87"/>
      <c r="Q131" s="31"/>
      <c r="R131" s="31"/>
      <c r="S131" s="31"/>
      <c r="T131" s="31"/>
      <c r="U131" s="31"/>
      <c r="V131" s="31"/>
      <c r="W131" s="31"/>
      <c r="X131" s="31"/>
      <c r="Y131" s="31"/>
      <c r="Z131" s="31"/>
      <c r="AA131" s="31"/>
      <c r="AB131" s="31"/>
      <c r="AC131" s="31"/>
      <c r="AD131" s="31"/>
    </row>
    <row r="132" spans="1:30" ht="22.5" customHeight="1">
      <c r="A132" s="82"/>
      <c r="B132" s="87" t="e">
        <f>VLOOKUP(C132,Lists!I:J,2,FALSE)</f>
        <v>#N/A</v>
      </c>
      <c r="C132" s="87"/>
      <c r="D132" s="13"/>
      <c r="E132" s="83"/>
      <c r="F132" s="13"/>
      <c r="G132" s="82"/>
      <c r="H132" s="82"/>
      <c r="I132" s="49"/>
      <c r="J132" s="85"/>
      <c r="K132" s="85"/>
      <c r="L132" s="85"/>
      <c r="M132" s="87"/>
      <c r="N132" s="87"/>
      <c r="O132" s="87"/>
      <c r="P132" s="87"/>
      <c r="Q132" s="31"/>
      <c r="R132" s="31"/>
      <c r="S132" s="31"/>
      <c r="T132" s="31"/>
      <c r="U132" s="31"/>
      <c r="V132" s="31"/>
      <c r="W132" s="31"/>
      <c r="X132" s="31"/>
      <c r="Y132" s="31"/>
      <c r="Z132" s="31"/>
      <c r="AA132" s="31"/>
      <c r="AB132" s="31"/>
      <c r="AC132" s="31"/>
      <c r="AD132" s="31"/>
    </row>
    <row r="133" spans="1:30" ht="22.5" customHeight="1">
      <c r="A133" s="82"/>
      <c r="B133" s="87" t="e">
        <f>VLOOKUP(C133,Lists!I:J,2,FALSE)</f>
        <v>#N/A</v>
      </c>
      <c r="C133" s="87"/>
      <c r="D133" s="13"/>
      <c r="E133" s="83"/>
      <c r="F133" s="13"/>
      <c r="G133" s="82"/>
      <c r="H133" s="82"/>
      <c r="I133" s="49"/>
      <c r="J133" s="85"/>
      <c r="K133" s="85"/>
      <c r="L133" s="85"/>
      <c r="M133" s="87"/>
      <c r="N133" s="87"/>
      <c r="O133" s="87"/>
      <c r="P133" s="87"/>
      <c r="Q133" s="31"/>
      <c r="R133" s="31"/>
      <c r="S133" s="31"/>
      <c r="T133" s="31"/>
      <c r="U133" s="31"/>
      <c r="V133" s="31"/>
      <c r="W133" s="31"/>
      <c r="X133" s="31"/>
      <c r="Y133" s="31"/>
      <c r="Z133" s="31"/>
      <c r="AA133" s="31"/>
      <c r="AB133" s="31"/>
      <c r="AC133" s="31"/>
      <c r="AD133" s="31"/>
    </row>
    <row r="134" spans="1:30" ht="22.5" customHeight="1">
      <c r="A134" s="82"/>
      <c r="B134" s="87" t="e">
        <f>VLOOKUP(C134,Lists!I:J,2,FALSE)</f>
        <v>#N/A</v>
      </c>
      <c r="C134" s="87"/>
      <c r="D134" s="13"/>
      <c r="E134" s="83"/>
      <c r="F134" s="13"/>
      <c r="G134" s="82"/>
      <c r="H134" s="82"/>
      <c r="I134" s="49"/>
      <c r="J134" s="85"/>
      <c r="K134" s="85"/>
      <c r="L134" s="85"/>
      <c r="M134" s="87"/>
      <c r="N134" s="87"/>
      <c r="O134" s="87"/>
      <c r="P134" s="87"/>
      <c r="Q134" s="31"/>
      <c r="R134" s="31"/>
      <c r="S134" s="31"/>
      <c r="T134" s="31"/>
      <c r="U134" s="31"/>
      <c r="V134" s="31"/>
      <c r="W134" s="31"/>
      <c r="X134" s="31"/>
      <c r="Y134" s="31"/>
      <c r="Z134" s="31"/>
      <c r="AA134" s="31"/>
      <c r="AB134" s="31"/>
      <c r="AC134" s="31"/>
      <c r="AD134" s="31"/>
    </row>
    <row r="135" spans="1:30" ht="22.5" customHeight="1">
      <c r="A135" s="82"/>
      <c r="B135" s="87" t="e">
        <f>VLOOKUP(C135,Lists!I:J,2,FALSE)</f>
        <v>#N/A</v>
      </c>
      <c r="C135" s="87"/>
      <c r="D135" s="13"/>
      <c r="E135" s="83"/>
      <c r="F135" s="13"/>
      <c r="G135" s="82"/>
      <c r="H135" s="82"/>
      <c r="I135" s="49"/>
      <c r="J135" s="85"/>
      <c r="K135" s="85"/>
      <c r="L135" s="85"/>
      <c r="M135" s="87"/>
      <c r="N135" s="87"/>
      <c r="O135" s="87"/>
      <c r="P135" s="87"/>
      <c r="Q135" s="31"/>
      <c r="R135" s="31"/>
      <c r="S135" s="31"/>
      <c r="T135" s="31"/>
      <c r="U135" s="31"/>
      <c r="V135" s="31"/>
      <c r="W135" s="31"/>
      <c r="X135" s="31"/>
      <c r="Y135" s="31"/>
      <c r="Z135" s="31"/>
      <c r="AA135" s="31"/>
      <c r="AB135" s="31"/>
      <c r="AC135" s="31"/>
      <c r="AD135" s="31"/>
    </row>
    <row r="136" spans="1:30" ht="22.5" customHeight="1">
      <c r="A136" s="82"/>
      <c r="B136" s="87" t="e">
        <f>VLOOKUP(C136,Lists!I:J,2,FALSE)</f>
        <v>#N/A</v>
      </c>
      <c r="C136" s="87"/>
      <c r="D136" s="13"/>
      <c r="E136" s="83"/>
      <c r="F136" s="13"/>
      <c r="G136" s="82"/>
      <c r="H136" s="82"/>
      <c r="I136" s="49"/>
      <c r="J136" s="85"/>
      <c r="K136" s="85"/>
      <c r="L136" s="85"/>
      <c r="M136" s="87"/>
      <c r="N136" s="87"/>
      <c r="O136" s="87"/>
      <c r="P136" s="87"/>
      <c r="Q136" s="31"/>
      <c r="R136" s="31"/>
      <c r="S136" s="31"/>
      <c r="T136" s="31"/>
      <c r="U136" s="31"/>
      <c r="V136" s="31"/>
      <c r="W136" s="31"/>
      <c r="X136" s="31"/>
      <c r="Y136" s="31"/>
      <c r="Z136" s="31"/>
      <c r="AA136" s="31"/>
      <c r="AB136" s="31"/>
      <c r="AC136" s="31"/>
      <c r="AD136" s="31"/>
    </row>
    <row r="137" spans="1:30" ht="22.5" customHeight="1">
      <c r="A137" s="82"/>
      <c r="B137" s="87" t="e">
        <f>VLOOKUP(C137,Lists!I:J,2,FALSE)</f>
        <v>#N/A</v>
      </c>
      <c r="C137" s="87"/>
      <c r="D137" s="13"/>
      <c r="E137" s="83"/>
      <c r="F137" s="13"/>
      <c r="G137" s="82"/>
      <c r="H137" s="82"/>
      <c r="I137" s="49"/>
      <c r="J137" s="85"/>
      <c r="K137" s="85"/>
      <c r="L137" s="85"/>
      <c r="M137" s="87"/>
      <c r="N137" s="87"/>
      <c r="O137" s="87"/>
      <c r="P137" s="87"/>
      <c r="Q137" s="31"/>
      <c r="R137" s="31"/>
      <c r="S137" s="31"/>
      <c r="T137" s="31"/>
      <c r="U137" s="31"/>
      <c r="V137" s="31"/>
      <c r="W137" s="31"/>
      <c r="X137" s="31"/>
      <c r="Y137" s="31"/>
      <c r="Z137" s="31"/>
      <c r="AA137" s="31"/>
      <c r="AB137" s="31"/>
      <c r="AC137" s="31"/>
      <c r="AD137" s="31"/>
    </row>
    <row r="138" spans="1:30" ht="22.5" customHeight="1">
      <c r="A138" s="82"/>
      <c r="B138" s="87" t="e">
        <f>VLOOKUP(C138,Lists!I:J,2,FALSE)</f>
        <v>#N/A</v>
      </c>
      <c r="C138" s="87"/>
      <c r="D138" s="13"/>
      <c r="E138" s="83"/>
      <c r="F138" s="13"/>
      <c r="G138" s="82"/>
      <c r="H138" s="82"/>
      <c r="I138" s="49"/>
      <c r="J138" s="85"/>
      <c r="K138" s="85"/>
      <c r="L138" s="85"/>
      <c r="M138" s="87"/>
      <c r="N138" s="87"/>
      <c r="O138" s="87"/>
      <c r="P138" s="87"/>
      <c r="Q138" s="31"/>
      <c r="R138" s="31"/>
      <c r="S138" s="31"/>
      <c r="T138" s="31"/>
      <c r="U138" s="31"/>
      <c r="V138" s="31"/>
      <c r="W138" s="31"/>
      <c r="X138" s="31"/>
      <c r="Y138" s="31"/>
      <c r="Z138" s="31"/>
      <c r="AA138" s="31"/>
      <c r="AB138" s="31"/>
      <c r="AC138" s="31"/>
      <c r="AD138" s="31"/>
    </row>
    <row r="139" spans="1:30" ht="22.5" customHeight="1">
      <c r="A139" s="82"/>
      <c r="B139" s="87" t="e">
        <f>VLOOKUP(C139,Lists!I:J,2,FALSE)</f>
        <v>#N/A</v>
      </c>
      <c r="C139" s="87"/>
      <c r="D139" s="13"/>
      <c r="E139" s="83"/>
      <c r="F139" s="13"/>
      <c r="G139" s="82"/>
      <c r="H139" s="82"/>
      <c r="I139" s="49"/>
      <c r="J139" s="85"/>
      <c r="K139" s="85"/>
      <c r="L139" s="85"/>
      <c r="M139" s="87"/>
      <c r="N139" s="87"/>
      <c r="O139" s="87"/>
      <c r="P139" s="87"/>
      <c r="Q139" s="31"/>
      <c r="R139" s="31"/>
      <c r="S139" s="31"/>
      <c r="T139" s="31"/>
      <c r="U139" s="31"/>
      <c r="V139" s="31"/>
      <c r="W139" s="31"/>
      <c r="X139" s="31"/>
      <c r="Y139" s="31"/>
      <c r="Z139" s="31"/>
      <c r="AA139" s="31"/>
      <c r="AB139" s="31"/>
      <c r="AC139" s="31"/>
      <c r="AD139" s="31"/>
    </row>
    <row r="140" spans="1:30" ht="22.5" customHeight="1">
      <c r="A140" s="82"/>
      <c r="B140" s="87" t="e">
        <f>VLOOKUP(C140,Lists!I:J,2,FALSE)</f>
        <v>#N/A</v>
      </c>
      <c r="C140" s="87"/>
      <c r="D140" s="13"/>
      <c r="E140" s="83"/>
      <c r="F140" s="13"/>
      <c r="G140" s="82"/>
      <c r="H140" s="82"/>
      <c r="I140" s="49"/>
      <c r="J140" s="85"/>
      <c r="K140" s="85"/>
      <c r="L140" s="85"/>
      <c r="M140" s="87"/>
      <c r="N140" s="87"/>
      <c r="O140" s="87"/>
      <c r="P140" s="87"/>
      <c r="Q140" s="31"/>
      <c r="R140" s="31"/>
      <c r="S140" s="31"/>
      <c r="T140" s="31"/>
      <c r="U140" s="31"/>
      <c r="V140" s="31"/>
      <c r="W140" s="31"/>
      <c r="X140" s="31"/>
      <c r="Y140" s="31"/>
      <c r="Z140" s="31"/>
      <c r="AA140" s="31"/>
      <c r="AB140" s="31"/>
      <c r="AC140" s="31"/>
      <c r="AD140" s="31"/>
    </row>
    <row r="141" spans="1:30" ht="22.5" customHeight="1">
      <c r="A141" s="82"/>
      <c r="B141" s="87" t="e">
        <f>VLOOKUP(C141,Lists!I:J,2,FALSE)</f>
        <v>#N/A</v>
      </c>
      <c r="C141" s="87"/>
      <c r="D141" s="13"/>
      <c r="E141" s="83"/>
      <c r="F141" s="13"/>
      <c r="G141" s="82"/>
      <c r="H141" s="82"/>
      <c r="I141" s="49"/>
      <c r="J141" s="85"/>
      <c r="K141" s="85"/>
      <c r="L141" s="85"/>
      <c r="M141" s="87"/>
      <c r="N141" s="87"/>
      <c r="O141" s="87"/>
      <c r="P141" s="87"/>
      <c r="Q141" s="31"/>
      <c r="R141" s="31"/>
      <c r="S141" s="31"/>
      <c r="T141" s="31"/>
      <c r="U141" s="31"/>
      <c r="V141" s="31"/>
      <c r="W141" s="31"/>
      <c r="X141" s="31"/>
      <c r="Y141" s="31"/>
      <c r="Z141" s="31"/>
      <c r="AA141" s="31"/>
      <c r="AB141" s="31"/>
      <c r="AC141" s="31"/>
      <c r="AD141" s="31"/>
    </row>
    <row r="142" spans="1:30" ht="22.5" customHeight="1">
      <c r="A142" s="82"/>
      <c r="B142" s="87" t="e">
        <f>VLOOKUP(C142,Lists!I:J,2,FALSE)</f>
        <v>#N/A</v>
      </c>
      <c r="C142" s="87"/>
      <c r="D142" s="13"/>
      <c r="E142" s="83"/>
      <c r="F142" s="13"/>
      <c r="G142" s="82"/>
      <c r="H142" s="82"/>
      <c r="I142" s="49"/>
      <c r="J142" s="85"/>
      <c r="K142" s="85"/>
      <c r="L142" s="85"/>
      <c r="M142" s="87"/>
      <c r="N142" s="87"/>
      <c r="O142" s="87"/>
      <c r="P142" s="87"/>
      <c r="Q142" s="31"/>
      <c r="R142" s="31"/>
      <c r="S142" s="31"/>
      <c r="T142" s="31"/>
      <c r="U142" s="31"/>
      <c r="V142" s="31"/>
      <c r="W142" s="31"/>
      <c r="X142" s="31"/>
      <c r="Y142" s="31"/>
      <c r="Z142" s="31"/>
      <c r="AA142" s="31"/>
      <c r="AB142" s="31"/>
      <c r="AC142" s="31"/>
      <c r="AD142" s="31"/>
    </row>
    <row r="143" spans="1:30" ht="22.5" customHeight="1">
      <c r="A143" s="82"/>
      <c r="B143" s="87" t="e">
        <f>VLOOKUP(C143,Lists!I:J,2,FALSE)</f>
        <v>#N/A</v>
      </c>
      <c r="C143" s="87"/>
      <c r="D143" s="13"/>
      <c r="E143" s="83"/>
      <c r="F143" s="13"/>
      <c r="G143" s="82"/>
      <c r="H143" s="82"/>
      <c r="I143" s="49"/>
      <c r="J143" s="85"/>
      <c r="K143" s="85"/>
      <c r="L143" s="85"/>
      <c r="M143" s="87"/>
      <c r="N143" s="87"/>
      <c r="O143" s="87"/>
      <c r="P143" s="87"/>
      <c r="Q143" s="31"/>
      <c r="R143" s="31"/>
      <c r="S143" s="31"/>
      <c r="T143" s="31"/>
      <c r="U143" s="31"/>
      <c r="V143" s="31"/>
      <c r="W143" s="31"/>
      <c r="X143" s="31"/>
      <c r="Y143" s="31"/>
      <c r="Z143" s="31"/>
      <c r="AA143" s="31"/>
      <c r="AB143" s="31"/>
      <c r="AC143" s="31"/>
      <c r="AD143" s="31"/>
    </row>
    <row r="144" spans="1:30" ht="22.5" customHeight="1">
      <c r="A144" s="82"/>
      <c r="B144" s="87" t="e">
        <f>VLOOKUP(C144,Lists!I:J,2,FALSE)</f>
        <v>#N/A</v>
      </c>
      <c r="C144" s="87"/>
      <c r="D144" s="13"/>
      <c r="E144" s="83"/>
      <c r="F144" s="13"/>
      <c r="G144" s="82"/>
      <c r="H144" s="82"/>
      <c r="I144" s="49"/>
      <c r="J144" s="85"/>
      <c r="K144" s="85"/>
      <c r="L144" s="85"/>
      <c r="M144" s="87"/>
      <c r="N144" s="87"/>
      <c r="O144" s="87"/>
      <c r="P144" s="87"/>
      <c r="Q144" s="31"/>
      <c r="R144" s="31"/>
      <c r="S144" s="31"/>
      <c r="T144" s="31"/>
      <c r="U144" s="31"/>
      <c r="V144" s="31"/>
      <c r="W144" s="31"/>
      <c r="X144" s="31"/>
      <c r="Y144" s="31"/>
      <c r="Z144" s="31"/>
      <c r="AA144" s="31"/>
      <c r="AB144" s="31"/>
      <c r="AC144" s="31"/>
      <c r="AD144" s="31"/>
    </row>
    <row r="145" spans="1:30" ht="22.5" customHeight="1">
      <c r="A145" s="82"/>
      <c r="B145" s="87" t="e">
        <f>VLOOKUP(C145,Lists!I:J,2,FALSE)</f>
        <v>#N/A</v>
      </c>
      <c r="C145" s="87"/>
      <c r="D145" s="13"/>
      <c r="E145" s="83"/>
      <c r="F145" s="13"/>
      <c r="G145" s="82"/>
      <c r="H145" s="82"/>
      <c r="I145" s="49"/>
      <c r="J145" s="85"/>
      <c r="K145" s="85"/>
      <c r="L145" s="85"/>
      <c r="M145" s="87"/>
      <c r="N145" s="87"/>
      <c r="O145" s="87"/>
      <c r="P145" s="87"/>
      <c r="Q145" s="31"/>
      <c r="R145" s="31"/>
      <c r="S145" s="31"/>
      <c r="T145" s="31"/>
      <c r="U145" s="31"/>
      <c r="V145" s="31"/>
      <c r="W145" s="31"/>
      <c r="X145" s="31"/>
      <c r="Y145" s="31"/>
      <c r="Z145" s="31"/>
      <c r="AA145" s="31"/>
      <c r="AB145" s="31"/>
      <c r="AC145" s="31"/>
      <c r="AD145" s="31"/>
    </row>
    <row r="146" spans="1:30" ht="22.5" customHeight="1">
      <c r="A146" s="82"/>
      <c r="B146" s="87" t="e">
        <f>VLOOKUP(C146,Lists!I:J,2,FALSE)</f>
        <v>#N/A</v>
      </c>
      <c r="C146" s="87"/>
      <c r="D146" s="13"/>
      <c r="E146" s="83"/>
      <c r="F146" s="13"/>
      <c r="G146" s="82"/>
      <c r="H146" s="82"/>
      <c r="I146" s="49"/>
      <c r="J146" s="85"/>
      <c r="K146" s="85"/>
      <c r="L146" s="85"/>
      <c r="M146" s="87"/>
      <c r="N146" s="87"/>
      <c r="O146" s="87"/>
      <c r="P146" s="87"/>
      <c r="Q146" s="31"/>
      <c r="R146" s="31"/>
      <c r="S146" s="31"/>
      <c r="T146" s="31"/>
      <c r="U146" s="31"/>
      <c r="V146" s="31"/>
      <c r="W146" s="31"/>
      <c r="X146" s="31"/>
      <c r="Y146" s="31"/>
      <c r="Z146" s="31"/>
      <c r="AA146" s="31"/>
      <c r="AB146" s="31"/>
      <c r="AC146" s="31"/>
      <c r="AD146" s="31"/>
    </row>
    <row r="147" spans="1:30" ht="22.5" customHeight="1">
      <c r="A147" s="82"/>
      <c r="B147" s="87" t="e">
        <f>VLOOKUP(C147,Lists!I:J,2,FALSE)</f>
        <v>#N/A</v>
      </c>
      <c r="C147" s="87"/>
      <c r="D147" s="13"/>
      <c r="E147" s="83"/>
      <c r="F147" s="13"/>
      <c r="G147" s="82"/>
      <c r="H147" s="82"/>
      <c r="I147" s="49"/>
      <c r="J147" s="85"/>
      <c r="K147" s="85"/>
      <c r="L147" s="85"/>
      <c r="M147" s="87"/>
      <c r="N147" s="87"/>
      <c r="O147" s="87"/>
      <c r="P147" s="87"/>
      <c r="Q147" s="31"/>
      <c r="R147" s="31"/>
      <c r="S147" s="31"/>
      <c r="T147" s="31"/>
      <c r="U147" s="31"/>
      <c r="V147" s="31"/>
      <c r="W147" s="31"/>
      <c r="X147" s="31"/>
      <c r="Y147" s="31"/>
      <c r="Z147" s="31"/>
      <c r="AA147" s="31"/>
      <c r="AB147" s="31"/>
      <c r="AC147" s="31"/>
      <c r="AD147" s="31"/>
    </row>
    <row r="148" spans="1:30" ht="22.5" customHeight="1">
      <c r="A148" s="82"/>
      <c r="B148" s="87" t="e">
        <f>VLOOKUP(C148,Lists!I:J,2,FALSE)</f>
        <v>#N/A</v>
      </c>
      <c r="C148" s="87"/>
      <c r="D148" s="13"/>
      <c r="E148" s="83"/>
      <c r="F148" s="13"/>
      <c r="G148" s="82"/>
      <c r="H148" s="82"/>
      <c r="I148" s="49"/>
      <c r="J148" s="85"/>
      <c r="K148" s="85"/>
      <c r="L148" s="85"/>
      <c r="M148" s="87"/>
      <c r="N148" s="87"/>
      <c r="O148" s="87"/>
      <c r="P148" s="87"/>
      <c r="Q148" s="31"/>
      <c r="R148" s="31"/>
      <c r="S148" s="31"/>
      <c r="T148" s="31"/>
      <c r="U148" s="31"/>
      <c r="V148" s="31"/>
      <c r="W148" s="31"/>
      <c r="X148" s="31"/>
      <c r="Y148" s="31"/>
      <c r="Z148" s="31"/>
      <c r="AA148" s="31"/>
      <c r="AB148" s="31"/>
      <c r="AC148" s="31"/>
      <c r="AD148" s="31"/>
    </row>
    <row r="149" spans="1:30" ht="22.5" customHeight="1">
      <c r="A149" s="82"/>
      <c r="B149" s="87" t="e">
        <f>VLOOKUP(C149,Lists!I:J,2,FALSE)</f>
        <v>#N/A</v>
      </c>
      <c r="C149" s="87"/>
      <c r="D149" s="13"/>
      <c r="E149" s="83"/>
      <c r="F149" s="13"/>
      <c r="G149" s="82"/>
      <c r="H149" s="82"/>
      <c r="I149" s="49"/>
      <c r="J149" s="85"/>
      <c r="K149" s="85"/>
      <c r="L149" s="85"/>
      <c r="M149" s="87"/>
      <c r="N149" s="87"/>
      <c r="O149" s="87"/>
      <c r="P149" s="87"/>
      <c r="Q149" s="31"/>
      <c r="R149" s="31"/>
      <c r="S149" s="31"/>
      <c r="T149" s="31"/>
      <c r="U149" s="31"/>
      <c r="V149" s="31"/>
      <c r="W149" s="31"/>
      <c r="X149" s="31"/>
      <c r="Y149" s="31"/>
      <c r="Z149" s="31"/>
      <c r="AA149" s="31"/>
      <c r="AB149" s="31"/>
      <c r="AC149" s="31"/>
      <c r="AD149" s="31"/>
    </row>
    <row r="150" spans="1:30" ht="22.5" customHeight="1">
      <c r="A150" s="82"/>
      <c r="B150" s="87" t="e">
        <f>VLOOKUP(C150,Lists!I:J,2,FALSE)</f>
        <v>#N/A</v>
      </c>
      <c r="C150" s="87"/>
      <c r="D150" s="13"/>
      <c r="E150" s="83"/>
      <c r="F150" s="13"/>
      <c r="G150" s="82"/>
      <c r="H150" s="82"/>
      <c r="I150" s="49"/>
      <c r="J150" s="85"/>
      <c r="K150" s="85"/>
      <c r="L150" s="85"/>
      <c r="M150" s="87"/>
      <c r="N150" s="87"/>
      <c r="O150" s="87"/>
      <c r="P150" s="87"/>
      <c r="Q150" s="31"/>
      <c r="R150" s="31"/>
      <c r="S150" s="31"/>
      <c r="T150" s="31"/>
      <c r="U150" s="31"/>
      <c r="V150" s="31"/>
      <c r="W150" s="31"/>
      <c r="X150" s="31"/>
      <c r="Y150" s="31"/>
      <c r="Z150" s="31"/>
      <c r="AA150" s="31"/>
      <c r="AB150" s="31"/>
      <c r="AC150" s="31"/>
      <c r="AD150" s="31"/>
    </row>
    <row r="151" spans="1:30" ht="22.5" customHeight="1">
      <c r="A151" s="82"/>
      <c r="B151" s="87" t="e">
        <f>VLOOKUP(C151,Lists!I:J,2,FALSE)</f>
        <v>#N/A</v>
      </c>
      <c r="C151" s="87"/>
      <c r="D151" s="13"/>
      <c r="E151" s="83"/>
      <c r="F151" s="13"/>
      <c r="G151" s="82"/>
      <c r="H151" s="82"/>
      <c r="I151" s="49"/>
      <c r="J151" s="85"/>
      <c r="K151" s="85"/>
      <c r="L151" s="85"/>
      <c r="M151" s="87"/>
      <c r="N151" s="87"/>
      <c r="O151" s="87"/>
      <c r="P151" s="87"/>
      <c r="Q151" s="31"/>
      <c r="R151" s="31"/>
      <c r="S151" s="31"/>
      <c r="T151" s="31"/>
      <c r="U151" s="31"/>
      <c r="V151" s="31"/>
      <c r="W151" s="31"/>
      <c r="X151" s="31"/>
      <c r="Y151" s="31"/>
      <c r="Z151" s="31"/>
      <c r="AA151" s="31"/>
      <c r="AB151" s="31"/>
      <c r="AC151" s="31"/>
      <c r="AD151" s="31"/>
    </row>
    <row r="152" spans="1:30" ht="22.5" customHeight="1">
      <c r="A152" s="82"/>
      <c r="B152" s="87" t="e">
        <f>VLOOKUP(C152,Lists!I:J,2,FALSE)</f>
        <v>#N/A</v>
      </c>
      <c r="C152" s="87"/>
      <c r="D152" s="13"/>
      <c r="E152" s="83"/>
      <c r="F152" s="13"/>
      <c r="G152" s="82"/>
      <c r="H152" s="82"/>
      <c r="I152" s="49"/>
      <c r="J152" s="85"/>
      <c r="K152" s="85"/>
      <c r="L152" s="85"/>
      <c r="M152" s="87"/>
      <c r="N152" s="87"/>
      <c r="O152" s="87"/>
      <c r="P152" s="87"/>
      <c r="Q152" s="31"/>
      <c r="R152" s="31"/>
      <c r="S152" s="31"/>
      <c r="T152" s="31"/>
      <c r="U152" s="31"/>
      <c r="V152" s="31"/>
      <c r="W152" s="31"/>
      <c r="X152" s="31"/>
      <c r="Y152" s="31"/>
      <c r="Z152" s="31"/>
      <c r="AA152" s="31"/>
      <c r="AB152" s="31"/>
      <c r="AC152" s="31"/>
      <c r="AD152" s="31"/>
    </row>
    <row r="153" spans="1:30" ht="22.5" customHeight="1">
      <c r="A153" s="82"/>
      <c r="B153" s="87" t="e">
        <f>VLOOKUP(C153,Lists!I:J,2,FALSE)</f>
        <v>#N/A</v>
      </c>
      <c r="C153" s="87"/>
      <c r="D153" s="13"/>
      <c r="E153" s="83"/>
      <c r="F153" s="13"/>
      <c r="G153" s="82"/>
      <c r="H153" s="82"/>
      <c r="I153" s="49"/>
      <c r="J153" s="85"/>
      <c r="K153" s="85"/>
      <c r="L153" s="85"/>
      <c r="M153" s="87"/>
      <c r="N153" s="87"/>
      <c r="O153" s="87"/>
      <c r="P153" s="87"/>
      <c r="Q153" s="31"/>
      <c r="R153" s="31"/>
      <c r="S153" s="31"/>
      <c r="T153" s="31"/>
      <c r="U153" s="31"/>
      <c r="V153" s="31"/>
      <c r="W153" s="31"/>
      <c r="X153" s="31"/>
      <c r="Y153" s="31"/>
      <c r="Z153" s="31"/>
      <c r="AA153" s="31"/>
      <c r="AB153" s="31"/>
      <c r="AC153" s="31"/>
      <c r="AD153" s="31"/>
    </row>
    <row r="154" spans="1:30" ht="22.5" customHeight="1">
      <c r="A154" s="82"/>
      <c r="B154" s="87" t="e">
        <f>VLOOKUP(C154,Lists!I:J,2,FALSE)</f>
        <v>#N/A</v>
      </c>
      <c r="C154" s="87"/>
      <c r="D154" s="13"/>
      <c r="E154" s="83"/>
      <c r="F154" s="13"/>
      <c r="G154" s="82"/>
      <c r="H154" s="82"/>
      <c r="I154" s="49"/>
      <c r="J154" s="85"/>
      <c r="K154" s="85"/>
      <c r="L154" s="85"/>
      <c r="M154" s="87"/>
      <c r="N154" s="87"/>
      <c r="O154" s="87"/>
      <c r="P154" s="87"/>
      <c r="Q154" s="31"/>
      <c r="R154" s="31"/>
      <c r="S154" s="31"/>
      <c r="T154" s="31"/>
      <c r="U154" s="31"/>
      <c r="V154" s="31"/>
      <c r="W154" s="31"/>
      <c r="X154" s="31"/>
      <c r="Y154" s="31"/>
      <c r="Z154" s="31"/>
      <c r="AA154" s="31"/>
      <c r="AB154" s="31"/>
      <c r="AC154" s="31"/>
      <c r="AD154" s="31"/>
    </row>
    <row r="155" spans="1:30" ht="22.5" customHeight="1">
      <c r="A155" s="82"/>
      <c r="B155" s="87" t="e">
        <f>VLOOKUP(C155,Lists!I:J,2,FALSE)</f>
        <v>#N/A</v>
      </c>
      <c r="C155" s="87"/>
      <c r="D155" s="13"/>
      <c r="E155" s="83"/>
      <c r="F155" s="13"/>
      <c r="G155" s="82"/>
      <c r="H155" s="82"/>
      <c r="I155" s="49"/>
      <c r="J155" s="85"/>
      <c r="K155" s="85"/>
      <c r="L155" s="85"/>
      <c r="M155" s="87"/>
      <c r="N155" s="87"/>
      <c r="O155" s="87"/>
      <c r="P155" s="87"/>
      <c r="Q155" s="31"/>
      <c r="R155" s="31"/>
      <c r="S155" s="31"/>
      <c r="T155" s="31"/>
      <c r="U155" s="31"/>
      <c r="V155" s="31"/>
      <c r="W155" s="31"/>
      <c r="X155" s="31"/>
      <c r="Y155" s="31"/>
      <c r="Z155" s="31"/>
      <c r="AA155" s="31"/>
      <c r="AB155" s="31"/>
      <c r="AC155" s="31"/>
      <c r="AD155" s="31"/>
    </row>
    <row r="156" spans="1:30" ht="22.5" customHeight="1">
      <c r="A156" s="82"/>
      <c r="B156" s="87" t="e">
        <f>VLOOKUP(C156,Lists!I:J,2,FALSE)</f>
        <v>#N/A</v>
      </c>
      <c r="C156" s="87"/>
      <c r="D156" s="13"/>
      <c r="E156" s="83"/>
      <c r="F156" s="13"/>
      <c r="G156" s="82"/>
      <c r="H156" s="82"/>
      <c r="I156" s="49"/>
      <c r="J156" s="85"/>
      <c r="K156" s="85"/>
      <c r="L156" s="85"/>
      <c r="M156" s="87"/>
      <c r="N156" s="87"/>
      <c r="O156" s="87"/>
      <c r="P156" s="87"/>
      <c r="Q156" s="31"/>
      <c r="R156" s="31"/>
      <c r="S156" s="31"/>
      <c r="T156" s="31"/>
      <c r="U156" s="31"/>
      <c r="V156" s="31"/>
      <c r="W156" s="31"/>
      <c r="X156" s="31"/>
      <c r="Y156" s="31"/>
      <c r="Z156" s="31"/>
      <c r="AA156" s="31"/>
      <c r="AB156" s="31"/>
      <c r="AC156" s="31"/>
      <c r="AD156" s="31"/>
    </row>
    <row r="157" spans="1:30" ht="22.5" customHeight="1">
      <c r="A157" s="82"/>
      <c r="B157" s="87" t="e">
        <f>VLOOKUP(C157,Lists!I:J,2,FALSE)</f>
        <v>#N/A</v>
      </c>
      <c r="C157" s="87"/>
      <c r="D157" s="13"/>
      <c r="E157" s="83"/>
      <c r="F157" s="13"/>
      <c r="G157" s="82"/>
      <c r="H157" s="82"/>
      <c r="I157" s="49"/>
      <c r="J157" s="85"/>
      <c r="K157" s="85"/>
      <c r="L157" s="85"/>
      <c r="M157" s="87"/>
      <c r="N157" s="87"/>
      <c r="O157" s="87"/>
      <c r="P157" s="87"/>
      <c r="Q157" s="31"/>
      <c r="R157" s="31"/>
      <c r="S157" s="31"/>
      <c r="T157" s="31"/>
      <c r="U157" s="31"/>
      <c r="V157" s="31"/>
      <c r="W157" s="31"/>
      <c r="X157" s="31"/>
      <c r="Y157" s="31"/>
      <c r="Z157" s="31"/>
      <c r="AA157" s="31"/>
      <c r="AB157" s="31"/>
      <c r="AC157" s="31"/>
      <c r="AD157" s="31"/>
    </row>
    <row r="158" spans="1:30" ht="22.5" customHeight="1">
      <c r="A158" s="82"/>
      <c r="B158" s="87" t="e">
        <f>VLOOKUP(C158,Lists!I:J,2,FALSE)</f>
        <v>#N/A</v>
      </c>
      <c r="C158" s="87"/>
      <c r="D158" s="13"/>
      <c r="E158" s="83"/>
      <c r="F158" s="13"/>
      <c r="G158" s="82"/>
      <c r="H158" s="82"/>
      <c r="I158" s="49"/>
      <c r="J158" s="85"/>
      <c r="K158" s="85"/>
      <c r="L158" s="85"/>
      <c r="M158" s="87"/>
      <c r="N158" s="87"/>
      <c r="O158" s="87"/>
      <c r="P158" s="87"/>
      <c r="Q158" s="31"/>
      <c r="R158" s="31"/>
      <c r="S158" s="31"/>
      <c r="T158" s="31"/>
      <c r="U158" s="31"/>
      <c r="V158" s="31"/>
      <c r="W158" s="31"/>
      <c r="X158" s="31"/>
      <c r="Y158" s="31"/>
      <c r="Z158" s="31"/>
      <c r="AA158" s="31"/>
      <c r="AB158" s="31"/>
      <c r="AC158" s="31"/>
      <c r="AD158" s="31"/>
    </row>
    <row r="159" spans="1:30" ht="22.5" customHeight="1">
      <c r="A159" s="82"/>
      <c r="B159" s="87" t="e">
        <f>VLOOKUP(C159,Lists!I:J,2,FALSE)</f>
        <v>#N/A</v>
      </c>
      <c r="C159" s="87"/>
      <c r="D159" s="13"/>
      <c r="E159" s="83"/>
      <c r="F159" s="13"/>
      <c r="G159" s="82"/>
      <c r="H159" s="82"/>
      <c r="I159" s="49"/>
      <c r="J159" s="85"/>
      <c r="K159" s="85"/>
      <c r="L159" s="85"/>
      <c r="M159" s="87"/>
      <c r="N159" s="87"/>
      <c r="O159" s="87"/>
      <c r="P159" s="87"/>
      <c r="Q159" s="31"/>
      <c r="R159" s="31"/>
      <c r="S159" s="31"/>
      <c r="T159" s="31"/>
      <c r="U159" s="31"/>
      <c r="V159" s="31"/>
      <c r="W159" s="31"/>
      <c r="X159" s="31"/>
      <c r="Y159" s="31"/>
      <c r="Z159" s="31"/>
      <c r="AA159" s="31"/>
      <c r="AB159" s="31"/>
      <c r="AC159" s="31"/>
      <c r="AD159" s="31"/>
    </row>
    <row r="160" spans="1:30" ht="22.5" customHeight="1">
      <c r="A160" s="82"/>
      <c r="B160" s="87" t="e">
        <f>VLOOKUP(C160,Lists!I:J,2,FALSE)</f>
        <v>#N/A</v>
      </c>
      <c r="C160" s="87"/>
      <c r="D160" s="13"/>
      <c r="E160" s="83"/>
      <c r="F160" s="13"/>
      <c r="G160" s="82"/>
      <c r="H160" s="82"/>
      <c r="I160" s="49"/>
      <c r="J160" s="85"/>
      <c r="K160" s="85"/>
      <c r="L160" s="85"/>
      <c r="M160" s="87"/>
      <c r="N160" s="87"/>
      <c r="O160" s="87"/>
      <c r="P160" s="87"/>
      <c r="Q160" s="31"/>
      <c r="R160" s="31"/>
      <c r="S160" s="31"/>
      <c r="T160" s="31"/>
      <c r="U160" s="31"/>
      <c r="V160" s="31"/>
      <c r="W160" s="31"/>
      <c r="X160" s="31"/>
      <c r="Y160" s="31"/>
      <c r="Z160" s="31"/>
      <c r="AA160" s="31"/>
      <c r="AB160" s="31"/>
      <c r="AC160" s="31"/>
      <c r="AD160" s="31"/>
    </row>
    <row r="161" spans="1:30" ht="22.5" customHeight="1">
      <c r="A161" s="82"/>
      <c r="B161" s="87" t="e">
        <f>VLOOKUP(C161,Lists!I:J,2,FALSE)</f>
        <v>#N/A</v>
      </c>
      <c r="C161" s="87"/>
      <c r="D161" s="13"/>
      <c r="E161" s="83"/>
      <c r="F161" s="13"/>
      <c r="G161" s="82"/>
      <c r="H161" s="82"/>
      <c r="I161" s="49"/>
      <c r="J161" s="85"/>
      <c r="K161" s="85"/>
      <c r="L161" s="85"/>
      <c r="M161" s="87"/>
      <c r="N161" s="87"/>
      <c r="O161" s="87"/>
      <c r="P161" s="87"/>
      <c r="Q161" s="31"/>
      <c r="R161" s="31"/>
      <c r="S161" s="31"/>
      <c r="T161" s="31"/>
      <c r="U161" s="31"/>
      <c r="V161" s="31"/>
      <c r="W161" s="31"/>
      <c r="X161" s="31"/>
      <c r="Y161" s="31"/>
      <c r="Z161" s="31"/>
      <c r="AA161" s="31"/>
      <c r="AB161" s="31"/>
      <c r="AC161" s="31"/>
      <c r="AD161" s="31"/>
    </row>
    <row r="162" spans="1:30" ht="22.5" customHeight="1">
      <c r="A162" s="82"/>
      <c r="B162" s="87" t="e">
        <f>VLOOKUP(C162,Lists!I:J,2,FALSE)</f>
        <v>#N/A</v>
      </c>
      <c r="C162" s="87"/>
      <c r="D162" s="13"/>
      <c r="E162" s="83"/>
      <c r="F162" s="13"/>
      <c r="G162" s="82"/>
      <c r="H162" s="82"/>
      <c r="I162" s="49"/>
      <c r="J162" s="85"/>
      <c r="K162" s="85"/>
      <c r="L162" s="85"/>
      <c r="M162" s="87"/>
      <c r="N162" s="87"/>
      <c r="O162" s="87"/>
      <c r="P162" s="87"/>
      <c r="Q162" s="31"/>
      <c r="R162" s="31"/>
      <c r="S162" s="31"/>
      <c r="T162" s="31"/>
      <c r="U162" s="31"/>
      <c r="V162" s="31"/>
      <c r="W162" s="31"/>
      <c r="X162" s="31"/>
      <c r="Y162" s="31"/>
      <c r="Z162" s="31"/>
      <c r="AA162" s="31"/>
      <c r="AB162" s="31"/>
      <c r="AC162" s="31"/>
      <c r="AD162" s="31"/>
    </row>
    <row r="163" spans="1:30" ht="22.5" customHeight="1">
      <c r="A163" s="82"/>
      <c r="B163" s="87" t="e">
        <f>VLOOKUP(C163,Lists!I:J,2,FALSE)</f>
        <v>#N/A</v>
      </c>
      <c r="C163" s="87"/>
      <c r="D163" s="13"/>
      <c r="E163" s="83"/>
      <c r="F163" s="13"/>
      <c r="G163" s="82"/>
      <c r="H163" s="82"/>
      <c r="I163" s="49"/>
      <c r="J163" s="85"/>
      <c r="K163" s="85"/>
      <c r="L163" s="85"/>
      <c r="M163" s="87"/>
      <c r="N163" s="87"/>
      <c r="O163" s="87"/>
      <c r="P163" s="87"/>
      <c r="Q163" s="31"/>
      <c r="R163" s="31"/>
      <c r="S163" s="31"/>
      <c r="T163" s="31"/>
      <c r="U163" s="31"/>
      <c r="V163" s="31"/>
      <c r="W163" s="31"/>
      <c r="X163" s="31"/>
      <c r="Y163" s="31"/>
      <c r="Z163" s="31"/>
      <c r="AA163" s="31"/>
      <c r="AB163" s="31"/>
      <c r="AC163" s="31"/>
      <c r="AD163" s="31"/>
    </row>
  </sheetData>
  <mergeCells count="16">
    <mergeCell ref="R75:T75"/>
    <mergeCell ref="AB75:AD75"/>
    <mergeCell ref="R15:T15"/>
    <mergeCell ref="R28:T28"/>
    <mergeCell ref="AB28:AD28"/>
    <mergeCell ref="R49:T49"/>
    <mergeCell ref="AB49:AD49"/>
    <mergeCell ref="R63:T63"/>
    <mergeCell ref="AB63:AD63"/>
    <mergeCell ref="R2:T2"/>
    <mergeCell ref="V2:W2"/>
    <mergeCell ref="Y2:Z2"/>
    <mergeCell ref="AB2:AD2"/>
    <mergeCell ref="V15:W15"/>
    <mergeCell ref="Y15:Z15"/>
    <mergeCell ref="AB15:AD15"/>
  </mergeCells>
  <dataValidations count="4">
    <dataValidation type="list" allowBlank="1" sqref="B2:D163" xr:uid="{00000000-0002-0000-0F00-000000000000}">
      <formula1>#REF!</formula1>
    </dataValidation>
    <dataValidation type="list" allowBlank="1" sqref="F2:F163" xr:uid="{00000000-0002-0000-0F00-000002000000}">
      <formula1>"Yellow,Red"</formula1>
    </dataValidation>
    <dataValidation type="custom" allowBlank="1" showDropDown="1" sqref="S4:T14 AC4:AD14 AC17:AD25 S17:T25 AC30:AD46 S30:T46 AC51:AD60 S51:T60 S65:T72 AC65:AD72 AC77:AD84 S77:T84 A2:A163 G2:L163" xr:uid="{00000000-0002-0000-0F00-000003000000}">
      <formula1>AND(ISNUMBER(A2),(NOT(OR(NOT(ISERROR(DATEVALUE(A2))), AND(ISNUMBER(A2), LEFT(CELL("format", A2))="D")))))</formula1>
    </dataValidation>
    <dataValidation allowBlank="1" showDropDown="1" sqref="E2:E163" xr:uid="{00000000-0002-0000-0F00-000004000000}"/>
  </dataValidation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189" t="s">
        <v>463</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30" ht="22.5" customHeight="1">
      <c r="A2" s="82">
        <v>2</v>
      </c>
      <c r="B2" s="115" t="str">
        <f>VLOOKUP(C2,Lists!I:J,2,FALSE)</f>
        <v>Melee DPS</v>
      </c>
      <c r="C2" s="115" t="str">
        <f>VLOOKUP(E2,Lists!D:E,2,FALSE)</f>
        <v>Greatsword/Spear</v>
      </c>
      <c r="D2" s="13" t="s">
        <v>34</v>
      </c>
      <c r="E2" s="83" t="s">
        <v>145</v>
      </c>
      <c r="F2" s="13" t="s">
        <v>483</v>
      </c>
      <c r="G2" s="82">
        <v>53</v>
      </c>
      <c r="H2" s="82">
        <v>139</v>
      </c>
      <c r="I2" s="194">
        <f t="shared" ref="I2:I97" si="0">SUM(G2:H2)</f>
        <v>192</v>
      </c>
      <c r="J2" s="85">
        <v>4030235</v>
      </c>
      <c r="K2" s="85">
        <v>1007254</v>
      </c>
      <c r="L2" s="85">
        <v>17939</v>
      </c>
      <c r="M2" s="195">
        <f>I2/(HLOOKUP(F2,Team_Composition_23[[#All],[Yellow]:[Red]],10,FALSE)+HLOOKUP(F2,Team_Composition_23[[#All],[Yellow]:[Red]],11,FALSE))</f>
        <v>0.23386114494518878</v>
      </c>
      <c r="N2" s="195">
        <f>J2/HLOOKUP(F2,Team_Composition_23[[#All],[Yellow]:[Red]],6,FALSE)</f>
        <v>0.22840138835011153</v>
      </c>
      <c r="O2" s="195">
        <f>K2/HLOOKUP(F2,Team_Composition_23[[#All],[Yellow]:[Red]],8,FALSE)</f>
        <v>2.2883847210071952E-2</v>
      </c>
      <c r="P2" s="195">
        <f>L2/HLOOKUP(F2,Team_Composition_23[[#All],[Yellow]:[Red]],7,FALSE)</f>
        <v>7.3919143195584017E-4</v>
      </c>
      <c r="R2" s="232" t="s">
        <v>477</v>
      </c>
      <c r="S2" s="228"/>
      <c r="T2" s="228"/>
      <c r="V2" s="233" t="s">
        <v>478</v>
      </c>
      <c r="W2" s="228"/>
      <c r="X2" s="196"/>
      <c r="Y2" s="233" t="s">
        <v>479</v>
      </c>
      <c r="Z2" s="228"/>
      <c r="AB2" s="232" t="s">
        <v>480</v>
      </c>
      <c r="AC2" s="228"/>
      <c r="AD2" s="228"/>
    </row>
    <row r="3" spans="1:30" ht="22.5" customHeight="1">
      <c r="A3" s="82">
        <v>12</v>
      </c>
      <c r="B3" s="115" t="str">
        <f>VLOOKUP(C3,Lists!I:J,2,FALSE)</f>
        <v>Ranged DPS</v>
      </c>
      <c r="C3" s="115" t="str">
        <f>VLOOKUP(E3,Lists!D:E,2,FALSE)</f>
        <v>Staff/Dagger</v>
      </c>
      <c r="D3" s="13" t="s">
        <v>34</v>
      </c>
      <c r="E3" s="83" t="s">
        <v>31</v>
      </c>
      <c r="F3" s="13" t="s">
        <v>483</v>
      </c>
      <c r="G3" s="82">
        <v>42</v>
      </c>
      <c r="H3" s="82">
        <v>138</v>
      </c>
      <c r="I3" s="194">
        <f t="shared" si="0"/>
        <v>180</v>
      </c>
      <c r="J3" s="85">
        <v>3373560</v>
      </c>
      <c r="K3" s="85">
        <v>944015</v>
      </c>
      <c r="L3" s="85">
        <v>0</v>
      </c>
      <c r="M3" s="195">
        <f>I3/(HLOOKUP(F3,Team_Composition_23[[#All],[Yellow]:[Red]],10,FALSE)+HLOOKUP(F3,Team_Composition_23[[#All],[Yellow]:[Red]],11,FALSE))</f>
        <v>0.21924482338611451</v>
      </c>
      <c r="N3" s="195">
        <f>J3/HLOOKUP(F3,Team_Composition_23[[#All],[Yellow]:[Red]],6,FALSE)</f>
        <v>0.1911863173443738</v>
      </c>
      <c r="O3" s="195">
        <f>K3/HLOOKUP(F3,Team_Composition_23[[#All],[Yellow]:[Red]],8,FALSE)</f>
        <v>2.1447117632708408E-2</v>
      </c>
      <c r="P3" s="195">
        <f>L3/HLOOKUP(F3,Team_Composition_23[[#All],[Yellow]:[Red]],7,FALSE)</f>
        <v>0</v>
      </c>
      <c r="R3" s="197" t="s">
        <v>482</v>
      </c>
      <c r="S3" s="198" t="s">
        <v>476</v>
      </c>
      <c r="T3" s="198" t="s">
        <v>483</v>
      </c>
      <c r="V3" s="199" t="s">
        <v>1</v>
      </c>
      <c r="W3" s="200" t="s">
        <v>467</v>
      </c>
      <c r="Y3" s="199" t="s">
        <v>1</v>
      </c>
      <c r="Z3" s="200" t="s">
        <v>484</v>
      </c>
      <c r="AB3" s="197" t="s">
        <v>482</v>
      </c>
      <c r="AC3" s="198" t="s">
        <v>7</v>
      </c>
      <c r="AD3" s="198" t="s">
        <v>527</v>
      </c>
    </row>
    <row r="4" spans="1:30" ht="22.5" customHeight="1">
      <c r="A4" s="82">
        <v>14</v>
      </c>
      <c r="B4" s="115" t="str">
        <f>VLOOKUP(C4,Lists!I:J,2,FALSE)</f>
        <v>Ranged DPS</v>
      </c>
      <c r="C4" s="115" t="str">
        <f>VLOOKUP(E4,Lists!D:E,2,FALSE)</f>
        <v>Orb/Wand</v>
      </c>
      <c r="D4" s="13" t="s">
        <v>34</v>
      </c>
      <c r="E4" s="83" t="s">
        <v>94</v>
      </c>
      <c r="F4" s="13" t="s">
        <v>483</v>
      </c>
      <c r="G4" s="82">
        <v>41</v>
      </c>
      <c r="H4" s="82">
        <v>127</v>
      </c>
      <c r="I4" s="194">
        <f t="shared" si="0"/>
        <v>168</v>
      </c>
      <c r="J4" s="85">
        <v>4607662</v>
      </c>
      <c r="K4" s="85">
        <v>723850</v>
      </c>
      <c r="L4" s="85">
        <v>0</v>
      </c>
      <c r="M4" s="195">
        <f>I4/(HLOOKUP(F4,Team_Composition_23[[#All],[Yellow]:[Red]],10,FALSE)+HLOOKUP(F4,Team_Composition_23[[#All],[Yellow]:[Red]],11,FALSE))</f>
        <v>0.2046285018270402</v>
      </c>
      <c r="N4" s="195">
        <f>J4/HLOOKUP(F4,Team_Composition_23[[#All],[Yellow]:[Red]],6,FALSE)</f>
        <v>0.2611253184610951</v>
      </c>
      <c r="O4" s="195">
        <f>K4/HLOOKUP(F4,Team_Composition_23[[#All],[Yellow]:[Red]],8,FALSE)</f>
        <v>1.6445179471127027E-2</v>
      </c>
      <c r="P4" s="195">
        <f>L4/HLOOKUP(F4,Team_Composition_23[[#All],[Yellow]:[Red]],7,FALSE)</f>
        <v>0</v>
      </c>
      <c r="R4" s="201" t="s">
        <v>25</v>
      </c>
      <c r="S4" s="202">
        <f>COUNTIFS(Scoreboard_29[Role],R4,Scoreboard_29[Team],"Yellow")</f>
        <v>6</v>
      </c>
      <c r="T4" s="203">
        <f>COUNTIFS(Scoreboard_29[Role],R4,Scoreboard_29[Team],"Red")</f>
        <v>2</v>
      </c>
      <c r="V4" s="204" t="str">
        <f ca="1">IFERROR(__xludf.DUMMYFUNCTION("query(A1:P238, ""Select E,I where B!='Healer' Order by I Desc Limit 10"", 0)"),"B")</f>
        <v>B</v>
      </c>
      <c r="W4" s="116">
        <f ca="1">IFERROR(__xludf.DUMMYFUNCTION("""COMPUTED_VALUE"""),192)</f>
        <v>192</v>
      </c>
      <c r="Y4" s="204" t="str">
        <f ca="1">IFERROR(__xludf.DUMMYFUNCTION("query(A1:P238, ""Select E,J Order by J Desc Limit 10"", 0)"),"Regalians")</f>
        <v>Regalians</v>
      </c>
      <c r="Z4" s="116">
        <f ca="1">IFERROR(__xludf.DUMMYFUNCTION("""COMPUTED_VALUE"""),4607662)</f>
        <v>4607662</v>
      </c>
      <c r="AB4" s="201" t="s">
        <v>25</v>
      </c>
      <c r="AC4" s="205">
        <f>COUNTIFS(Scoreboard_29[Role],AB4,Scoreboard_29[Guild],"FTP")</f>
        <v>0</v>
      </c>
      <c r="AD4" s="206">
        <f>COUNTIFS(Scoreboard_29[Role],AB4,Scoreboard_29[Guild],"Undercooked")</f>
        <v>0</v>
      </c>
    </row>
    <row r="5" spans="1:30" ht="22.5" customHeight="1">
      <c r="A5" s="82">
        <v>7</v>
      </c>
      <c r="B5" s="115" t="str">
        <f>VLOOKUP(C5,Lists!I:J,2,FALSE)</f>
        <v>Ranged DPS</v>
      </c>
      <c r="C5" s="115" t="str">
        <f>VLOOKUP(E5,Lists!D:E,2,FALSE)</f>
        <v>Staff/Dagger</v>
      </c>
      <c r="D5" s="13" t="s">
        <v>34</v>
      </c>
      <c r="E5" s="83" t="s">
        <v>158</v>
      </c>
      <c r="F5" s="13" t="s">
        <v>483</v>
      </c>
      <c r="G5" s="82">
        <v>45</v>
      </c>
      <c r="H5" s="82">
        <v>111</v>
      </c>
      <c r="I5" s="194">
        <f t="shared" si="0"/>
        <v>156</v>
      </c>
      <c r="J5" s="85">
        <v>3419468</v>
      </c>
      <c r="K5" s="85">
        <v>839788</v>
      </c>
      <c r="L5" s="85">
        <v>40500</v>
      </c>
      <c r="M5" s="195">
        <f>I5/(HLOOKUP(F5,Team_Composition_23[[#All],[Yellow]:[Red]],10,FALSE)+HLOOKUP(F5,Team_Composition_23[[#All],[Yellow]:[Red]],11,FALSE))</f>
        <v>0.1900121802679659</v>
      </c>
      <c r="N5" s="195">
        <f>J5/HLOOKUP(F5,Team_Composition_23[[#All],[Yellow]:[Red]],6,FALSE)</f>
        <v>0.19378801450009223</v>
      </c>
      <c r="O5" s="195">
        <f>K5/HLOOKUP(F5,Team_Composition_23[[#All],[Yellow]:[Red]],8,FALSE)</f>
        <v>1.9079179909786314E-2</v>
      </c>
      <c r="P5" s="195">
        <f>L5/HLOOKUP(F5,Team_Composition_23[[#All],[Yellow]:[Red]],7,FALSE)</f>
        <v>1.6688362224322162E-3</v>
      </c>
      <c r="R5" s="201" t="s">
        <v>39</v>
      </c>
      <c r="S5" s="202">
        <f>COUNTIFS(Scoreboard_29[Role],R5,Scoreboard_29[Team],"Yellow")</f>
        <v>7</v>
      </c>
      <c r="T5" s="203">
        <f>COUNTIFS(Scoreboard_29[Role],R5,Scoreboard_29[Team],"Red")</f>
        <v>9</v>
      </c>
      <c r="V5" s="204" t="str">
        <f ca="1">IFERROR(__xludf.DUMMYFUNCTION("""COMPUTED_VALUE"""),"CLEM")</f>
        <v>CLEM</v>
      </c>
      <c r="W5" s="116">
        <f ca="1">IFERROR(__xludf.DUMMYFUNCTION("""COMPUTED_VALUE"""),180)</f>
        <v>180</v>
      </c>
      <c r="Y5" s="204" t="str">
        <f ca="1">IFERROR(__xludf.DUMMYFUNCTION("""COMPUTED_VALUE"""),"B")</f>
        <v>B</v>
      </c>
      <c r="Z5" s="116">
        <f ca="1">IFERROR(__xludf.DUMMYFUNCTION("""COMPUTED_VALUE"""),4030235)</f>
        <v>4030235</v>
      </c>
      <c r="AB5" s="201" t="s">
        <v>39</v>
      </c>
      <c r="AC5" s="205">
        <f>COUNTIFS(Scoreboard_29[Role],AB5,Scoreboard_29[Guild],"FTP")</f>
        <v>0</v>
      </c>
      <c r="AD5" s="206">
        <f>COUNTIFS(Scoreboard_29[Role],AB5,Scoreboard_29[Guild],"Undercooked")</f>
        <v>0</v>
      </c>
    </row>
    <row r="6" spans="1:30" ht="22.5" customHeight="1">
      <c r="A6" s="82">
        <v>1</v>
      </c>
      <c r="B6" s="115" t="str">
        <f>VLOOKUP(C6,Lists!I:J,2,FALSE)</f>
        <v>Melee DPS</v>
      </c>
      <c r="C6" s="115" t="str">
        <f>VLOOKUP(E6,Lists!D:E,2,FALSE)</f>
        <v>Greatsword/Spear</v>
      </c>
      <c r="D6" s="13" t="s">
        <v>34</v>
      </c>
      <c r="E6" s="83" t="s">
        <v>147</v>
      </c>
      <c r="F6" s="13" t="s">
        <v>483</v>
      </c>
      <c r="G6" s="82">
        <v>56</v>
      </c>
      <c r="H6" s="82">
        <v>94</v>
      </c>
      <c r="I6" s="194">
        <f t="shared" si="0"/>
        <v>150</v>
      </c>
      <c r="J6" s="85">
        <v>2843319</v>
      </c>
      <c r="K6" s="85">
        <v>1917024</v>
      </c>
      <c r="L6" s="85">
        <v>27833</v>
      </c>
      <c r="M6" s="195">
        <f>I6/(HLOOKUP(F6,Team_Composition_23[[#All],[Yellow]:[Red]],10,FALSE)+HLOOKUP(F6,Team_Composition_23[[#All],[Yellow]:[Red]],11,FALSE))</f>
        <v>0.18270401948842874</v>
      </c>
      <c r="N6" s="195">
        <f>J6/HLOOKUP(F6,Team_Composition_23[[#All],[Yellow]:[Red]],6,FALSE)</f>
        <v>0.16113651117670577</v>
      </c>
      <c r="O6" s="195">
        <f>K6/HLOOKUP(F6,Team_Composition_23[[#All],[Yellow]:[Red]],8,FALSE)</f>
        <v>4.3552951205992702E-2</v>
      </c>
      <c r="P6" s="195">
        <f>L6/HLOOKUP(F6,Team_Composition_23[[#All],[Yellow]:[Red]],7,FALSE)</f>
        <v>1.1468819402211327E-3</v>
      </c>
      <c r="R6" s="201" t="s">
        <v>67</v>
      </c>
      <c r="S6" s="202">
        <f>COUNTIFS(Scoreboard_29[Role],R6,Scoreboard_29[Team],"Yellow")</f>
        <v>15</v>
      </c>
      <c r="T6" s="203">
        <f>COUNTIFS(Scoreboard_29[Role],R6,Scoreboard_29[Team],"Red")</f>
        <v>14</v>
      </c>
      <c r="V6" s="204" t="str">
        <f ca="1">IFERROR(__xludf.DUMMYFUNCTION("""COMPUTED_VALUE"""),"Regalians")</f>
        <v>Regalians</v>
      </c>
      <c r="W6" s="116">
        <f ca="1">IFERROR(__xludf.DUMMYFUNCTION("""COMPUTED_VALUE"""),168)</f>
        <v>168</v>
      </c>
      <c r="Y6" s="204" t="str">
        <f ca="1">IFERROR(__xludf.DUMMYFUNCTION("""COMPUTED_VALUE"""),"Ceviche")</f>
        <v>Ceviche</v>
      </c>
      <c r="Z6" s="116">
        <f ca="1">IFERROR(__xludf.DUMMYFUNCTION("""COMPUTED_VALUE"""),3419468)</f>
        <v>3419468</v>
      </c>
      <c r="AB6" s="201" t="s">
        <v>67</v>
      </c>
      <c r="AC6" s="205">
        <f>COUNTIFS(Scoreboard_29[Role],AB6,Scoreboard_29[Guild],"FTP")</f>
        <v>0</v>
      </c>
      <c r="AD6" s="206">
        <f>COUNTIFS(Scoreboard_29[Role],AB6,Scoreboard_29[Guild],"Undercooked")</f>
        <v>0</v>
      </c>
    </row>
    <row r="7" spans="1:30" ht="22.5" customHeight="1">
      <c r="A7" s="82">
        <v>3</v>
      </c>
      <c r="B7" s="115" t="str">
        <f>VLOOKUP(C7,Lists!I:J,2,FALSE)</f>
        <v>Ranged DPS</v>
      </c>
      <c r="C7" s="115" t="str">
        <f>VLOOKUP(E7,Lists!D:E,2,FALSE)</f>
        <v>Staff/Orb</v>
      </c>
      <c r="D7" s="13" t="s">
        <v>34</v>
      </c>
      <c r="E7" s="83" t="s">
        <v>156</v>
      </c>
      <c r="F7" s="13" t="s">
        <v>483</v>
      </c>
      <c r="G7" s="82">
        <v>49</v>
      </c>
      <c r="H7" s="82">
        <v>73</v>
      </c>
      <c r="I7" s="194">
        <f t="shared" si="0"/>
        <v>122</v>
      </c>
      <c r="J7" s="85">
        <v>3012867</v>
      </c>
      <c r="K7" s="85">
        <v>1133124</v>
      </c>
      <c r="L7" s="85">
        <v>7302</v>
      </c>
      <c r="M7" s="195">
        <f>I7/(HLOOKUP(F7,Team_Composition_23[[#All],[Yellow]:[Red]],10,FALSE)+HLOOKUP(F7,Team_Composition_23[[#All],[Yellow]:[Red]],11,FALSE))</f>
        <v>0.14859926918392205</v>
      </c>
      <c r="N7" s="195">
        <f>J7/HLOOKUP(F7,Team_Composition_23[[#All],[Yellow]:[Red]],6,FALSE)</f>
        <v>0.17074513166458916</v>
      </c>
      <c r="O7" s="195">
        <f>K7/HLOOKUP(F7,Team_Composition_23[[#All],[Yellow]:[Red]],8,FALSE)</f>
        <v>2.5743493186490767E-2</v>
      </c>
      <c r="P7" s="195">
        <f>L7/HLOOKUP(F7,Team_Composition_23[[#All],[Yellow]:[Red]],7,FALSE)</f>
        <v>3.0088499002963072E-4</v>
      </c>
      <c r="R7" s="201" t="s">
        <v>11</v>
      </c>
      <c r="S7" s="202">
        <f>COUNTIFS(Scoreboard_29[Role],R7,Scoreboard_29[Team],"Yellow")</f>
        <v>13</v>
      </c>
      <c r="T7" s="203">
        <f>COUNTIFS(Scoreboard_29[Role],R7,Scoreboard_29[Team],"Red")</f>
        <v>18</v>
      </c>
      <c r="V7" s="204" t="str">
        <f ca="1">IFERROR(__xludf.DUMMYFUNCTION("""COMPUTED_VALUE"""),"Ceviche")</f>
        <v>Ceviche</v>
      </c>
      <c r="W7" s="116">
        <f ca="1">IFERROR(__xludf.DUMMYFUNCTION("""COMPUTED_VALUE"""),156)</f>
        <v>156</v>
      </c>
      <c r="Y7" s="204" t="str">
        <f ca="1">IFERROR(__xludf.DUMMYFUNCTION("""COMPUTED_VALUE"""),"Artayy")</f>
        <v>Artayy</v>
      </c>
      <c r="Z7" s="116">
        <f ca="1">IFERROR(__xludf.DUMMYFUNCTION("""COMPUTED_VALUE"""),3413994)</f>
        <v>3413994</v>
      </c>
      <c r="AB7" s="201" t="s">
        <v>11</v>
      </c>
      <c r="AC7" s="205">
        <f>COUNTIFS(Scoreboard_29[Role],AB7,Scoreboard_29[Guild],"FTP")</f>
        <v>0</v>
      </c>
      <c r="AD7" s="206">
        <f>COUNTIFS(Scoreboard_29[Role],AB7,Scoreboard_29[Guild],"Undercooked")</f>
        <v>0</v>
      </c>
    </row>
    <row r="8" spans="1:30" ht="22.5" customHeight="1">
      <c r="A8" s="82">
        <v>15</v>
      </c>
      <c r="B8" s="115" t="str">
        <f>VLOOKUP(C8,Lists!I:J,2,FALSE)</f>
        <v>Ranged DPS</v>
      </c>
      <c r="C8" s="115" t="str">
        <f>VLOOKUP(E8,Lists!D:E,2,FALSE)</f>
        <v>Staff/Orb</v>
      </c>
      <c r="D8" s="13" t="s">
        <v>34</v>
      </c>
      <c r="E8" s="83" t="s">
        <v>160</v>
      </c>
      <c r="F8" s="13" t="s">
        <v>483</v>
      </c>
      <c r="G8" s="82">
        <v>39</v>
      </c>
      <c r="H8" s="82">
        <v>79</v>
      </c>
      <c r="I8" s="194">
        <f t="shared" si="0"/>
        <v>118</v>
      </c>
      <c r="J8" s="85">
        <v>2869196</v>
      </c>
      <c r="K8" s="85">
        <v>1270557</v>
      </c>
      <c r="L8" s="85">
        <v>10810</v>
      </c>
      <c r="M8" s="195">
        <f>I8/(HLOOKUP(F8,Team_Composition_23[[#All],[Yellow]:[Red]],10,FALSE)+HLOOKUP(F8,Team_Composition_23[[#All],[Yellow]:[Red]],11,FALSE))</f>
        <v>0.14372716199756394</v>
      </c>
      <c r="N8" s="195">
        <f>J8/HLOOKUP(F8,Team_Composition_23[[#All],[Yellow]:[Red]],6,FALSE)</f>
        <v>0.16260301194560284</v>
      </c>
      <c r="O8" s="195">
        <f>K8/HLOOKUP(F8,Team_Composition_23[[#All],[Yellow]:[Red]],8,FALSE)</f>
        <v>2.8865839460242789E-2</v>
      </c>
      <c r="P8" s="195">
        <f>L8/HLOOKUP(F8,Team_Composition_23[[#All],[Yellow]:[Red]],7,FALSE)</f>
        <v>4.4543505097511751E-4</v>
      </c>
      <c r="R8" s="201" t="s">
        <v>468</v>
      </c>
      <c r="S8" s="202">
        <f>SUMIFS(Scoreboard_29[Damage Dealt],Scoreboard_29[Team],"Yellow")</f>
        <v>33243105</v>
      </c>
      <c r="T8" s="203">
        <f>SUMIFS(Scoreboard_29[Damage Dealt],Scoreboard_29[Team],"Red")</f>
        <v>41196267</v>
      </c>
      <c r="V8" s="204" t="str">
        <f ca="1">IFERROR(__xludf.DUMMYFUNCTION("""COMPUTED_VALUE"""),"K")</f>
        <v>K</v>
      </c>
      <c r="W8" s="116">
        <f ca="1">IFERROR(__xludf.DUMMYFUNCTION("""COMPUTED_VALUE"""),150)</f>
        <v>150</v>
      </c>
      <c r="Y8" s="204" t="str">
        <f ca="1">IFERROR(__xludf.DUMMYFUNCTION("""COMPUTED_VALUE"""),"CLEM")</f>
        <v>CLEM</v>
      </c>
      <c r="Z8" s="116">
        <f ca="1">IFERROR(__xludf.DUMMYFUNCTION("""COMPUTED_VALUE"""),3373560)</f>
        <v>3373560</v>
      </c>
      <c r="AB8" s="201" t="s">
        <v>468</v>
      </c>
      <c r="AC8" s="205">
        <f>SUMIFS(Scoreboard_29[Damage Dealt],Scoreboard_29[Guild],"FTP")</f>
        <v>0</v>
      </c>
      <c r="AD8" s="206">
        <f>SUMIFS(Scoreboard_29[Damage Dealt],Scoreboard_29[Guild],"Undercooked")</f>
        <v>0</v>
      </c>
    </row>
    <row r="9" spans="1:30" ht="22.5" customHeight="1">
      <c r="A9" s="82">
        <v>61</v>
      </c>
      <c r="B9" s="115" t="str">
        <f>VLOOKUP(C9,Lists!I:J,2,FALSE)</f>
        <v>Healer</v>
      </c>
      <c r="C9" s="115" t="str">
        <f>VLOOKUP(E9,Lists!D:E,2,FALSE)</f>
        <v>Wand/Orb</v>
      </c>
      <c r="D9" s="13" t="s">
        <v>34</v>
      </c>
      <c r="E9" s="83" t="s">
        <v>151</v>
      </c>
      <c r="F9" s="13" t="s">
        <v>483</v>
      </c>
      <c r="G9" s="82">
        <v>0</v>
      </c>
      <c r="H9" s="82">
        <v>108</v>
      </c>
      <c r="I9" s="194">
        <f t="shared" si="0"/>
        <v>108</v>
      </c>
      <c r="J9" s="85">
        <v>9812</v>
      </c>
      <c r="K9" s="85">
        <v>408206</v>
      </c>
      <c r="L9" s="85">
        <v>946124</v>
      </c>
      <c r="M9" s="195">
        <f>I9/(HLOOKUP(F9,Team_Composition_23[[#All],[Yellow]:[Red]],10,FALSE)+HLOOKUP(F9,Team_Composition_23[[#All],[Yellow]:[Red]],11,FALSE))</f>
        <v>0.13154689403166869</v>
      </c>
      <c r="N9" s="195">
        <f>J9/HLOOKUP(F9,Team_Composition_23[[#All],[Yellow]:[Red]],6,FALSE)</f>
        <v>5.5606544593337476E-4</v>
      </c>
      <c r="O9" s="195">
        <f>K9/HLOOKUP(F9,Team_Composition_23[[#All],[Yellow]:[Red]],8,FALSE)</f>
        <v>9.2740497771511762E-3</v>
      </c>
      <c r="P9" s="195">
        <f>L9/HLOOKUP(F9,Team_Composition_23[[#All],[Yellow]:[Red]],7,FALSE)</f>
        <v>3.8985827212653291E-2</v>
      </c>
      <c r="R9" s="201" t="s">
        <v>470</v>
      </c>
      <c r="S9" s="202">
        <f>SUMIFS(Scoreboard_29[Amount Healed],Scoreboard_29[Team],"Yellow")</f>
        <v>25291022</v>
      </c>
      <c r="T9" s="203">
        <f>SUMIFS(Scoreboard_29[Amount Healed],Scoreboard_29[Team],"Red")</f>
        <v>21166470</v>
      </c>
      <c r="V9" s="204" t="str">
        <f ca="1">IFERROR(__xludf.DUMMYFUNCTION("""COMPUTED_VALUE"""),"Ryujin")</f>
        <v>Ryujin</v>
      </c>
      <c r="W9" s="116">
        <f ca="1">IFERROR(__xludf.DUMMYFUNCTION("""COMPUTED_VALUE"""),122)</f>
        <v>122</v>
      </c>
      <c r="Y9" s="204" t="str">
        <f ca="1">IFERROR(__xludf.DUMMYFUNCTION("""COMPUTED_VALUE"""),"Ryujin")</f>
        <v>Ryujin</v>
      </c>
      <c r="Z9" s="116">
        <f ca="1">IFERROR(__xludf.DUMMYFUNCTION("""COMPUTED_VALUE"""),3012867)</f>
        <v>3012867</v>
      </c>
      <c r="AB9" s="201" t="s">
        <v>470</v>
      </c>
      <c r="AC9" s="205">
        <f>SUMIFS(Scoreboard_29[Amount Healed],Scoreboard_29[Guild],"FTP")</f>
        <v>0</v>
      </c>
      <c r="AD9" s="206">
        <f>SUMIFS(Scoreboard_25[Amount Healed],Scoreboard_25[Guild],"Undercooked")</f>
        <v>16888010</v>
      </c>
    </row>
    <row r="10" spans="1:30" ht="22.5" customHeight="1">
      <c r="A10" s="82">
        <v>19</v>
      </c>
      <c r="B10" s="115" t="str">
        <f>VLOOKUP(C10,Lists!I:J,2,FALSE)</f>
        <v>Ranged DPS</v>
      </c>
      <c r="C10" s="115" t="str">
        <f>VLOOKUP(E10,Lists!D:E,2,FALSE)</f>
        <v>Crossbow/SnS</v>
      </c>
      <c r="D10" s="13" t="s">
        <v>30</v>
      </c>
      <c r="E10" s="83" t="s">
        <v>405</v>
      </c>
      <c r="F10" s="13" t="s">
        <v>476</v>
      </c>
      <c r="G10" s="82">
        <v>30</v>
      </c>
      <c r="H10" s="82">
        <v>75</v>
      </c>
      <c r="I10" s="194">
        <f t="shared" si="0"/>
        <v>105</v>
      </c>
      <c r="J10" s="85">
        <v>2424717</v>
      </c>
      <c r="K10" s="85">
        <v>594025</v>
      </c>
      <c r="L10" s="85">
        <v>12815</v>
      </c>
      <c r="M10" s="195">
        <f>I10/(HLOOKUP(F10,Team_Composition_23[[#All],[Yellow]:[Red]],10,FALSE)+HLOOKUP(F10,Team_Composition_23[[#All],[Yellow]:[Red]],11,FALSE))</f>
        <v>2.6243439140214948E-2</v>
      </c>
      <c r="N10" s="195">
        <f>J10/HLOOKUP(F10,Team_Composition_23[[#All],[Yellow]:[Red]],6,FALSE)</f>
        <v>5.4655562035093148E-2</v>
      </c>
      <c r="O10" s="195">
        <f>K10/HLOOKUP(F10,Team_Composition_23[[#All],[Yellow]:[Red]],8,FALSE)</f>
        <v>3.3907930599894526E-2</v>
      </c>
      <c r="P10" s="195">
        <f>L10/HLOOKUP(F10,Team_Composition_23[[#All],[Yellow]:[Red]],7,FALSE)</f>
        <v>9.8997479600648102E-4</v>
      </c>
      <c r="R10" s="201" t="s">
        <v>469</v>
      </c>
      <c r="S10" s="202">
        <f>SUMIFS(Scoreboard_29[Damage Taken],Scoreboard_29[Team],"Yellow")</f>
        <v>41211417</v>
      </c>
      <c r="T10" s="203">
        <f>SUMIFS(Scoreboard_29[Damage Taken],Scoreboard_29[Team],"Red")</f>
        <v>33227955</v>
      </c>
      <c r="V10" s="204" t="str">
        <f ca="1">IFERROR(__xludf.DUMMYFUNCTION("""COMPUTED_VALUE"""),"EnoughCrazy")</f>
        <v>EnoughCrazy</v>
      </c>
      <c r="W10" s="116">
        <f ca="1">IFERROR(__xludf.DUMMYFUNCTION("""COMPUTED_VALUE"""),118)</f>
        <v>118</v>
      </c>
      <c r="Y10" s="204" t="str">
        <f ca="1">IFERROR(__xludf.DUMMYFUNCTION("""COMPUTED_VALUE"""),"EnoughCrazy")</f>
        <v>EnoughCrazy</v>
      </c>
      <c r="Z10" s="116">
        <f ca="1">IFERROR(__xludf.DUMMYFUNCTION("""COMPUTED_VALUE"""),2869196)</f>
        <v>2869196</v>
      </c>
      <c r="AB10" s="201" t="s">
        <v>469</v>
      </c>
      <c r="AC10" s="205">
        <f>SUMIFS(Scoreboard_29[Damage Taken],Scoreboard_29[Guild],"FTP")</f>
        <v>0</v>
      </c>
      <c r="AD10" s="206">
        <f>SUMIFS(Scoreboard_29[Damage Taken],Scoreboard_29[Guild],"Undercooked")</f>
        <v>0</v>
      </c>
    </row>
    <row r="11" spans="1:30" ht="22.5" customHeight="1">
      <c r="A11" s="82">
        <v>8</v>
      </c>
      <c r="B11" s="115" t="s">
        <v>39</v>
      </c>
      <c r="C11" s="115" t="s">
        <v>58</v>
      </c>
      <c r="D11" s="13" t="s">
        <v>30</v>
      </c>
      <c r="E11" s="83" t="s">
        <v>412</v>
      </c>
      <c r="F11" s="13" t="s">
        <v>476</v>
      </c>
      <c r="G11" s="82">
        <v>45</v>
      </c>
      <c r="H11" s="82">
        <v>59</v>
      </c>
      <c r="I11" s="194">
        <f t="shared" si="0"/>
        <v>104</v>
      </c>
      <c r="J11" s="85">
        <v>3413994</v>
      </c>
      <c r="K11" s="85">
        <v>858514</v>
      </c>
      <c r="L11" s="85">
        <v>0</v>
      </c>
      <c r="M11" s="195">
        <f>I11/(HLOOKUP(F11,Team_Composition_23[[#All],[Yellow]:[Red]],10,FALSE)+HLOOKUP(F11,Team_Composition_23[[#All],[Yellow]:[Red]],11,FALSE))</f>
        <v>2.5993501624593851E-2</v>
      </c>
      <c r="N11" s="195">
        <f>J11/HLOOKUP(F11,Team_Composition_23[[#All],[Yellow]:[Red]],6,FALSE)</f>
        <v>7.6954861476384986E-2</v>
      </c>
      <c r="O11" s="195">
        <f>K11/HLOOKUP(F11,Team_Composition_23[[#All],[Yellow]:[Red]],8,FALSE)</f>
        <v>4.9005400666702323E-2</v>
      </c>
      <c r="P11" s="195">
        <f>L11/HLOOKUP(F11,Team_Composition_23[[#All],[Yellow]:[Red]],7,FALSE)</f>
        <v>0</v>
      </c>
      <c r="R11" s="201" t="s">
        <v>495</v>
      </c>
      <c r="S11" s="202">
        <f ca="1">IFERROR(DIVIDE(SUMIFS(Scoreboard_29[Amount Healed],Scoreboard_29[Team],"Yellow"), SUMIFS(Scoreboard_29[Damage Taken],Scoreboard_29[Team],"Yellow"))*(100),0)</f>
        <v>0</v>
      </c>
      <c r="T11" s="203">
        <f ca="1">IFERROR(DIVIDE(SUMIFS(Scoreboard_29[Amount Healed],Scoreboard_29[Team],"Red"), SUMIFS(Scoreboard_29[Damage Taken],Scoreboard_29[Team],"Red"))*(100),0)</f>
        <v>0</v>
      </c>
      <c r="V11" s="204" t="str">
        <f ca="1">IFERROR(__xludf.DUMMYFUNCTION("""COMPUTED_VALUE"""),"Nyvri")</f>
        <v>Nyvri</v>
      </c>
      <c r="W11" s="116">
        <f ca="1">IFERROR(__xludf.DUMMYFUNCTION("""COMPUTED_VALUE"""),105)</f>
        <v>105</v>
      </c>
      <c r="Y11" s="204" t="str">
        <f ca="1">IFERROR(__xludf.DUMMYFUNCTION("""COMPUTED_VALUE"""),"K")</f>
        <v>K</v>
      </c>
      <c r="Z11" s="116">
        <f ca="1">IFERROR(__xludf.DUMMYFUNCTION("""COMPUTED_VALUE"""),2843319)</f>
        <v>2843319</v>
      </c>
      <c r="AB11" s="201" t="s">
        <v>495</v>
      </c>
      <c r="AC11" s="205">
        <f ca="1">IFERROR(DIVIDE(SUMIFS(Scoreboard_29[Amount Healed],Scoreboard_29[Guild],"FTP"), SUMIFS(Scoreboard_29[Damage Taken],Scoreboard_29[Guild],"FTP"))*(100),0)</f>
        <v>0</v>
      </c>
      <c r="AD11" s="206">
        <f ca="1">IFERROR(DIVIDE(SUMIFS(Scoreboard_29[Amount Healed],Scoreboard_29[Guild],"Undercooked"), SUMIFS(Scoreboard_29[Damage Taken],Scoreboard_29[Guild],"Undercooked"))*(100),0)</f>
        <v>0</v>
      </c>
    </row>
    <row r="12" spans="1:30" ht="22.5" customHeight="1">
      <c r="A12" s="82">
        <v>62</v>
      </c>
      <c r="B12" s="115" t="str">
        <f>VLOOKUP(C12,Lists!I:J,2,FALSE)</f>
        <v>Healer</v>
      </c>
      <c r="C12" s="115" t="str">
        <f>VLOOKUP(E12,Lists!D:E,2,FALSE)</f>
        <v>Wand/Orb</v>
      </c>
      <c r="D12" s="13" t="s">
        <v>34</v>
      </c>
      <c r="E12" s="83" t="s">
        <v>139</v>
      </c>
      <c r="F12" s="13" t="s">
        <v>483</v>
      </c>
      <c r="G12" s="82">
        <v>0</v>
      </c>
      <c r="H12" s="82">
        <v>104</v>
      </c>
      <c r="I12" s="194">
        <f t="shared" si="0"/>
        <v>104</v>
      </c>
      <c r="J12" s="85">
        <v>8425</v>
      </c>
      <c r="K12" s="85">
        <v>277443</v>
      </c>
      <c r="L12" s="85">
        <v>657627</v>
      </c>
      <c r="M12" s="195">
        <f>I12/(HLOOKUP(F12,Team_Composition_23[[#All],[Yellow]:[Red]],10,FALSE)+HLOOKUP(F12,Team_Composition_23[[#All],[Yellow]:[Red]],11,FALSE))</f>
        <v>0.12667478684531058</v>
      </c>
      <c r="N12" s="195">
        <f>J12/HLOOKUP(F12,Team_Composition_23[[#All],[Yellow]:[Red]],6,FALSE)</f>
        <v>4.7746141275873235E-4</v>
      </c>
      <c r="O12" s="195">
        <f>K12/HLOOKUP(F12,Team_Composition_23[[#All],[Yellow]:[Red]],8,FALSE)</f>
        <v>6.3032395220113226E-3</v>
      </c>
      <c r="P12" s="195">
        <f>L12/HLOOKUP(F12,Team_Composition_23[[#All],[Yellow]:[Red]],7,FALSE)</f>
        <v>2.7098068109862497E-2</v>
      </c>
      <c r="R12" s="201" t="s">
        <v>465</v>
      </c>
      <c r="S12" s="202">
        <f>SUMIFS(Scoreboard_29[Kills],Scoreboard_29[Team],"Yellow")</f>
        <v>516</v>
      </c>
      <c r="T12" s="203">
        <f>SUMIFS(Scoreboard_29[Kills],Scoreboard_29[Team],"Red")</f>
        <v>630</v>
      </c>
      <c r="V12" s="204" t="str">
        <f ca="1">IFERROR(__xludf.DUMMYFUNCTION("""COMPUTED_VALUE"""),"Artayy")</f>
        <v>Artayy</v>
      </c>
      <c r="W12" s="116">
        <f ca="1">IFERROR(__xludf.DUMMYFUNCTION("""COMPUTED_VALUE"""),104)</f>
        <v>104</v>
      </c>
      <c r="Y12" s="204" t="str">
        <f ca="1">IFERROR(__xludf.DUMMYFUNCTION("""COMPUTED_VALUE"""),"SuperSaiyanAndy")</f>
        <v>SuperSaiyanAndy</v>
      </c>
      <c r="Z12" s="116">
        <f ca="1">IFERROR(__xludf.DUMMYFUNCTION("""COMPUTED_VALUE"""),2704465)</f>
        <v>2704465</v>
      </c>
      <c r="AB12" s="201" t="s">
        <v>465</v>
      </c>
      <c r="AC12" s="205">
        <f>SUMIFS(Scoreboard_29[Kills],Scoreboard_29[Guild],"FTP")</f>
        <v>0</v>
      </c>
      <c r="AD12" s="206">
        <f>SUMIFS(Scoreboard_29[Kills],Scoreboard_29[Guild],"Undercooked")</f>
        <v>0</v>
      </c>
    </row>
    <row r="13" spans="1:30" ht="22.5" customHeight="1">
      <c r="A13" s="82">
        <v>13</v>
      </c>
      <c r="B13" s="115" t="str">
        <f>VLOOKUP(C13,Lists!I:J,2,FALSE)</f>
        <v>Ranged DPS</v>
      </c>
      <c r="C13" s="115" t="str">
        <f>VLOOKUP(E13,Lists!D:E,2,FALSE)</f>
        <v>Crossbow/Longbow</v>
      </c>
      <c r="D13" s="13" t="s">
        <v>34</v>
      </c>
      <c r="E13" s="83" t="s">
        <v>51</v>
      </c>
      <c r="F13" s="13" t="s">
        <v>483</v>
      </c>
      <c r="G13" s="82">
        <v>42</v>
      </c>
      <c r="H13" s="82">
        <v>60</v>
      </c>
      <c r="I13" s="194">
        <f t="shared" si="0"/>
        <v>102</v>
      </c>
      <c r="J13" s="85">
        <v>1913875</v>
      </c>
      <c r="K13" s="85">
        <v>541117</v>
      </c>
      <c r="L13" s="85">
        <v>0</v>
      </c>
      <c r="M13" s="195">
        <f>I13/(HLOOKUP(F13,Team_Composition_23[[#All],[Yellow]:[Red]],10,FALSE)+HLOOKUP(F13,Team_Composition_23[[#All],[Yellow]:[Red]],11,FALSE))</f>
        <v>0.12423873325213154</v>
      </c>
      <c r="N13" s="195">
        <f>J13/HLOOKUP(F13,Team_Composition_23[[#All],[Yellow]:[Red]],6,FALSE)</f>
        <v>0.10846308146511797</v>
      </c>
      <c r="O13" s="195">
        <f>K13/HLOOKUP(F13,Team_Composition_23[[#All],[Yellow]:[Red]],8,FALSE)</f>
        <v>1.2293660537235398E-2</v>
      </c>
      <c r="P13" s="195">
        <f>L13/HLOOKUP(F13,Team_Composition_23[[#All],[Yellow]:[Red]],7,FALSE)</f>
        <v>0</v>
      </c>
      <c r="R13" s="201" t="s">
        <v>466</v>
      </c>
      <c r="S13" s="202">
        <f>SUMIFS(Scoreboard_29[Assists],Scoreboard_29[Team],"Yellow")</f>
        <v>2119</v>
      </c>
      <c r="T13" s="203">
        <f>SUMIFS(Scoreboard_29[Assists],Scoreboard_29[Team],"Red")</f>
        <v>2652</v>
      </c>
      <c r="V13" s="204" t="str">
        <f ca="1">IFERROR(__xludf.DUMMYFUNCTION("""COMPUTED_VALUE"""),"Fuji")</f>
        <v>Fuji</v>
      </c>
      <c r="W13" s="116">
        <f ca="1">IFERROR(__xludf.DUMMYFUNCTION("""COMPUTED_VALUE"""),102)</f>
        <v>102</v>
      </c>
      <c r="Y13" s="204" t="str">
        <f ca="1">IFERROR(__xludf.DUMMYFUNCTION("""COMPUTED_VALUE"""),"Nyvri")</f>
        <v>Nyvri</v>
      </c>
      <c r="Z13" s="116">
        <f ca="1">IFERROR(__xludf.DUMMYFUNCTION("""COMPUTED_VALUE"""),2424717)</f>
        <v>2424717</v>
      </c>
      <c r="AB13" s="201" t="s">
        <v>466</v>
      </c>
      <c r="AC13" s="205">
        <f>SUMIFS(Scoreboard_29[Assists],Scoreboard_29[Guild],"FTP")</f>
        <v>0</v>
      </c>
      <c r="AD13" s="206">
        <f>SUMIFS(Scoreboard_29[Assists],Scoreboard_29[Guild],"Undercooked")</f>
        <v>0</v>
      </c>
    </row>
    <row r="14" spans="1:30" ht="22.5" customHeight="1">
      <c r="A14" s="82">
        <v>63</v>
      </c>
      <c r="B14" s="115" t="str">
        <f>VLOOKUP(C14,Lists!I:J,2,FALSE)</f>
        <v>Healer</v>
      </c>
      <c r="C14" s="115" t="str">
        <f>VLOOKUP(E14,Lists!D:E,2,FALSE)</f>
        <v>Wand/Orb</v>
      </c>
      <c r="D14" s="13" t="s">
        <v>34</v>
      </c>
      <c r="E14" s="83" t="s">
        <v>146</v>
      </c>
      <c r="F14" s="13" t="s">
        <v>483</v>
      </c>
      <c r="G14" s="82">
        <v>0</v>
      </c>
      <c r="H14" s="82">
        <v>100</v>
      </c>
      <c r="I14" s="194">
        <f t="shared" si="0"/>
        <v>100</v>
      </c>
      <c r="J14" s="85">
        <v>13287</v>
      </c>
      <c r="K14" s="85">
        <v>238621</v>
      </c>
      <c r="L14" s="85">
        <v>1580110</v>
      </c>
      <c r="M14" s="195">
        <f>I14/(HLOOKUP(F14,Team_Composition_23[[#All],[Yellow]:[Red]],10,FALSE)+HLOOKUP(F14,Team_Composition_23[[#All],[Yellow]:[Red]],11,FALSE))</f>
        <v>0.1218026796589525</v>
      </c>
      <c r="N14" s="195">
        <f>J14/HLOOKUP(F14,Team_Composition_23[[#All],[Yellow]:[Red]],6,FALSE)</f>
        <v>7.53000568703297E-4</v>
      </c>
      <c r="O14" s="195">
        <f>K14/HLOOKUP(F14,Team_Composition_23[[#All],[Yellow]:[Red]],8,FALSE)</f>
        <v>5.421240824176006E-3</v>
      </c>
      <c r="P14" s="195">
        <f>L14/HLOOKUP(F14,Team_Composition_23[[#All],[Yellow]:[Red]],7,FALSE)</f>
        <v>6.5109748232774545E-2</v>
      </c>
      <c r="R14" s="204"/>
      <c r="S14" s="207">
        <f t="shared" ref="S14:T14" si="1">SUM(S4:S7)</f>
        <v>41</v>
      </c>
      <c r="T14" s="207">
        <f t="shared" si="1"/>
        <v>43</v>
      </c>
      <c r="AB14" s="204"/>
      <c r="AC14" s="207"/>
      <c r="AD14" s="207"/>
    </row>
    <row r="15" spans="1:30" ht="22.5" customHeight="1">
      <c r="A15" s="82">
        <v>9</v>
      </c>
      <c r="B15" s="115" t="str">
        <f>VLOOKUP(C15,Lists!I:J,2,FALSE)</f>
        <v>KS</v>
      </c>
      <c r="C15" s="115" t="str">
        <f>VLOOKUP(E15,Lists!D:E,2,FALSE)</f>
        <v>Crossbow/Dagger</v>
      </c>
      <c r="D15" s="13" t="s">
        <v>34</v>
      </c>
      <c r="E15" s="83" t="s">
        <v>504</v>
      </c>
      <c r="F15" s="13" t="s">
        <v>483</v>
      </c>
      <c r="G15" s="82">
        <v>43</v>
      </c>
      <c r="H15" s="82">
        <v>56</v>
      </c>
      <c r="I15" s="194">
        <f t="shared" si="0"/>
        <v>99</v>
      </c>
      <c r="J15" s="85">
        <v>2116812</v>
      </c>
      <c r="K15" s="85">
        <v>634607</v>
      </c>
      <c r="L15" s="85">
        <v>0</v>
      </c>
      <c r="M15" s="195">
        <f>I15/(HLOOKUP(F15,Team_Composition_23[[#All],[Yellow]:[Red]],10,FALSE)+HLOOKUP(F15,Team_Composition_23[[#All],[Yellow]:[Red]],11,FALSE))</f>
        <v>0.12058465286236297</v>
      </c>
      <c r="N15" s="195">
        <f>J15/HLOOKUP(F15,Team_Composition_23[[#All],[Yellow]:[Red]],6,FALSE)</f>
        <v>0.1199639226189481</v>
      </c>
      <c r="O15" s="195">
        <f>K15/HLOOKUP(F15,Team_Composition_23[[#All],[Yellow]:[Red]],8,FALSE)</f>
        <v>1.4417663892565461E-2</v>
      </c>
      <c r="P15" s="195">
        <f>L15/HLOOKUP(F15,Team_Composition_23[[#All],[Yellow]:[Red]],7,FALSE)</f>
        <v>0</v>
      </c>
      <c r="R15" s="232" t="s">
        <v>25</v>
      </c>
      <c r="S15" s="228"/>
      <c r="T15" s="228"/>
      <c r="V15" s="233" t="s">
        <v>496</v>
      </c>
      <c r="W15" s="228"/>
      <c r="Y15" s="233" t="s">
        <v>497</v>
      </c>
      <c r="Z15" s="228"/>
      <c r="AB15" s="232" t="s">
        <v>25</v>
      </c>
      <c r="AC15" s="228"/>
      <c r="AD15" s="228"/>
    </row>
    <row r="16" spans="1:30" ht="22.5" customHeight="1">
      <c r="A16" s="82">
        <v>6</v>
      </c>
      <c r="B16" s="115" t="str">
        <f>VLOOKUP(C16,Lists!I:J,2,FALSE)</f>
        <v>KS</v>
      </c>
      <c r="C16" s="115" t="str">
        <f>VLOOKUP(E16,Lists!D:E,2,FALSE)</f>
        <v>Crossbow/Dagger</v>
      </c>
      <c r="D16" s="13" t="s">
        <v>30</v>
      </c>
      <c r="E16" s="83" t="s">
        <v>229</v>
      </c>
      <c r="F16" s="13" t="s">
        <v>476</v>
      </c>
      <c r="G16" s="82">
        <v>46</v>
      </c>
      <c r="H16" s="82">
        <v>52</v>
      </c>
      <c r="I16" s="194">
        <f t="shared" si="0"/>
        <v>98</v>
      </c>
      <c r="J16" s="85">
        <v>1989326</v>
      </c>
      <c r="K16" s="85">
        <v>620110</v>
      </c>
      <c r="L16" s="85">
        <v>16690</v>
      </c>
      <c r="M16" s="195">
        <f>I16/(HLOOKUP(F16,Team_Composition_23[[#All],[Yellow]:[Red]],10,FALSE)+HLOOKUP(F16,Team_Composition_23[[#All],[Yellow]:[Red]],11,FALSE))</f>
        <v>2.4493876530867282E-2</v>
      </c>
      <c r="N16" s="195">
        <f>J16/HLOOKUP(F16,Team_Composition_23[[#All],[Yellow]:[Red]],6,FALSE)</f>
        <v>4.484141060627847E-2</v>
      </c>
      <c r="O16" s="195">
        <f>K16/HLOOKUP(F16,Team_Composition_23[[#All],[Yellow]:[Red]],8,FALSE)</f>
        <v>3.5396905592021535E-2</v>
      </c>
      <c r="P16" s="195">
        <f>L16/HLOOKUP(F16,Team_Composition_23[[#All],[Yellow]:[Red]],7,FALSE)</f>
        <v>1.2893233979982964E-3</v>
      </c>
      <c r="R16" s="197" t="s">
        <v>482</v>
      </c>
      <c r="S16" s="198" t="s">
        <v>476</v>
      </c>
      <c r="T16" s="198" t="s">
        <v>483</v>
      </c>
      <c r="V16" s="199" t="s">
        <v>1</v>
      </c>
      <c r="W16" s="200" t="s">
        <v>498</v>
      </c>
      <c r="Y16" s="199" t="s">
        <v>1</v>
      </c>
      <c r="Z16" s="200" t="s">
        <v>499</v>
      </c>
      <c r="AB16" s="197" t="s">
        <v>482</v>
      </c>
      <c r="AC16" s="198" t="s">
        <v>7</v>
      </c>
      <c r="AD16" s="198" t="s">
        <v>527</v>
      </c>
    </row>
    <row r="17" spans="1:30" ht="22.5" customHeight="1">
      <c r="A17" s="82">
        <v>4</v>
      </c>
      <c r="B17" s="115" t="str">
        <f>VLOOKUP(C17,Lists!I:J,2,FALSE)</f>
        <v>KS</v>
      </c>
      <c r="C17" s="115" t="str">
        <f>VLOOKUP(E17,Lists!D:E,2,FALSE)</f>
        <v>Greatsword/Dagger</v>
      </c>
      <c r="D17" s="13" t="s">
        <v>30</v>
      </c>
      <c r="E17" s="83" t="s">
        <v>393</v>
      </c>
      <c r="F17" s="13" t="s">
        <v>476</v>
      </c>
      <c r="G17" s="82">
        <v>48</v>
      </c>
      <c r="H17" s="82">
        <v>48</v>
      </c>
      <c r="I17" s="194">
        <f t="shared" si="0"/>
        <v>96</v>
      </c>
      <c r="J17" s="85">
        <v>1734275</v>
      </c>
      <c r="K17" s="85">
        <v>791976</v>
      </c>
      <c r="L17" s="85">
        <v>163892</v>
      </c>
      <c r="M17" s="195">
        <f>I17/(HLOOKUP(F17,Team_Composition_23[[#All],[Yellow]:[Red]],10,FALSE)+HLOOKUP(F17,Team_Composition_23[[#All],[Yellow]:[Red]],11,FALSE))</f>
        <v>2.3994001499625092E-2</v>
      </c>
      <c r="N17" s="195">
        <f>J17/HLOOKUP(F17,Team_Composition_23[[#All],[Yellow]:[Red]],6,FALSE)</f>
        <v>3.9092304317745602E-2</v>
      </c>
      <c r="O17" s="195">
        <f>K17/HLOOKUP(F17,Team_Composition_23[[#All],[Yellow]:[Red]],8,FALSE)</f>
        <v>4.5207301451592213E-2</v>
      </c>
      <c r="P17" s="195">
        <f>L17/HLOOKUP(F17,Team_Composition_23[[#All],[Yellow]:[Red]],7,FALSE)</f>
        <v>1.266086221358519E-2</v>
      </c>
      <c r="R17" s="201" t="s">
        <v>468</v>
      </c>
      <c r="S17" s="202">
        <f>SUMIFS(Scoreboard_29[Damage Dealt],Scoreboard_29[Role],"Melee DPS",Scoreboard_29[Team],"Yellow")</f>
        <v>7629897</v>
      </c>
      <c r="T17" s="203">
        <f>SUMIFS(Scoreboard_29[Damage Dealt],Scoreboard_29[Role],"Melee DPS",Scoreboard_29[Team],"Red")</f>
        <v>6873554</v>
      </c>
      <c r="V17" s="204" t="str">
        <f ca="1">IFERROR(__xludf.DUMMYFUNCTION("query(A1:P238, ""Select E,K Order by K Desc Limit 10"", 0)"),"Foonia")</f>
        <v>Foonia</v>
      </c>
      <c r="W17" s="116">
        <f ca="1">IFERROR(__xludf.DUMMYFUNCTION("""COMPUTED_VALUE"""),2271668)</f>
        <v>2271668</v>
      </c>
      <c r="Y17" s="204" t="str">
        <f ca="1">IFERROR(__xludf.DUMMYFUNCTION("query(A1:P238, ""Select E,L Order by L Desc Limit 10"", 0)"),"Jisoo")</f>
        <v>Jisoo</v>
      </c>
      <c r="Z17" s="116">
        <f ca="1">IFERROR(__xludf.DUMMYFUNCTION("""COMPUTED_VALUE"""),2900617)</f>
        <v>2900617</v>
      </c>
      <c r="AB17" s="201" t="s">
        <v>468</v>
      </c>
      <c r="AC17" s="205">
        <f>SUMIFS(Scoreboard_29[Damage Dealt],Scoreboard_29[Role],"Melee DPS",Scoreboard_29[Guild],"FTP")</f>
        <v>0</v>
      </c>
      <c r="AD17" s="206">
        <f>SUMIFS(Scoreboard_29[Damage Dealt],Scoreboard_29[Role],"Melee DPS",Scoreboard_29[Guild],"Undercooked")</f>
        <v>0</v>
      </c>
    </row>
    <row r="18" spans="1:30" ht="22.5" customHeight="1">
      <c r="A18" s="82">
        <v>46</v>
      </c>
      <c r="B18" s="115" t="str">
        <f>VLOOKUP(C18,Lists!I:J,2,FALSE)</f>
        <v>Healer</v>
      </c>
      <c r="C18" s="115" t="str">
        <f>VLOOKUP(E18,Lists!D:E,2,FALSE)</f>
        <v>Wand/Longbow</v>
      </c>
      <c r="D18" s="13" t="s">
        <v>34</v>
      </c>
      <c r="E18" s="83" t="s">
        <v>149</v>
      </c>
      <c r="F18" s="13" t="s">
        <v>483</v>
      </c>
      <c r="G18" s="82">
        <v>1</v>
      </c>
      <c r="H18" s="82">
        <v>94</v>
      </c>
      <c r="I18" s="194">
        <f t="shared" si="0"/>
        <v>95</v>
      </c>
      <c r="J18" s="85">
        <v>93659</v>
      </c>
      <c r="K18" s="85">
        <v>602471</v>
      </c>
      <c r="L18" s="85">
        <v>2771674</v>
      </c>
      <c r="M18" s="195">
        <f>I18/(HLOOKUP(F18,Team_Composition_23[[#All],[Yellow]:[Red]],10,FALSE)+HLOOKUP(F18,Team_Composition_23[[#All],[Yellow]:[Red]],11,FALSE))</f>
        <v>0.11571254567600488</v>
      </c>
      <c r="N18" s="195">
        <f>J18/HLOOKUP(F18,Team_Composition_23[[#All],[Yellow]:[Red]],6,FALSE)</f>
        <v>5.307840766477165E-3</v>
      </c>
      <c r="O18" s="195">
        <f>K18/HLOOKUP(F18,Team_Composition_23[[#All],[Yellow]:[Red]],8,FALSE)</f>
        <v>1.3687564718034636E-2</v>
      </c>
      <c r="P18" s="195">
        <f>L18/HLOOKUP(F18,Team_Composition_23[[#All],[Yellow]:[Red]],7,FALSE)</f>
        <v>0.11420913501169359</v>
      </c>
      <c r="R18" s="201" t="s">
        <v>469</v>
      </c>
      <c r="S18" s="202">
        <f>SUMIFS(Scoreboard_29[Damage Taken],Scoreboard_29[Role],"Melee DPS",Scoreboard_29[Team],"Yellow")</f>
        <v>7176549</v>
      </c>
      <c r="T18" s="203">
        <f>SUMIFS(Scoreboard_29[Damage Taken],Scoreboard_29[Role],"Melee DPS",Scoreboard_29[Team],"Red")</f>
        <v>2924278</v>
      </c>
      <c r="V18" s="204" t="str">
        <f ca="1">IFERROR(__xludf.DUMMYFUNCTION("""COMPUTED_VALUE"""),"Params")</f>
        <v>Params</v>
      </c>
      <c r="W18" s="116">
        <f ca="1">IFERROR(__xludf.DUMMYFUNCTION("""COMPUTED_VALUE"""),1927923)</f>
        <v>1927923</v>
      </c>
      <c r="Y18" s="204" t="str">
        <f ca="1">IFERROR(__xludf.DUMMYFUNCTION("""COMPUTED_VALUE"""),"apgonzo")</f>
        <v>apgonzo</v>
      </c>
      <c r="Z18" s="116">
        <f ca="1">IFERROR(__xludf.DUMMYFUNCTION("""COMPUTED_VALUE"""),2842722)</f>
        <v>2842722</v>
      </c>
      <c r="AB18" s="201" t="s">
        <v>469</v>
      </c>
      <c r="AC18" s="205">
        <f>SUMIFS(Scoreboard_29[Damage Taken],Scoreboard_29[Role],"Melee DPS",Scoreboard_29[Guild],"FTP")</f>
        <v>0</v>
      </c>
      <c r="AD18" s="206">
        <f>SUMIFS(Scoreboard_29[Damage Taken],Scoreboard_29[Role],"Melee DPS",Scoreboard_29[Guild],"Undercooked")</f>
        <v>0</v>
      </c>
    </row>
    <row r="19" spans="1:30" ht="22.5" customHeight="1">
      <c r="A19" s="82">
        <v>5</v>
      </c>
      <c r="B19" s="115" t="str">
        <f>VLOOKUP(C19,Lists!I:J,2,FALSE)</f>
        <v>KS</v>
      </c>
      <c r="C19" s="115" t="str">
        <f>VLOOKUP(E19,Lists!D:E,2,FALSE)</f>
        <v>Greatsword/Dagger</v>
      </c>
      <c r="D19" s="13" t="s">
        <v>34</v>
      </c>
      <c r="E19" s="83" t="s">
        <v>98</v>
      </c>
      <c r="F19" s="13" t="s">
        <v>483</v>
      </c>
      <c r="G19" s="82">
        <v>48</v>
      </c>
      <c r="H19" s="82">
        <v>46</v>
      </c>
      <c r="I19" s="194">
        <f t="shared" si="0"/>
        <v>94</v>
      </c>
      <c r="J19" s="85">
        <v>1726690</v>
      </c>
      <c r="K19" s="85">
        <v>963851</v>
      </c>
      <c r="L19" s="85">
        <v>17697</v>
      </c>
      <c r="M19" s="195">
        <f>I19/(HLOOKUP(F19,Team_Composition_23[[#All],[Yellow]:[Red]],10,FALSE)+HLOOKUP(F19,Team_Composition_23[[#All],[Yellow]:[Red]],11,FALSE))</f>
        <v>0.11449451887941535</v>
      </c>
      <c r="N19" s="195">
        <f>J19/HLOOKUP(F19,Team_Composition_23[[#All],[Yellow]:[Red]],6,FALSE)</f>
        <v>9.7854937305207793E-2</v>
      </c>
      <c r="O19" s="195">
        <f>K19/HLOOKUP(F19,Team_Composition_23[[#All],[Yellow]:[Red]],8,FALSE)</f>
        <v>2.1897772575015895E-2</v>
      </c>
      <c r="P19" s="195">
        <f>L19/HLOOKUP(F19,Team_Composition_23[[#All],[Yellow]:[Red]],7,FALSE)</f>
        <v>7.2921962045389955E-4</v>
      </c>
      <c r="R19" s="201" t="s">
        <v>470</v>
      </c>
      <c r="S19" s="202">
        <f>SUMIFS(Scoreboard_29[Amount Healed],Scoreboard_29[Role],"Melee DPS",Scoreboard_29[Team],"Yellow")</f>
        <v>541101</v>
      </c>
      <c r="T19" s="203">
        <f>SUMIFS(Scoreboard_29[Amount Healed],Scoreboard_29[Role],"Melee DPS",Scoreboard_29[Team],"Red")</f>
        <v>45772</v>
      </c>
      <c r="V19" s="204" t="str">
        <f ca="1">IFERROR(__xludf.DUMMYFUNCTION("""COMPUTED_VALUE"""),"K")</f>
        <v>K</v>
      </c>
      <c r="W19" s="116">
        <f ca="1">IFERROR(__xludf.DUMMYFUNCTION("""COMPUTED_VALUE"""),1917024)</f>
        <v>1917024</v>
      </c>
      <c r="Y19" s="204" t="str">
        <f ca="1">IFERROR(__xludf.DUMMYFUNCTION("""COMPUTED_VALUE"""),"Z")</f>
        <v>Z</v>
      </c>
      <c r="Z19" s="116">
        <f ca="1">IFERROR(__xludf.DUMMYFUNCTION("""COMPUTED_VALUE"""),2771674)</f>
        <v>2771674</v>
      </c>
      <c r="AB19" s="201" t="s">
        <v>470</v>
      </c>
      <c r="AC19" s="205">
        <f>SUMIFS(Scoreboard_29[Amount Healed],Scoreboard_29[Role],"Melee DPS",Scoreboard_29[Guild],"FTP")</f>
        <v>0</v>
      </c>
      <c r="AD19" s="206">
        <f>SUMIFS(Scoreboard_29[Amount Healed],Scoreboard_29[Role],"Melee DPS",Scoreboard_29[Guild],"Undercooked")</f>
        <v>0</v>
      </c>
    </row>
    <row r="20" spans="1:30" ht="22.5" customHeight="1">
      <c r="A20" s="82">
        <v>18</v>
      </c>
      <c r="B20" s="115" t="str">
        <f>VLOOKUP(C20,Lists!I:J,2,FALSE)</f>
        <v>Ranged DPS</v>
      </c>
      <c r="C20" s="115" t="str">
        <f>VLOOKUP(E20,Lists!D:E,2,FALSE)</f>
        <v>Staff/Orb</v>
      </c>
      <c r="D20" s="13" t="s">
        <v>30</v>
      </c>
      <c r="E20" s="83" t="s">
        <v>397</v>
      </c>
      <c r="F20" s="13" t="s">
        <v>476</v>
      </c>
      <c r="G20" s="82">
        <v>31</v>
      </c>
      <c r="H20" s="82">
        <v>62</v>
      </c>
      <c r="I20" s="194">
        <f t="shared" si="0"/>
        <v>93</v>
      </c>
      <c r="J20" s="85">
        <v>2704465</v>
      </c>
      <c r="K20" s="85">
        <v>1604905</v>
      </c>
      <c r="L20" s="85">
        <v>0</v>
      </c>
      <c r="M20" s="195">
        <f>I20/(HLOOKUP(F20,Team_Composition_23[[#All],[Yellow]:[Red]],10,FALSE)+HLOOKUP(F20,Team_Composition_23[[#All],[Yellow]:[Red]],11,FALSE))</f>
        <v>2.3244188952761809E-2</v>
      </c>
      <c r="N20" s="195">
        <f>J20/HLOOKUP(F20,Team_Composition_23[[#All],[Yellow]:[Red]],6,FALSE)</f>
        <v>6.0961363565000856E-2</v>
      </c>
      <c r="O20" s="195">
        <f>K20/HLOOKUP(F20,Team_Composition_23[[#All],[Yellow]:[Red]],8,FALSE)</f>
        <v>9.1610634837630947E-2</v>
      </c>
      <c r="P20" s="195">
        <f>L20/HLOOKUP(F20,Team_Composition_23[[#All],[Yellow]:[Red]],7,FALSE)</f>
        <v>0</v>
      </c>
      <c r="R20" s="201" t="s">
        <v>465</v>
      </c>
      <c r="S20" s="202">
        <f>SUMIFS(Scoreboard_29[Kills],Scoreboard_29[Role],"Melee DPS",Scoreboard_29[Team],"Yellow")</f>
        <v>107</v>
      </c>
      <c r="T20" s="203">
        <f>SUMIFS(Scoreboard_29[Kills],Scoreboard_29[Role],"Melee DPS",Scoreboard_29[Team],"Red")</f>
        <v>109</v>
      </c>
      <c r="V20" s="204" t="str">
        <f ca="1">IFERROR(__xludf.DUMMYFUNCTION("""COMPUTED_VALUE"""),"Kiefblunt")</f>
        <v>Kiefblunt</v>
      </c>
      <c r="W20" s="116">
        <f ca="1">IFERROR(__xludf.DUMMYFUNCTION("""COMPUTED_VALUE"""),1765444)</f>
        <v>1765444</v>
      </c>
      <c r="Y20" s="204" t="str">
        <f ca="1">IFERROR(__xludf.DUMMYFUNCTION("""COMPUTED_VALUE"""),"Raye")</f>
        <v>Raye</v>
      </c>
      <c r="Z20" s="116">
        <f ca="1">IFERROR(__xludf.DUMMYFUNCTION("""COMPUTED_VALUE"""),2672706)</f>
        <v>2672706</v>
      </c>
      <c r="AB20" s="201" t="s">
        <v>465</v>
      </c>
      <c r="AC20" s="205">
        <f>SUMIFS(Scoreboard_29[Kills],Scoreboard_29[Role],"Melee DPS",Scoreboard_29[Guild],"FTP")</f>
        <v>0</v>
      </c>
      <c r="AD20" s="206">
        <f>SUMIFS(Scoreboard_29[Kills],Scoreboard_29[Role],"Melee DPS",Scoreboard_29[Guild],"Undercooked")</f>
        <v>0</v>
      </c>
    </row>
    <row r="21" spans="1:30" ht="22.5" customHeight="1">
      <c r="A21" s="82">
        <v>33</v>
      </c>
      <c r="B21" s="115" t="str">
        <f>VLOOKUP(C21,Lists!I:J,2,FALSE)</f>
        <v>Ranged DPS</v>
      </c>
      <c r="C21" s="115" t="str">
        <f>VLOOKUP(E21,Lists!D:E,2,FALSE)</f>
        <v>SnS/Wand</v>
      </c>
      <c r="D21" s="13" t="s">
        <v>34</v>
      </c>
      <c r="E21" s="83" t="s">
        <v>162</v>
      </c>
      <c r="F21" s="13" t="s">
        <v>483</v>
      </c>
      <c r="G21" s="82">
        <v>12</v>
      </c>
      <c r="H21" s="82">
        <v>81</v>
      </c>
      <c r="I21" s="194">
        <f t="shared" si="0"/>
        <v>93</v>
      </c>
      <c r="J21" s="85">
        <v>1608659</v>
      </c>
      <c r="K21" s="85">
        <v>701475</v>
      </c>
      <c r="L21" s="85">
        <v>371786</v>
      </c>
      <c r="M21" s="195">
        <f>I21/(HLOOKUP(F21,Team_Composition_23[[#All],[Yellow]:[Red]],10,FALSE)+HLOOKUP(F21,Team_Composition_23[[#All],[Yellow]:[Red]],11,FALSE))</f>
        <v>0.11327649208282582</v>
      </c>
      <c r="N21" s="195">
        <f>J21/HLOOKUP(F21,Team_Composition_23[[#All],[Yellow]:[Red]],6,FALSE)</f>
        <v>9.116588709638572E-2</v>
      </c>
      <c r="O21" s="195">
        <f>K21/HLOOKUP(F21,Team_Composition_23[[#All],[Yellow]:[Red]],8,FALSE)</f>
        <v>1.5936840877956524E-2</v>
      </c>
      <c r="P21" s="195">
        <f>L21/HLOOKUP(F21,Team_Composition_23[[#All],[Yellow]:[Red]],7,FALSE)</f>
        <v>1.5319751698597135E-2</v>
      </c>
      <c r="R21" s="201" t="s">
        <v>466</v>
      </c>
      <c r="S21" s="202">
        <f>SUMIFS(Scoreboard_29[Assists],Scoreboard_29[Role],"Melee DPS",Scoreboard_29[Team],"Yellow")</f>
        <v>324</v>
      </c>
      <c r="T21" s="203">
        <f>SUMIFS(Scoreboard_29[Assists],Scoreboard_29[Role],"Melee DPS",Scoreboard_29[Team],"Red")</f>
        <v>233</v>
      </c>
      <c r="V21" s="204" t="str">
        <f ca="1">IFERROR(__xludf.DUMMYFUNCTION("""COMPUTED_VALUE"""),"SquidyΔ")</f>
        <v>SquidyΔ</v>
      </c>
      <c r="W21" s="116">
        <f ca="1">IFERROR(__xludf.DUMMYFUNCTION("""COMPUTED_VALUE"""),1608722)</f>
        <v>1608722</v>
      </c>
      <c r="Y21" s="204" t="str">
        <f ca="1">IFERROR(__xludf.DUMMYFUNCTION("""COMPUTED_VALUE"""),"Mostley")</f>
        <v>Mostley</v>
      </c>
      <c r="Z21" s="116">
        <f ca="1">IFERROR(__xludf.DUMMYFUNCTION("""COMPUTED_VALUE"""),2452050)</f>
        <v>2452050</v>
      </c>
      <c r="AB21" s="201" t="s">
        <v>466</v>
      </c>
      <c r="AC21" s="205">
        <f>SUMIFS(Scoreboard_29[Assists],Scoreboard_29[Role],"Melee DPS",Scoreboard_29[Guild],"FTP")</f>
        <v>0</v>
      </c>
      <c r="AD21" s="206">
        <f>SUMIFS(Scoreboard_29[Assists],Scoreboard_29[Role],"Melee DPS",Scoreboard_29[Guild],"Undercooked")</f>
        <v>0</v>
      </c>
    </row>
    <row r="22" spans="1:30" ht="22.5" customHeight="1">
      <c r="A22" s="82">
        <v>21</v>
      </c>
      <c r="B22" s="115" t="str">
        <f>VLOOKUP(C22,Lists!I:J,2,FALSE)</f>
        <v>Melee DPS</v>
      </c>
      <c r="C22" s="115" t="str">
        <f>VLOOKUP(E22,Lists!D:E,2,FALSE)</f>
        <v>Greatsword/Spear</v>
      </c>
      <c r="D22" s="13" t="s">
        <v>30</v>
      </c>
      <c r="E22" s="83" t="s">
        <v>398</v>
      </c>
      <c r="F22" s="13" t="s">
        <v>476</v>
      </c>
      <c r="G22" s="82">
        <v>27</v>
      </c>
      <c r="H22" s="82">
        <v>60</v>
      </c>
      <c r="I22" s="194">
        <f t="shared" si="0"/>
        <v>87</v>
      </c>
      <c r="J22" s="85">
        <v>1513474</v>
      </c>
      <c r="K22" s="85">
        <v>1366952</v>
      </c>
      <c r="L22" s="85">
        <v>103857</v>
      </c>
      <c r="M22" s="195">
        <f>I22/(HLOOKUP(F22,Team_Composition_23[[#All],[Yellow]:[Red]],10,FALSE)+HLOOKUP(F22,Team_Composition_23[[#All],[Yellow]:[Red]],11,FALSE))</f>
        <v>2.174456385903524E-2</v>
      </c>
      <c r="N22" s="195">
        <f>J22/HLOOKUP(F22,Team_Composition_23[[#All],[Yellow]:[Red]],6,FALSE)</f>
        <v>3.411522750716911E-2</v>
      </c>
      <c r="O22" s="195">
        <f>K22/HLOOKUP(F22,Team_Composition_23[[#All],[Yellow]:[Red]],8,FALSE)</f>
        <v>7.8027883589726052E-2</v>
      </c>
      <c r="P22" s="195">
        <f>L22/HLOOKUP(F22,Team_Composition_23[[#All],[Yellow]:[Red]],7,FALSE)</f>
        <v>8.0230832921455407E-3</v>
      </c>
      <c r="R22" s="201" t="s">
        <v>24</v>
      </c>
      <c r="S22" s="202">
        <f t="shared" ref="S22:S25" si="2">COUNTIFS(C:C,R22,F:F,"Yellow")</f>
        <v>4</v>
      </c>
      <c r="T22" s="203">
        <f t="shared" ref="T22:T25" si="3">COUNTIFS(C:C,R22,F:F,"Red")</f>
        <v>0</v>
      </c>
      <c r="V22" s="204" t="str">
        <f ca="1">IFERROR(__xludf.DUMMYFUNCTION("""COMPUTED_VALUE"""),"SuperSaiyanAndy")</f>
        <v>SuperSaiyanAndy</v>
      </c>
      <c r="W22" s="116">
        <f ca="1">IFERROR(__xludf.DUMMYFUNCTION("""COMPUTED_VALUE"""),1604905)</f>
        <v>1604905</v>
      </c>
      <c r="Y22" s="204" t="str">
        <f ca="1">IFERROR(__xludf.DUMMYFUNCTION("""COMPUTED_VALUE"""),"ToxicFell")</f>
        <v>ToxicFell</v>
      </c>
      <c r="Z22" s="116">
        <f ca="1">IFERROR(__xludf.DUMMYFUNCTION("""COMPUTED_VALUE"""),2396836)</f>
        <v>2396836</v>
      </c>
      <c r="AB22" s="201" t="s">
        <v>24</v>
      </c>
      <c r="AC22" s="205">
        <f t="shared" ref="AC22:AC25" si="4">COUNTIFS(C:C,AB22,D:D,"FTP")</f>
        <v>0</v>
      </c>
      <c r="AD22" s="206">
        <f t="shared" ref="AD22:AD25" si="5">COUNTIFS(C:C,AB22,D:D,"Undercooked")</f>
        <v>0</v>
      </c>
    </row>
    <row r="23" spans="1:30" ht="22.5" customHeight="1">
      <c r="A23" s="82">
        <v>10</v>
      </c>
      <c r="B23" s="115" t="str">
        <f>VLOOKUP(C23,Lists!I:J,2,FALSE)</f>
        <v>KS</v>
      </c>
      <c r="C23" s="115" t="str">
        <f>VLOOKUP(E23,Lists!D:E,2,FALSE)</f>
        <v>Crossbow/Dagger</v>
      </c>
      <c r="D23" s="13" t="s">
        <v>30</v>
      </c>
      <c r="E23" s="83" t="s">
        <v>401</v>
      </c>
      <c r="F23" s="13" t="s">
        <v>476</v>
      </c>
      <c r="G23" s="82">
        <v>43</v>
      </c>
      <c r="H23" s="82">
        <v>42</v>
      </c>
      <c r="I23" s="194">
        <f t="shared" si="0"/>
        <v>85</v>
      </c>
      <c r="J23" s="85">
        <v>1570780</v>
      </c>
      <c r="K23" s="85">
        <v>495594</v>
      </c>
      <c r="L23" s="85">
        <v>0</v>
      </c>
      <c r="M23" s="195">
        <f>I23/(HLOOKUP(F23,Team_Composition_23[[#All],[Yellow]:[Red]],10,FALSE)+HLOOKUP(F23,Team_Composition_23[[#All],[Yellow]:[Red]],11,FALSE))</f>
        <v>2.1244688827793051E-2</v>
      </c>
      <c r="N23" s="195">
        <f>J23/HLOOKUP(F23,Team_Composition_23[[#All],[Yellow]:[Red]],6,FALSE)</f>
        <v>3.5406962434578394E-2</v>
      </c>
      <c r="O23" s="195">
        <f>K23/HLOOKUP(F23,Team_Composition_23[[#All],[Yellow]:[Red]],8,FALSE)</f>
        <v>2.8289326135640971E-2</v>
      </c>
      <c r="P23" s="195">
        <f>L23/HLOOKUP(F23,Team_Composition_23[[#All],[Yellow]:[Red]],7,FALSE)</f>
        <v>0</v>
      </c>
      <c r="R23" s="201" t="s">
        <v>69</v>
      </c>
      <c r="S23" s="202">
        <f t="shared" si="2"/>
        <v>4</v>
      </c>
      <c r="T23" s="203">
        <f t="shared" si="3"/>
        <v>2</v>
      </c>
      <c r="V23" s="204" t="str">
        <f ca="1">IFERROR(__xludf.DUMMYFUNCTION("""COMPUTED_VALUE"""),"Basileus")</f>
        <v>Basileus</v>
      </c>
      <c r="W23" s="116">
        <f ca="1">IFERROR(__xludf.DUMMYFUNCTION("""COMPUTED_VALUE"""),1596631)</f>
        <v>1596631</v>
      </c>
      <c r="Y23" s="204" t="str">
        <f ca="1">IFERROR(__xludf.DUMMYFUNCTION("""COMPUTED_VALUE"""),"Niyaa")</f>
        <v>Niyaa</v>
      </c>
      <c r="Z23" s="116">
        <f ca="1">IFERROR(__xludf.DUMMYFUNCTION("""COMPUTED_VALUE"""),2002525)</f>
        <v>2002525</v>
      </c>
      <c r="AB23" s="201" t="s">
        <v>69</v>
      </c>
      <c r="AC23" s="205">
        <f t="shared" si="4"/>
        <v>0</v>
      </c>
      <c r="AD23" s="206">
        <f t="shared" si="5"/>
        <v>0</v>
      </c>
    </row>
    <row r="24" spans="1:30" ht="22.5" customHeight="1">
      <c r="A24" s="82">
        <v>22</v>
      </c>
      <c r="B24" s="115" t="str">
        <f>VLOOKUP(C24,Lists!I:J,2,FALSE)</f>
        <v>Ranged DPS</v>
      </c>
      <c r="C24" s="115" t="s">
        <v>43</v>
      </c>
      <c r="D24" s="13" t="s">
        <v>34</v>
      </c>
      <c r="E24" s="83" t="s">
        <v>167</v>
      </c>
      <c r="F24" s="13" t="s">
        <v>483</v>
      </c>
      <c r="G24" s="82">
        <v>25</v>
      </c>
      <c r="H24" s="82">
        <v>60</v>
      </c>
      <c r="I24" s="194">
        <f t="shared" si="0"/>
        <v>85</v>
      </c>
      <c r="J24" s="85">
        <v>1546251</v>
      </c>
      <c r="K24" s="85">
        <v>788523</v>
      </c>
      <c r="L24" s="85">
        <v>48022</v>
      </c>
      <c r="M24" s="195">
        <f>I24/(HLOOKUP(F24,Team_Composition_23[[#All],[Yellow]:[Red]],10,FALSE)+HLOOKUP(F24,Team_Composition_23[[#All],[Yellow]:[Red]],11,FALSE))</f>
        <v>0.10353227771010962</v>
      </c>
      <c r="N24" s="195">
        <f>J24/HLOOKUP(F24,Team_Composition_23[[#All],[Yellow]:[Red]],6,FALSE)</f>
        <v>8.762910230737124E-2</v>
      </c>
      <c r="O24" s="195">
        <f>K24/HLOOKUP(F24,Team_Composition_23[[#All],[Yellow]:[Red]],8,FALSE)</f>
        <v>1.7914488156540023E-2</v>
      </c>
      <c r="P24" s="195">
        <f>L24/HLOOKUP(F24,Team_Composition_23[[#All],[Yellow]:[Red]],7,FALSE)</f>
        <v>1.9787864956454294E-3</v>
      </c>
      <c r="R24" s="201" t="s">
        <v>23</v>
      </c>
      <c r="S24" s="202">
        <f t="shared" si="2"/>
        <v>2</v>
      </c>
      <c r="T24" s="203">
        <f t="shared" si="3"/>
        <v>2</v>
      </c>
      <c r="V24" s="204" t="str">
        <f ca="1">IFERROR(__xludf.DUMMYFUNCTION("""COMPUTED_VALUE"""),"JDAWGGGG")</f>
        <v>JDAWGGGG</v>
      </c>
      <c r="W24" s="116">
        <f ca="1">IFERROR(__xludf.DUMMYFUNCTION("""COMPUTED_VALUE"""),1570497)</f>
        <v>1570497</v>
      </c>
      <c r="Y24" s="204" t="str">
        <f ca="1">IFERROR(__xludf.DUMMYFUNCTION("""COMPUTED_VALUE"""),"Teensy")</f>
        <v>Teensy</v>
      </c>
      <c r="Z24" s="116">
        <f ca="1">IFERROR(__xludf.DUMMYFUNCTION("""COMPUTED_VALUE"""),1983923)</f>
        <v>1983923</v>
      </c>
      <c r="AB24" s="201" t="s">
        <v>23</v>
      </c>
      <c r="AC24" s="205">
        <f t="shared" si="4"/>
        <v>0</v>
      </c>
      <c r="AD24" s="206">
        <f t="shared" si="5"/>
        <v>0</v>
      </c>
    </row>
    <row r="25" spans="1:30" ht="22.5" customHeight="1">
      <c r="A25" s="82">
        <v>28</v>
      </c>
      <c r="B25" s="115" t="str">
        <f>VLOOKUP(C25,Lists!I:J,2,FALSE)</f>
        <v>Ranged DPS</v>
      </c>
      <c r="C25" s="115" t="str">
        <f>VLOOKUP(E25,Lists!D:E,2,FALSE)</f>
        <v>Staff/Dagger</v>
      </c>
      <c r="D25" s="13" t="s">
        <v>34</v>
      </c>
      <c r="E25" s="83" t="s">
        <v>76</v>
      </c>
      <c r="F25" s="13" t="s">
        <v>483</v>
      </c>
      <c r="G25" s="82">
        <v>16</v>
      </c>
      <c r="H25" s="82">
        <v>69</v>
      </c>
      <c r="I25" s="194">
        <f t="shared" si="0"/>
        <v>85</v>
      </c>
      <c r="J25" s="85">
        <v>1499687</v>
      </c>
      <c r="K25" s="85">
        <v>1765444</v>
      </c>
      <c r="L25" s="85">
        <v>31821</v>
      </c>
      <c r="M25" s="195">
        <f>I25/(HLOOKUP(F25,Team_Composition_23[[#All],[Yellow]:[Red]],10,FALSE)+HLOOKUP(F25,Team_Composition_23[[#All],[Yellow]:[Red]],11,FALSE))</f>
        <v>0.10353227771010962</v>
      </c>
      <c r="N25" s="195">
        <f>J25/HLOOKUP(F25,Team_Composition_23[[#All],[Yellow]:[Red]],6,FALSE)</f>
        <v>8.499022833423206E-2</v>
      </c>
      <c r="O25" s="195">
        <f>K25/HLOOKUP(F25,Team_Composition_23[[#All],[Yellow]:[Red]],8,FALSE)</f>
        <v>4.0109198627097303E-2</v>
      </c>
      <c r="P25" s="195">
        <f>L25/HLOOKUP(F25,Team_Composition_23[[#All],[Yellow]:[Red]],7,FALSE)</f>
        <v>1.3112108008398902E-3</v>
      </c>
      <c r="R25" s="201" t="s">
        <v>33</v>
      </c>
      <c r="S25" s="202">
        <f t="shared" si="2"/>
        <v>0</v>
      </c>
      <c r="T25" s="203">
        <f t="shared" si="3"/>
        <v>0</v>
      </c>
      <c r="V25" s="204" t="str">
        <f ca="1">IFERROR(__xludf.DUMMYFUNCTION("""COMPUTED_VALUE"""),"DiegoLASCR")</f>
        <v>DiegoLASCR</v>
      </c>
      <c r="W25" s="116">
        <f ca="1">IFERROR(__xludf.DUMMYFUNCTION("""COMPUTED_VALUE"""),1550631)</f>
        <v>1550631</v>
      </c>
      <c r="Y25" s="204" t="str">
        <f ca="1">IFERROR(__xludf.DUMMYFUNCTION("""COMPUTED_VALUE"""),"Boharding")</f>
        <v>Boharding</v>
      </c>
      <c r="Z25" s="116">
        <f ca="1">IFERROR(__xludf.DUMMYFUNCTION("""COMPUTED_VALUE"""),1612220)</f>
        <v>1612220</v>
      </c>
      <c r="AB25" s="201" t="s">
        <v>33</v>
      </c>
      <c r="AC25" s="205">
        <f t="shared" si="4"/>
        <v>0</v>
      </c>
      <c r="AD25" s="206">
        <f t="shared" si="5"/>
        <v>0</v>
      </c>
    </row>
    <row r="26" spans="1:30" ht="22.5" customHeight="1">
      <c r="A26" s="82">
        <v>64</v>
      </c>
      <c r="B26" s="115" t="str">
        <f>VLOOKUP(C26,Lists!I:J,2,FALSE)</f>
        <v>Healer</v>
      </c>
      <c r="C26" s="115" t="str">
        <f>VLOOKUP(E26,Lists!D:E,2,FALSE)</f>
        <v>Wand/Orb</v>
      </c>
      <c r="D26" s="13" t="s">
        <v>30</v>
      </c>
      <c r="E26" s="83" t="s">
        <v>200</v>
      </c>
      <c r="F26" s="13" t="s">
        <v>476</v>
      </c>
      <c r="G26" s="82">
        <v>0</v>
      </c>
      <c r="H26" s="82">
        <v>84</v>
      </c>
      <c r="I26" s="194">
        <f t="shared" si="0"/>
        <v>84</v>
      </c>
      <c r="J26" s="85">
        <v>458</v>
      </c>
      <c r="K26" s="85">
        <v>454486</v>
      </c>
      <c r="L26" s="85">
        <v>739710</v>
      </c>
      <c r="M26" s="195">
        <f>I26/(HLOOKUP(F26,Team_Composition_23[[#All],[Yellow]:[Red]],10,FALSE)+HLOOKUP(F26,Team_Composition_23[[#All],[Yellow]:[Red]],11,FALSE))</f>
        <v>2.0994751312171957E-2</v>
      </c>
      <c r="N26" s="195">
        <f>J26/HLOOKUP(F26,Team_Composition_23[[#All],[Yellow]:[Red]],6,FALSE)</f>
        <v>1.0323781048292507E-5</v>
      </c>
      <c r="O26" s="195">
        <f>K26/HLOOKUP(F26,Team_Composition_23[[#All],[Yellow]:[Red]],8,FALSE)</f>
        <v>2.5942813428094208E-2</v>
      </c>
      <c r="P26" s="195">
        <f>L26/HLOOKUP(F26,Team_Composition_23[[#All],[Yellow]:[Red]],7,FALSE)</f>
        <v>5.714352371080407E-2</v>
      </c>
      <c r="R26" s="204"/>
      <c r="S26" s="208"/>
      <c r="T26" s="208"/>
      <c r="V26" s="204" t="str">
        <f ca="1">IFERROR(__xludf.DUMMYFUNCTION("""COMPUTED_VALUE"""),"Anrenn")</f>
        <v>Anrenn</v>
      </c>
      <c r="W26" s="116">
        <f ca="1">IFERROR(__xludf.DUMMYFUNCTION("""COMPUTED_VALUE"""),1491661)</f>
        <v>1491661</v>
      </c>
      <c r="Y26" s="204" t="str">
        <f ca="1">IFERROR(__xludf.DUMMYFUNCTION("""COMPUTED_VALUE"""),"Dusk")</f>
        <v>Dusk</v>
      </c>
      <c r="Z26" s="116">
        <f ca="1">IFERROR(__xludf.DUMMYFUNCTION("""COMPUTED_VALUE"""),1580110)</f>
        <v>1580110</v>
      </c>
      <c r="AB26" s="204"/>
      <c r="AC26" s="208"/>
      <c r="AD26" s="208"/>
    </row>
    <row r="27" spans="1:30" ht="22.5" customHeight="1">
      <c r="A27" s="82">
        <v>16</v>
      </c>
      <c r="B27" s="115" t="str">
        <f>VLOOKUP(C27,Lists!I:J,2,FALSE)</f>
        <v>KS</v>
      </c>
      <c r="C27" s="115" t="str">
        <f>VLOOKUP(E27,Lists!D:E,2,FALSE)</f>
        <v>Greatsword/Dagger</v>
      </c>
      <c r="D27" s="13" t="s">
        <v>30</v>
      </c>
      <c r="E27" s="83" t="s">
        <v>394</v>
      </c>
      <c r="F27" s="13" t="s">
        <v>476</v>
      </c>
      <c r="G27" s="82">
        <v>38</v>
      </c>
      <c r="H27" s="82">
        <v>44</v>
      </c>
      <c r="I27" s="194">
        <f t="shared" si="0"/>
        <v>82</v>
      </c>
      <c r="J27" s="85">
        <v>1575964</v>
      </c>
      <c r="K27" s="85">
        <v>1484207</v>
      </c>
      <c r="L27" s="85">
        <v>34870</v>
      </c>
      <c r="M27" s="195">
        <f>I27/(HLOOKUP(F27,Team_Composition_23[[#All],[Yellow]:[Red]],10,FALSE)+HLOOKUP(F27,Team_Composition_23[[#All],[Yellow]:[Red]],11,FALSE))</f>
        <v>2.0494876280929768E-2</v>
      </c>
      <c r="N27" s="195">
        <f>J27/HLOOKUP(F27,Team_Composition_23[[#All],[Yellow]:[Red]],6,FALSE)</f>
        <v>3.5523815013081335E-2</v>
      </c>
      <c r="O27" s="195">
        <f>K27/HLOOKUP(F27,Team_Composition_23[[#All],[Yellow]:[Red]],8,FALSE)</f>
        <v>8.4720993143180254E-2</v>
      </c>
      <c r="P27" s="195">
        <f>L27/HLOOKUP(F27,Team_Composition_23[[#All],[Yellow]:[Red]],7,FALSE)</f>
        <v>2.6937511616657037E-3</v>
      </c>
      <c r="R27" s="6"/>
      <c r="S27" s="209"/>
      <c r="T27" s="209"/>
      <c r="AB27" s="6"/>
      <c r="AC27" s="209"/>
      <c r="AD27" s="209"/>
    </row>
    <row r="28" spans="1:30" ht="22.5" customHeight="1">
      <c r="A28" s="82">
        <v>23</v>
      </c>
      <c r="B28" s="115" t="str">
        <f>VLOOKUP(C28,Lists!I:J,2,FALSE)</f>
        <v>Ranged DPS</v>
      </c>
      <c r="C28" s="115" t="str">
        <f>VLOOKUP(E28,Lists!D:E,2,FALSE)</f>
        <v>Crossbow/SnS</v>
      </c>
      <c r="D28" s="13" t="s">
        <v>30</v>
      </c>
      <c r="E28" s="83" t="s">
        <v>399</v>
      </c>
      <c r="F28" s="13" t="s">
        <v>476</v>
      </c>
      <c r="G28" s="82">
        <v>21</v>
      </c>
      <c r="H28" s="82">
        <v>59</v>
      </c>
      <c r="I28" s="194">
        <f t="shared" si="0"/>
        <v>80</v>
      </c>
      <c r="J28" s="85">
        <v>1752133</v>
      </c>
      <c r="K28" s="85">
        <v>1428500</v>
      </c>
      <c r="L28" s="85">
        <v>30602</v>
      </c>
      <c r="M28" s="195">
        <f>I28/(HLOOKUP(F28,Team_Composition_23[[#All],[Yellow]:[Red]],10,FALSE)+HLOOKUP(F28,Team_Composition_23[[#All],[Yellow]:[Red]],11,FALSE))</f>
        <v>1.9995001249687578E-2</v>
      </c>
      <c r="N28" s="195">
        <f>J28/HLOOKUP(F28,Team_Composition_23[[#All],[Yellow]:[Red]],6,FALSE)</f>
        <v>3.9494841614602386E-2</v>
      </c>
      <c r="O28" s="195">
        <f>K28/HLOOKUP(F28,Team_Composition_23[[#All],[Yellow]:[Red]],8,FALSE)</f>
        <v>8.1541145342282448E-2</v>
      </c>
      <c r="P28" s="195">
        <f>L28/HLOOKUP(F28,Team_Composition_23[[#All],[Yellow]:[Red]],7,FALSE)</f>
        <v>2.3640428175880088E-3</v>
      </c>
      <c r="R28" s="232" t="s">
        <v>39</v>
      </c>
      <c r="S28" s="228"/>
      <c r="T28" s="228"/>
      <c r="AB28" s="232" t="s">
        <v>39</v>
      </c>
      <c r="AC28" s="228"/>
      <c r="AD28" s="228"/>
    </row>
    <row r="29" spans="1:30" ht="22.5" customHeight="1">
      <c r="A29" s="82">
        <v>39</v>
      </c>
      <c r="B29" s="115" t="str">
        <f>VLOOKUP(C29,Lists!I:J,2,FALSE)</f>
        <v>Tank</v>
      </c>
      <c r="C29" s="115" t="str">
        <f>VLOOKUP(E29,Lists!D:E,2,FALSE)</f>
        <v>SnS/Greatsword</v>
      </c>
      <c r="D29" s="13" t="s">
        <v>34</v>
      </c>
      <c r="E29" s="83" t="s">
        <v>55</v>
      </c>
      <c r="F29" s="13" t="s">
        <v>483</v>
      </c>
      <c r="G29" s="82">
        <v>3</v>
      </c>
      <c r="H29" s="82">
        <v>77</v>
      </c>
      <c r="I29" s="194">
        <f t="shared" si="0"/>
        <v>80</v>
      </c>
      <c r="J29" s="85">
        <v>179157</v>
      </c>
      <c r="K29" s="85">
        <v>288726</v>
      </c>
      <c r="L29" s="85">
        <v>27527</v>
      </c>
      <c r="M29" s="195">
        <f>I29/(HLOOKUP(F29,Team_Composition_23[[#All],[Yellow]:[Red]],10,FALSE)+HLOOKUP(F29,Team_Composition_23[[#All],[Yellow]:[Red]],11,FALSE))</f>
        <v>9.7442143727161992E-2</v>
      </c>
      <c r="N29" s="195">
        <f>J29/HLOOKUP(F29,Team_Composition_23[[#All],[Yellow]:[Red]],6,FALSE)</f>
        <v>1.0153181522328334E-2</v>
      </c>
      <c r="O29" s="195">
        <f>K29/HLOOKUP(F29,Team_Composition_23[[#All],[Yellow]:[Red]],8,FALSE)</f>
        <v>6.5595784872288761E-3</v>
      </c>
      <c r="P29" s="195">
        <f>L29/HLOOKUP(F29,Team_Composition_23[[#All],[Yellow]:[Red]],7,FALSE)</f>
        <v>1.1342729554294226E-3</v>
      </c>
      <c r="R29" s="197" t="s">
        <v>482</v>
      </c>
      <c r="S29" s="198" t="s">
        <v>476</v>
      </c>
      <c r="T29" s="198" t="s">
        <v>483</v>
      </c>
      <c r="AB29" s="197" t="s">
        <v>482</v>
      </c>
      <c r="AC29" s="198" t="s">
        <v>7</v>
      </c>
      <c r="AD29" s="198" t="s">
        <v>527</v>
      </c>
    </row>
    <row r="30" spans="1:30" ht="22.5" customHeight="1">
      <c r="A30" s="82">
        <v>17</v>
      </c>
      <c r="B30" s="115" t="str">
        <f>VLOOKUP(C30,Lists!I:J,2,FALSE)</f>
        <v>Melee DPS</v>
      </c>
      <c r="C30" s="115" t="str">
        <f>VLOOKUP(E30,Lists!D:E,2,FALSE)</f>
        <v>Spear/Dagger</v>
      </c>
      <c r="D30" s="13" t="s">
        <v>30</v>
      </c>
      <c r="E30" s="83" t="s">
        <v>228</v>
      </c>
      <c r="F30" s="13" t="s">
        <v>476</v>
      </c>
      <c r="G30" s="82">
        <v>32</v>
      </c>
      <c r="H30" s="82">
        <v>47</v>
      </c>
      <c r="I30" s="194">
        <f t="shared" si="0"/>
        <v>79</v>
      </c>
      <c r="J30" s="85">
        <v>1589017</v>
      </c>
      <c r="K30" s="85">
        <v>629255</v>
      </c>
      <c r="L30" s="85">
        <v>6964</v>
      </c>
      <c r="M30" s="195">
        <f>I30/(HLOOKUP(F30,Team_Composition_23[[#All],[Yellow]:[Red]],10,FALSE)+HLOOKUP(F30,Team_Composition_23[[#All],[Yellow]:[Red]],11,FALSE))</f>
        <v>1.9745063734066485E-2</v>
      </c>
      <c r="N30" s="195">
        <f>J30/HLOOKUP(F30,Team_Composition_23[[#All],[Yellow]:[Red]],6,FALSE)</f>
        <v>3.5818042772957671E-2</v>
      </c>
      <c r="O30" s="195">
        <f>K30/HLOOKUP(F30,Team_Composition_23[[#All],[Yellow]:[Red]],8,FALSE)</f>
        <v>3.5918917334517284E-2</v>
      </c>
      <c r="P30" s="195">
        <f>L30/HLOOKUP(F30,Team_Composition_23[[#All],[Yellow]:[Red]],7,FALSE)</f>
        <v>5.379777198118716E-4</v>
      </c>
      <c r="R30" s="201" t="s">
        <v>468</v>
      </c>
      <c r="S30" s="202">
        <f>SUMIFS(Scoreboard_29[Damage Dealt],Scoreboard_29[Role],"Ranged DPS",Scoreboard_29[Team],"Yellow")</f>
        <v>13149522</v>
      </c>
      <c r="T30" s="203">
        <f>SUMIFS(Scoreboard_29[Damage Dealt],Scoreboard_29[Role],"Ranged DPS",Scoreboard_29[Team],"Red")</f>
        <v>23851225</v>
      </c>
      <c r="AB30" s="201" t="s">
        <v>468</v>
      </c>
      <c r="AC30" s="205">
        <f>SUMIFS(Scoreboard_29[Damage Dealt],Scoreboard_29[Role],"Ranged DPS",Scoreboard_29[Guild],"FTP")</f>
        <v>0</v>
      </c>
      <c r="AD30" s="206">
        <f>SUMIFS(Scoreboard_29[Damage Dealt],Scoreboard_29[Role],"Ranged DPS",Scoreboard_29[Guild],"Undercooked")</f>
        <v>0</v>
      </c>
    </row>
    <row r="31" spans="1:30" ht="22.5" customHeight="1">
      <c r="A31" s="82">
        <v>31</v>
      </c>
      <c r="B31" s="115" t="str">
        <f>VLOOKUP(C31,Lists!I:J,2,FALSE)</f>
        <v>Melee DPS</v>
      </c>
      <c r="C31" s="115" t="str">
        <f>VLOOKUP(E31,Lists!D:E,2,FALSE)</f>
        <v>Spear/Dagger</v>
      </c>
      <c r="D31" s="13" t="s">
        <v>30</v>
      </c>
      <c r="E31" s="83" t="s">
        <v>217</v>
      </c>
      <c r="F31" s="13" t="s">
        <v>476</v>
      </c>
      <c r="G31" s="82">
        <v>15</v>
      </c>
      <c r="H31" s="82">
        <v>64</v>
      </c>
      <c r="I31" s="194">
        <f t="shared" si="0"/>
        <v>79</v>
      </c>
      <c r="J31" s="85">
        <v>1563222</v>
      </c>
      <c r="K31" s="85">
        <v>1491661</v>
      </c>
      <c r="L31" s="85">
        <v>0</v>
      </c>
      <c r="M31" s="195">
        <f>I31/(HLOOKUP(F31,Team_Composition_23[[#All],[Yellow]:[Red]],10,FALSE)+HLOOKUP(F31,Team_Composition_23[[#All],[Yellow]:[Red]],11,FALSE))</f>
        <v>1.9745063734066485E-2</v>
      </c>
      <c r="N31" s="195">
        <f>J31/HLOOKUP(F31,Team_Composition_23[[#All],[Yellow]:[Red]],6,FALSE)</f>
        <v>3.5236597506274912E-2</v>
      </c>
      <c r="O31" s="195">
        <f>K31/HLOOKUP(F31,Team_Composition_23[[#All],[Yellow]:[Red]],8,FALSE)</f>
        <v>8.5146479805680339E-2</v>
      </c>
      <c r="P31" s="195">
        <f>L31/HLOOKUP(F31,Team_Composition_23[[#All],[Yellow]:[Red]],7,FALSE)</f>
        <v>0</v>
      </c>
      <c r="R31" s="201" t="s">
        <v>469</v>
      </c>
      <c r="S31" s="202">
        <f>SUMIFS(Scoreboard_29[Damage Taken],Scoreboard_29[Role],"Ranged DPS",Scoreboard_29[Team],"Yellow")</f>
        <v>7421369</v>
      </c>
      <c r="T31" s="203">
        <f>SUMIFS(Scoreboard_29[Damage Taken],Scoreboard_29[Role],"Ranged DPS",Scoreboard_29[Team],"Red")</f>
        <v>8707893</v>
      </c>
      <c r="AB31" s="201" t="s">
        <v>469</v>
      </c>
      <c r="AC31" s="205">
        <f>SUMIFS(Scoreboard_29[Damage Taken],Scoreboard_29[Role],"Ranged DPS",Scoreboard_29[Guild],"FTP")</f>
        <v>0</v>
      </c>
      <c r="AD31" s="206">
        <f>SUMIFS(Scoreboard_29[Damage Taken],Scoreboard_29[Role],"Ranged DPS",Scoreboard_29[Guild],"Undercooked")</f>
        <v>0</v>
      </c>
    </row>
    <row r="32" spans="1:30" ht="22.5" customHeight="1">
      <c r="A32" s="82">
        <v>38</v>
      </c>
      <c r="B32" s="115" t="str">
        <f>VLOOKUP(C32,Lists!I:J,2,FALSE)</f>
        <v>Tank</v>
      </c>
      <c r="C32" s="115" t="str">
        <f>VLOOKUP(E32,Lists!D:E,2,FALSE)</f>
        <v>SnS/Greatsword</v>
      </c>
      <c r="D32" s="13" t="s">
        <v>30</v>
      </c>
      <c r="E32" s="83" t="s">
        <v>215</v>
      </c>
      <c r="F32" s="13" t="s">
        <v>476</v>
      </c>
      <c r="G32" s="82">
        <v>5</v>
      </c>
      <c r="H32" s="82">
        <v>73</v>
      </c>
      <c r="I32" s="194">
        <f t="shared" si="0"/>
        <v>78</v>
      </c>
      <c r="J32" s="85">
        <v>624755</v>
      </c>
      <c r="K32" s="85">
        <v>1000471</v>
      </c>
      <c r="L32" s="85">
        <v>170907</v>
      </c>
      <c r="M32" s="195">
        <f>I32/(HLOOKUP(F32,Team_Composition_23[[#All],[Yellow]:[Red]],10,FALSE)+HLOOKUP(F32,Team_Composition_23[[#All],[Yellow]:[Red]],11,FALSE))</f>
        <v>1.9495126218445388E-2</v>
      </c>
      <c r="N32" s="195">
        <f>J32/HLOOKUP(F32,Team_Composition_23[[#All],[Yellow]:[Red]],6,FALSE)</f>
        <v>1.4082606613157172E-2</v>
      </c>
      <c r="O32" s="195">
        <f>K32/HLOOKUP(F32,Team_Composition_23[[#All],[Yellow]:[Red]],8,FALSE)</f>
        <v>5.7108541282281176E-2</v>
      </c>
      <c r="P32" s="195">
        <f>L32/HLOOKUP(F32,Team_Composition_23[[#All],[Yellow]:[Red]],7,FALSE)</f>
        <v>1.3202779747255533E-2</v>
      </c>
      <c r="R32" s="201" t="s">
        <v>470</v>
      </c>
      <c r="S32" s="202">
        <f>SUMIFS(Scoreboard_29[Amount Healed],Scoreboard_29[Role],"Ranged DPS",Scoreboard_29[Team],"Yellow")</f>
        <v>726565</v>
      </c>
      <c r="T32" s="203">
        <f>SUMIFS(Scoreboard_29[Amount Healed],Scoreboard_29[Role],"Ranged DPS",Scoreboard_29[Team],"Red")</f>
        <v>510241</v>
      </c>
      <c r="AB32" s="201" t="s">
        <v>470</v>
      </c>
      <c r="AC32" s="205">
        <f>SUMIFS(Scoreboard_29[Amount Healed],Scoreboard_29[Role],"Ranged DPS",Scoreboard_29[Guild],"FTP")</f>
        <v>0</v>
      </c>
      <c r="AD32" s="206">
        <f>SUMIFS(Scoreboard_29[Amount Healed],Scoreboard_29[Role],"Ranged DPS",Scoreboard_29[Guild],"Undercooked")</f>
        <v>0</v>
      </c>
    </row>
    <row r="33" spans="1:30" ht="22.5" customHeight="1">
      <c r="A33" s="82">
        <v>65</v>
      </c>
      <c r="B33" s="115" t="str">
        <f>VLOOKUP(C33,Lists!I:J,2,FALSE)</f>
        <v>Healer</v>
      </c>
      <c r="C33" s="115" t="str">
        <f>VLOOKUP(E33,Lists!D:E,2,FALSE)</f>
        <v>Wand/Longbow</v>
      </c>
      <c r="D33" s="13" t="s">
        <v>34</v>
      </c>
      <c r="E33" s="83" t="s">
        <v>108</v>
      </c>
      <c r="F33" s="13" t="s">
        <v>483</v>
      </c>
      <c r="G33" s="82">
        <v>0</v>
      </c>
      <c r="H33" s="82">
        <v>74</v>
      </c>
      <c r="I33" s="194">
        <f t="shared" si="0"/>
        <v>74</v>
      </c>
      <c r="J33" s="85">
        <v>18748</v>
      </c>
      <c r="K33" s="85">
        <v>671570</v>
      </c>
      <c r="L33" s="85">
        <v>1983923</v>
      </c>
      <c r="M33" s="195">
        <f>I33/(HLOOKUP(F33,Team_Composition_23[[#All],[Yellow]:[Red]],10,FALSE)+HLOOKUP(F33,Team_Composition_23[[#All],[Yellow]:[Red]],11,FALSE))</f>
        <v>9.0133982947624841E-2</v>
      </c>
      <c r="N33" s="195">
        <f>J33/HLOOKUP(F33,Team_Composition_23[[#All],[Yellow]:[Red]],6,FALSE)</f>
        <v>1.0624862393353964E-3</v>
      </c>
      <c r="O33" s="195">
        <f>K33/HLOOKUP(F33,Team_Composition_23[[#All],[Yellow]:[Red]],8,FALSE)</f>
        <v>1.5257427888961493E-2</v>
      </c>
      <c r="P33" s="195">
        <f>L33/HLOOKUP(F33,Team_Composition_23[[#All],[Yellow]:[Red]],7,FALSE)</f>
        <v>8.1749199133738015E-2</v>
      </c>
      <c r="R33" s="201" t="s">
        <v>465</v>
      </c>
      <c r="S33" s="202">
        <f>SUMIFS(Scoreboard_29[Kills],Scoreboard_29[Role],"Ranged DPS",Scoreboard_29[Team],"Yellow")</f>
        <v>163</v>
      </c>
      <c r="T33" s="203">
        <f>SUMIFS(Scoreboard_29[Kills],Scoreboard_29[Role],"Ranged DPS",Scoreboard_29[Team],"Red")</f>
        <v>311</v>
      </c>
      <c r="AB33" s="201" t="s">
        <v>465</v>
      </c>
      <c r="AC33" s="205">
        <f>SUMIFS(Scoreboard_29[Kills],Scoreboard_29[Role],"Ranged DPS",Scoreboard_29[Guild],"FTP")</f>
        <v>0</v>
      </c>
      <c r="AD33" s="206">
        <f>SUMIFS(Scoreboard_29[Kills],Scoreboard_29[Role],"Ranged DPS",Scoreboard_29[Guild],"Undercooked")</f>
        <v>0</v>
      </c>
    </row>
    <row r="34" spans="1:30" ht="22.5" customHeight="1">
      <c r="A34" s="82">
        <v>20</v>
      </c>
      <c r="B34" s="115" t="str">
        <f>VLOOKUP(C34,Lists!I:J,2,FALSE)</f>
        <v>Ranged DPS</v>
      </c>
      <c r="C34" s="115" t="str">
        <f>VLOOKUP(E34,Lists!D:E,2,FALSE)</f>
        <v>Staff/Longbow</v>
      </c>
      <c r="D34" s="13" t="s">
        <v>30</v>
      </c>
      <c r="E34" s="83" t="s">
        <v>224</v>
      </c>
      <c r="F34" s="13" t="s">
        <v>476</v>
      </c>
      <c r="G34" s="82">
        <v>28</v>
      </c>
      <c r="H34" s="82">
        <v>45</v>
      </c>
      <c r="I34" s="194">
        <f t="shared" si="0"/>
        <v>73</v>
      </c>
      <c r="J34" s="85">
        <v>1941546</v>
      </c>
      <c r="K34" s="85">
        <v>985479</v>
      </c>
      <c r="L34" s="85">
        <v>87438</v>
      </c>
      <c r="M34" s="195">
        <f>I34/(HLOOKUP(F34,Team_Composition_23[[#All],[Yellow]:[Red]],10,FALSE)+HLOOKUP(F34,Team_Composition_23[[#All],[Yellow]:[Red]],11,FALSE))</f>
        <v>1.8245438640339916E-2</v>
      </c>
      <c r="N34" s="195">
        <f>J34/HLOOKUP(F34,Team_Composition_23[[#All],[Yellow]:[Red]],6,FALSE)</f>
        <v>4.3764401308271007E-2</v>
      </c>
      <c r="O34" s="195">
        <f>K34/HLOOKUP(F34,Team_Composition_23[[#All],[Yellow]:[Red]],8,FALSE)</f>
        <v>5.6252773098191919E-2</v>
      </c>
      <c r="P34" s="195">
        <f>L34/HLOOKUP(F34,Team_Composition_23[[#All],[Yellow]:[Red]],7,FALSE)</f>
        <v>6.7546949834736397E-3</v>
      </c>
      <c r="R34" s="201" t="s">
        <v>466</v>
      </c>
      <c r="S34" s="202">
        <f>SUMIFS(Scoreboard_29[Assists],Scoreboard_29[Role],"Ranged DPS",Scoreboard_29[Team],"Yellow")</f>
        <v>356</v>
      </c>
      <c r="T34" s="203">
        <f>SUMIFS(Scoreboard_29[Assists],Scoreboard_29[Role],"Ranged DPS",Scoreboard_29[Team],"Red")</f>
        <v>798</v>
      </c>
      <c r="AB34" s="201" t="s">
        <v>466</v>
      </c>
      <c r="AC34" s="205">
        <f>SUMIFS(Scoreboard_29[Assists],Scoreboard_29[Role],"Ranged DPS",Scoreboard_29[Guild],"FTP")</f>
        <v>0</v>
      </c>
      <c r="AD34" s="206">
        <f>SUMIFS(Scoreboard_29[Assists],Scoreboard_29[Role],"Ranged DPS",Scoreboard_29[Team],"Red")</f>
        <v>798</v>
      </c>
    </row>
    <row r="35" spans="1:30" ht="22.5" customHeight="1">
      <c r="A35" s="82">
        <v>66</v>
      </c>
      <c r="B35" s="115" t="str">
        <f>VLOOKUP(C35,Lists!I:J,2,FALSE)</f>
        <v>Healer</v>
      </c>
      <c r="C35" s="115" t="str">
        <f>VLOOKUP(E35,Lists!D:E,2,FALSE)</f>
        <v>Wand/Orb</v>
      </c>
      <c r="D35" s="13" t="s">
        <v>34</v>
      </c>
      <c r="E35" s="83" t="s">
        <v>144</v>
      </c>
      <c r="F35" s="13" t="s">
        <v>483</v>
      </c>
      <c r="G35" s="82">
        <v>0</v>
      </c>
      <c r="H35" s="82">
        <v>73</v>
      </c>
      <c r="I35" s="194">
        <f t="shared" si="0"/>
        <v>73</v>
      </c>
      <c r="J35" s="85">
        <v>19191</v>
      </c>
      <c r="K35" s="85">
        <v>171515</v>
      </c>
      <c r="L35" s="85">
        <v>1131527</v>
      </c>
      <c r="M35" s="195">
        <f>I35/(HLOOKUP(F35,Team_Composition_23[[#All],[Yellow]:[Red]],10,FALSE)+HLOOKUP(F35,Team_Composition_23[[#All],[Yellow]:[Red]],11,FALSE))</f>
        <v>8.8915956151035327E-2</v>
      </c>
      <c r="N35" s="195">
        <f>J35/HLOOKUP(F35,Team_Composition_23[[#All],[Yellow]:[Red]],6,FALSE)</f>
        <v>1.0875919254899505E-3</v>
      </c>
      <c r="O35" s="195">
        <f>K35/HLOOKUP(F35,Team_Composition_23[[#All],[Yellow]:[Red]],8,FALSE)</f>
        <v>3.8966567064866366E-3</v>
      </c>
      <c r="P35" s="195">
        <f>L35/HLOOKUP(F35,Team_Composition_23[[#All],[Yellow]:[Red]],7,FALSE)</f>
        <v>4.6625512203952058E-2</v>
      </c>
      <c r="R35" s="201" t="s">
        <v>54</v>
      </c>
      <c r="S35" s="202">
        <f t="shared" ref="S35:S46" si="6">COUNTIFS(C:C,R35,F:F,"Yellow")</f>
        <v>2</v>
      </c>
      <c r="T35" s="203">
        <f t="shared" ref="T35:T46" si="7">COUNTIFS(C:C,R35,F:F,"Red")</f>
        <v>3</v>
      </c>
      <c r="AB35" s="201" t="s">
        <v>54</v>
      </c>
      <c r="AC35" s="205">
        <f t="shared" ref="AC35:AC46" si="8">COUNTIFS(C:C,AB35,D:D,"FTP")</f>
        <v>0</v>
      </c>
      <c r="AD35" s="206">
        <f t="shared" ref="AD35:AD46" si="9">COUNTIFS(C:C,AB35,D:D,"Undercooked")</f>
        <v>0</v>
      </c>
    </row>
    <row r="36" spans="1:30" ht="22.5" customHeight="1">
      <c r="A36" s="82">
        <v>67</v>
      </c>
      <c r="B36" s="115" t="str">
        <f>VLOOKUP(C36,Lists!I:J,2,FALSE)</f>
        <v>Tank</v>
      </c>
      <c r="C36" s="115" t="str">
        <f>VLOOKUP(E36,Lists!D:E,2,FALSE)</f>
        <v>SnS/Longbow</v>
      </c>
      <c r="D36" s="13" t="s">
        <v>30</v>
      </c>
      <c r="E36" s="83" t="s">
        <v>410</v>
      </c>
      <c r="F36" s="13" t="s">
        <v>476</v>
      </c>
      <c r="G36" s="82">
        <v>0</v>
      </c>
      <c r="H36" s="82">
        <v>73</v>
      </c>
      <c r="I36" s="194">
        <f t="shared" si="0"/>
        <v>73</v>
      </c>
      <c r="J36" s="85">
        <v>3799</v>
      </c>
      <c r="K36" s="85">
        <v>387707</v>
      </c>
      <c r="L36" s="85">
        <v>394391</v>
      </c>
      <c r="M36" s="195">
        <f>I36/(HLOOKUP(F36,Team_Composition_23[[#All],[Yellow]:[Red]],10,FALSE)+HLOOKUP(F36,Team_Composition_23[[#All],[Yellow]:[Red]],11,FALSE))</f>
        <v>1.8245438640339916E-2</v>
      </c>
      <c r="N36" s="195">
        <f>J36/HLOOKUP(F36,Team_Composition_23[[#All],[Yellow]:[Red]],6,FALSE)</f>
        <v>8.5633284284854214E-5</v>
      </c>
      <c r="O36" s="195">
        <f>K36/HLOOKUP(F36,Team_Composition_23[[#All],[Yellow]:[Red]],8,FALSE)</f>
        <v>2.2130957533930906E-2</v>
      </c>
      <c r="P36" s="195">
        <f>L36/HLOOKUP(F36,Team_Composition_23[[#All],[Yellow]:[Red]],7,FALSE)</f>
        <v>3.0467198577588145E-2</v>
      </c>
      <c r="R36" s="201" t="s">
        <v>43</v>
      </c>
      <c r="S36" s="202">
        <f t="shared" si="6"/>
        <v>0</v>
      </c>
      <c r="T36" s="203">
        <f t="shared" si="7"/>
        <v>2</v>
      </c>
      <c r="AB36" s="201" t="s">
        <v>43</v>
      </c>
      <c r="AC36" s="205">
        <f t="shared" si="8"/>
        <v>0</v>
      </c>
      <c r="AD36" s="206">
        <f t="shared" si="9"/>
        <v>0</v>
      </c>
    </row>
    <row r="37" spans="1:30" ht="22.5" customHeight="1">
      <c r="A37" s="82">
        <v>47</v>
      </c>
      <c r="B37" s="115" t="str">
        <f>VLOOKUP(C37,Lists!I:J,2,FALSE)</f>
        <v>Healer</v>
      </c>
      <c r="C37" s="115" t="str">
        <f>VLOOKUP(E37,Lists!D:E,2,FALSE)</f>
        <v>Wand/Longbow</v>
      </c>
      <c r="D37" s="13" t="s">
        <v>34</v>
      </c>
      <c r="E37" s="83" t="s">
        <v>29</v>
      </c>
      <c r="F37" s="13" t="s">
        <v>483</v>
      </c>
      <c r="G37" s="82">
        <v>1</v>
      </c>
      <c r="H37" s="82">
        <v>71</v>
      </c>
      <c r="I37" s="194">
        <f t="shared" si="0"/>
        <v>72</v>
      </c>
      <c r="J37" s="85">
        <v>81445</v>
      </c>
      <c r="K37" s="85">
        <v>119078</v>
      </c>
      <c r="L37" s="85">
        <v>1612220</v>
      </c>
      <c r="M37" s="195">
        <f>I37/(HLOOKUP(F37,Team_Composition_23[[#All],[Yellow]:[Red]],10,FALSE)+HLOOKUP(F37,Team_Composition_23[[#All],[Yellow]:[Red]],11,FALSE))</f>
        <v>8.76979293544458E-2</v>
      </c>
      <c r="N37" s="195">
        <f>J37/HLOOKUP(F37,Team_Composition_23[[#All],[Yellow]:[Red]],6,FALSE)</f>
        <v>4.6156492299269979E-3</v>
      </c>
      <c r="O37" s="195">
        <f>K37/HLOOKUP(F37,Team_Composition_23[[#All],[Yellow]:[Red]],8,FALSE)</f>
        <v>2.705338234527684E-3</v>
      </c>
      <c r="P37" s="195">
        <f>L37/HLOOKUP(F37,Team_Composition_23[[#All],[Yellow]:[Red]],7,FALSE)</f>
        <v>6.6432867519251051E-2</v>
      </c>
      <c r="R37" s="201" t="s">
        <v>45</v>
      </c>
      <c r="S37" s="202">
        <f t="shared" si="6"/>
        <v>3</v>
      </c>
      <c r="T37" s="203">
        <f t="shared" si="7"/>
        <v>0</v>
      </c>
      <c r="AB37" s="201" t="s">
        <v>45</v>
      </c>
      <c r="AC37" s="205">
        <f t="shared" si="8"/>
        <v>0</v>
      </c>
      <c r="AD37" s="206">
        <f t="shared" si="9"/>
        <v>0</v>
      </c>
    </row>
    <row r="38" spans="1:30" ht="22.5" customHeight="1">
      <c r="A38" s="82">
        <v>26</v>
      </c>
      <c r="B38" s="115" t="str">
        <f>VLOOKUP(C38,Lists!I:J,2,FALSE)</f>
        <v>KS</v>
      </c>
      <c r="C38" s="115" t="str">
        <f>VLOOKUP(E38,Lists!D:E,2,FALSE)</f>
        <v>Greatsword/Dagger</v>
      </c>
      <c r="D38" s="13" t="s">
        <v>30</v>
      </c>
      <c r="E38" s="83" t="s">
        <v>396</v>
      </c>
      <c r="F38" s="13" t="s">
        <v>476</v>
      </c>
      <c r="G38" s="82">
        <v>18</v>
      </c>
      <c r="H38" s="82">
        <v>53</v>
      </c>
      <c r="I38" s="194">
        <f t="shared" si="0"/>
        <v>71</v>
      </c>
      <c r="J38" s="85">
        <v>913314</v>
      </c>
      <c r="K38" s="85">
        <v>822179</v>
      </c>
      <c r="L38" s="85">
        <v>7001</v>
      </c>
      <c r="M38" s="195">
        <f>I38/(HLOOKUP(F38,Team_Composition_23[[#All],[Yellow]:[Red]],10,FALSE)+HLOOKUP(F38,Team_Composition_23[[#All],[Yellow]:[Red]],11,FALSE))</f>
        <v>1.7745563609097726E-2</v>
      </c>
      <c r="N38" s="195">
        <f>J38/HLOOKUP(F38,Team_Composition_23[[#All],[Yellow]:[Red]],6,FALSE)</f>
        <v>2.0587016952707909E-2</v>
      </c>
      <c r="O38" s="195">
        <f>K38/HLOOKUP(F38,Team_Composition_23[[#All],[Yellow]:[Red]],8,FALSE)</f>
        <v>4.6931338702395825E-2</v>
      </c>
      <c r="P38" s="195">
        <f>L38/HLOOKUP(F38,Team_Composition_23[[#All],[Yellow]:[Red]],7,FALSE)</f>
        <v>5.4083601614056767E-4</v>
      </c>
      <c r="R38" s="201" t="s">
        <v>81</v>
      </c>
      <c r="S38" s="202">
        <f t="shared" si="6"/>
        <v>0</v>
      </c>
      <c r="T38" s="203">
        <f t="shared" si="7"/>
        <v>0</v>
      </c>
      <c r="AB38" s="201" t="s">
        <v>81</v>
      </c>
      <c r="AC38" s="205">
        <f t="shared" si="8"/>
        <v>0</v>
      </c>
      <c r="AD38" s="206">
        <f t="shared" si="9"/>
        <v>0</v>
      </c>
    </row>
    <row r="39" spans="1:30" ht="22.5" customHeight="1">
      <c r="A39" s="82">
        <v>11</v>
      </c>
      <c r="B39" s="115" t="str">
        <f>VLOOKUP(C39,Lists!I:J,2,FALSE)</f>
        <v>KS</v>
      </c>
      <c r="C39" s="115" t="str">
        <f>VLOOKUP(E39,Lists!D:E,2,FALSE)</f>
        <v>Crossbow/Dagger</v>
      </c>
      <c r="D39" s="13" t="s">
        <v>34</v>
      </c>
      <c r="E39" s="83" t="s">
        <v>159</v>
      </c>
      <c r="F39" s="13" t="s">
        <v>483</v>
      </c>
      <c r="G39" s="82">
        <v>43</v>
      </c>
      <c r="H39" s="82">
        <v>27</v>
      </c>
      <c r="I39" s="194">
        <f t="shared" si="0"/>
        <v>70</v>
      </c>
      <c r="J39" s="85">
        <v>1550628</v>
      </c>
      <c r="K39" s="85">
        <v>1009847</v>
      </c>
      <c r="L39" s="85">
        <v>0</v>
      </c>
      <c r="M39" s="195">
        <f>I39/(HLOOKUP(F39,Team_Composition_23[[#All],[Yellow]:[Red]],10,FALSE)+HLOOKUP(F39,Team_Composition_23[[#All],[Yellow]:[Red]],11,FALSE))</f>
        <v>8.5261875761266745E-2</v>
      </c>
      <c r="N39" s="195">
        <f>J39/HLOOKUP(F39,Team_Composition_23[[#All],[Yellow]:[Red]],6,FALSE)</f>
        <v>8.7877155554094671E-2</v>
      </c>
      <c r="O39" s="195">
        <f>K39/HLOOKUP(F39,Team_Composition_23[[#All],[Yellow]:[Red]],8,FALSE)</f>
        <v>2.2942757689271554E-2</v>
      </c>
      <c r="P39" s="195">
        <f>L39/HLOOKUP(F39,Team_Composition_23[[#All],[Yellow]:[Red]],7,FALSE)</f>
        <v>0</v>
      </c>
      <c r="R39" s="201" t="s">
        <v>48</v>
      </c>
      <c r="S39" s="202">
        <f t="shared" si="6"/>
        <v>0</v>
      </c>
      <c r="T39" s="203">
        <f t="shared" si="7"/>
        <v>0</v>
      </c>
      <c r="AB39" s="201" t="s">
        <v>48</v>
      </c>
      <c r="AC39" s="205">
        <f t="shared" si="8"/>
        <v>0</v>
      </c>
      <c r="AD39" s="206">
        <f t="shared" si="9"/>
        <v>0</v>
      </c>
    </row>
    <row r="40" spans="1:30" ht="22.5" customHeight="1">
      <c r="A40" s="82">
        <v>48</v>
      </c>
      <c r="B40" s="115" t="str">
        <f>VLOOKUP(C40,Lists!I:J,2,FALSE)</f>
        <v>Tank</v>
      </c>
      <c r="C40" s="115" t="str">
        <f>VLOOKUP(E40,Lists!D:E,2,FALSE)</f>
        <v>SnS/Spear</v>
      </c>
      <c r="D40" s="13" t="s">
        <v>34</v>
      </c>
      <c r="E40" s="83" t="s">
        <v>61</v>
      </c>
      <c r="F40" s="13" t="s">
        <v>483</v>
      </c>
      <c r="G40" s="82">
        <v>1</v>
      </c>
      <c r="H40" s="82">
        <v>69</v>
      </c>
      <c r="I40" s="194">
        <f t="shared" si="0"/>
        <v>70</v>
      </c>
      <c r="J40" s="85">
        <v>256830</v>
      </c>
      <c r="K40" s="85">
        <v>775369</v>
      </c>
      <c r="L40" s="85">
        <v>45213</v>
      </c>
      <c r="M40" s="195">
        <f>I40/(HLOOKUP(F40,Team_Composition_23[[#All],[Yellow]:[Red]],10,FALSE)+HLOOKUP(F40,Team_Composition_23[[#All],[Yellow]:[Red]],11,FALSE))</f>
        <v>8.5261875761266745E-2</v>
      </c>
      <c r="N40" s="195">
        <f>J40/HLOOKUP(F40,Team_Composition_23[[#All],[Yellow]:[Red]],6,FALSE)</f>
        <v>1.4555064052086081E-2</v>
      </c>
      <c r="O40" s="195">
        <f>K40/HLOOKUP(F40,Team_Composition_23[[#All],[Yellow]:[Red]],8,FALSE)</f>
        <v>1.7615641861363943E-2</v>
      </c>
      <c r="P40" s="195">
        <f>L40/HLOOKUP(F40,Team_Composition_23[[#All],[Yellow]:[Red]],7,FALSE)</f>
        <v>1.8630393117241432E-3</v>
      </c>
      <c r="R40" s="201" t="s">
        <v>50</v>
      </c>
      <c r="S40" s="202">
        <f t="shared" si="6"/>
        <v>0</v>
      </c>
      <c r="T40" s="203">
        <f t="shared" si="7"/>
        <v>1</v>
      </c>
      <c r="AB40" s="201" t="s">
        <v>50</v>
      </c>
      <c r="AC40" s="205">
        <f t="shared" si="8"/>
        <v>0</v>
      </c>
      <c r="AD40" s="206">
        <f t="shared" si="9"/>
        <v>0</v>
      </c>
    </row>
    <row r="41" spans="1:30" ht="22.5" customHeight="1">
      <c r="A41" s="82">
        <v>68</v>
      </c>
      <c r="B41" s="115" t="str">
        <f>VLOOKUP(C41,Lists!I:J,2,FALSE)</f>
        <v>Healer</v>
      </c>
      <c r="C41" s="115" t="str">
        <f>VLOOKUP(E41,Lists!D:E,2,FALSE)</f>
        <v>Wand/Orb</v>
      </c>
      <c r="D41" s="13" t="s">
        <v>34</v>
      </c>
      <c r="E41" s="83" t="s">
        <v>96</v>
      </c>
      <c r="F41" s="13" t="s">
        <v>483</v>
      </c>
      <c r="G41" s="82">
        <v>0</v>
      </c>
      <c r="H41" s="82">
        <v>70</v>
      </c>
      <c r="I41" s="194">
        <f t="shared" si="0"/>
        <v>70</v>
      </c>
      <c r="J41" s="85">
        <v>13518</v>
      </c>
      <c r="K41" s="85">
        <v>359788</v>
      </c>
      <c r="L41" s="85">
        <v>942541</v>
      </c>
      <c r="M41" s="195">
        <f>I41/(HLOOKUP(F41,Team_Composition_23[[#All],[Yellow]:[Red]],10,FALSE)+HLOOKUP(F41,Team_Composition_23[[#All],[Yellow]:[Red]],11,FALSE))</f>
        <v>8.5261875761266745E-2</v>
      </c>
      <c r="N41" s="195">
        <f>J41/HLOOKUP(F41,Team_Composition_23[[#All],[Yellow]:[Red]],6,FALSE)</f>
        <v>7.6609179556944148E-4</v>
      </c>
      <c r="O41" s="195">
        <f>K41/HLOOKUP(F41,Team_Composition_23[[#All],[Yellow]:[Red]],8,FALSE)</f>
        <v>8.1740391400951171E-3</v>
      </c>
      <c r="P41" s="195">
        <f>L41/HLOOKUP(F41,Team_Composition_23[[#All],[Yellow]:[Red]],7,FALSE)</f>
        <v>3.8838186714258857E-2</v>
      </c>
      <c r="R41" s="201" t="s">
        <v>52</v>
      </c>
      <c r="S41" s="202">
        <f t="shared" si="6"/>
        <v>1</v>
      </c>
      <c r="T41" s="203">
        <f t="shared" si="7"/>
        <v>1</v>
      </c>
      <c r="AB41" s="201" t="s">
        <v>52</v>
      </c>
      <c r="AC41" s="205">
        <f t="shared" si="8"/>
        <v>0</v>
      </c>
      <c r="AD41" s="206">
        <f t="shared" si="9"/>
        <v>0</v>
      </c>
    </row>
    <row r="42" spans="1:30" ht="22.5" customHeight="1">
      <c r="A42" s="82">
        <v>29</v>
      </c>
      <c r="B42" s="115" t="str">
        <f>VLOOKUP(C42,Lists!I:J,2,FALSE)</f>
        <v>KS</v>
      </c>
      <c r="C42" s="115" t="str">
        <f>VLOOKUP(E42,Lists!D:E,2,FALSE)</f>
        <v>Greatsword/Dagger</v>
      </c>
      <c r="D42" s="13" t="s">
        <v>30</v>
      </c>
      <c r="E42" s="83" t="s">
        <v>395</v>
      </c>
      <c r="F42" s="13" t="s">
        <v>476</v>
      </c>
      <c r="G42" s="82">
        <v>16</v>
      </c>
      <c r="H42" s="82">
        <v>52</v>
      </c>
      <c r="I42" s="194">
        <f t="shared" si="0"/>
        <v>68</v>
      </c>
      <c r="J42" s="85">
        <v>878165</v>
      </c>
      <c r="K42" s="85">
        <v>493825</v>
      </c>
      <c r="L42" s="85">
        <v>59050</v>
      </c>
      <c r="M42" s="195">
        <f>I42/(HLOOKUP(F42,Team_Composition_23[[#All],[Yellow]:[Red]],10,FALSE)+HLOOKUP(F42,Team_Composition_23[[#All],[Yellow]:[Red]],11,FALSE))</f>
        <v>1.699575106223444E-2</v>
      </c>
      <c r="N42" s="195">
        <f>J42/HLOOKUP(F42,Team_Composition_23[[#All],[Yellow]:[Red]],6,FALSE)</f>
        <v>1.9794723109768098E-2</v>
      </c>
      <c r="O42" s="195">
        <f>K42/HLOOKUP(F42,Team_Composition_23[[#All],[Yellow]:[Red]],8,FALSE)</f>
        <v>2.8188348686491164E-2</v>
      </c>
      <c r="P42" s="195">
        <f>L42/HLOOKUP(F42,Team_Composition_23[[#All],[Yellow]:[Red]],7,FALSE)</f>
        <v>4.5616864380946314E-3</v>
      </c>
      <c r="R42" s="201" t="s">
        <v>32</v>
      </c>
      <c r="S42" s="202">
        <f t="shared" si="6"/>
        <v>0</v>
      </c>
      <c r="T42" s="203">
        <f t="shared" si="7"/>
        <v>3</v>
      </c>
      <c r="AB42" s="201" t="s">
        <v>32</v>
      </c>
      <c r="AC42" s="205">
        <f t="shared" si="8"/>
        <v>0</v>
      </c>
      <c r="AD42" s="206">
        <f t="shared" si="9"/>
        <v>0</v>
      </c>
    </row>
    <row r="43" spans="1:30" ht="22.5" customHeight="1">
      <c r="A43" s="82">
        <v>34</v>
      </c>
      <c r="B43" s="115" t="str">
        <f>VLOOKUP(C43,Lists!I:J,2,FALSE)</f>
        <v>Melee DPS</v>
      </c>
      <c r="C43" s="115" t="str">
        <f>VLOOKUP(E43,Lists!D:E,2,FALSE)</f>
        <v>Spear/Dagger</v>
      </c>
      <c r="D43" s="13" t="s">
        <v>30</v>
      </c>
      <c r="E43" s="83" t="s">
        <v>400</v>
      </c>
      <c r="F43" s="13" t="s">
        <v>476</v>
      </c>
      <c r="G43" s="82">
        <v>10</v>
      </c>
      <c r="H43" s="82">
        <v>57</v>
      </c>
      <c r="I43" s="194">
        <f t="shared" si="0"/>
        <v>67</v>
      </c>
      <c r="J43" s="85">
        <v>797148</v>
      </c>
      <c r="K43" s="85">
        <v>1285418</v>
      </c>
      <c r="L43" s="85">
        <v>374738</v>
      </c>
      <c r="M43" s="195">
        <f>I43/(HLOOKUP(F43,Team_Composition_23[[#All],[Yellow]:[Red]],10,FALSE)+HLOOKUP(F43,Team_Composition_23[[#All],[Yellow]:[Red]],11,FALSE))</f>
        <v>1.6745813546613347E-2</v>
      </c>
      <c r="N43" s="195">
        <f>J43/HLOOKUP(F43,Team_Composition_23[[#All],[Yellow]:[Red]],6,FALSE)</f>
        <v>1.796851837354645E-2</v>
      </c>
      <c r="O43" s="195">
        <f>K43/HLOOKUP(F43,Team_Composition_23[[#All],[Yellow]:[Red]],8,FALSE)</f>
        <v>7.3373787863903403E-2</v>
      </c>
      <c r="P43" s="195">
        <f>L43/HLOOKUP(F43,Team_Composition_23[[#All],[Yellow]:[Red]],7,FALSE)</f>
        <v>2.8948979719537783E-2</v>
      </c>
      <c r="R43" s="201" t="s">
        <v>56</v>
      </c>
      <c r="S43" s="202">
        <f t="shared" si="6"/>
        <v>1</v>
      </c>
      <c r="T43" s="203">
        <f t="shared" si="7"/>
        <v>0</v>
      </c>
      <c r="AB43" s="201" t="s">
        <v>56</v>
      </c>
      <c r="AC43" s="205">
        <f t="shared" si="8"/>
        <v>0</v>
      </c>
      <c r="AD43" s="206">
        <f t="shared" si="9"/>
        <v>0</v>
      </c>
    </row>
    <row r="44" spans="1:30" ht="22.5" customHeight="1">
      <c r="A44" s="82">
        <v>69</v>
      </c>
      <c r="B44" s="115" t="str">
        <f>VLOOKUP(C44,Lists!I:J,2,FALSE)</f>
        <v>Healer</v>
      </c>
      <c r="C44" s="115" t="s">
        <v>9</v>
      </c>
      <c r="D44" s="13" t="s">
        <v>34</v>
      </c>
      <c r="E44" s="83" t="s">
        <v>171</v>
      </c>
      <c r="F44" s="13" t="s">
        <v>483</v>
      </c>
      <c r="G44" s="82">
        <v>0</v>
      </c>
      <c r="H44" s="82">
        <v>66</v>
      </c>
      <c r="I44" s="194">
        <f t="shared" si="0"/>
        <v>66</v>
      </c>
      <c r="J44" s="85">
        <v>15710</v>
      </c>
      <c r="K44" s="85">
        <v>750390</v>
      </c>
      <c r="L44" s="85">
        <v>590257</v>
      </c>
      <c r="M44" s="195">
        <f>I44/(HLOOKUP(F44,Team_Composition_23[[#All],[Yellow]:[Red]],10,FALSE)+HLOOKUP(F44,Team_Composition_23[[#All],[Yellow]:[Red]],11,FALSE))</f>
        <v>8.0389768574908649E-2</v>
      </c>
      <c r="N44" s="195">
        <f>J44/HLOOKUP(F44,Team_Composition_23[[#All],[Yellow]:[Red]],6,FALSE)</f>
        <v>8.903167708533751E-4</v>
      </c>
      <c r="O44" s="195">
        <f>K44/HLOOKUP(F44,Team_Composition_23[[#All],[Yellow]:[Red]],8,FALSE)</f>
        <v>1.704814287951787E-2</v>
      </c>
      <c r="P44" s="195">
        <f>L44/HLOOKUP(F44,Team_Composition_23[[#All],[Yellow]:[Red]],7,FALSE)</f>
        <v>2.4322031164053647E-2</v>
      </c>
      <c r="R44" s="201" t="s">
        <v>58</v>
      </c>
      <c r="S44" s="202">
        <f t="shared" si="6"/>
        <v>2</v>
      </c>
      <c r="T44" s="203">
        <f t="shared" si="7"/>
        <v>2</v>
      </c>
      <c r="AB44" s="201" t="s">
        <v>58</v>
      </c>
      <c r="AC44" s="205">
        <f t="shared" si="8"/>
        <v>0</v>
      </c>
      <c r="AD44" s="206">
        <f t="shared" si="9"/>
        <v>0</v>
      </c>
    </row>
    <row r="45" spans="1:30" ht="22.5" customHeight="1">
      <c r="A45" s="82">
        <v>27</v>
      </c>
      <c r="B45" s="115" t="str">
        <f>VLOOKUP(C45,Lists!I:J,2,FALSE)</f>
        <v>Melee DPS</v>
      </c>
      <c r="C45" s="115" t="str">
        <f>VLOOKUP(E45,Lists!D:E,2,FALSE)</f>
        <v>Greatsword/Spear</v>
      </c>
      <c r="D45" s="13" t="s">
        <v>30</v>
      </c>
      <c r="E45" s="83" t="s">
        <v>222</v>
      </c>
      <c r="F45" s="13" t="s">
        <v>476</v>
      </c>
      <c r="G45" s="82">
        <v>17</v>
      </c>
      <c r="H45" s="82">
        <v>48</v>
      </c>
      <c r="I45" s="194">
        <f t="shared" si="0"/>
        <v>65</v>
      </c>
      <c r="J45" s="85">
        <v>1406918</v>
      </c>
      <c r="K45" s="85">
        <v>1927923</v>
      </c>
      <c r="L45" s="85">
        <v>49596</v>
      </c>
      <c r="M45" s="195">
        <f>I45/(HLOOKUP(F45,Team_Composition_23[[#All],[Yellow]:[Red]],10,FALSE)+HLOOKUP(F45,Team_Composition_23[[#All],[Yellow]:[Red]],11,FALSE))</f>
        <v>1.6245938515371157E-2</v>
      </c>
      <c r="N45" s="195">
        <f>J45/HLOOKUP(F45,Team_Composition_23[[#All],[Yellow]:[Red]],6,FALSE)</f>
        <v>3.1713348001968553E-2</v>
      </c>
      <c r="O45" s="195">
        <f>K45/HLOOKUP(F45,Team_Composition_23[[#All],[Yellow]:[Red]],8,FALSE)</f>
        <v>0.11004903713806734</v>
      </c>
      <c r="P45" s="195">
        <f>L45/HLOOKUP(F45,Team_Composition_23[[#All],[Yellow]:[Red]],7,FALSE)</f>
        <v>3.8313531004867292E-3</v>
      </c>
      <c r="R45" s="201" t="s">
        <v>60</v>
      </c>
      <c r="S45" s="202">
        <f t="shared" si="6"/>
        <v>0</v>
      </c>
      <c r="T45" s="203">
        <f t="shared" si="7"/>
        <v>0</v>
      </c>
      <c r="AB45" s="201" t="s">
        <v>60</v>
      </c>
      <c r="AC45" s="205">
        <f t="shared" si="8"/>
        <v>0</v>
      </c>
      <c r="AD45" s="206">
        <f t="shared" si="9"/>
        <v>0</v>
      </c>
    </row>
    <row r="46" spans="1:30" ht="22.5" customHeight="1">
      <c r="A46" s="82">
        <v>24</v>
      </c>
      <c r="B46" s="115" t="str">
        <f>VLOOKUP(C46,Lists!I:J,2,FALSE)</f>
        <v>KS</v>
      </c>
      <c r="C46" s="115" t="s">
        <v>54</v>
      </c>
      <c r="D46" s="13" t="s">
        <v>34</v>
      </c>
      <c r="E46" s="83" t="s">
        <v>161</v>
      </c>
      <c r="F46" s="13" t="s">
        <v>483</v>
      </c>
      <c r="G46" s="82">
        <v>19</v>
      </c>
      <c r="H46" s="82">
        <v>44</v>
      </c>
      <c r="I46" s="194">
        <f t="shared" si="0"/>
        <v>63</v>
      </c>
      <c r="J46" s="85">
        <v>944025</v>
      </c>
      <c r="K46" s="85">
        <v>705156</v>
      </c>
      <c r="L46" s="85">
        <v>7386</v>
      </c>
      <c r="M46" s="195">
        <f>I46/(HLOOKUP(F46,Team_Composition_23[[#All],[Yellow]:[Red]],10,FALSE)+HLOOKUP(F46,Team_Composition_23[[#All],[Yellow]:[Red]],11,FALSE))</f>
        <v>7.6735688185140066E-2</v>
      </c>
      <c r="N46" s="195">
        <f>J46/HLOOKUP(F46,Team_Composition_23[[#All],[Yellow]:[Red]],6,FALSE)</f>
        <v>5.3499763819532621E-2</v>
      </c>
      <c r="O46" s="195">
        <f>K46/HLOOKUP(F46,Team_Composition_23[[#All],[Yellow]:[Red]],8,FALSE)</f>
        <v>1.6020469676234095E-2</v>
      </c>
      <c r="P46" s="195">
        <f>L46/HLOOKUP(F46,Team_Composition_23[[#All],[Yellow]:[Red]],7,FALSE)</f>
        <v>3.0434627997245309E-4</v>
      </c>
      <c r="R46" s="201" t="s">
        <v>63</v>
      </c>
      <c r="S46" s="202">
        <f t="shared" si="6"/>
        <v>0</v>
      </c>
      <c r="T46" s="203">
        <f t="shared" si="7"/>
        <v>0</v>
      </c>
      <c r="AB46" s="201" t="s">
        <v>63</v>
      </c>
      <c r="AC46" s="205">
        <f t="shared" si="8"/>
        <v>0</v>
      </c>
      <c r="AD46" s="206">
        <f t="shared" si="9"/>
        <v>0</v>
      </c>
    </row>
    <row r="47" spans="1:30" ht="22.5" customHeight="1">
      <c r="A47" s="82">
        <v>70</v>
      </c>
      <c r="B47" s="115" t="str">
        <f>VLOOKUP(C47,Lists!I:J,2,FALSE)</f>
        <v>Healer</v>
      </c>
      <c r="C47" s="115" t="str">
        <f>VLOOKUP(E47,Lists!D:E,2,FALSE)</f>
        <v>Wand/Orb</v>
      </c>
      <c r="D47" s="13" t="s">
        <v>30</v>
      </c>
      <c r="E47" s="83" t="s">
        <v>411</v>
      </c>
      <c r="F47" s="13" t="s">
        <v>476</v>
      </c>
      <c r="G47" s="82">
        <v>0</v>
      </c>
      <c r="H47" s="82">
        <v>63</v>
      </c>
      <c r="I47" s="194">
        <f t="shared" si="0"/>
        <v>63</v>
      </c>
      <c r="J47" s="85">
        <v>4104</v>
      </c>
      <c r="K47" s="85">
        <v>360275</v>
      </c>
      <c r="L47" s="85">
        <v>1214269</v>
      </c>
      <c r="M47" s="195">
        <f>I47/(HLOOKUP(F47,Team_Composition_23[[#All],[Yellow]:[Red]],10,FALSE)+HLOOKUP(F47,Team_Composition_23[[#All],[Yellow]:[Red]],11,FALSE))</f>
        <v>1.5746063484128967E-2</v>
      </c>
      <c r="N47" s="195">
        <f>J47/HLOOKUP(F47,Team_Composition_23[[#All],[Yellow]:[Red]],6,FALSE)</f>
        <v>9.2508291314830673E-5</v>
      </c>
      <c r="O47" s="195">
        <f>K47/HLOOKUP(F47,Team_Composition_23[[#All],[Yellow]:[Red]],8,FALSE)</f>
        <v>2.0565093551411135E-2</v>
      </c>
      <c r="P47" s="195">
        <f>L47/HLOOKUP(F47,Team_Composition_23[[#All],[Yellow]:[Red]],7,FALSE)</f>
        <v>9.3803800668903148E-2</v>
      </c>
      <c r="R47" s="204"/>
      <c r="S47" s="208"/>
      <c r="T47" s="208"/>
      <c r="AB47" s="204"/>
      <c r="AC47" s="208"/>
      <c r="AD47" s="208"/>
    </row>
    <row r="48" spans="1:30" ht="22.5" customHeight="1">
      <c r="A48" s="82">
        <v>41</v>
      </c>
      <c r="B48" s="115" t="str">
        <f>VLOOKUP(C48,Lists!I:J,2,FALSE)</f>
        <v>Healer</v>
      </c>
      <c r="C48" s="115" t="str">
        <f>VLOOKUP(E48,Lists!D:E,2,FALSE)</f>
        <v>Wand/Longbow</v>
      </c>
      <c r="D48" s="13" t="s">
        <v>34</v>
      </c>
      <c r="E48" s="83" t="s">
        <v>17</v>
      </c>
      <c r="F48" s="13" t="s">
        <v>483</v>
      </c>
      <c r="G48" s="82">
        <v>2</v>
      </c>
      <c r="H48" s="82">
        <v>59</v>
      </c>
      <c r="I48" s="194">
        <f t="shared" si="0"/>
        <v>61</v>
      </c>
      <c r="J48" s="85">
        <v>62051</v>
      </c>
      <c r="K48" s="85">
        <v>687716</v>
      </c>
      <c r="L48" s="85">
        <v>2842722</v>
      </c>
      <c r="M48" s="195">
        <f>I48/(HLOOKUP(F48,Team_Composition_23[[#All],[Yellow]:[Red]],10,FALSE)+HLOOKUP(F48,Team_Composition_23[[#All],[Yellow]:[Red]],11,FALSE))</f>
        <v>7.4299634591961025E-2</v>
      </c>
      <c r="N48" s="195">
        <f>J48/HLOOKUP(F48,Team_Composition_23[[#All],[Yellow]:[Red]],6,FALSE)</f>
        <v>3.5165528929486174E-3</v>
      </c>
      <c r="O48" s="195">
        <f>K48/HLOOKUP(F48,Team_Composition_23[[#All],[Yellow]:[Red]],8,FALSE)</f>
        <v>1.5624249561601982E-2</v>
      </c>
      <c r="P48" s="195">
        <f>L48/HLOOKUP(F48,Team_Composition_23[[#All],[Yellow]:[Red]],7,FALSE)</f>
        <v>0.11713672700999889</v>
      </c>
      <c r="R48" s="6"/>
      <c r="S48" s="209"/>
      <c r="T48" s="209"/>
      <c r="AB48" s="6"/>
      <c r="AC48" s="209"/>
      <c r="AD48" s="209"/>
    </row>
    <row r="49" spans="1:30" ht="22.5" customHeight="1">
      <c r="A49" s="82">
        <v>49</v>
      </c>
      <c r="B49" s="115" t="str">
        <f>VLOOKUP(C49,Lists!I:J,2,FALSE)</f>
        <v>Tank</v>
      </c>
      <c r="C49" s="115" t="str">
        <f>VLOOKUP(E49,Lists!D:E,2,FALSE)</f>
        <v>SnS/Greatsword</v>
      </c>
      <c r="D49" s="13" t="s">
        <v>30</v>
      </c>
      <c r="E49" s="83" t="s">
        <v>407</v>
      </c>
      <c r="F49" s="13" t="s">
        <v>476</v>
      </c>
      <c r="G49" s="82">
        <v>1</v>
      </c>
      <c r="H49" s="82">
        <v>58</v>
      </c>
      <c r="I49" s="194">
        <f t="shared" si="0"/>
        <v>59</v>
      </c>
      <c r="J49" s="85">
        <v>204901</v>
      </c>
      <c r="K49" s="85">
        <v>151446</v>
      </c>
      <c r="L49" s="85">
        <v>61222</v>
      </c>
      <c r="M49" s="195">
        <f>I49/(HLOOKUP(F49,Team_Composition_23[[#All],[Yellow]:[Red]],10,FALSE)+HLOOKUP(F49,Team_Composition_23[[#All],[Yellow]:[Red]],11,FALSE))</f>
        <v>1.474631342164459E-2</v>
      </c>
      <c r="N49" s="195">
        <f>J49/HLOOKUP(F49,Team_Composition_23[[#All],[Yellow]:[Red]],6,FALSE)</f>
        <v>4.6186748047514908E-3</v>
      </c>
      <c r="O49" s="195">
        <f>K49/HLOOKUP(F49,Team_Composition_23[[#All],[Yellow]:[Red]],8,FALSE)</f>
        <v>8.644788447677498E-3</v>
      </c>
      <c r="P49" s="195">
        <f>L49/HLOOKUP(F49,Team_Composition_23[[#All],[Yellow]:[Red]],7,FALSE)</f>
        <v>4.7294761577143024E-3</v>
      </c>
      <c r="R49" s="232" t="s">
        <v>67</v>
      </c>
      <c r="S49" s="228"/>
      <c r="T49" s="228"/>
      <c r="AB49" s="232" t="s">
        <v>67</v>
      </c>
      <c r="AC49" s="228"/>
      <c r="AD49" s="228"/>
    </row>
    <row r="50" spans="1:30" ht="22.5" customHeight="1">
      <c r="A50" s="82">
        <v>25</v>
      </c>
      <c r="B50" s="115" t="str">
        <f>VLOOKUP(C50,Lists!I:J,2,FALSE)</f>
        <v>KS</v>
      </c>
      <c r="C50" s="115" t="s">
        <v>69</v>
      </c>
      <c r="D50" s="13" t="s">
        <v>34</v>
      </c>
      <c r="E50" s="83" t="s">
        <v>170</v>
      </c>
      <c r="F50" s="13" t="s">
        <v>483</v>
      </c>
      <c r="G50" s="82">
        <v>19</v>
      </c>
      <c r="H50" s="82">
        <v>35</v>
      </c>
      <c r="I50" s="194">
        <f t="shared" si="0"/>
        <v>54</v>
      </c>
      <c r="J50" s="85">
        <v>806266</v>
      </c>
      <c r="K50" s="85">
        <v>1570497</v>
      </c>
      <c r="L50" s="85">
        <v>71481</v>
      </c>
      <c r="M50" s="195">
        <f>I50/(HLOOKUP(F50,Team_Composition_23[[#All],[Yellow]:[Red]],10,FALSE)+HLOOKUP(F50,Team_Composition_23[[#All],[Yellow]:[Red]],11,FALSE))</f>
        <v>6.5773447015834346E-2</v>
      </c>
      <c r="N50" s="195">
        <f>J50/HLOOKUP(F50,Team_Composition_23[[#All],[Yellow]:[Red]],6,FALSE)</f>
        <v>4.5692688833155144E-2</v>
      </c>
      <c r="O50" s="195">
        <f>K50/HLOOKUP(F50,Team_Composition_23[[#All],[Yellow]:[Red]],8,FALSE)</f>
        <v>3.5680189298703577E-2</v>
      </c>
      <c r="P50" s="195">
        <f>L50/HLOOKUP(F50,Team_Composition_23[[#All],[Yellow]:[Red]],7,FALSE)</f>
        <v>2.9454341238438829E-3</v>
      </c>
      <c r="R50" s="197" t="s">
        <v>482</v>
      </c>
      <c r="S50" s="198" t="s">
        <v>476</v>
      </c>
      <c r="T50" s="198" t="s">
        <v>483</v>
      </c>
      <c r="AB50" s="197" t="s">
        <v>482</v>
      </c>
      <c r="AC50" s="198" t="s">
        <v>7</v>
      </c>
      <c r="AD50" s="198" t="s">
        <v>527</v>
      </c>
    </row>
    <row r="51" spans="1:30" ht="22.5" customHeight="1">
      <c r="A51" s="82">
        <v>37</v>
      </c>
      <c r="B51" s="115" t="str">
        <f>VLOOKUP(C51,Lists!I:J,2,FALSE)</f>
        <v>Melee DPS</v>
      </c>
      <c r="C51" s="115" t="str">
        <f>VLOOKUP(E51,Lists!D:E,2,FALSE)</f>
        <v>Spear/Dagger</v>
      </c>
      <c r="D51" s="13" t="s">
        <v>30</v>
      </c>
      <c r="E51" s="83" t="s">
        <v>433</v>
      </c>
      <c r="F51" s="13" t="s">
        <v>476</v>
      </c>
      <c r="G51" s="82">
        <v>6</v>
      </c>
      <c r="H51" s="82">
        <v>48</v>
      </c>
      <c r="I51" s="194">
        <f t="shared" si="0"/>
        <v>54</v>
      </c>
      <c r="J51" s="85">
        <v>760118</v>
      </c>
      <c r="K51" s="85">
        <v>475340</v>
      </c>
      <c r="L51" s="85">
        <v>5946</v>
      </c>
      <c r="M51" s="195">
        <f>I51/(HLOOKUP(F51,Team_Composition_23[[#All],[Yellow]:[Red]],10,FALSE)+HLOOKUP(F51,Team_Composition_23[[#All],[Yellow]:[Red]],11,FALSE))</f>
        <v>1.3496625843539115E-2</v>
      </c>
      <c r="N51" s="195">
        <f>J51/HLOOKUP(F51,Team_Composition_23[[#All],[Yellow]:[Red]],6,FALSE)</f>
        <v>1.7133824897087344E-2</v>
      </c>
      <c r="O51" s="195">
        <f>K51/HLOOKUP(F51,Team_Composition_23[[#All],[Yellow]:[Red]],8,FALSE)</f>
        <v>2.7133194278614305E-2</v>
      </c>
      <c r="P51" s="195">
        <f>L51/HLOOKUP(F51,Team_Composition_23[[#All],[Yellow]:[Red]],7,FALSE)</f>
        <v>4.5933594514666688E-4</v>
      </c>
      <c r="R51" s="201" t="s">
        <v>468</v>
      </c>
      <c r="S51" s="202">
        <f>SUMIFS(Scoreboard_29[Damage Dealt],Scoreboard_29[Role],"Tank",Scoreboard_29[Team],"Yellow")</f>
        <v>3465726</v>
      </c>
      <c r="T51" s="203">
        <f>SUMIFS(Scoreboard_29[Damage Dealt],Scoreboard_29[Role],"Tank",Scoreboard_29[Team],"Red")</f>
        <v>2254103</v>
      </c>
      <c r="AB51" s="201" t="s">
        <v>468</v>
      </c>
      <c r="AC51" s="205">
        <f>SUMIFS(Scoreboard_29[Damage Dealt],Scoreboard_29[Role],"Tank",Scoreboard_29[Guild],"FTP")</f>
        <v>0</v>
      </c>
      <c r="AD51" s="206">
        <f>SUMIFS(Scoreboard_29[Damage Dealt],Scoreboard_29[Role],"Tank",Scoreboard_29[Guild],"Undercooked")</f>
        <v>0</v>
      </c>
    </row>
    <row r="52" spans="1:30" ht="22.5" customHeight="1">
      <c r="A52" s="82">
        <v>71</v>
      </c>
      <c r="B52" s="115" t="str">
        <f>VLOOKUP(C52,Lists!I:J,2,FALSE)</f>
        <v>Healer</v>
      </c>
      <c r="C52" s="115" t="str">
        <f>VLOOKUP(E52,Lists!D:E,2,FALSE)</f>
        <v>Wand/Orb</v>
      </c>
      <c r="D52" s="13" t="s">
        <v>30</v>
      </c>
      <c r="E52" s="83" t="s">
        <v>425</v>
      </c>
      <c r="F52" s="13" t="s">
        <v>476</v>
      </c>
      <c r="G52" s="82">
        <v>0</v>
      </c>
      <c r="H52" s="82">
        <v>54</v>
      </c>
      <c r="I52" s="194">
        <f t="shared" si="0"/>
        <v>54</v>
      </c>
      <c r="J52" s="85">
        <v>10574</v>
      </c>
      <c r="K52" s="85">
        <v>336881</v>
      </c>
      <c r="L52" s="85">
        <v>759820</v>
      </c>
      <c r="M52" s="195">
        <f>I52/(HLOOKUP(F52,Team_Composition_23[[#All],[Yellow]:[Red]],10,FALSE)+HLOOKUP(F52,Team_Composition_23[[#All],[Yellow]:[Red]],11,FALSE))</f>
        <v>1.3496625843539115E-2</v>
      </c>
      <c r="N52" s="195">
        <f>J52/HLOOKUP(F52,Team_Composition_23[[#All],[Yellow]:[Red]],6,FALSE)</f>
        <v>2.3834860437695407E-4</v>
      </c>
      <c r="O52" s="195">
        <f>K52/HLOOKUP(F52,Team_Composition_23[[#All],[Yellow]:[Red]],8,FALSE)</f>
        <v>1.9229725295102171E-2</v>
      </c>
      <c r="P52" s="195">
        <f>L52/HLOOKUP(F52,Team_Composition_23[[#All],[Yellow]:[Red]],7,FALSE)</f>
        <v>5.8697046391076431E-2</v>
      </c>
      <c r="R52" s="201" t="s">
        <v>469</v>
      </c>
      <c r="S52" s="202">
        <f>SUMIFS(Scoreboard_29[Damage Taken],Scoreboard_29[Role],"Tank",Scoreboard_29[Team],"Yellow")</f>
        <v>14755198</v>
      </c>
      <c r="T52" s="203">
        <f>SUMIFS(Scoreboard_29[Damage Taken],Scoreboard_29[Role],"Tank",Scoreboard_29[Team],"Red")</f>
        <v>8629260</v>
      </c>
      <c r="AB52" s="201" t="s">
        <v>469</v>
      </c>
      <c r="AC52" s="205">
        <f>SUMIFS(Scoreboard_29[Damage Taken],Scoreboard_29[Role],"Tank",Scoreboard_29[Guild],"FTP")</f>
        <v>0</v>
      </c>
      <c r="AD52" s="206">
        <f>SUMIFS(Scoreboard_29[Damage Taken],Scoreboard_29[Role],"Tank",Scoreboard_29[Guild],"Undercooked")</f>
        <v>0</v>
      </c>
    </row>
    <row r="53" spans="1:30" ht="22.5" customHeight="1">
      <c r="A53" s="82">
        <v>50</v>
      </c>
      <c r="B53" s="115" t="str">
        <f>VLOOKUP(C53,Lists!I:J,2,FALSE)</f>
        <v>Healer</v>
      </c>
      <c r="C53" s="115" t="s">
        <v>9</v>
      </c>
      <c r="D53" s="13" t="s">
        <v>30</v>
      </c>
      <c r="E53" s="83" t="s">
        <v>429</v>
      </c>
      <c r="F53" s="13" t="s">
        <v>476</v>
      </c>
      <c r="G53" s="82">
        <v>1</v>
      </c>
      <c r="H53" s="82">
        <v>51</v>
      </c>
      <c r="I53" s="194">
        <f t="shared" si="0"/>
        <v>52</v>
      </c>
      <c r="J53" s="85">
        <v>60729</v>
      </c>
      <c r="K53" s="85">
        <v>350650</v>
      </c>
      <c r="L53" s="85">
        <v>951322</v>
      </c>
      <c r="M53" s="195">
        <f>I53/(HLOOKUP(F53,Team_Composition_23[[#All],[Yellow]:[Red]],10,FALSE)+HLOOKUP(F53,Team_Composition_23[[#All],[Yellow]:[Red]],11,FALSE))</f>
        <v>1.2996750812296926E-2</v>
      </c>
      <c r="N53" s="195">
        <f>J53/HLOOKUP(F53,Team_Composition_23[[#All],[Yellow]:[Red]],6,FALSE)</f>
        <v>1.3688927931916062E-3</v>
      </c>
      <c r="O53" s="195">
        <f>K53/HLOOKUP(F53,Team_Composition_23[[#All],[Yellow]:[Red]],8,FALSE)</f>
        <v>2.0015682614120643E-2</v>
      </c>
      <c r="P53" s="195">
        <f>L53/HLOOKUP(F53,Team_Composition_23[[#All],[Yellow]:[Red]],7,FALSE)</f>
        <v>7.3490815675885876E-2</v>
      </c>
      <c r="R53" s="201" t="s">
        <v>470</v>
      </c>
      <c r="S53" s="202">
        <f>SUMIFS(Scoreboard_29[Amount Healed],Scoreboard_29[Role],"Tank",Scoreboard_29[Team],"Yellow")</f>
        <v>4179947</v>
      </c>
      <c r="T53" s="203">
        <f>SUMIFS(Scoreboard_29[Amount Healed],Scoreboard_29[Role],"Tank",Scoreboard_29[Team],"Red")</f>
        <v>745335</v>
      </c>
      <c r="AB53" s="201" t="s">
        <v>470</v>
      </c>
      <c r="AC53" s="205">
        <f>SUMIFS(Scoreboard_29[Amount Healed],Scoreboard_29[Role],"Tank",Scoreboard_29[Guild],"FTP")</f>
        <v>0</v>
      </c>
      <c r="AD53" s="206">
        <f>SUMIFS(Scoreboard_29[Amount Healed],Scoreboard_29[Role],"Tank",Scoreboard_29[Guild],"Undercooked")</f>
        <v>0</v>
      </c>
    </row>
    <row r="54" spans="1:30" ht="22.5" customHeight="1">
      <c r="A54" s="82">
        <v>51</v>
      </c>
      <c r="B54" s="115" t="str">
        <f>VLOOKUP(C54,Lists!I:J,2,FALSE)</f>
        <v>Healer</v>
      </c>
      <c r="C54" s="115" t="str">
        <f>VLOOKUP(E54,Lists!D:E,2,FALSE)</f>
        <v>Wand/Longbow</v>
      </c>
      <c r="D54" s="13" t="s">
        <v>30</v>
      </c>
      <c r="E54" s="83" t="s">
        <v>416</v>
      </c>
      <c r="F54" s="13" t="s">
        <v>476</v>
      </c>
      <c r="G54" s="82">
        <v>1</v>
      </c>
      <c r="H54" s="82">
        <v>50</v>
      </c>
      <c r="I54" s="194">
        <f t="shared" si="0"/>
        <v>51</v>
      </c>
      <c r="J54" s="85">
        <v>29733</v>
      </c>
      <c r="K54" s="85">
        <v>560209</v>
      </c>
      <c r="L54" s="85">
        <v>1459026</v>
      </c>
      <c r="M54" s="195">
        <f>I54/(HLOOKUP(F54,Team_Composition_23[[#All],[Yellow]:[Red]],10,FALSE)+HLOOKUP(F54,Team_Composition_23[[#All],[Yellow]:[Red]],11,FALSE))</f>
        <v>1.2746813296675831E-2</v>
      </c>
      <c r="N54" s="195">
        <f>J54/HLOOKUP(F54,Team_Composition_23[[#All],[Yellow]:[Red]],6,FALSE)</f>
        <v>6.7021175089275345E-4</v>
      </c>
      <c r="O54" s="195">
        <f>K54/HLOOKUP(F54,Team_Composition_23[[#All],[Yellow]:[Red]],8,FALSE)</f>
        <v>3.1977657326604625E-2</v>
      </c>
      <c r="P54" s="195">
        <f>L54/HLOOKUP(F54,Team_Composition_23[[#All],[Yellow]:[Red]],7,FALSE)</f>
        <v>0.11271158538573173</v>
      </c>
      <c r="R54" s="201" t="s">
        <v>465</v>
      </c>
      <c r="S54" s="202">
        <f>SUMIFS(Scoreboard_29[Kills],Scoreboard_29[Role],"Tank",Scoreboard_29[Team],"Yellow")</f>
        <v>34</v>
      </c>
      <c r="T54" s="203">
        <f>SUMIFS(Scoreboard_29[Kills],Scoreboard_29[Role],"Tank",Scoreboard_29[Team],"Red")</f>
        <v>25</v>
      </c>
      <c r="AB54" s="201" t="s">
        <v>465</v>
      </c>
      <c r="AC54" s="205">
        <f>SUMIFS(Scoreboard_29[Kills],Scoreboard_29[Role],"Tank",Scoreboard_29[Guild],"FTP")</f>
        <v>0</v>
      </c>
      <c r="AD54" s="206">
        <f>SUMIFS(Scoreboard_29[Kills],Scoreboard_29[Role],"Tank",Scoreboard_29[Guild],"Undercooked")</f>
        <v>0</v>
      </c>
    </row>
    <row r="55" spans="1:30" ht="22.5" customHeight="1">
      <c r="A55" s="82">
        <v>72</v>
      </c>
      <c r="B55" s="115" t="str">
        <f>VLOOKUP(C55,Lists!I:J,2,FALSE)</f>
        <v>Healer</v>
      </c>
      <c r="C55" s="115" t="str">
        <f>VLOOKUP(E55,Lists!D:E,2,FALSE)</f>
        <v>Wand/Orb</v>
      </c>
      <c r="D55" s="13" t="s">
        <v>30</v>
      </c>
      <c r="E55" s="83" t="s">
        <v>413</v>
      </c>
      <c r="F55" s="13" t="s">
        <v>476</v>
      </c>
      <c r="G55" s="82">
        <v>0</v>
      </c>
      <c r="H55" s="82">
        <v>49</v>
      </c>
      <c r="I55" s="194">
        <f t="shared" si="0"/>
        <v>49</v>
      </c>
      <c r="J55" s="85">
        <v>427</v>
      </c>
      <c r="K55" s="85">
        <v>189901</v>
      </c>
      <c r="L55" s="85">
        <v>857689</v>
      </c>
      <c r="M55" s="195">
        <f>I55/(HLOOKUP(F55,Team_Composition_23[[#All],[Yellow]:[Red]],10,FALSE)+HLOOKUP(F55,Team_Composition_23[[#All],[Yellow]:[Red]],11,FALSE))</f>
        <v>1.2246938265433641E-2</v>
      </c>
      <c r="N55" s="195">
        <f>J55/HLOOKUP(F55,Team_Composition_23[[#All],[Yellow]:[Red]],6,FALSE)</f>
        <v>9.625009841967031E-6</v>
      </c>
      <c r="O55" s="195">
        <f>K55/HLOOKUP(F55,Team_Composition_23[[#All],[Yellow]:[Red]],8,FALSE)</f>
        <v>1.0839863522327461E-2</v>
      </c>
      <c r="P55" s="195">
        <f>L55/HLOOKUP(F55,Team_Composition_23[[#All],[Yellow]:[Red]],7,FALSE)</f>
        <v>6.6257549185485973E-2</v>
      </c>
      <c r="R55" s="201" t="s">
        <v>466</v>
      </c>
      <c r="S55" s="202">
        <f>SUMIFS(Scoreboard_29[Assists],Scoreboard_29[Role],"Tank",Scoreboard_29[Team],"Yellow")</f>
        <v>520</v>
      </c>
      <c r="T55" s="203">
        <f>SUMIFS(Scoreboard_29[Assists],Scoreboard_29[Role],"Tank",Scoreboard_29[Team],"Red")</f>
        <v>374</v>
      </c>
      <c r="AB55" s="201" t="s">
        <v>466</v>
      </c>
      <c r="AC55" s="205">
        <f>SUMIFS(Scoreboard_29[Assists],Scoreboard_29[Role],"Tank",Scoreboard_29[Guild],"FTP")</f>
        <v>0</v>
      </c>
      <c r="AD55" s="206">
        <f>SUMIFS(Scoreboard_29[Assists],Scoreboard_29[Role],"Tank",Scoreboard_29[Guild],"Undercooked")</f>
        <v>0</v>
      </c>
    </row>
    <row r="56" spans="1:30" ht="22.5" customHeight="1">
      <c r="A56" s="82">
        <v>73</v>
      </c>
      <c r="B56" s="115" t="str">
        <f>VLOOKUP(C56,Lists!I:J,2,FALSE)</f>
        <v>Healer</v>
      </c>
      <c r="C56" s="115" t="str">
        <f>VLOOKUP(E56,Lists!D:E,2,FALSE)</f>
        <v>Wand/Orb</v>
      </c>
      <c r="D56" s="13" t="s">
        <v>34</v>
      </c>
      <c r="E56" s="83" t="s">
        <v>121</v>
      </c>
      <c r="F56" s="13" t="s">
        <v>483</v>
      </c>
      <c r="G56" s="82">
        <v>0</v>
      </c>
      <c r="H56" s="82">
        <v>48</v>
      </c>
      <c r="I56" s="194">
        <f t="shared" si="0"/>
        <v>48</v>
      </c>
      <c r="J56" s="85">
        <v>18811</v>
      </c>
      <c r="K56" s="85">
        <v>425913</v>
      </c>
      <c r="L56" s="85">
        <v>704756</v>
      </c>
      <c r="M56" s="195">
        <f>I56/(HLOOKUP(F56,Team_Composition_23[[#All],[Yellow]:[Red]],10,FALSE)+HLOOKUP(F56,Team_Composition_23[[#All],[Yellow]:[Red]],11,FALSE))</f>
        <v>5.8465286236297195E-2</v>
      </c>
      <c r="N56" s="195">
        <f>J56/HLOOKUP(F56,Team_Composition_23[[#All],[Yellow]:[Red]],6,FALSE)</f>
        <v>1.066056573935254E-3</v>
      </c>
      <c r="O56" s="195">
        <f>K56/HLOOKUP(F56,Team_Composition_23[[#All],[Yellow]:[Red]],8,FALSE)</f>
        <v>9.67633587633643E-3</v>
      </c>
      <c r="P56" s="195">
        <f>L56/HLOOKUP(F56,Team_Composition_23[[#All],[Yellow]:[Red]],7,FALSE)</f>
        <v>2.9040057796949112E-2</v>
      </c>
      <c r="R56" s="201" t="s">
        <v>62</v>
      </c>
      <c r="S56" s="202">
        <f t="shared" ref="S56:S60" si="10">COUNTIFS(C:C,R56,F:F,"Yellow")</f>
        <v>2</v>
      </c>
      <c r="T56" s="203">
        <f t="shared" ref="T56:T60" si="11">COUNTIFS(C:C,R56,F:F,"Red")</f>
        <v>2</v>
      </c>
      <c r="AB56" s="201" t="s">
        <v>62</v>
      </c>
      <c r="AC56" s="205">
        <f t="shared" ref="AC56:AC60" si="12">COUNTIFS(C:C,AB56,D:D,"FTP")</f>
        <v>0</v>
      </c>
      <c r="AD56" s="206">
        <f t="shared" ref="AD56:AD60" si="13">COUNTIFS(C:C,AB56,D:D,"Undercooked")</f>
        <v>0</v>
      </c>
    </row>
    <row r="57" spans="1:30" ht="22.5" customHeight="1">
      <c r="A57" s="82">
        <v>74</v>
      </c>
      <c r="B57" s="115" t="str">
        <f>VLOOKUP(C57,Lists!I:J,2,FALSE)</f>
        <v>Tank</v>
      </c>
      <c r="C57" s="115" t="str">
        <f>VLOOKUP(E57,Lists!D:E,2,FALSE)</f>
        <v>SnS/Greatsword</v>
      </c>
      <c r="D57" s="13" t="s">
        <v>34</v>
      </c>
      <c r="E57" s="83" t="s">
        <v>85</v>
      </c>
      <c r="F57" s="13" t="s">
        <v>483</v>
      </c>
      <c r="G57" s="82">
        <v>0</v>
      </c>
      <c r="H57" s="82">
        <v>45</v>
      </c>
      <c r="I57" s="194">
        <f t="shared" si="0"/>
        <v>45</v>
      </c>
      <c r="J57" s="85">
        <v>148303</v>
      </c>
      <c r="K57" s="85">
        <v>200681</v>
      </c>
      <c r="L57" s="85">
        <v>33436</v>
      </c>
      <c r="M57" s="195">
        <f>I57/(HLOOKUP(F57,Team_Composition_23[[#All],[Yellow]:[Red]],10,FALSE)+HLOOKUP(F57,Team_Composition_23[[#All],[Yellow]:[Red]],11,FALSE))</f>
        <v>5.4811205846528627E-2</v>
      </c>
      <c r="N57" s="195">
        <f>J57/HLOOKUP(F57,Team_Composition_23[[#All],[Yellow]:[Red]],6,FALSE)</f>
        <v>8.4046243200425266E-3</v>
      </c>
      <c r="O57" s="195">
        <f>K57/HLOOKUP(F57,Team_Composition_23[[#All],[Yellow]:[Red]],8,FALSE)</f>
        <v>4.5592803225049982E-3</v>
      </c>
      <c r="P57" s="195">
        <f>L57/HLOOKUP(F57,Team_Composition_23[[#All],[Yellow]:[Red]],7,FALSE)</f>
        <v>1.3777582205739157E-3</v>
      </c>
      <c r="R57" s="201" t="s">
        <v>70</v>
      </c>
      <c r="S57" s="202">
        <f t="shared" si="10"/>
        <v>0</v>
      </c>
      <c r="T57" s="203">
        <f t="shared" si="11"/>
        <v>0</v>
      </c>
      <c r="AB57" s="201" t="s">
        <v>70</v>
      </c>
      <c r="AC57" s="205">
        <f t="shared" si="12"/>
        <v>0</v>
      </c>
      <c r="AD57" s="206">
        <f t="shared" si="13"/>
        <v>0</v>
      </c>
    </row>
    <row r="58" spans="1:30" ht="22.5" customHeight="1">
      <c r="A58" s="82">
        <v>75</v>
      </c>
      <c r="B58" s="115" t="str">
        <f>VLOOKUP(C58,Lists!I:J,2,FALSE)</f>
        <v>Healer</v>
      </c>
      <c r="C58" s="115" t="str">
        <f>VLOOKUP(E58,Lists!D:E,2,FALSE)</f>
        <v>Wand/Longbow</v>
      </c>
      <c r="D58" s="13" t="s">
        <v>30</v>
      </c>
      <c r="E58" s="83" t="s">
        <v>420</v>
      </c>
      <c r="F58" s="13" t="s">
        <v>476</v>
      </c>
      <c r="G58" s="82">
        <v>0</v>
      </c>
      <c r="H58" s="82">
        <v>45</v>
      </c>
      <c r="I58" s="194">
        <f t="shared" si="0"/>
        <v>45</v>
      </c>
      <c r="J58" s="85">
        <v>43604</v>
      </c>
      <c r="K58" s="85">
        <v>809888</v>
      </c>
      <c r="L58" s="85">
        <v>2452050</v>
      </c>
      <c r="M58" s="195">
        <f>I58/(HLOOKUP(F58,Team_Composition_23[[#All],[Yellow]:[Red]],10,FALSE)+HLOOKUP(F58,Team_Composition_23[[#All],[Yellow]:[Red]],11,FALSE))</f>
        <v>1.1247188202949263E-2</v>
      </c>
      <c r="N58" s="195">
        <f>J58/HLOOKUP(F58,Team_Composition_23[[#All],[Yellow]:[Red]],6,FALSE)</f>
        <v>9.8287805421342017E-4</v>
      </c>
      <c r="O58" s="195">
        <f>K58/HLOOKUP(F58,Team_Composition_23[[#All],[Yellow]:[Red]],8,FALSE)</f>
        <v>4.6229748070682843E-2</v>
      </c>
      <c r="P58" s="195">
        <f>L58/HLOOKUP(F58,Team_Composition_23[[#All],[Yellow]:[Red]],7,FALSE)</f>
        <v>0.18942393277781444</v>
      </c>
      <c r="R58" s="201" t="s">
        <v>14</v>
      </c>
      <c r="S58" s="202">
        <f t="shared" si="10"/>
        <v>11</v>
      </c>
      <c r="T58" s="203">
        <f t="shared" si="11"/>
        <v>10</v>
      </c>
      <c r="AB58" s="201" t="s">
        <v>14</v>
      </c>
      <c r="AC58" s="205">
        <f t="shared" si="12"/>
        <v>0</v>
      </c>
      <c r="AD58" s="206">
        <f t="shared" si="13"/>
        <v>0</v>
      </c>
    </row>
    <row r="59" spans="1:30" ht="22.5" customHeight="1">
      <c r="A59" s="82">
        <v>76</v>
      </c>
      <c r="B59" s="115" t="str">
        <f>VLOOKUP(C59,Lists!I:J,2,FALSE)</f>
        <v>Tank</v>
      </c>
      <c r="C59" s="115" t="s">
        <v>14</v>
      </c>
      <c r="D59" s="13" t="s">
        <v>30</v>
      </c>
      <c r="E59" s="83" t="s">
        <v>419</v>
      </c>
      <c r="F59" s="13" t="s">
        <v>476</v>
      </c>
      <c r="G59" s="82">
        <v>0</v>
      </c>
      <c r="H59" s="82">
        <v>45</v>
      </c>
      <c r="I59" s="194">
        <f t="shared" si="0"/>
        <v>45</v>
      </c>
      <c r="J59" s="85">
        <v>20595</v>
      </c>
      <c r="K59" s="85">
        <v>414768</v>
      </c>
      <c r="L59" s="85">
        <v>802537</v>
      </c>
      <c r="M59" s="195">
        <f>I59/(HLOOKUP(F59,Team_Composition_23[[#All],[Yellow]:[Red]],10,FALSE)+HLOOKUP(F59,Team_Composition_23[[#All],[Yellow]:[Red]],11,FALSE))</f>
        <v>1.1247188202949263E-2</v>
      </c>
      <c r="N59" s="195">
        <f>J59/HLOOKUP(F59,Team_Composition_23[[#All],[Yellow]:[Red]],6,FALSE)</f>
        <v>4.642320320733279E-4</v>
      </c>
      <c r="O59" s="195">
        <f>K59/HLOOKUP(F59,Team_Composition_23[[#All],[Yellow]:[Red]],8,FALSE)</f>
        <v>2.3675644222140569E-2</v>
      </c>
      <c r="P59" s="195">
        <f>L59/HLOOKUP(F59,Team_Composition_23[[#All],[Yellow]:[Red]],7,FALSE)</f>
        <v>6.1996988128182079E-2</v>
      </c>
      <c r="R59" s="201" t="s">
        <v>73</v>
      </c>
      <c r="S59" s="202">
        <f t="shared" si="10"/>
        <v>2</v>
      </c>
      <c r="T59" s="203">
        <f t="shared" si="11"/>
        <v>2</v>
      </c>
      <c r="AB59" s="201" t="s">
        <v>73</v>
      </c>
      <c r="AC59" s="205">
        <f t="shared" si="12"/>
        <v>0</v>
      </c>
      <c r="AD59" s="206">
        <f t="shared" si="13"/>
        <v>0</v>
      </c>
    </row>
    <row r="60" spans="1:30" ht="22.5" customHeight="1">
      <c r="A60" s="82">
        <v>77</v>
      </c>
      <c r="B60" s="115" t="str">
        <f>VLOOKUP(C60,Lists!I:J,2,FALSE)</f>
        <v>Healer</v>
      </c>
      <c r="C60" s="115" t="str">
        <f>VLOOKUP(E60,Lists!D:E,2,FALSE)</f>
        <v>Wand/Orb</v>
      </c>
      <c r="D60" s="13" t="s">
        <v>30</v>
      </c>
      <c r="E60" s="83" t="s">
        <v>418</v>
      </c>
      <c r="F60" s="13" t="s">
        <v>476</v>
      </c>
      <c r="G60" s="82">
        <v>0</v>
      </c>
      <c r="H60" s="82">
        <v>45</v>
      </c>
      <c r="I60" s="194">
        <f t="shared" si="0"/>
        <v>45</v>
      </c>
      <c r="J60" s="85">
        <v>3608</v>
      </c>
      <c r="K60" s="85">
        <v>262517</v>
      </c>
      <c r="L60" s="85">
        <v>412250</v>
      </c>
      <c r="M60" s="195">
        <f>I60/(HLOOKUP(F60,Team_Composition_23[[#All],[Yellow]:[Red]],10,FALSE)+HLOOKUP(F60,Team_Composition_23[[#All],[Yellow]:[Red]],11,FALSE))</f>
        <v>1.1247188202949263E-2</v>
      </c>
      <c r="N60" s="195">
        <f>J60/HLOOKUP(F60,Team_Composition_23[[#All],[Yellow]:[Red]],6,FALSE)</f>
        <v>8.1327952013623061E-5</v>
      </c>
      <c r="O60" s="195">
        <f>K60/HLOOKUP(F60,Team_Composition_23[[#All],[Yellow]:[Red]],8,FALSE)</f>
        <v>1.4984905041526048E-2</v>
      </c>
      <c r="P60" s="195">
        <f>L60/HLOOKUP(F60,Team_Composition_23[[#All],[Yellow]:[Red]],7,FALSE)</f>
        <v>3.1846828689322808E-2</v>
      </c>
      <c r="R60" s="201" t="s">
        <v>75</v>
      </c>
      <c r="S60" s="202">
        <f t="shared" si="10"/>
        <v>0</v>
      </c>
      <c r="T60" s="203">
        <f t="shared" si="11"/>
        <v>0</v>
      </c>
      <c r="AB60" s="201" t="s">
        <v>75</v>
      </c>
      <c r="AC60" s="205">
        <f t="shared" si="12"/>
        <v>0</v>
      </c>
      <c r="AD60" s="206">
        <f t="shared" si="13"/>
        <v>0</v>
      </c>
    </row>
    <row r="61" spans="1:30" ht="22.5" customHeight="1">
      <c r="A61" s="82">
        <v>78</v>
      </c>
      <c r="B61" s="115" t="str">
        <f>VLOOKUP(C61,Lists!I:J,2,FALSE)</f>
        <v>Healer</v>
      </c>
      <c r="C61" s="115" t="str">
        <f>VLOOKUP(E61,Lists!D:E,2,FALSE)</f>
        <v>Wand/Orb</v>
      </c>
      <c r="D61" s="13" t="s">
        <v>34</v>
      </c>
      <c r="E61" s="83" t="s">
        <v>164</v>
      </c>
      <c r="F61" s="13" t="s">
        <v>483</v>
      </c>
      <c r="G61" s="82">
        <v>0</v>
      </c>
      <c r="H61" s="82">
        <v>45</v>
      </c>
      <c r="I61" s="194">
        <f t="shared" si="0"/>
        <v>45</v>
      </c>
      <c r="J61" s="85">
        <v>3257</v>
      </c>
      <c r="K61" s="85">
        <v>331280</v>
      </c>
      <c r="L61" s="85">
        <v>776068</v>
      </c>
      <c r="M61" s="195">
        <f>I61/(HLOOKUP(F61,Team_Composition_23[[#All],[Yellow]:[Red]],10,FALSE)+HLOOKUP(F61,Team_Composition_23[[#All],[Yellow]:[Red]],11,FALSE))</f>
        <v>5.4811205846528627E-2</v>
      </c>
      <c r="N61" s="195">
        <f>J61/HLOOKUP(F61,Team_Composition_23[[#All],[Yellow]:[Red]],6,FALSE)</f>
        <v>1.8458063161485951E-4</v>
      </c>
      <c r="O61" s="195">
        <f>K61/HLOOKUP(F61,Team_Composition_23[[#All],[Yellow]:[Red]],8,FALSE)</f>
        <v>7.526364654548541E-3</v>
      </c>
      <c r="P61" s="195">
        <f>L61/HLOOKUP(F61,Team_Composition_23[[#All],[Yellow]:[Red]],7,FALSE)</f>
        <v>3.1978528135074701E-2</v>
      </c>
      <c r="R61" s="204"/>
      <c r="S61" s="208"/>
      <c r="T61" s="208"/>
      <c r="AB61" s="204"/>
      <c r="AC61" s="208"/>
      <c r="AD61" s="208"/>
    </row>
    <row r="62" spans="1:30" ht="22.5" customHeight="1">
      <c r="A62" s="82">
        <v>30</v>
      </c>
      <c r="B62" s="115" t="str">
        <f>VLOOKUP(C62,Lists!I:J,2,FALSE)</f>
        <v>Tank</v>
      </c>
      <c r="C62" s="115" t="str">
        <f>VLOOKUP(E62,Lists!D:E,2,FALSE)</f>
        <v>SnS/Greatsword</v>
      </c>
      <c r="D62" s="13" t="s">
        <v>34</v>
      </c>
      <c r="E62" s="83" t="s">
        <v>141</v>
      </c>
      <c r="F62" s="13" t="s">
        <v>483</v>
      </c>
      <c r="G62" s="82">
        <v>16</v>
      </c>
      <c r="H62" s="82">
        <v>28</v>
      </c>
      <c r="I62" s="194">
        <f t="shared" si="0"/>
        <v>44</v>
      </c>
      <c r="J62" s="85">
        <v>948321</v>
      </c>
      <c r="K62" s="85">
        <v>901707</v>
      </c>
      <c r="L62" s="85">
        <v>68101</v>
      </c>
      <c r="M62" s="195">
        <f>I62/(HLOOKUP(F62,Team_Composition_23[[#All],[Yellow]:[Red]],10,FALSE)+HLOOKUP(F62,Team_Composition_23[[#All],[Yellow]:[Red]],11,FALSE))</f>
        <v>5.3593179049939099E-2</v>
      </c>
      <c r="N62" s="195">
        <f>J62/HLOOKUP(F62,Team_Composition_23[[#All],[Yellow]:[Red]],6,FALSE)</f>
        <v>5.3743226636056241E-2</v>
      </c>
      <c r="O62" s="195">
        <f>K62/HLOOKUP(F62,Team_Composition_23[[#All],[Yellow]:[Red]],8,FALSE)</f>
        <v>2.0485920350033208E-2</v>
      </c>
      <c r="P62" s="195">
        <f>L62/HLOOKUP(F62,Team_Composition_23[[#All],[Yellow]:[Red]],7,FALSE)</f>
        <v>2.8061584094779351E-3</v>
      </c>
      <c r="R62" s="6"/>
      <c r="S62" s="209"/>
      <c r="T62" s="209"/>
      <c r="AB62" s="6"/>
      <c r="AC62" s="209"/>
      <c r="AD62" s="209"/>
    </row>
    <row r="63" spans="1:30" ht="22.5" customHeight="1">
      <c r="A63" s="82">
        <v>35</v>
      </c>
      <c r="B63" s="115" t="str">
        <f>VLOOKUP(C63,Lists!I:J,2,FALSE)</f>
        <v>Ranged DPS</v>
      </c>
      <c r="C63" s="115" t="str">
        <f>VLOOKUP(E63,Lists!D:E,2,FALSE)</f>
        <v>Crossbow/SnS</v>
      </c>
      <c r="D63" s="13" t="s">
        <v>30</v>
      </c>
      <c r="E63" s="83" t="s">
        <v>403</v>
      </c>
      <c r="F63" s="13" t="s">
        <v>476</v>
      </c>
      <c r="G63" s="82">
        <v>8</v>
      </c>
      <c r="H63" s="82">
        <v>35</v>
      </c>
      <c r="I63" s="194">
        <f t="shared" si="0"/>
        <v>43</v>
      </c>
      <c r="J63" s="85">
        <v>899223</v>
      </c>
      <c r="K63" s="85">
        <v>1070889</v>
      </c>
      <c r="L63" s="85">
        <v>49239</v>
      </c>
      <c r="M63" s="195">
        <f>I63/(HLOOKUP(F63,Team_Composition_23[[#All],[Yellow]:[Red]],10,FALSE)+HLOOKUP(F63,Team_Composition_23[[#All],[Yellow]:[Red]],11,FALSE))</f>
        <v>1.0747313171707074E-2</v>
      </c>
      <c r="N63" s="195">
        <f>J63/HLOOKUP(F63,Team_Composition_23[[#All],[Yellow]:[Red]],6,FALSE)</f>
        <v>2.0269391627922996E-2</v>
      </c>
      <c r="O63" s="195">
        <f>K63/HLOOKUP(F63,Team_Composition_23[[#All],[Yellow]:[Red]],8,FALSE)</f>
        <v>6.1128117321982152E-2</v>
      </c>
      <c r="P63" s="195">
        <f>L63/HLOOKUP(F63,Team_Composition_23[[#All],[Yellow]:[Red]],7,FALSE)</f>
        <v>3.8037744034774188E-3</v>
      </c>
      <c r="R63" s="232" t="s">
        <v>11</v>
      </c>
      <c r="S63" s="228"/>
      <c r="T63" s="228"/>
      <c r="AB63" s="232" t="s">
        <v>11</v>
      </c>
      <c r="AC63" s="228"/>
      <c r="AD63" s="228"/>
    </row>
    <row r="64" spans="1:30" ht="22.5" customHeight="1">
      <c r="A64" s="82">
        <v>32</v>
      </c>
      <c r="B64" s="115" t="str">
        <f>VLOOKUP(C64,Lists!I:J,2,FALSE)</f>
        <v>Tank</v>
      </c>
      <c r="C64" s="115" t="s">
        <v>14</v>
      </c>
      <c r="D64" s="13" t="s">
        <v>30</v>
      </c>
      <c r="E64" s="83" t="s">
        <v>404</v>
      </c>
      <c r="F64" s="13" t="s">
        <v>476</v>
      </c>
      <c r="G64" s="82">
        <v>15</v>
      </c>
      <c r="H64" s="82">
        <v>26</v>
      </c>
      <c r="I64" s="194">
        <f t="shared" si="0"/>
        <v>41</v>
      </c>
      <c r="J64" s="85">
        <v>720699</v>
      </c>
      <c r="K64" s="85">
        <v>722309</v>
      </c>
      <c r="L64" s="85">
        <v>20718</v>
      </c>
      <c r="M64" s="195">
        <f>I64/(HLOOKUP(F64,Team_Composition_23[[#All],[Yellow]:[Red]],10,FALSE)+HLOOKUP(F64,Team_Composition_23[[#All],[Yellow]:[Red]],11,FALSE))</f>
        <v>1.0247438140464884E-2</v>
      </c>
      <c r="N64" s="195">
        <f>J64/HLOOKUP(F64,Team_Composition_23[[#All],[Yellow]:[Red]],6,FALSE)</f>
        <v>1.6245280955727862E-2</v>
      </c>
      <c r="O64" s="195">
        <f>K64/HLOOKUP(F64,Team_Composition_23[[#All],[Yellow]:[Red]],8,FALSE)</f>
        <v>4.1230593735413851E-2</v>
      </c>
      <c r="P64" s="195">
        <f>L64/HLOOKUP(F64,Team_Composition_23[[#All],[Yellow]:[Red]],7,FALSE)</f>
        <v>1.6004914415655306E-3</v>
      </c>
      <c r="R64" s="197" t="s">
        <v>482</v>
      </c>
      <c r="S64" s="198" t="s">
        <v>476</v>
      </c>
      <c r="T64" s="198" t="s">
        <v>483</v>
      </c>
      <c r="AB64" s="197" t="s">
        <v>482</v>
      </c>
      <c r="AC64" s="198" t="s">
        <v>7</v>
      </c>
      <c r="AD64" s="198" t="s">
        <v>527</v>
      </c>
    </row>
    <row r="65" spans="1:30" ht="22.5" customHeight="1">
      <c r="A65" s="82">
        <v>79</v>
      </c>
      <c r="B65" s="115" t="str">
        <f>VLOOKUP(C65,Lists!I:J,2,FALSE)</f>
        <v>Tank</v>
      </c>
      <c r="C65" s="115" t="s">
        <v>14</v>
      </c>
      <c r="D65" s="13" t="s">
        <v>30</v>
      </c>
      <c r="E65" s="83" t="s">
        <v>199</v>
      </c>
      <c r="F65" s="13" t="s">
        <v>476</v>
      </c>
      <c r="G65" s="82">
        <v>0</v>
      </c>
      <c r="H65" s="82">
        <v>41</v>
      </c>
      <c r="I65" s="194">
        <f t="shared" si="0"/>
        <v>41</v>
      </c>
      <c r="J65" s="85">
        <v>2060</v>
      </c>
      <c r="K65" s="85">
        <v>729665</v>
      </c>
      <c r="L65" s="85">
        <v>1368101</v>
      </c>
      <c r="M65" s="195">
        <f>I65/(HLOOKUP(F65,Team_Composition_23[[#All],[Yellow]:[Red]],10,FALSE)+HLOOKUP(F65,Team_Composition_23[[#All],[Yellow]:[Red]],11,FALSE))</f>
        <v>1.0247438140464884E-2</v>
      </c>
      <c r="N65" s="195">
        <f>J65/HLOOKUP(F65,Team_Composition_23[[#All],[Yellow]:[Red]],6,FALSE)</f>
        <v>4.6434473710660619E-5</v>
      </c>
      <c r="O65" s="195">
        <f>K65/HLOOKUP(F65,Team_Composition_23[[#All],[Yellow]:[Red]],8,FALSE)</f>
        <v>4.1650486395643345E-2</v>
      </c>
      <c r="P65" s="195">
        <f>L65/HLOOKUP(F65,Team_Composition_23[[#All],[Yellow]:[Red]],7,FALSE)</f>
        <v>0.10568751528609152</v>
      </c>
      <c r="R65" s="201" t="s">
        <v>468</v>
      </c>
      <c r="S65" s="202">
        <f>SUMIFS(Scoreboard_29[Damage Dealt],Scoreboard_29[Role],"Healer",Scoreboard_29[Team],"Yellow")</f>
        <v>336136</v>
      </c>
      <c r="T65" s="203">
        <f>SUMIFS(Scoreboard_29[Damage Dealt],Scoreboard_29[Role],"Healer",Scoreboard_29[Team],"Red")</f>
        <v>1072964</v>
      </c>
      <c r="AB65" s="201" t="s">
        <v>468</v>
      </c>
      <c r="AC65" s="205">
        <f>SUMIFS(Scoreboard_29[Damage Dealt],Scoreboard_29[Role],"Healer",Scoreboard_29[Guild],"FTP")</f>
        <v>0</v>
      </c>
      <c r="AD65" s="206">
        <f>SUMIFS(Scoreboard_29[Damage Dealt],Scoreboard_29[Role],"Healer",Scoreboard_29[Guild],"Undercooked")</f>
        <v>0</v>
      </c>
    </row>
    <row r="66" spans="1:30" ht="22.5" customHeight="1">
      <c r="A66" s="82">
        <v>40</v>
      </c>
      <c r="B66" s="115" t="str">
        <f>VLOOKUP(C66,Lists!I:J,2,FALSE)</f>
        <v>Tank</v>
      </c>
      <c r="C66" s="115" t="str">
        <f>VLOOKUP(E66,Lists!D:E,2,FALSE)</f>
        <v>SnS/Greatsword</v>
      </c>
      <c r="D66" s="13" t="s">
        <v>30</v>
      </c>
      <c r="E66" s="83" t="s">
        <v>214</v>
      </c>
      <c r="F66" s="13" t="s">
        <v>476</v>
      </c>
      <c r="G66" s="82">
        <v>3</v>
      </c>
      <c r="H66" s="82">
        <v>37</v>
      </c>
      <c r="I66" s="194">
        <f t="shared" si="0"/>
        <v>40</v>
      </c>
      <c r="J66" s="85">
        <v>609065</v>
      </c>
      <c r="K66" s="85">
        <v>2271668</v>
      </c>
      <c r="L66" s="85">
        <v>29574</v>
      </c>
      <c r="M66" s="195">
        <f>I66/(HLOOKUP(F66,Team_Composition_23[[#All],[Yellow]:[Red]],10,FALSE)+HLOOKUP(F66,Team_Composition_23[[#All],[Yellow]:[Red]],11,FALSE))</f>
        <v>9.997500624843789E-3</v>
      </c>
      <c r="N66" s="195">
        <f>J66/HLOOKUP(F66,Team_Composition_23[[#All],[Yellow]:[Red]],6,FALSE)</f>
        <v>1.3728938218729858E-2</v>
      </c>
      <c r="O66" s="195">
        <f>K66/HLOOKUP(F66,Team_Composition_23[[#All],[Yellow]:[Red]],8,FALSE)</f>
        <v>0.12967057091873438</v>
      </c>
      <c r="P66" s="195">
        <f>L66/HLOOKUP(F66,Team_Composition_23[[#All],[Yellow]:[Red]],7,FALSE)</f>
        <v>2.2846285304015351E-3</v>
      </c>
      <c r="R66" s="201" t="s">
        <v>469</v>
      </c>
      <c r="S66" s="202">
        <f>SUMIFS(Scoreboard_29[Damage Taken],Scoreboard_29[Role],"Healer",Scoreboard_29[Team],"Yellow")</f>
        <v>6269850</v>
      </c>
      <c r="T66" s="203">
        <f>SUMIFS(Scoreboard_29[Damage Taken],Scoreboard_29[Role],"Healer",Scoreboard_29[Team],"Red")</f>
        <v>8082566</v>
      </c>
      <c r="AB66" s="201" t="s">
        <v>469</v>
      </c>
      <c r="AC66" s="205">
        <f>SUMIFS(Scoreboard_29[Damage Taken],Scoreboard_29[Role],"Healer",Scoreboard_29[Guild],"FTP")</f>
        <v>0</v>
      </c>
      <c r="AD66" s="206">
        <f>SUMIFS(Scoreboard_29[Damage Taken],Scoreboard_29[Role],"Healer",Scoreboard_29[Guild],"Undercooked")</f>
        <v>0</v>
      </c>
    </row>
    <row r="67" spans="1:30" ht="22.5" customHeight="1">
      <c r="A67" s="82">
        <v>52</v>
      </c>
      <c r="B67" s="115" t="str">
        <f>VLOOKUP(C67,Lists!I:J,2,FALSE)</f>
        <v>Tank</v>
      </c>
      <c r="C67" s="115" t="str">
        <f>VLOOKUP(E67,Lists!D:E,2,FALSE)</f>
        <v>SnS/Greatsword</v>
      </c>
      <c r="D67" s="13" t="s">
        <v>30</v>
      </c>
      <c r="E67" s="83" t="s">
        <v>408</v>
      </c>
      <c r="F67" s="13" t="s">
        <v>476</v>
      </c>
      <c r="G67" s="82">
        <v>1</v>
      </c>
      <c r="H67" s="82">
        <v>38</v>
      </c>
      <c r="I67" s="194">
        <f t="shared" si="0"/>
        <v>39</v>
      </c>
      <c r="J67" s="85">
        <v>247679</v>
      </c>
      <c r="K67" s="85">
        <v>576586</v>
      </c>
      <c r="L67" s="85">
        <v>34300</v>
      </c>
      <c r="M67" s="195">
        <f>I67/(HLOOKUP(F67,Team_Composition_23[[#All],[Yellow]:[Red]],10,FALSE)+HLOOKUP(F67,Team_Composition_23[[#All],[Yellow]:[Red]],11,FALSE))</f>
        <v>9.7475631092226941E-3</v>
      </c>
      <c r="N67" s="195">
        <f>J67/HLOOKUP(F67,Team_Composition_23[[#All],[Yellow]:[Red]],6,FALSE)</f>
        <v>5.5829339874673353E-3</v>
      </c>
      <c r="O67" s="195">
        <f>K67/HLOOKUP(F67,Team_Composition_23[[#All],[Yellow]:[Red]],8,FALSE)</f>
        <v>3.2912483604007885E-2</v>
      </c>
      <c r="P67" s="195">
        <f>L67/HLOOKUP(F67,Team_Composition_23[[#All],[Yellow]:[Red]],7,FALSE)</f>
        <v>2.6497179479533593E-3</v>
      </c>
      <c r="R67" s="201" t="s">
        <v>470</v>
      </c>
      <c r="S67" s="202">
        <f>SUMIFS(Scoreboard_29[Amount Healed],Scoreboard_29[Role],"Healer",Scoreboard_29[Team],"Yellow")</f>
        <v>17165070</v>
      </c>
      <c r="T67" s="203">
        <f>SUMIFS(Scoreboard_29[Amount Healed],Scoreboard_29[Role],"Healer",Scoreboard_29[Team],"Red")</f>
        <v>19768558</v>
      </c>
      <c r="AB67" s="201" t="s">
        <v>470</v>
      </c>
      <c r="AC67" s="205">
        <f>SUMIFS(Scoreboard_29[Amount Healed],Scoreboard_29[Role],"Healer",Scoreboard_29[Guild],"FTP")</f>
        <v>0</v>
      </c>
      <c r="AD67" s="206">
        <f>SUMIFS(Scoreboard_29[Amount Healed],Scoreboard_29[Role],"Healer",Scoreboard_29[Guild],"Undercooked")</f>
        <v>0</v>
      </c>
    </row>
    <row r="68" spans="1:30" ht="22.5" customHeight="1">
      <c r="A68" s="82">
        <v>80</v>
      </c>
      <c r="B68" s="115" t="str">
        <f>VLOOKUP(C68,Lists!I:J,2,FALSE)</f>
        <v>Healer</v>
      </c>
      <c r="C68" s="115" t="str">
        <f>VLOOKUP(E68,Lists!D:E,2,FALSE)</f>
        <v>Wand/Longbow</v>
      </c>
      <c r="D68" s="13" t="s">
        <v>516</v>
      </c>
      <c r="E68" s="83" t="s">
        <v>188</v>
      </c>
      <c r="F68" s="13" t="s">
        <v>476</v>
      </c>
      <c r="G68" s="82">
        <v>0</v>
      </c>
      <c r="H68" s="82">
        <v>39</v>
      </c>
      <c r="I68" s="194">
        <f t="shared" si="0"/>
        <v>39</v>
      </c>
      <c r="J68" s="85">
        <v>2553</v>
      </c>
      <c r="K68" s="85">
        <v>500015</v>
      </c>
      <c r="L68" s="85">
        <v>2900617</v>
      </c>
      <c r="M68" s="195">
        <f>I68/(HLOOKUP(F68,Team_Composition_23[[#All],[Yellow]:[Red]],10,FALSE)+HLOOKUP(F68,Team_Composition_23[[#All],[Yellow]:[Red]],11,FALSE))</f>
        <v>9.7475631092226941E-3</v>
      </c>
      <c r="N68" s="195">
        <f>J68/HLOOKUP(F68,Team_Composition_23[[#All],[Yellow]:[Red]],6,FALSE)</f>
        <v>5.7547189991901243E-5</v>
      </c>
      <c r="O68" s="195">
        <f>K68/HLOOKUP(F68,Team_Composition_23[[#All],[Yellow]:[Red]],8,FALSE)</f>
        <v>2.854168413603175E-2</v>
      </c>
      <c r="P68" s="195">
        <f>L68/HLOOKUP(F68,Team_Composition_23[[#All],[Yellow]:[Red]],7,FALSE)</f>
        <v>0.2240762951906306</v>
      </c>
      <c r="R68" s="201" t="s">
        <v>465</v>
      </c>
      <c r="S68" s="202">
        <f>SUMIFS(Scoreboard_29[Kills],Scoreboard_29[Role],"Healer",Scoreboard_29[Team],"Yellow")</f>
        <v>3</v>
      </c>
      <c r="T68" s="203">
        <f>SUMIFS(Scoreboard_29[Kills],Scoreboard_29[Role],"Healer",Scoreboard_29[Team],"Red")</f>
        <v>13</v>
      </c>
      <c r="AB68" s="201" t="s">
        <v>465</v>
      </c>
      <c r="AC68" s="205">
        <f>SUMIFS(Scoreboard_29[Kills],Scoreboard_29[Role],"Healer",Scoreboard_29[Guild],"FTP")</f>
        <v>0</v>
      </c>
      <c r="AD68" s="206">
        <f>SUMIFS(Scoreboard_29[Kills],Scoreboard_29[Role],"Healer",Scoreboard_29[Guild],"Undercooked")</f>
        <v>0</v>
      </c>
    </row>
    <row r="69" spans="1:30" ht="22.5" customHeight="1">
      <c r="A69" s="82">
        <v>36</v>
      </c>
      <c r="B69" s="115" t="str">
        <f>VLOOKUP(C69,Lists!I:J,2,FALSE)</f>
        <v>Healer</v>
      </c>
      <c r="C69" s="115" t="s">
        <v>10</v>
      </c>
      <c r="D69" s="13" t="s">
        <v>34</v>
      </c>
      <c r="E69" s="83" t="s">
        <v>172</v>
      </c>
      <c r="F69" s="13" t="s">
        <v>483</v>
      </c>
      <c r="G69" s="82">
        <v>8</v>
      </c>
      <c r="H69" s="82">
        <v>30</v>
      </c>
      <c r="I69" s="194">
        <f t="shared" si="0"/>
        <v>38</v>
      </c>
      <c r="J69" s="85">
        <v>554614</v>
      </c>
      <c r="K69" s="85">
        <v>795917</v>
      </c>
      <c r="L69" s="85">
        <v>0</v>
      </c>
      <c r="M69" s="195">
        <f>I69/(HLOOKUP(F69,Team_Composition_23[[#All],[Yellow]:[Red]],10,FALSE)+HLOOKUP(F69,Team_Composition_23[[#All],[Yellow]:[Red]],11,FALSE))</f>
        <v>4.6285018270401948E-2</v>
      </c>
      <c r="N69" s="195">
        <f>J69/HLOOKUP(F69,Team_Composition_23[[#All],[Yellow]:[Red]],6,FALSE)</f>
        <v>3.1431072281990692E-2</v>
      </c>
      <c r="O69" s="195">
        <f>K69/HLOOKUP(F69,Team_Composition_23[[#All],[Yellow]:[Red]],8,FALSE)</f>
        <v>1.8082472762479811E-2</v>
      </c>
      <c r="P69" s="195">
        <f>L69/HLOOKUP(F69,Team_Composition_23[[#All],[Yellow]:[Red]],7,FALSE)</f>
        <v>0</v>
      </c>
      <c r="R69" s="201" t="s">
        <v>466</v>
      </c>
      <c r="S69" s="202">
        <f>SUMIFS(Scoreboard_29[Assists],Scoreboard_29[Role],"Healer",Scoreboard_29[Team],"Yellow")</f>
        <v>605</v>
      </c>
      <c r="T69" s="203">
        <f>SUMIFS(Scoreboard_29[Assists],Scoreboard_29[Role],"Healer",Scoreboard_29[Team],"Red")</f>
        <v>1039</v>
      </c>
      <c r="AB69" s="201" t="s">
        <v>466</v>
      </c>
      <c r="AC69" s="205">
        <f>SUMIFS(Scoreboard_29[Assists],Scoreboard_29[Role],"Healer",Scoreboard_29[Guild],"FTP")</f>
        <v>0</v>
      </c>
      <c r="AD69" s="206">
        <f>SUMIFS(Scoreboard_29[Assists],Scoreboard_29[Role],"Healer",Scoreboard_29[Guild],"Undercooked")</f>
        <v>0</v>
      </c>
    </row>
    <row r="70" spans="1:30" ht="22.5" customHeight="1">
      <c r="A70" s="82">
        <v>53</v>
      </c>
      <c r="B70" s="115" t="str">
        <f>VLOOKUP(C70,Lists!I:J,2,FALSE)</f>
        <v>Healer</v>
      </c>
      <c r="C70" s="115" t="str">
        <f>VLOOKUP(E70,Lists!D:E,2,FALSE)</f>
        <v>Wand/Longbow</v>
      </c>
      <c r="D70" s="13" t="s">
        <v>30</v>
      </c>
      <c r="E70" s="83" t="s">
        <v>414</v>
      </c>
      <c r="F70" s="13" t="s">
        <v>476</v>
      </c>
      <c r="G70" s="82">
        <v>1</v>
      </c>
      <c r="H70" s="82">
        <v>37</v>
      </c>
      <c r="I70" s="194">
        <f t="shared" si="0"/>
        <v>38</v>
      </c>
      <c r="J70" s="85">
        <v>65429</v>
      </c>
      <c r="K70" s="85">
        <v>636170</v>
      </c>
      <c r="L70" s="85">
        <v>2672706</v>
      </c>
      <c r="M70" s="195">
        <f>I70/(HLOOKUP(F70,Team_Composition_23[[#All],[Yellow]:[Red]],10,FALSE)+HLOOKUP(F70,Team_Composition_23[[#All],[Yellow]:[Red]],11,FALSE))</f>
        <v>9.4976255936015993E-3</v>
      </c>
      <c r="N70" s="195">
        <f>J70/HLOOKUP(F70,Team_Composition_23[[#All],[Yellow]:[Red]],6,FALSE)</f>
        <v>1.4748355244732104E-3</v>
      </c>
      <c r="O70" s="195">
        <f>K70/HLOOKUP(F70,Team_Composition_23[[#All],[Yellow]:[Red]],8,FALSE)</f>
        <v>3.63136369845291E-2</v>
      </c>
      <c r="P70" s="195">
        <f>L70/HLOOKUP(F70,Team_Composition_23[[#All],[Yellow]:[Red]],7,FALSE)</f>
        <v>0.2064698850671321</v>
      </c>
      <c r="R70" s="201" t="s">
        <v>10</v>
      </c>
      <c r="S70" s="202">
        <f t="shared" ref="S70:S72" si="14">COUNTIFS(C:C,R70,F:F,"Yellow")</f>
        <v>5</v>
      </c>
      <c r="T70" s="203">
        <f t="shared" ref="T70:T72" si="15">COUNTIFS(C:C,R70,F:F,"Red")</f>
        <v>8</v>
      </c>
      <c r="AB70" s="201" t="s">
        <v>10</v>
      </c>
      <c r="AC70" s="205">
        <f t="shared" ref="AC70:AC72" si="16">COUNTIFS(C:C,AB70,D:D,"FTP")</f>
        <v>0</v>
      </c>
      <c r="AD70" s="206">
        <f t="shared" ref="AD70:AD72" si="17">COUNTIFS(C:C,AB70,D:D,"Undercooked")</f>
        <v>0</v>
      </c>
    </row>
    <row r="71" spans="1:30" ht="22.5" customHeight="1">
      <c r="A71" s="82">
        <v>81</v>
      </c>
      <c r="B71" s="115" t="str">
        <f>VLOOKUP(C71,Lists!I:J,2,FALSE)</f>
        <v>Healer</v>
      </c>
      <c r="C71" s="115" t="str">
        <f>VLOOKUP(E71,Lists!D:E,2,FALSE)</f>
        <v>Wand/Orb</v>
      </c>
      <c r="D71" s="13" t="s">
        <v>30</v>
      </c>
      <c r="E71" s="83" t="s">
        <v>206</v>
      </c>
      <c r="F71" s="13" t="s">
        <v>476</v>
      </c>
      <c r="G71" s="82">
        <v>0</v>
      </c>
      <c r="H71" s="82">
        <v>36</v>
      </c>
      <c r="I71" s="194">
        <f t="shared" si="0"/>
        <v>36</v>
      </c>
      <c r="J71" s="85">
        <v>4430</v>
      </c>
      <c r="K71" s="85">
        <v>416674</v>
      </c>
      <c r="L71" s="85">
        <v>682822</v>
      </c>
      <c r="M71" s="195">
        <f>I71/(HLOOKUP(F71,Team_Composition_23[[#All],[Yellow]:[Red]],10,FALSE)+HLOOKUP(F71,Team_Composition_23[[#All],[Yellow]:[Red]],11,FALSE))</f>
        <v>8.9977505623594096E-3</v>
      </c>
      <c r="N71" s="195">
        <f>J71/HLOOKUP(F71,Team_Composition_23[[#All],[Yellow]:[Red]],6,FALSE)</f>
        <v>9.9856659484575986E-5</v>
      </c>
      <c r="O71" s="195">
        <f>K71/HLOOKUP(F71,Team_Composition_23[[#All],[Yellow]:[Red]],8,FALSE)</f>
        <v>2.3784441858138043E-2</v>
      </c>
      <c r="P71" s="195">
        <f>L71/HLOOKUP(F71,Team_Composition_23[[#All],[Yellow]:[Red]],7,FALSE)</f>
        <v>5.2748854479807837E-2</v>
      </c>
      <c r="R71" s="201" t="s">
        <v>9</v>
      </c>
      <c r="S71" s="202">
        <f t="shared" si="14"/>
        <v>7</v>
      </c>
      <c r="T71" s="203">
        <f t="shared" si="15"/>
        <v>10</v>
      </c>
      <c r="AB71" s="201" t="s">
        <v>9</v>
      </c>
      <c r="AC71" s="205">
        <f t="shared" si="16"/>
        <v>0</v>
      </c>
      <c r="AD71" s="206">
        <f t="shared" si="17"/>
        <v>0</v>
      </c>
    </row>
    <row r="72" spans="1:30" ht="22.5" customHeight="1">
      <c r="A72" s="82">
        <v>54</v>
      </c>
      <c r="B72" s="115" t="str">
        <f>VLOOKUP(C72,Lists!I:J,2,FALSE)</f>
        <v>Tank</v>
      </c>
      <c r="C72" s="115" t="str">
        <f>VLOOKUP(E72,Lists!D:E,2,FALSE)</f>
        <v>SnS/Longbow</v>
      </c>
      <c r="D72" s="13" t="s">
        <v>30</v>
      </c>
      <c r="E72" s="83" t="s">
        <v>409</v>
      </c>
      <c r="F72" s="13" t="s">
        <v>476</v>
      </c>
      <c r="G72" s="82">
        <v>1</v>
      </c>
      <c r="H72" s="82">
        <v>34</v>
      </c>
      <c r="I72" s="194">
        <f t="shared" si="0"/>
        <v>35</v>
      </c>
      <c r="J72" s="85">
        <v>123561</v>
      </c>
      <c r="K72" s="85">
        <v>1596631</v>
      </c>
      <c r="L72" s="85">
        <v>949965</v>
      </c>
      <c r="M72" s="195">
        <f>I72/(HLOOKUP(F72,Team_Composition_23[[#All],[Yellow]:[Red]],10,FALSE)+HLOOKUP(F72,Team_Composition_23[[#All],[Yellow]:[Red]],11,FALSE))</f>
        <v>8.7478130467383147E-3</v>
      </c>
      <c r="N72" s="195">
        <f>J72/HLOOKUP(F72,Team_Composition_23[[#All],[Yellow]:[Red]],6,FALSE)</f>
        <v>2.7851893233800662E-3</v>
      </c>
      <c r="O72" s="195">
        <f>K72/HLOOKUP(F72,Team_Composition_23[[#All],[Yellow]:[Red]],8,FALSE)</f>
        <v>9.1138341217356506E-2</v>
      </c>
      <c r="P72" s="195">
        <f>L72/HLOOKUP(F72,Team_Composition_23[[#All],[Yellow]:[Red]],7,FALSE)</f>
        <v>7.3385985726749647E-2</v>
      </c>
      <c r="R72" s="201" t="s">
        <v>18</v>
      </c>
      <c r="S72" s="202">
        <f t="shared" si="14"/>
        <v>1</v>
      </c>
      <c r="T72" s="203">
        <f t="shared" si="15"/>
        <v>0</v>
      </c>
      <c r="AB72" s="201" t="s">
        <v>18</v>
      </c>
      <c r="AC72" s="205">
        <f t="shared" si="16"/>
        <v>0</v>
      </c>
      <c r="AD72" s="206">
        <f t="shared" si="17"/>
        <v>0</v>
      </c>
    </row>
    <row r="73" spans="1:30" ht="22.5" customHeight="1">
      <c r="A73" s="82">
        <v>55</v>
      </c>
      <c r="B73" s="115" t="str">
        <f>VLOOKUP(C73,Lists!I:J,2,FALSE)</f>
        <v>Tank</v>
      </c>
      <c r="C73" s="115" t="str">
        <f>VLOOKUP(E73,Lists!D:E,2,FALSE)</f>
        <v>SnS/Greatsword</v>
      </c>
      <c r="D73" s="13" t="s">
        <v>30</v>
      </c>
      <c r="E73" s="83" t="s">
        <v>209</v>
      </c>
      <c r="F73" s="13" t="s">
        <v>476</v>
      </c>
      <c r="G73" s="82">
        <v>1</v>
      </c>
      <c r="H73" s="82">
        <v>30</v>
      </c>
      <c r="I73" s="194">
        <f t="shared" si="0"/>
        <v>31</v>
      </c>
      <c r="J73" s="85">
        <v>337859</v>
      </c>
      <c r="K73" s="85">
        <v>1550631</v>
      </c>
      <c r="L73" s="85">
        <v>122265</v>
      </c>
      <c r="M73" s="195">
        <f>I73/(HLOOKUP(F73,Team_Composition_23[[#All],[Yellow]:[Red]],10,FALSE)+HLOOKUP(F73,Team_Composition_23[[#All],[Yellow]:[Red]],11,FALSE))</f>
        <v>7.7480629842539362E-3</v>
      </c>
      <c r="N73" s="195">
        <f>J73/HLOOKUP(F73,Team_Composition_23[[#All],[Yellow]:[Red]],6,FALSE)</f>
        <v>7.6156819676747988E-3</v>
      </c>
      <c r="O73" s="195">
        <f>K73/HLOOKUP(F73,Team_Composition_23[[#All],[Yellow]:[Red]],8,FALSE)</f>
        <v>8.851258504952661E-2</v>
      </c>
      <c r="P73" s="195">
        <f>L73/HLOOKUP(F73,Team_Composition_23[[#All],[Yellow]:[Red]],7,FALSE)</f>
        <v>9.4451243412978867E-3</v>
      </c>
    </row>
    <row r="74" spans="1:30" ht="22.5" customHeight="1">
      <c r="A74" s="82">
        <v>56</v>
      </c>
      <c r="B74" s="115" t="str">
        <f>VLOOKUP(C74,Lists!I:J,2,FALSE)</f>
        <v>Healer</v>
      </c>
      <c r="C74" s="115" t="s">
        <v>9</v>
      </c>
      <c r="D74" s="13" t="s">
        <v>34</v>
      </c>
      <c r="E74" s="83" t="s">
        <v>150</v>
      </c>
      <c r="F74" s="13" t="s">
        <v>483</v>
      </c>
      <c r="G74" s="82">
        <v>1</v>
      </c>
      <c r="H74" s="82">
        <v>30</v>
      </c>
      <c r="I74" s="194">
        <f t="shared" si="0"/>
        <v>31</v>
      </c>
      <c r="J74" s="85">
        <v>61429</v>
      </c>
      <c r="K74" s="85">
        <v>1021872</v>
      </c>
      <c r="L74" s="85">
        <v>26822</v>
      </c>
      <c r="M74" s="195">
        <f>I74/(HLOOKUP(F74,Team_Composition_23[[#All],[Yellow]:[Red]],10,FALSE)+HLOOKUP(F74,Team_Composition_23[[#All],[Yellow]:[Red]],11,FALSE))</f>
        <v>3.7758830694275276E-2</v>
      </c>
      <c r="N74" s="195">
        <f>J74/HLOOKUP(F74,Team_Composition_23[[#All],[Yellow]:[Red]],6,FALSE)</f>
        <v>3.4813029227722457E-3</v>
      </c>
      <c r="O74" s="195">
        <f>K74/HLOOKUP(F74,Team_Composition_23[[#All],[Yellow]:[Red]],8,FALSE)</f>
        <v>2.3215954184595589E-2</v>
      </c>
      <c r="P74" s="195">
        <f>L74/HLOOKUP(F74,Team_Composition_23[[#All],[Yellow]:[Red]],7,FALSE)</f>
        <v>1.1052228434093063E-3</v>
      </c>
    </row>
    <row r="75" spans="1:30" ht="22.5" customHeight="1">
      <c r="A75" s="82">
        <v>82</v>
      </c>
      <c r="B75" s="115" t="str">
        <f>VLOOKUP(C75,Lists!I:J,2,FALSE)</f>
        <v>Healer</v>
      </c>
      <c r="C75" s="115" t="str">
        <f>VLOOKUP(E75,Lists!D:E,2,FALSE)</f>
        <v>Wand/Orb</v>
      </c>
      <c r="D75" s="13" t="s">
        <v>34</v>
      </c>
      <c r="E75" s="83" t="s">
        <v>74</v>
      </c>
      <c r="F75" s="13" t="s">
        <v>483</v>
      </c>
      <c r="G75" s="82">
        <v>0</v>
      </c>
      <c r="H75" s="82">
        <v>29</v>
      </c>
      <c r="I75" s="194">
        <f t="shared" si="0"/>
        <v>29</v>
      </c>
      <c r="J75" s="85">
        <v>11065</v>
      </c>
      <c r="K75" s="85">
        <v>435387</v>
      </c>
      <c r="L75" s="85">
        <v>952180</v>
      </c>
      <c r="M75" s="195">
        <f>I75/(HLOOKUP(F75,Team_Composition_23[[#All],[Yellow]:[Red]],10,FALSE)+HLOOKUP(F75,Team_Composition_23[[#All],[Yellow]:[Red]],11,FALSE))</f>
        <v>3.5322777101096221E-2</v>
      </c>
      <c r="N75" s="195">
        <f>J75/HLOOKUP(F75,Team_Composition_23[[#All],[Yellow]:[Red]],6,FALSE)</f>
        <v>6.2707543408609774E-4</v>
      </c>
      <c r="O75" s="195">
        <f>K75/HLOOKUP(F75,Team_Composition_23[[#All],[Yellow]:[Red]],8,FALSE)</f>
        <v>9.8915760922782103E-3</v>
      </c>
      <c r="P75" s="195">
        <f>L75/HLOOKUP(F75,Team_Composition_23[[#All],[Yellow]:[Red]],7,FALSE)</f>
        <v>3.9235369735197721E-2</v>
      </c>
    </row>
    <row r="76" spans="1:30" ht="22.5" customHeight="1">
      <c r="A76" s="82">
        <v>83</v>
      </c>
      <c r="B76" s="115" t="str">
        <f>VLOOKUP(C76,Lists!I:J,2,FALSE)</f>
        <v>Healer</v>
      </c>
      <c r="C76" s="115" t="str">
        <f>VLOOKUP(E76,Lists!D:E,2,FALSE)</f>
        <v>Wand/Greatsword</v>
      </c>
      <c r="D76" s="13" t="s">
        <v>30</v>
      </c>
      <c r="E76" s="83" t="s">
        <v>415</v>
      </c>
      <c r="F76" s="13" t="s">
        <v>476</v>
      </c>
      <c r="G76" s="82">
        <v>0</v>
      </c>
      <c r="H76" s="82">
        <v>27</v>
      </c>
      <c r="I76" s="194">
        <f t="shared" si="0"/>
        <v>27</v>
      </c>
      <c r="J76" s="85">
        <v>85663</v>
      </c>
      <c r="K76" s="85">
        <v>410770</v>
      </c>
      <c r="L76" s="85">
        <v>60264</v>
      </c>
      <c r="M76" s="195">
        <f>I76/(HLOOKUP(F76,Team_Composition_23[[#All],[Yellow]:[Red]],10,FALSE)+HLOOKUP(F76,Team_Composition_23[[#All],[Yellow]:[Red]],11,FALSE))</f>
        <v>6.7483129217695576E-3</v>
      </c>
      <c r="N76" s="195">
        <f>J76/HLOOKUP(F76,Team_Composition_23[[#All],[Yellow]:[Red]],6,FALSE)</f>
        <v>1.9309302531438448E-3</v>
      </c>
      <c r="O76" s="195">
        <f>K76/HLOOKUP(F76,Team_Composition_23[[#All],[Yellow]:[Red]],8,FALSE)</f>
        <v>2.3447431762162661E-2</v>
      </c>
      <c r="P76" s="195">
        <f>L76/HLOOKUP(F76,Team_Composition_23[[#All],[Yellow]:[Red]],7,FALSE)</f>
        <v>4.6554694581767125E-3</v>
      </c>
    </row>
    <row r="77" spans="1:30" ht="22.5" customHeight="1">
      <c r="A77" s="82">
        <v>84</v>
      </c>
      <c r="B77" s="115" t="str">
        <f>VLOOKUP(C77,Lists!I:J,2,FALSE)</f>
        <v>Healer</v>
      </c>
      <c r="C77" s="115" t="str">
        <f>VLOOKUP(E77,Lists!D:E,2,FALSE)</f>
        <v>Wand/Longbow</v>
      </c>
      <c r="D77" s="13" t="s">
        <v>30</v>
      </c>
      <c r="E77" s="83" t="s">
        <v>426</v>
      </c>
      <c r="F77" s="13" t="s">
        <v>476</v>
      </c>
      <c r="G77" s="82">
        <v>0</v>
      </c>
      <c r="H77" s="82">
        <v>25</v>
      </c>
      <c r="I77" s="194">
        <f t="shared" si="0"/>
        <v>25</v>
      </c>
      <c r="J77" s="85">
        <v>24824</v>
      </c>
      <c r="K77" s="85">
        <v>981414</v>
      </c>
      <c r="L77" s="85">
        <v>2002525</v>
      </c>
      <c r="M77" s="195">
        <f>I77/(HLOOKUP(F77,Team_Composition_23[[#All],[Yellow]:[Red]],10,FALSE)+HLOOKUP(F77,Team_Composition_23[[#All],[Yellow]:[Red]],11,FALSE))</f>
        <v>6.2484378905273679E-3</v>
      </c>
      <c r="N77" s="195">
        <f>J77/HLOOKUP(F77,Team_Composition_23[[#All],[Yellow]:[Red]],6,FALSE)</f>
        <v>5.5955794922011616E-4</v>
      </c>
      <c r="O77" s="195">
        <f>K77/HLOOKUP(F77,Team_Composition_23[[#All],[Yellow]:[Red]],8,FALSE)</f>
        <v>5.6020736167273912E-2</v>
      </c>
      <c r="P77" s="195">
        <f>L77/HLOOKUP(F77,Team_Composition_23[[#All],[Yellow]:[Red]],7,FALSE)</f>
        <v>0.15469756366546067</v>
      </c>
    </row>
    <row r="78" spans="1:30" ht="22.5" customHeight="1">
      <c r="A78" s="82">
        <v>85</v>
      </c>
      <c r="B78" s="115" t="e">
        <f>VLOOKUP(C78,Lists!I:J,2,FALSE)</f>
        <v>#N/A</v>
      </c>
      <c r="C78" s="115">
        <f>VLOOKUP(E78,Lists!D:E,2,FALSE)</f>
        <v>0</v>
      </c>
      <c r="D78" s="13" t="s">
        <v>30</v>
      </c>
      <c r="E78" s="83" t="s">
        <v>187</v>
      </c>
      <c r="F78" s="13" t="s">
        <v>476</v>
      </c>
      <c r="G78" s="82">
        <v>0</v>
      </c>
      <c r="H78" s="82">
        <v>23</v>
      </c>
      <c r="I78" s="194">
        <f t="shared" si="0"/>
        <v>23</v>
      </c>
      <c r="J78" s="85">
        <v>0</v>
      </c>
      <c r="K78" s="85">
        <v>880560</v>
      </c>
      <c r="L78" s="85">
        <v>2396836</v>
      </c>
      <c r="M78" s="195">
        <f>I78/(HLOOKUP(F78,Team_Composition_23[[#All],[Yellow]:[Red]],10,FALSE)+HLOOKUP(F78,Team_Composition_23[[#All],[Yellow]:[Red]],11,FALSE))</f>
        <v>5.7485628592851791E-3</v>
      </c>
      <c r="N78" s="195">
        <f>J78/HLOOKUP(F78,Team_Composition_23[[#All],[Yellow]:[Red]],6,FALSE)</f>
        <v>0</v>
      </c>
      <c r="O78" s="195">
        <f>K78/HLOOKUP(F78,Team_Composition_23[[#All],[Yellow]:[Red]],8,FALSE)</f>
        <v>5.026382285096271E-2</v>
      </c>
      <c r="P78" s="195">
        <f>L78/HLOOKUP(F78,Team_Composition_23[[#All],[Yellow]:[Red]],7,FALSE)</f>
        <v>0.18515858214287867</v>
      </c>
    </row>
    <row r="79" spans="1:30" ht="22.5" customHeight="1">
      <c r="A79" s="82">
        <v>42</v>
      </c>
      <c r="B79" s="115" t="str">
        <f>VLOOKUP(C79,Lists!I:J,2,FALSE)</f>
        <v>Tank</v>
      </c>
      <c r="C79" s="115" t="str">
        <f>VLOOKUP(E79,Lists!D:E,2,FALSE)</f>
        <v>SnS/Spear</v>
      </c>
      <c r="D79" s="13" t="s">
        <v>34</v>
      </c>
      <c r="E79" s="83" t="s">
        <v>79</v>
      </c>
      <c r="F79" s="13" t="s">
        <v>483</v>
      </c>
      <c r="G79" s="82">
        <v>2</v>
      </c>
      <c r="H79" s="82">
        <v>20</v>
      </c>
      <c r="I79" s="194">
        <f t="shared" si="0"/>
        <v>22</v>
      </c>
      <c r="J79" s="85">
        <v>98450</v>
      </c>
      <c r="K79" s="85">
        <v>582677</v>
      </c>
      <c r="L79" s="85">
        <v>35328</v>
      </c>
      <c r="M79" s="195">
        <f>I79/(HLOOKUP(F79,Team_Composition_23[[#All],[Yellow]:[Red]],10,FALSE)+HLOOKUP(F79,Team_Composition_23[[#All],[Yellow]:[Red]],11,FALSE))</f>
        <v>2.679658952496955E-2</v>
      </c>
      <c r="N79" s="195">
        <f>J79/HLOOKUP(F79,Team_Composition_23[[#All],[Yellow]:[Red]],6,FALSE)</f>
        <v>5.5793562119996675E-3</v>
      </c>
      <c r="O79" s="195">
        <f>K79/HLOOKUP(F79,Team_Composition_23[[#All],[Yellow]:[Red]],8,FALSE)</f>
        <v>1.3237863975544495E-2</v>
      </c>
      <c r="P79" s="195">
        <f>L79/HLOOKUP(F79,Team_Composition_23[[#All],[Yellow]:[Red]],7,FALSE)</f>
        <v>1.4557196559527243E-3</v>
      </c>
    </row>
    <row r="80" spans="1:30" ht="22.5" customHeight="1">
      <c r="A80" s="82">
        <v>86</v>
      </c>
      <c r="B80" s="115" t="str">
        <f>VLOOKUP(C80,Lists!I:J,2,FALSE)</f>
        <v>Ranged DPS</v>
      </c>
      <c r="C80" s="115" t="str">
        <f>VLOOKUP(E80,Lists!D:E,2,FALSE)</f>
        <v>SnS/Wand</v>
      </c>
      <c r="D80" s="13" t="s">
        <v>30</v>
      </c>
      <c r="E80" s="83" t="s">
        <v>424</v>
      </c>
      <c r="F80" s="13" t="s">
        <v>476</v>
      </c>
      <c r="G80" s="82">
        <v>0</v>
      </c>
      <c r="H80" s="82">
        <v>21</v>
      </c>
      <c r="I80" s="194">
        <f t="shared" si="0"/>
        <v>21</v>
      </c>
      <c r="J80" s="85">
        <v>13444</v>
      </c>
      <c r="K80" s="85">
        <v>879057</v>
      </c>
      <c r="L80" s="85">
        <v>546471</v>
      </c>
      <c r="M80" s="195">
        <f>I80/(HLOOKUP(F80,Team_Composition_23[[#All],[Yellow]:[Red]],10,FALSE)+HLOOKUP(F80,Team_Composition_23[[#All],[Yellow]:[Red]],11,FALSE))</f>
        <v>5.2486878280429894E-3</v>
      </c>
      <c r="N80" s="195">
        <f>J80/HLOOKUP(F80,Team_Composition_23[[#All],[Yellow]:[Red]],6,FALSE)</f>
        <v>3.0304129347869966E-4</v>
      </c>
      <c r="O80" s="195">
        <f>K80/HLOOKUP(F80,Team_Composition_23[[#All],[Yellow]:[Red]],8,FALSE)</f>
        <v>5.0178029122261658E-2</v>
      </c>
      <c r="P80" s="195">
        <f>L80/HLOOKUP(F80,Team_Composition_23[[#All],[Yellow]:[Red]],7,FALSE)</f>
        <v>4.2215569001050154E-2</v>
      </c>
    </row>
    <row r="81" spans="1:16" ht="22.5" customHeight="1">
      <c r="A81" s="82">
        <v>43</v>
      </c>
      <c r="B81" s="115" t="str">
        <f>VLOOKUP(C81,Lists!I:J,2,FALSE)</f>
        <v>Tank</v>
      </c>
      <c r="C81" s="115" t="str">
        <f>VLOOKUP(E81,Lists!D:E,2,FALSE)</f>
        <v>SnS/Greatsword</v>
      </c>
      <c r="D81" s="13" t="s">
        <v>30</v>
      </c>
      <c r="E81" s="83" t="s">
        <v>431</v>
      </c>
      <c r="F81" s="13" t="s">
        <v>476</v>
      </c>
      <c r="G81" s="82">
        <v>2</v>
      </c>
      <c r="H81" s="82">
        <v>17</v>
      </c>
      <c r="I81" s="194">
        <f t="shared" si="0"/>
        <v>19</v>
      </c>
      <c r="J81" s="85">
        <v>129384</v>
      </c>
      <c r="K81" s="85">
        <v>1150415</v>
      </c>
      <c r="L81" s="85">
        <v>44762</v>
      </c>
      <c r="M81" s="195">
        <f>I81/(HLOOKUP(F81,Team_Composition_23[[#All],[Yellow]:[Red]],10,FALSE)+HLOOKUP(F81,Team_Composition_23[[#All],[Yellow]:[Red]],11,FALSE))</f>
        <v>4.7488127968007996E-3</v>
      </c>
      <c r="N81" s="195">
        <f>J81/HLOOKUP(F81,Team_Composition_23[[#All],[Yellow]:[Red]],6,FALSE)</f>
        <v>2.9164456051359775E-3</v>
      </c>
      <c r="O81" s="195">
        <f>K81/HLOOKUP(F81,Team_Composition_23[[#All],[Yellow]:[Red]],8,FALSE)</f>
        <v>6.566759308291345E-2</v>
      </c>
      <c r="P81" s="195">
        <f>L81/HLOOKUP(F81,Team_Composition_23[[#All],[Yellow]:[Red]],7,FALSE)</f>
        <v>3.4579205477051973E-3</v>
      </c>
    </row>
    <row r="82" spans="1:16" ht="22.5" customHeight="1">
      <c r="A82" s="82">
        <v>87</v>
      </c>
      <c r="B82" s="115" t="str">
        <f>VLOOKUP(C82,Lists!I:J,2,FALSE)</f>
        <v>Tank</v>
      </c>
      <c r="C82" s="115" t="str">
        <f>VLOOKUP(E82,Lists!D:E,2,FALSE)</f>
        <v>SnS/Greatsword</v>
      </c>
      <c r="D82" s="13" t="s">
        <v>34</v>
      </c>
      <c r="E82" s="83" t="s">
        <v>123</v>
      </c>
      <c r="F82" s="13" t="s">
        <v>483</v>
      </c>
      <c r="G82" s="82">
        <v>0</v>
      </c>
      <c r="H82" s="82">
        <v>19</v>
      </c>
      <c r="I82" s="194">
        <f t="shared" si="0"/>
        <v>19</v>
      </c>
      <c r="J82" s="85">
        <v>130074</v>
      </c>
      <c r="K82" s="85">
        <v>1131701</v>
      </c>
      <c r="L82" s="85">
        <v>31201</v>
      </c>
      <c r="M82" s="195">
        <f>I82/(HLOOKUP(F82,Team_Composition_23[[#All],[Yellow]:[Red]],10,FALSE)+HLOOKUP(F82,Team_Composition_23[[#All],[Yellow]:[Red]],11,FALSE))</f>
        <v>2.3142509135200974E-2</v>
      </c>
      <c r="N82" s="195">
        <f>J82/HLOOKUP(F82,Team_Composition_23[[#All],[Yellow]:[Red]],6,FALSE)</f>
        <v>7.3715508371726239E-3</v>
      </c>
      <c r="O82" s="195">
        <f>K82/HLOOKUP(F82,Team_Composition_23[[#All],[Yellow]:[Red]],8,FALSE)</f>
        <v>2.5711163987917285E-2</v>
      </c>
      <c r="P82" s="195">
        <f>L82/HLOOKUP(F82,Team_Composition_23[[#All],[Yellow]:[Red]],7,FALSE)</f>
        <v>1.2856631845952488E-3</v>
      </c>
    </row>
    <row r="83" spans="1:16" ht="22.5" customHeight="1">
      <c r="A83" s="82">
        <v>88</v>
      </c>
      <c r="B83" s="115" t="str">
        <f>VLOOKUP(C83,Lists!I:J,2,FALSE)</f>
        <v>Tank</v>
      </c>
      <c r="C83" s="115" t="str">
        <f>VLOOKUP(E83,Lists!D:E,2,FALSE)</f>
        <v>SnS/Greatsword</v>
      </c>
      <c r="D83" s="13" t="s">
        <v>34</v>
      </c>
      <c r="E83" s="83" t="s">
        <v>148</v>
      </c>
      <c r="F83" s="13" t="s">
        <v>483</v>
      </c>
      <c r="G83" s="82">
        <v>0</v>
      </c>
      <c r="H83" s="82">
        <v>19</v>
      </c>
      <c r="I83" s="194">
        <f t="shared" si="0"/>
        <v>19</v>
      </c>
      <c r="J83" s="85">
        <v>73403</v>
      </c>
      <c r="K83" s="85">
        <v>660398</v>
      </c>
      <c r="L83" s="85">
        <v>18329</v>
      </c>
      <c r="M83" s="195">
        <f>I83/(HLOOKUP(F83,Team_Composition_23[[#All],[Yellow]:[Red]],10,FALSE)+HLOOKUP(F83,Team_Composition_23[[#All],[Yellow]:[Red]],11,FALSE))</f>
        <v>2.3142509135200974E-2</v>
      </c>
      <c r="N83" s="195">
        <f>J83/HLOOKUP(F83,Team_Composition_23[[#All],[Yellow]:[Red]],6,FALSE)</f>
        <v>4.159893184656289E-3</v>
      </c>
      <c r="O83" s="195">
        <f>K83/HLOOKUP(F83,Team_Composition_23[[#All],[Yellow]:[Red]],8,FALSE)</f>
        <v>1.5003610737546932E-2</v>
      </c>
      <c r="P83" s="195">
        <f>L83/HLOOKUP(F83,Team_Composition_23[[#All],[Yellow]:[Red]],7,FALSE)</f>
        <v>7.5526170669037269E-4</v>
      </c>
    </row>
    <row r="84" spans="1:16" ht="22.5" customHeight="1">
      <c r="A84" s="82">
        <v>44</v>
      </c>
      <c r="B84" s="115" t="str">
        <f>VLOOKUP(C84,Lists!I:J,2,FALSE)</f>
        <v>Tank</v>
      </c>
      <c r="C84" s="115" t="str">
        <f>VLOOKUP(E84,Lists!D:E,2,FALSE)</f>
        <v>SnS/Longbow</v>
      </c>
      <c r="D84" s="13" t="s">
        <v>34</v>
      </c>
      <c r="E84" s="83" t="s">
        <v>114</v>
      </c>
      <c r="F84" s="13" t="s">
        <v>483</v>
      </c>
      <c r="G84" s="82">
        <v>2</v>
      </c>
      <c r="H84" s="82">
        <v>16</v>
      </c>
      <c r="I84" s="194">
        <f t="shared" si="0"/>
        <v>18</v>
      </c>
      <c r="J84" s="85">
        <v>110556</v>
      </c>
      <c r="K84" s="85">
        <v>361289</v>
      </c>
      <c r="L84" s="85">
        <v>133059</v>
      </c>
      <c r="M84" s="195">
        <f>I84/(HLOOKUP(F84,Team_Composition_23[[#All],[Yellow]:[Red]],10,FALSE)+HLOOKUP(F84,Team_Composition_23[[#All],[Yellow]:[Red]],11,FALSE))</f>
        <v>2.192448233861145E-2</v>
      </c>
      <c r="N84" s="195">
        <f>J84/HLOOKUP(F84,Team_Composition_23[[#All],[Yellow]:[Red]],6,FALSE)</f>
        <v>6.2654271749500792E-3</v>
      </c>
      <c r="O84" s="195">
        <f>K84/HLOOKUP(F84,Team_Composition_23[[#All],[Yellow]:[Red]],8,FALSE)</f>
        <v>8.2081404240436726E-3</v>
      </c>
      <c r="P84" s="195">
        <f>L84/HLOOKUP(F84,Team_Composition_23[[#All],[Yellow]:[Red]],7,FALSE)</f>
        <v>5.4828068869285989E-3</v>
      </c>
    </row>
    <row r="85" spans="1:16" ht="22.5" customHeight="1">
      <c r="A85" s="82">
        <v>89</v>
      </c>
      <c r="B85" s="115" t="str">
        <f>VLOOKUP(C85,Lists!I:J,2,FALSE)</f>
        <v>Tank</v>
      </c>
      <c r="C85" s="115" t="s">
        <v>73</v>
      </c>
      <c r="D85" s="13" t="s">
        <v>34</v>
      </c>
      <c r="E85" s="83" t="s">
        <v>83</v>
      </c>
      <c r="F85" s="13" t="s">
        <v>483</v>
      </c>
      <c r="G85" s="82">
        <v>0</v>
      </c>
      <c r="H85" s="82">
        <v>18</v>
      </c>
      <c r="I85" s="194">
        <f t="shared" si="0"/>
        <v>18</v>
      </c>
      <c r="J85" s="85">
        <v>57543</v>
      </c>
      <c r="K85" s="85">
        <v>296723</v>
      </c>
      <c r="L85" s="85">
        <v>162013</v>
      </c>
      <c r="M85" s="195">
        <f>I85/(HLOOKUP(F85,Team_Composition_23[[#All],[Yellow]:[Red]],10,FALSE)+HLOOKUP(F85,Team_Composition_23[[#All],[Yellow]:[Red]],11,FALSE))</f>
        <v>2.192448233861145E-2</v>
      </c>
      <c r="N85" s="195">
        <f>J85/HLOOKUP(F85,Team_Composition_23[[#All],[Yellow]:[Red]],6,FALSE)</f>
        <v>3.2610756171365862E-3</v>
      </c>
      <c r="O85" s="195">
        <f>K85/HLOOKUP(F85,Team_Composition_23[[#All],[Yellow]:[Red]],8,FALSE)</f>
        <v>6.7412626762605853E-3</v>
      </c>
      <c r="P85" s="195">
        <f>L85/HLOOKUP(F85,Team_Composition_23[[#All],[Yellow]:[Red]],7,FALSE)</f>
        <v>6.6758805655533493E-3</v>
      </c>
    </row>
    <row r="86" spans="1:16" ht="22.5" customHeight="1">
      <c r="A86" s="82">
        <v>90</v>
      </c>
      <c r="B86" s="115" t="str">
        <f>VLOOKUP(C86,Lists!I:J,2,FALSE)</f>
        <v>Healer</v>
      </c>
      <c r="C86" s="115" t="str">
        <f>VLOOKUP(E86,Lists!D:E,2,FALSE)</f>
        <v>Wand/Longbow</v>
      </c>
      <c r="D86" s="13" t="s">
        <v>34</v>
      </c>
      <c r="E86" s="83" t="s">
        <v>165</v>
      </c>
      <c r="F86" s="13" t="s">
        <v>483</v>
      </c>
      <c r="G86" s="82">
        <v>0</v>
      </c>
      <c r="H86" s="82">
        <v>18</v>
      </c>
      <c r="I86" s="194">
        <f t="shared" si="0"/>
        <v>18</v>
      </c>
      <c r="J86" s="85">
        <v>15551</v>
      </c>
      <c r="K86" s="85">
        <v>189245</v>
      </c>
      <c r="L86" s="85">
        <v>581931</v>
      </c>
      <c r="M86" s="195">
        <f>I86/(HLOOKUP(F86,Team_Composition_23[[#All],[Yellow]:[Red]],10,FALSE)+HLOOKUP(F86,Team_Composition_23[[#All],[Yellow]:[Red]],11,FALSE))</f>
        <v>2.192448233861145E-2</v>
      </c>
      <c r="N86" s="195">
        <f>J86/HLOOKUP(F86,Team_Composition_23[[#All],[Yellow]:[Red]],6,FALSE)</f>
        <v>8.8130592638706795E-4</v>
      </c>
      <c r="O86" s="195">
        <f>K86/HLOOKUP(F86,Team_Composition_23[[#All],[Yellow]:[Red]],8,FALSE)</f>
        <v>4.2994653436671049E-3</v>
      </c>
      <c r="P86" s="195">
        <f>L86/HLOOKUP(F86,Team_Composition_23[[#All],[Yellow]:[Red]],7,FALSE)</f>
        <v>2.3978951401387706E-2</v>
      </c>
    </row>
    <row r="87" spans="1:16" ht="22.5" customHeight="1">
      <c r="A87" s="82">
        <v>57</v>
      </c>
      <c r="B87" s="115" t="str">
        <f>VLOOKUP(C87,Lists!I:J,2,FALSE)</f>
        <v>Tank</v>
      </c>
      <c r="C87" s="115" t="str">
        <f>VLOOKUP(E87,Lists!D:E,2,FALSE)</f>
        <v>SnS/Spear</v>
      </c>
      <c r="D87" s="13" t="s">
        <v>30</v>
      </c>
      <c r="E87" s="83" t="s">
        <v>421</v>
      </c>
      <c r="F87" s="13" t="s">
        <v>476</v>
      </c>
      <c r="G87" s="82">
        <v>1</v>
      </c>
      <c r="H87" s="82">
        <v>16</v>
      </c>
      <c r="I87" s="194">
        <f t="shared" si="0"/>
        <v>17</v>
      </c>
      <c r="J87" s="85">
        <v>153821</v>
      </c>
      <c r="K87" s="85">
        <v>864771</v>
      </c>
      <c r="L87" s="85">
        <v>50872</v>
      </c>
      <c r="M87" s="195">
        <f>I87/(HLOOKUP(F87,Team_Composition_23[[#All],[Yellow]:[Red]],10,FALSE)+HLOOKUP(F87,Team_Composition_23[[#All],[Yellow]:[Red]],11,FALSE))</f>
        <v>4.2489377655586099E-3</v>
      </c>
      <c r="N87" s="195">
        <f>J87/HLOOKUP(F87,Team_Composition_23[[#All],[Yellow]:[Red]],6,FALSE)</f>
        <v>3.467280184780353E-3</v>
      </c>
      <c r="O87" s="195">
        <f>K87/HLOOKUP(F87,Team_Composition_23[[#All],[Yellow]:[Red]],8,FALSE)</f>
        <v>4.936256058718301E-2</v>
      </c>
      <c r="P87" s="195">
        <f>L87/HLOOKUP(F87,Team_Composition_23[[#All],[Yellow]:[Red]],7,FALSE)</f>
        <v>3.9299256982006795E-3</v>
      </c>
    </row>
    <row r="88" spans="1:16" ht="22.5" customHeight="1">
      <c r="A88" s="82">
        <v>91</v>
      </c>
      <c r="B88" s="115" t="str">
        <f>VLOOKUP(C88,Lists!I:J,2,FALSE)</f>
        <v>Tank</v>
      </c>
      <c r="C88" s="115" t="str">
        <f>VLOOKUP(E88,Lists!D:E,2,FALSE)</f>
        <v>SnS/Greatsword</v>
      </c>
      <c r="D88" s="13" t="s">
        <v>34</v>
      </c>
      <c r="E88" s="83" t="s">
        <v>166</v>
      </c>
      <c r="F88" s="13" t="s">
        <v>483</v>
      </c>
      <c r="G88" s="82">
        <v>0</v>
      </c>
      <c r="H88" s="82">
        <v>17</v>
      </c>
      <c r="I88" s="194">
        <f t="shared" si="0"/>
        <v>17</v>
      </c>
      <c r="J88" s="85">
        <v>23269</v>
      </c>
      <c r="K88" s="85">
        <v>790284</v>
      </c>
      <c r="L88" s="85">
        <v>79429</v>
      </c>
      <c r="M88" s="195">
        <f>I88/(HLOOKUP(F88,Team_Composition_23[[#All],[Yellow]:[Red]],10,FALSE)+HLOOKUP(F88,Team_Composition_23[[#All],[Yellow]:[Red]],11,FALSE))</f>
        <v>2.0706455542021926E-2</v>
      </c>
      <c r="N88" s="195">
        <f>J88/HLOOKUP(F88,Team_Composition_23[[#All],[Yellow]:[Red]],6,FALSE)</f>
        <v>1.3187002508585097E-3</v>
      </c>
      <c r="O88" s="195">
        <f>K88/HLOOKUP(F88,Team_Composition_23[[#All],[Yellow]:[Red]],8,FALSE)</f>
        <v>1.7954496391738829E-2</v>
      </c>
      <c r="P88" s="195">
        <f>L88/HLOOKUP(F88,Team_Composition_23[[#All],[Yellow]:[Red]],7,FALSE)</f>
        <v>3.2729380817671239E-3</v>
      </c>
    </row>
    <row r="89" spans="1:16" ht="22.5" customHeight="1">
      <c r="A89" s="82">
        <v>45</v>
      </c>
      <c r="B89" s="115" t="str">
        <f>VLOOKUP(C89,Lists!I:J,2,FALSE)</f>
        <v>Tank</v>
      </c>
      <c r="C89" s="115" t="str">
        <f>VLOOKUP(E89,Lists!D:E,2,FALSE)</f>
        <v>SnS/Spear</v>
      </c>
      <c r="D89" s="13" t="s">
        <v>30</v>
      </c>
      <c r="E89" s="83" t="s">
        <v>175</v>
      </c>
      <c r="F89" s="13" t="s">
        <v>476</v>
      </c>
      <c r="G89" s="82">
        <v>2</v>
      </c>
      <c r="H89" s="82">
        <v>14</v>
      </c>
      <c r="I89" s="194">
        <f t="shared" si="0"/>
        <v>16</v>
      </c>
      <c r="J89" s="85">
        <v>74919</v>
      </c>
      <c r="K89" s="85">
        <v>1159501</v>
      </c>
      <c r="L89" s="85">
        <v>27348</v>
      </c>
      <c r="M89" s="195">
        <f>I89/(HLOOKUP(F89,Team_Composition_23[[#All],[Yellow]:[Red]],10,FALSE)+HLOOKUP(F89,Team_Composition_23[[#All],[Yellow]:[Red]],11,FALSE))</f>
        <v>3.9990002499375159E-3</v>
      </c>
      <c r="N89" s="195">
        <f>J89/HLOOKUP(F89,Team_Composition_23[[#All],[Yellow]:[Red]],6,FALSE)</f>
        <v>1.6887496776354285E-3</v>
      </c>
      <c r="O89" s="195">
        <f>K89/HLOOKUP(F89,Team_Composition_23[[#All],[Yellow]:[Red]],8,FALSE)</f>
        <v>6.618623700771567E-2</v>
      </c>
      <c r="P89" s="195">
        <f>L89/HLOOKUP(F89,Team_Composition_23[[#All],[Yellow]:[Red]],7,FALSE)</f>
        <v>2.1126672431670108E-3</v>
      </c>
    </row>
    <row r="90" spans="1:16" ht="22.5" customHeight="1">
      <c r="A90" s="82">
        <v>58</v>
      </c>
      <c r="B90" s="115" t="str">
        <f>VLOOKUP(C90,Lists!I:J,2,FALSE)</f>
        <v>Tank</v>
      </c>
      <c r="C90" s="115" t="str">
        <f>VLOOKUP(E90,Lists!D:E,2,FALSE)</f>
        <v>SnS/Greatsword</v>
      </c>
      <c r="D90" s="13" t="s">
        <v>34</v>
      </c>
      <c r="E90" s="83" t="s">
        <v>155</v>
      </c>
      <c r="F90" s="13" t="s">
        <v>483</v>
      </c>
      <c r="G90" s="82">
        <v>1</v>
      </c>
      <c r="H90" s="82">
        <v>13</v>
      </c>
      <c r="I90" s="194">
        <f t="shared" si="0"/>
        <v>14</v>
      </c>
      <c r="J90" s="85">
        <v>94467</v>
      </c>
      <c r="K90" s="85">
        <v>650777</v>
      </c>
      <c r="L90" s="85">
        <v>28506</v>
      </c>
      <c r="M90" s="195">
        <f>I90/(HLOOKUP(F90,Team_Composition_23[[#All],[Yellow]:[Red]],10,FALSE)+HLOOKUP(F90,Team_Composition_23[[#All],[Yellow]:[Red]],11,FALSE))</f>
        <v>1.705237515225335E-2</v>
      </c>
      <c r="N90" s="195">
        <f>J90/HLOOKUP(F90,Team_Composition_23[[#All],[Yellow]:[Red]],6,FALSE)</f>
        <v>5.3536317245197829E-3</v>
      </c>
      <c r="O90" s="195">
        <f>K90/HLOOKUP(F90,Team_Composition_23[[#All],[Yellow]:[Red]],8,FALSE)</f>
        <v>1.4785030822244433E-2</v>
      </c>
      <c r="P90" s="195">
        <f>L90/HLOOKUP(F90,Team_Composition_23[[#All],[Yellow]:[Red]],7,FALSE)</f>
        <v>1.1746134655963643E-3</v>
      </c>
    </row>
    <row r="91" spans="1:16" ht="22.5" customHeight="1">
      <c r="A91" s="82">
        <v>59</v>
      </c>
      <c r="B91" s="115" t="str">
        <f>VLOOKUP(C91,Lists!I:J,2,FALSE)</f>
        <v>Tank</v>
      </c>
      <c r="C91" s="115" t="str">
        <f>VLOOKUP(E91,Lists!D:E,2,FALSE)</f>
        <v>SnS/Greatsword</v>
      </c>
      <c r="D91" s="13" t="s">
        <v>30</v>
      </c>
      <c r="E91" s="83" t="s">
        <v>423</v>
      </c>
      <c r="F91" s="13" t="s">
        <v>476</v>
      </c>
      <c r="G91" s="82">
        <v>1</v>
      </c>
      <c r="H91" s="82">
        <v>10</v>
      </c>
      <c r="I91" s="194">
        <f t="shared" si="0"/>
        <v>11</v>
      </c>
      <c r="J91" s="85">
        <v>115280</v>
      </c>
      <c r="K91" s="85">
        <v>1608722</v>
      </c>
      <c r="L91" s="85">
        <v>82794</v>
      </c>
      <c r="M91" s="195">
        <f>I91/(HLOOKUP(F91,Team_Composition_23[[#All],[Yellow]:[Red]],10,FALSE)+HLOOKUP(F91,Team_Composition_23[[#All],[Yellow]:[Red]],11,FALSE))</f>
        <v>2.7493126718320421E-3</v>
      </c>
      <c r="N91" s="195">
        <f>J91/HLOOKUP(F91,Team_Composition_23[[#All],[Yellow]:[Red]],6,FALSE)</f>
        <v>2.598527247264542E-3</v>
      </c>
      <c r="O91" s="195">
        <f>K91/HLOOKUP(F91,Team_Composition_23[[#All],[Yellow]:[Red]],8,FALSE)</f>
        <v>9.1828515517904996E-2</v>
      </c>
      <c r="P91" s="195">
        <f>L91/HLOOKUP(F91,Team_Composition_23[[#All],[Yellow]:[Red]],7,FALSE)</f>
        <v>6.3959401685962231E-3</v>
      </c>
    </row>
    <row r="92" spans="1:16" ht="22.5" customHeight="1">
      <c r="A92" s="82">
        <v>60</v>
      </c>
      <c r="B92" s="115" t="str">
        <f>VLOOKUP(C92,Lists!I:J,2,FALSE)</f>
        <v>Tank</v>
      </c>
      <c r="C92" s="115" t="str">
        <f>VLOOKUP(E92,Lists!D:E,2,FALSE)</f>
        <v>SnS/Greatsword</v>
      </c>
      <c r="D92" s="13" t="s">
        <v>30</v>
      </c>
      <c r="E92" s="83" t="s">
        <v>422</v>
      </c>
      <c r="F92" s="13" t="s">
        <v>476</v>
      </c>
      <c r="G92" s="82">
        <v>1</v>
      </c>
      <c r="H92" s="82">
        <v>8</v>
      </c>
      <c r="I92" s="194">
        <f t="shared" si="0"/>
        <v>9</v>
      </c>
      <c r="J92" s="85">
        <v>97349</v>
      </c>
      <c r="K92" s="85">
        <v>569907</v>
      </c>
      <c r="L92" s="85">
        <v>20191</v>
      </c>
      <c r="M92" s="195">
        <f>I92/(HLOOKUP(F92,Team_Composition_23[[#All],[Yellow]:[Red]],10,FALSE)+HLOOKUP(F92,Team_Composition_23[[#All],[Yellow]:[Red]],11,FALSE))</f>
        <v>2.2494376405898524E-3</v>
      </c>
      <c r="N92" s="195">
        <f>J92/HLOOKUP(F92,Team_Composition_23[[#All],[Yellow]:[Red]],6,FALSE)</f>
        <v>2.1943444569218935E-3</v>
      </c>
      <c r="O92" s="195">
        <f>K92/HLOOKUP(F92,Team_Composition_23[[#All],[Yellow]:[Red]],8,FALSE)</f>
        <v>3.2531235224770153E-2</v>
      </c>
      <c r="P92" s="195">
        <f>L92/HLOOKUP(F92,Team_Composition_23[[#All],[Yellow]:[Red]],7,FALSE)</f>
        <v>1.5597800316946436E-3</v>
      </c>
    </row>
    <row r="93" spans="1:16" ht="22.5" customHeight="1">
      <c r="A93" s="82">
        <v>92</v>
      </c>
      <c r="B93" s="115" t="str">
        <f>VLOOKUP(C93,Lists!I:J,2,FALSE)</f>
        <v>Tank</v>
      </c>
      <c r="C93" s="115" t="str">
        <f>VLOOKUP(E93,Lists!D:E,2,FALSE)</f>
        <v>SnS/Greatsword</v>
      </c>
      <c r="D93" s="13" t="s">
        <v>34</v>
      </c>
      <c r="E93" s="83" t="s">
        <v>57</v>
      </c>
      <c r="F93" s="13" t="s">
        <v>483</v>
      </c>
      <c r="G93" s="82">
        <v>0</v>
      </c>
      <c r="H93" s="82">
        <v>16</v>
      </c>
      <c r="I93" s="194">
        <f t="shared" si="0"/>
        <v>16</v>
      </c>
      <c r="J93" s="85">
        <v>66413</v>
      </c>
      <c r="K93" s="85">
        <v>465970</v>
      </c>
      <c r="L93" s="85">
        <v>20208</v>
      </c>
      <c r="M93" s="195">
        <f>I93/(HLOOKUP(F93,Team_Composition_23[[#All],[Yellow]:[Red]],10,FALSE)+HLOOKUP(F93,Team_Composition_23[[#All],[Yellow]:[Red]],11,FALSE))</f>
        <v>1.9488428745432398E-2</v>
      </c>
      <c r="N93" s="195">
        <f>J93/HLOOKUP(F93,Team_Composition_23[[#All],[Yellow]:[Red]],6,FALSE)</f>
        <v>3.7637560600054234E-3</v>
      </c>
      <c r="O93" s="195">
        <f>K93/HLOOKUP(F93,Team_Composition_23[[#All],[Yellow]:[Red]],8,FALSE)</f>
        <v>1.0586392592610431E-2</v>
      </c>
      <c r="P93" s="195">
        <f>L93/HLOOKUP(F93,Team_Composition_23[[#All],[Yellow]:[Red]],7,FALSE)</f>
        <v>8.3268746624469696E-4</v>
      </c>
    </row>
    <row r="94" spans="1:16" ht="22.5" customHeight="1">
      <c r="A94" s="82">
        <v>93</v>
      </c>
      <c r="B94" s="115" t="str">
        <f>VLOOKUP(C94,Lists!I:J,2,FALSE)</f>
        <v>Healer</v>
      </c>
      <c r="C94" s="115" t="str">
        <f>VLOOKUP(E94,Lists!D:E,2,FALSE)</f>
        <v>Wand/Longbow</v>
      </c>
      <c r="D94" s="13" t="s">
        <v>34</v>
      </c>
      <c r="E94" s="83" t="s">
        <v>136</v>
      </c>
      <c r="F94" s="13" t="s">
        <v>483</v>
      </c>
      <c r="G94" s="82">
        <v>0</v>
      </c>
      <c r="H94" s="82">
        <v>15</v>
      </c>
      <c r="I94" s="194">
        <f t="shared" si="0"/>
        <v>15</v>
      </c>
      <c r="J94" s="85">
        <v>71621</v>
      </c>
      <c r="K94" s="85">
        <v>431649</v>
      </c>
      <c r="L94" s="85">
        <v>1126578</v>
      </c>
      <c r="M94" s="195">
        <f>I94/(HLOOKUP(F94,Team_Composition_23[[#All],[Yellow]:[Red]],10,FALSE)+HLOOKUP(F94,Team_Composition_23[[#All],[Yellow]:[Red]],11,FALSE))</f>
        <v>1.8270401948842874E-2</v>
      </c>
      <c r="N94" s="195">
        <f>J94/HLOOKUP(F94,Team_Composition_23[[#All],[Yellow]:[Red]],6,FALSE)</f>
        <v>4.0589037202603167E-3</v>
      </c>
      <c r="O94" s="195">
        <f>K94/HLOOKUP(F94,Team_Composition_23[[#All],[Yellow]:[Red]],8,FALSE)</f>
        <v>9.8066523085342406E-3</v>
      </c>
      <c r="P94" s="195">
        <f>L94/HLOOKUP(F94,Team_Composition_23[[#All],[Yellow]:[Red]],7,FALSE)</f>
        <v>4.6421584538154106E-2</v>
      </c>
    </row>
    <row r="95" spans="1:16" ht="22.5" customHeight="1">
      <c r="A95" s="82">
        <v>94</v>
      </c>
      <c r="B95" s="115" t="str">
        <f>VLOOKUP(C95,Lists!I:J,2,FALSE)</f>
        <v>Tank</v>
      </c>
      <c r="C95" s="115" t="str">
        <f>VLOOKUP(E95,Lists!D:E,2,FALSE)</f>
        <v>SnS/Greatsword</v>
      </c>
      <c r="D95" s="13" t="s">
        <v>34</v>
      </c>
      <c r="E95" s="83" t="s">
        <v>109</v>
      </c>
      <c r="F95" s="13" t="s">
        <v>483</v>
      </c>
      <c r="G95" s="82">
        <v>0</v>
      </c>
      <c r="H95" s="82">
        <v>9</v>
      </c>
      <c r="I95" s="194">
        <f t="shared" si="0"/>
        <v>9</v>
      </c>
      <c r="J95" s="85">
        <v>34334</v>
      </c>
      <c r="K95" s="85">
        <v>832418</v>
      </c>
      <c r="L95" s="85">
        <v>32176</v>
      </c>
      <c r="M95" s="195">
        <f>I95/(HLOOKUP(F95,Team_Composition_23[[#All],[Yellow]:[Red]],10,FALSE)+HLOOKUP(F95,Team_Composition_23[[#All],[Yellow]:[Red]],11,FALSE))</f>
        <v>1.0962241169305725E-2</v>
      </c>
      <c r="N95" s="195">
        <f>J95/HLOOKUP(F95,Team_Composition_23[[#All],[Yellow]:[Red]],6,FALSE)</f>
        <v>1.9457756849446074E-3</v>
      </c>
      <c r="O95" s="195">
        <f>K95/HLOOKUP(F95,Team_Composition_23[[#All],[Yellow]:[Red]],8,FALSE)</f>
        <v>1.8911740560885015E-2</v>
      </c>
      <c r="P95" s="195">
        <f>L95/HLOOKUP(F95,Team_Composition_23[[#All],[Yellow]:[Red]],7,FALSE)</f>
        <v>1.3258388714315801E-3</v>
      </c>
    </row>
    <row r="96" spans="1:16" ht="22.5" customHeight="1">
      <c r="A96" s="82">
        <v>95</v>
      </c>
      <c r="B96" s="115" t="str">
        <f>VLOOKUP(C96,Lists!I:J,2,FALSE)</f>
        <v>Tank</v>
      </c>
      <c r="C96" s="115" t="str">
        <f>VLOOKUP(E96,Lists!D:E,2,FALSE)</f>
        <v>SnS/Greatsword</v>
      </c>
      <c r="D96" s="13" t="s">
        <v>34</v>
      </c>
      <c r="E96" s="83" t="s">
        <v>118</v>
      </c>
      <c r="F96" s="13" t="s">
        <v>483</v>
      </c>
      <c r="G96" s="82">
        <v>0</v>
      </c>
      <c r="H96" s="82">
        <v>8</v>
      </c>
      <c r="I96" s="194">
        <f t="shared" si="0"/>
        <v>8</v>
      </c>
      <c r="J96" s="85">
        <v>32983</v>
      </c>
      <c r="K96" s="85">
        <v>690540</v>
      </c>
      <c r="L96" s="85">
        <v>30809</v>
      </c>
      <c r="M96" s="195">
        <f>I96/(HLOOKUP(F96,Team_Composition_23[[#All],[Yellow]:[Red]],10,FALSE)+HLOOKUP(F96,Team_Composition_23[[#All],[Yellow]:[Red]],11,FALSE))</f>
        <v>9.7442143727161992E-3</v>
      </c>
      <c r="N96" s="195">
        <f>J96/HLOOKUP(F96,Team_Composition_23[[#All],[Yellow]:[Red]],6,FALSE)</f>
        <v>1.8692118429698837E-3</v>
      </c>
      <c r="O96" s="195">
        <f>K96/HLOOKUP(F96,Team_Composition_23[[#All],[Yellow]:[Red]],8,FALSE)</f>
        <v>1.5688408139796998E-2</v>
      </c>
      <c r="P96" s="195">
        <f>L96/HLOOKUP(F96,Team_Composition_23[[#All],[Yellow]:[Red]],7,FALSE)</f>
        <v>1.2695104981954111E-3</v>
      </c>
    </row>
    <row r="97" spans="1:16" ht="22.5" customHeight="1">
      <c r="A97" s="82">
        <v>96</v>
      </c>
      <c r="B97" s="115" t="str">
        <f>VLOOKUP(C97,Lists!I:J,2,FALSE)</f>
        <v>Healer</v>
      </c>
      <c r="C97" s="115" t="str">
        <f>VLOOKUP(E97,Lists!D:E,2,FALSE)</f>
        <v>Wand/Longbow</v>
      </c>
      <c r="D97" s="13" t="s">
        <v>34</v>
      </c>
      <c r="E97" s="83" t="s">
        <v>135</v>
      </c>
      <c r="F97" s="13" t="s">
        <v>483</v>
      </c>
      <c r="G97" s="82">
        <v>0</v>
      </c>
      <c r="H97" s="82">
        <v>5</v>
      </c>
      <c r="I97" s="194">
        <f t="shared" si="0"/>
        <v>5</v>
      </c>
      <c r="J97" s="85">
        <v>770</v>
      </c>
      <c r="K97" s="85">
        <v>164505</v>
      </c>
      <c r="L97" s="85">
        <v>541498</v>
      </c>
      <c r="M97" s="195">
        <f>I97/(HLOOKUP(F97,Team_Composition_23[[#All],[Yellow]:[Red]],10,FALSE)+HLOOKUP(F97,Team_Composition_23[[#All],[Yellow]:[Red]],11,FALSE))</f>
        <v>6.0901339829476245E-3</v>
      </c>
      <c r="N97" s="195">
        <f>J97/HLOOKUP(F97,Team_Composition_23[[#All],[Yellow]:[Red]],6,FALSE)</f>
        <v>4.3637422887148241E-5</v>
      </c>
      <c r="O97" s="195">
        <f>K97/HLOOKUP(F97,Team_Composition_23[[#All],[Yellow]:[Red]],8,FALSE)</f>
        <v>3.7373962131626048E-3</v>
      </c>
      <c r="P97" s="195">
        <f>L97/HLOOKUP(F97,Team_Composition_23[[#All],[Yellow]:[Red]],7,FALSE)</f>
        <v>2.2312875969743216E-2</v>
      </c>
    </row>
    <row r="98" spans="1:16" ht="22.5" customHeight="1">
      <c r="A98" s="210"/>
      <c r="B98" s="115" t="e">
        <f>VLOOKUP(C98,Lists!I:J,2,FALSE)</f>
        <v>#N/A</v>
      </c>
      <c r="C98" s="115" t="e">
        <f>VLOOKUP(E98,Lists!D:E,2,FALSE)</f>
        <v>#N/A</v>
      </c>
      <c r="D98" s="17"/>
      <c r="E98" s="211"/>
      <c r="F98" s="17"/>
      <c r="G98" s="212"/>
      <c r="H98" s="212"/>
      <c r="I98" s="116"/>
      <c r="J98" s="213"/>
      <c r="K98" s="213"/>
      <c r="L98" s="213"/>
    </row>
    <row r="99" spans="1:16" ht="22.5" customHeight="1">
      <c r="A99" s="210"/>
      <c r="B99" s="115" t="e">
        <f>VLOOKUP(C99,Lists!I:J,2,FALSE)</f>
        <v>#N/A</v>
      </c>
      <c r="C99" s="115" t="e">
        <f>VLOOKUP(E99,Lists!D:E,2,FALSE)</f>
        <v>#N/A</v>
      </c>
      <c r="D99" s="17"/>
      <c r="E99" s="211"/>
      <c r="F99" s="17"/>
      <c r="G99" s="212"/>
      <c r="H99" s="212"/>
      <c r="I99" s="116"/>
      <c r="J99" s="213"/>
      <c r="K99" s="213"/>
      <c r="L99" s="213"/>
    </row>
    <row r="100" spans="1:16" ht="22.5" customHeight="1">
      <c r="A100" s="210"/>
      <c r="B100" s="115" t="e">
        <f>VLOOKUP(C100,Lists!I:J,2,FALSE)</f>
        <v>#N/A</v>
      </c>
      <c r="C100" s="115" t="e">
        <f>VLOOKUP(E100,Lists!D:E,2,FALSE)</f>
        <v>#N/A</v>
      </c>
      <c r="D100" s="17"/>
      <c r="E100" s="211"/>
      <c r="F100" s="17"/>
      <c r="G100" s="212"/>
      <c r="H100" s="212"/>
      <c r="I100" s="116"/>
      <c r="J100" s="213"/>
      <c r="K100" s="213"/>
      <c r="L100" s="213"/>
    </row>
    <row r="101" spans="1:16" ht="22.5" customHeight="1">
      <c r="A101" s="210"/>
      <c r="B101" s="115" t="e">
        <f>VLOOKUP(C101,Lists!I:J,2,FALSE)</f>
        <v>#N/A</v>
      </c>
      <c r="C101" s="115" t="e">
        <f>VLOOKUP(E101,Lists!D:E,2,FALSE)</f>
        <v>#N/A</v>
      </c>
      <c r="D101" s="17"/>
      <c r="E101" s="211"/>
      <c r="F101" s="17"/>
      <c r="G101" s="212"/>
      <c r="H101" s="212"/>
      <c r="I101" s="116"/>
      <c r="J101" s="213"/>
      <c r="K101" s="213"/>
      <c r="L101" s="213"/>
    </row>
    <row r="102" spans="1:16" ht="22.5" customHeight="1">
      <c r="A102" s="210"/>
      <c r="B102" s="115" t="e">
        <f>VLOOKUP(C102,Lists!I:J,2,FALSE)</f>
        <v>#N/A</v>
      </c>
      <c r="C102" s="115" t="e">
        <f>VLOOKUP(E102,Lists!D:E,2,FALSE)</f>
        <v>#N/A</v>
      </c>
      <c r="D102" s="17"/>
      <c r="E102" s="211"/>
      <c r="F102" s="17"/>
      <c r="G102" s="212"/>
      <c r="H102" s="212"/>
      <c r="I102" s="116"/>
      <c r="J102" s="213"/>
      <c r="K102" s="213"/>
      <c r="L102" s="213"/>
    </row>
    <row r="103" spans="1:16" ht="22.5" customHeight="1">
      <c r="A103" s="210"/>
      <c r="B103" s="115" t="e">
        <f>VLOOKUP(C103,Lists!I:J,2,FALSE)</f>
        <v>#N/A</v>
      </c>
      <c r="C103" s="115" t="e">
        <f>VLOOKUP(E103,Lists!D:E,2,FALSE)</f>
        <v>#N/A</v>
      </c>
      <c r="D103" s="17"/>
      <c r="E103" s="211"/>
      <c r="F103" s="17"/>
      <c r="G103" s="212"/>
      <c r="H103" s="212"/>
      <c r="I103" s="116"/>
      <c r="J103" s="213"/>
      <c r="K103" s="213"/>
      <c r="L103" s="213"/>
    </row>
    <row r="104" spans="1:16" ht="22.5" customHeight="1">
      <c r="A104" s="210"/>
      <c r="B104" s="115" t="e">
        <f>VLOOKUP(C104,Lists!I:J,2,FALSE)</f>
        <v>#N/A</v>
      </c>
      <c r="C104" s="115"/>
      <c r="D104" s="17"/>
      <c r="E104" s="211"/>
      <c r="F104" s="17"/>
      <c r="G104" s="212"/>
      <c r="H104" s="212"/>
      <c r="I104" s="116"/>
      <c r="J104" s="213"/>
      <c r="K104" s="213"/>
      <c r="L104" s="213"/>
    </row>
    <row r="105" spans="1:16" ht="22.5" customHeight="1">
      <c r="A105" s="210"/>
      <c r="B105" s="115" t="e">
        <f>VLOOKUP(C105,Lists!I:J,2,FALSE)</f>
        <v>#N/A</v>
      </c>
      <c r="C105" s="115"/>
      <c r="D105" s="17"/>
      <c r="E105" s="211"/>
      <c r="F105" s="17"/>
      <c r="G105" s="212"/>
      <c r="H105" s="212"/>
      <c r="I105" s="116"/>
      <c r="J105" s="213"/>
      <c r="K105" s="213"/>
      <c r="L105" s="213"/>
    </row>
    <row r="106" spans="1:16" ht="22.5" customHeight="1">
      <c r="A106" s="210"/>
      <c r="B106" s="115" t="e">
        <f>VLOOKUP(C106,Lists!I:J,2,FALSE)</f>
        <v>#N/A</v>
      </c>
      <c r="C106" s="115"/>
      <c r="D106" s="17"/>
      <c r="E106" s="211"/>
      <c r="F106" s="17"/>
      <c r="G106" s="212"/>
      <c r="H106" s="212"/>
      <c r="I106" s="116"/>
      <c r="J106" s="213"/>
      <c r="K106" s="213"/>
      <c r="L106" s="213"/>
    </row>
    <row r="107" spans="1:16" ht="22.5" customHeight="1">
      <c r="A107" s="210"/>
      <c r="B107" s="115" t="e">
        <f>VLOOKUP(C107,Lists!I:J,2,FALSE)</f>
        <v>#N/A</v>
      </c>
      <c r="C107" s="115"/>
      <c r="D107" s="17"/>
      <c r="E107" s="211"/>
      <c r="F107" s="17"/>
      <c r="G107" s="212"/>
      <c r="H107" s="212"/>
      <c r="I107" s="116"/>
      <c r="J107" s="213"/>
      <c r="K107" s="213"/>
      <c r="L107" s="213"/>
    </row>
    <row r="108" spans="1:16" ht="22.5" customHeight="1">
      <c r="A108" s="210"/>
      <c r="B108" s="115" t="e">
        <f>VLOOKUP(C108,Lists!I:J,2,FALSE)</f>
        <v>#N/A</v>
      </c>
      <c r="C108" s="115"/>
      <c r="D108" s="17"/>
      <c r="E108" s="211"/>
      <c r="F108" s="17"/>
      <c r="G108" s="212"/>
      <c r="H108" s="212"/>
      <c r="I108" s="116"/>
      <c r="J108" s="213"/>
      <c r="K108" s="213"/>
      <c r="L108" s="213"/>
    </row>
    <row r="109" spans="1:16" ht="22.5" customHeight="1">
      <c r="A109" s="210"/>
      <c r="B109" s="115" t="e">
        <f>VLOOKUP(C109,Lists!I:J,2,FALSE)</f>
        <v>#N/A</v>
      </c>
      <c r="C109" s="115"/>
      <c r="D109" s="17"/>
      <c r="E109" s="211"/>
      <c r="F109" s="17"/>
      <c r="G109" s="212"/>
      <c r="H109" s="212"/>
      <c r="I109" s="116"/>
      <c r="J109" s="213"/>
      <c r="K109" s="213"/>
      <c r="L109" s="213"/>
    </row>
    <row r="110" spans="1:16" ht="22.5" customHeight="1">
      <c r="A110" s="210"/>
      <c r="B110" s="115" t="e">
        <f>VLOOKUP(C110,Lists!I:J,2,FALSE)</f>
        <v>#N/A</v>
      </c>
      <c r="C110" s="115"/>
      <c r="D110" s="17"/>
      <c r="E110" s="211"/>
      <c r="F110" s="17"/>
      <c r="G110" s="212"/>
      <c r="H110" s="212"/>
      <c r="I110" s="116"/>
      <c r="J110" s="213"/>
      <c r="K110" s="213"/>
      <c r="L110" s="213"/>
    </row>
    <row r="111" spans="1:16" ht="22.5" customHeight="1">
      <c r="A111" s="210"/>
      <c r="B111" s="115" t="e">
        <f>VLOOKUP(C111,Lists!I:J,2,FALSE)</f>
        <v>#N/A</v>
      </c>
      <c r="C111" s="115"/>
      <c r="D111" s="17"/>
      <c r="E111" s="211"/>
      <c r="F111" s="17"/>
      <c r="G111" s="212"/>
      <c r="H111" s="212"/>
      <c r="I111" s="116"/>
      <c r="J111" s="213"/>
      <c r="K111" s="213"/>
      <c r="L111" s="213"/>
    </row>
    <row r="112" spans="1:16" ht="22.5" customHeight="1">
      <c r="A112" s="210"/>
      <c r="B112" s="115" t="e">
        <f>VLOOKUP(C112,Lists!I:J,2,FALSE)</f>
        <v>#N/A</v>
      </c>
      <c r="C112" s="115"/>
      <c r="D112" s="17"/>
      <c r="E112" s="211"/>
      <c r="F112" s="17"/>
      <c r="G112" s="212"/>
      <c r="H112" s="212"/>
      <c r="I112" s="116"/>
      <c r="J112" s="213"/>
      <c r="K112" s="213"/>
      <c r="L112" s="213"/>
    </row>
    <row r="113" spans="1:12" ht="22.5" customHeight="1">
      <c r="A113" s="210"/>
      <c r="B113" s="115" t="e">
        <f>VLOOKUP(C113,Lists!I:J,2,FALSE)</f>
        <v>#N/A</v>
      </c>
      <c r="C113" s="115"/>
      <c r="D113" s="17"/>
      <c r="E113" s="211"/>
      <c r="F113" s="17"/>
      <c r="G113" s="212"/>
      <c r="H113" s="212"/>
      <c r="I113" s="116"/>
      <c r="J113" s="213"/>
      <c r="K113" s="213"/>
      <c r="L113" s="213"/>
    </row>
    <row r="114" spans="1:12" ht="22.5" customHeight="1">
      <c r="A114" s="210"/>
      <c r="B114" s="115" t="e">
        <f>VLOOKUP(C114,Lists!I:J,2,FALSE)</f>
        <v>#N/A</v>
      </c>
      <c r="C114" s="115"/>
      <c r="D114" s="17"/>
      <c r="E114" s="211"/>
      <c r="F114" s="17"/>
      <c r="G114" s="212"/>
      <c r="H114" s="212"/>
      <c r="I114" s="116"/>
      <c r="J114" s="213"/>
      <c r="K114" s="213"/>
      <c r="L114" s="213"/>
    </row>
    <row r="115" spans="1:12" ht="22.5" customHeight="1">
      <c r="A115" s="210"/>
      <c r="B115" s="115" t="e">
        <f>VLOOKUP(C115,Lists!I:J,2,FALSE)</f>
        <v>#N/A</v>
      </c>
      <c r="C115" s="115"/>
      <c r="D115" s="17"/>
      <c r="E115" s="211"/>
      <c r="F115" s="17"/>
      <c r="G115" s="212"/>
      <c r="H115" s="212"/>
      <c r="I115" s="116"/>
      <c r="J115" s="213"/>
      <c r="K115" s="213"/>
      <c r="L115" s="213"/>
    </row>
    <row r="116" spans="1:12" ht="22.5" customHeight="1">
      <c r="A116" s="210"/>
      <c r="B116" s="115" t="e">
        <f>VLOOKUP(C116,Lists!I:J,2,FALSE)</f>
        <v>#N/A</v>
      </c>
      <c r="C116" s="115"/>
      <c r="D116" s="17"/>
      <c r="E116" s="211"/>
      <c r="F116" s="17"/>
      <c r="G116" s="212"/>
      <c r="H116" s="212"/>
      <c r="I116" s="116"/>
      <c r="J116" s="213"/>
      <c r="K116" s="213"/>
      <c r="L116" s="213"/>
    </row>
    <row r="117" spans="1:12" ht="22.5" customHeight="1">
      <c r="A117" s="210"/>
      <c r="B117" s="115" t="e">
        <f>VLOOKUP(C117,Lists!I:J,2,FALSE)</f>
        <v>#N/A</v>
      </c>
      <c r="C117" s="115"/>
      <c r="D117" s="17"/>
      <c r="E117" s="211"/>
      <c r="F117" s="17"/>
      <c r="G117" s="212"/>
      <c r="H117" s="212"/>
      <c r="I117" s="116"/>
      <c r="J117" s="213"/>
      <c r="K117" s="213"/>
      <c r="L117" s="213"/>
    </row>
    <row r="118" spans="1:12" ht="22.5" customHeight="1">
      <c r="A118" s="210"/>
      <c r="B118" s="115" t="e">
        <f>VLOOKUP(C118,Lists!I:J,2,FALSE)</f>
        <v>#N/A</v>
      </c>
      <c r="C118" s="115"/>
      <c r="D118" s="17"/>
      <c r="E118" s="211"/>
      <c r="F118" s="17"/>
      <c r="G118" s="212"/>
      <c r="H118" s="212"/>
      <c r="I118" s="116"/>
      <c r="J118" s="213"/>
      <c r="K118" s="213"/>
      <c r="L118" s="213"/>
    </row>
    <row r="119" spans="1:12" ht="22.5" customHeight="1">
      <c r="A119" s="210"/>
      <c r="B119" s="115" t="e">
        <f>VLOOKUP(C119,Lists!I:J,2,FALSE)</f>
        <v>#N/A</v>
      </c>
      <c r="C119" s="115"/>
      <c r="D119" s="17"/>
      <c r="E119" s="211"/>
      <c r="F119" s="17"/>
      <c r="G119" s="212"/>
      <c r="H119" s="212"/>
      <c r="I119" s="116"/>
      <c r="J119" s="213"/>
      <c r="K119" s="213"/>
      <c r="L119" s="213"/>
    </row>
    <row r="120" spans="1:12" ht="22.5" customHeight="1">
      <c r="A120" s="210"/>
      <c r="B120" s="115" t="e">
        <f>VLOOKUP(C120,Lists!I:J,2,FALSE)</f>
        <v>#N/A</v>
      </c>
      <c r="C120" s="115"/>
      <c r="D120" s="17"/>
      <c r="E120" s="211"/>
      <c r="F120" s="17"/>
      <c r="G120" s="212"/>
      <c r="H120" s="212"/>
      <c r="I120" s="116"/>
      <c r="J120" s="213"/>
      <c r="K120" s="213"/>
      <c r="L120" s="213"/>
    </row>
    <row r="121" spans="1:12" ht="22.5" customHeight="1">
      <c r="A121" s="210"/>
      <c r="B121" s="115" t="e">
        <f>VLOOKUP(C121,Lists!I:J,2,FALSE)</f>
        <v>#N/A</v>
      </c>
      <c r="C121" s="115"/>
      <c r="D121" s="17"/>
      <c r="E121" s="211"/>
      <c r="F121" s="17"/>
      <c r="G121" s="212"/>
      <c r="H121" s="212"/>
      <c r="I121" s="116"/>
      <c r="J121" s="213"/>
      <c r="K121" s="213"/>
      <c r="L121" s="213"/>
    </row>
    <row r="122" spans="1:12" ht="22.5" customHeight="1">
      <c r="A122" s="210"/>
      <c r="B122" s="115" t="e">
        <f>VLOOKUP(C122,Lists!I:J,2,FALSE)</f>
        <v>#N/A</v>
      </c>
      <c r="C122" s="115"/>
      <c r="D122" s="17"/>
      <c r="E122" s="211"/>
      <c r="F122" s="17"/>
      <c r="G122" s="212"/>
      <c r="H122" s="212"/>
      <c r="I122" s="116"/>
      <c r="J122" s="213"/>
      <c r="K122" s="213"/>
      <c r="L122" s="213"/>
    </row>
    <row r="123" spans="1:12" ht="22.5" customHeight="1">
      <c r="A123" s="210"/>
      <c r="B123" s="115" t="e">
        <f>VLOOKUP(C123,Lists!I:J,2,FALSE)</f>
        <v>#N/A</v>
      </c>
      <c r="C123" s="115"/>
      <c r="D123" s="17"/>
      <c r="E123" s="211"/>
      <c r="F123" s="17"/>
      <c r="G123" s="212"/>
      <c r="H123" s="212"/>
      <c r="I123" s="116"/>
      <c r="J123" s="213"/>
      <c r="K123" s="213"/>
      <c r="L123" s="213"/>
    </row>
    <row r="124" spans="1:12" ht="22.5" customHeight="1">
      <c r="A124" s="210"/>
      <c r="B124" s="115" t="e">
        <f>VLOOKUP(C124,Lists!I:J,2,FALSE)</f>
        <v>#N/A</v>
      </c>
      <c r="C124" s="115"/>
      <c r="D124" s="17"/>
      <c r="E124" s="211"/>
      <c r="F124" s="17"/>
      <c r="G124" s="212"/>
      <c r="H124" s="212"/>
      <c r="I124" s="116"/>
      <c r="J124" s="213"/>
      <c r="K124" s="213"/>
      <c r="L124" s="213"/>
    </row>
    <row r="125" spans="1:12" ht="22.5" customHeight="1">
      <c r="A125" s="210"/>
      <c r="B125" s="115" t="e">
        <f>VLOOKUP(C125,Lists!I:J,2,FALSE)</f>
        <v>#N/A</v>
      </c>
      <c r="C125" s="115"/>
      <c r="D125" s="17"/>
      <c r="E125" s="211"/>
      <c r="F125" s="17"/>
      <c r="G125" s="212"/>
      <c r="H125" s="212"/>
      <c r="I125" s="116"/>
      <c r="J125" s="213"/>
      <c r="K125" s="213"/>
      <c r="L125" s="213"/>
    </row>
    <row r="126" spans="1:12" ht="22.5" customHeight="1">
      <c r="A126" s="210"/>
      <c r="B126" s="115" t="e">
        <f>VLOOKUP(C126,Lists!I:J,2,FALSE)</f>
        <v>#N/A</v>
      </c>
      <c r="C126" s="115"/>
      <c r="D126" s="17"/>
      <c r="E126" s="211"/>
      <c r="F126" s="17"/>
      <c r="G126" s="212"/>
      <c r="H126" s="212"/>
      <c r="I126" s="116"/>
      <c r="J126" s="213"/>
      <c r="K126" s="213"/>
      <c r="L126" s="213"/>
    </row>
    <row r="127" spans="1:12" ht="22.5" customHeight="1">
      <c r="A127" s="210"/>
      <c r="B127" s="115" t="e">
        <f>VLOOKUP(C127,Lists!I:J,2,FALSE)</f>
        <v>#N/A</v>
      </c>
      <c r="C127" s="115"/>
      <c r="D127" s="17"/>
      <c r="E127" s="211"/>
      <c r="F127" s="17"/>
      <c r="G127" s="212"/>
      <c r="H127" s="212"/>
      <c r="I127" s="116"/>
      <c r="J127" s="213"/>
      <c r="K127" s="213"/>
      <c r="L127" s="213"/>
    </row>
    <row r="128" spans="1:12" ht="22.5" customHeight="1">
      <c r="A128" s="210"/>
      <c r="B128" s="115" t="e">
        <f>VLOOKUP(C128,Lists!I:J,2,FALSE)</f>
        <v>#N/A</v>
      </c>
      <c r="C128" s="115"/>
      <c r="D128" s="17"/>
      <c r="E128" s="211"/>
      <c r="F128" s="17"/>
      <c r="G128" s="212"/>
      <c r="H128" s="212"/>
      <c r="I128" s="116"/>
      <c r="J128" s="213"/>
      <c r="K128" s="213"/>
      <c r="L128" s="213"/>
    </row>
    <row r="129" spans="1:12" ht="22.5" customHeight="1">
      <c r="A129" s="210"/>
      <c r="B129" s="115" t="e">
        <f>VLOOKUP(C129,Lists!I:J,2,FALSE)</f>
        <v>#N/A</v>
      </c>
      <c r="C129" s="115"/>
      <c r="D129" s="17"/>
      <c r="E129" s="211"/>
      <c r="F129" s="17"/>
      <c r="G129" s="212"/>
      <c r="H129" s="212"/>
      <c r="I129" s="116"/>
      <c r="J129" s="213"/>
      <c r="K129" s="213"/>
      <c r="L129" s="213"/>
    </row>
    <row r="130" spans="1:12" ht="22.5" customHeight="1">
      <c r="A130" s="210"/>
      <c r="B130" s="115" t="e">
        <f>VLOOKUP(C130,Lists!I:J,2,FALSE)</f>
        <v>#N/A</v>
      </c>
      <c r="C130" s="115"/>
      <c r="D130" s="17"/>
      <c r="E130" s="211"/>
      <c r="F130" s="17"/>
      <c r="G130" s="212"/>
      <c r="H130" s="212"/>
      <c r="I130" s="116"/>
      <c r="J130" s="213"/>
      <c r="K130" s="213"/>
      <c r="L130" s="213"/>
    </row>
    <row r="131" spans="1:12" ht="22.5" customHeight="1">
      <c r="A131" s="210"/>
      <c r="B131" s="115" t="e">
        <f>VLOOKUP(C131,Lists!I:J,2,FALSE)</f>
        <v>#N/A</v>
      </c>
      <c r="C131" s="115"/>
      <c r="D131" s="17"/>
      <c r="E131" s="211"/>
      <c r="F131" s="17"/>
      <c r="G131" s="212"/>
      <c r="H131" s="212"/>
      <c r="I131" s="116"/>
      <c r="J131" s="213"/>
      <c r="K131" s="213"/>
      <c r="L131" s="213"/>
    </row>
    <row r="132" spans="1:12" ht="22.5" customHeight="1">
      <c r="A132" s="210"/>
      <c r="B132" s="115" t="e">
        <f>VLOOKUP(C132,Lists!I:J,2,FALSE)</f>
        <v>#N/A</v>
      </c>
      <c r="C132" s="115"/>
      <c r="D132" s="17"/>
      <c r="E132" s="211"/>
      <c r="F132" s="17"/>
      <c r="G132" s="212"/>
      <c r="H132" s="212"/>
      <c r="I132" s="116"/>
      <c r="J132" s="213"/>
      <c r="K132" s="213"/>
      <c r="L132" s="213"/>
    </row>
    <row r="133" spans="1:12" ht="22.5" customHeight="1">
      <c r="A133" s="210"/>
      <c r="B133" s="115" t="e">
        <f>VLOOKUP(C133,Lists!I:J,2,FALSE)</f>
        <v>#N/A</v>
      </c>
      <c r="C133" s="115"/>
      <c r="D133" s="17"/>
      <c r="E133" s="211"/>
      <c r="F133" s="17"/>
      <c r="G133" s="212"/>
      <c r="H133" s="212"/>
      <c r="I133" s="116"/>
      <c r="J133" s="213"/>
      <c r="K133" s="213"/>
      <c r="L133" s="213"/>
    </row>
    <row r="134" spans="1:12" ht="22.5" customHeight="1">
      <c r="A134" s="210"/>
      <c r="B134" s="115" t="e">
        <f>VLOOKUP(C134,Lists!I:J,2,FALSE)</f>
        <v>#N/A</v>
      </c>
      <c r="C134" s="115"/>
      <c r="D134" s="17"/>
      <c r="E134" s="211"/>
      <c r="F134" s="17"/>
      <c r="G134" s="212"/>
      <c r="H134" s="212"/>
      <c r="I134" s="116"/>
      <c r="J134" s="213"/>
      <c r="K134" s="213"/>
      <c r="L134" s="213"/>
    </row>
    <row r="135" spans="1:12" ht="22.5" customHeight="1">
      <c r="A135" s="210"/>
      <c r="B135" s="115" t="e">
        <f>VLOOKUP(C135,Lists!I:J,2,FALSE)</f>
        <v>#N/A</v>
      </c>
      <c r="C135" s="115"/>
      <c r="D135" s="17"/>
      <c r="E135" s="211"/>
      <c r="F135" s="17"/>
      <c r="G135" s="212"/>
      <c r="H135" s="212"/>
      <c r="I135" s="116"/>
      <c r="J135" s="213"/>
      <c r="K135" s="213"/>
      <c r="L135" s="213"/>
    </row>
    <row r="136" spans="1:12" ht="22.5" customHeight="1">
      <c r="A136" s="210"/>
      <c r="B136" s="115" t="e">
        <f>VLOOKUP(C136,Lists!I:J,2,FALSE)</f>
        <v>#N/A</v>
      </c>
      <c r="C136" s="115"/>
      <c r="D136" s="17"/>
      <c r="E136" s="211"/>
      <c r="F136" s="17"/>
      <c r="G136" s="212"/>
      <c r="H136" s="212"/>
      <c r="I136" s="116"/>
      <c r="J136" s="213"/>
      <c r="K136" s="213"/>
      <c r="L136" s="213"/>
    </row>
    <row r="137" spans="1:12" ht="22.5" customHeight="1">
      <c r="A137" s="210"/>
      <c r="B137" s="115" t="e">
        <f>VLOOKUP(C137,Lists!I:J,2,FALSE)</f>
        <v>#N/A</v>
      </c>
      <c r="C137" s="115"/>
      <c r="D137" s="17"/>
      <c r="E137" s="211"/>
      <c r="F137" s="17"/>
      <c r="G137" s="212"/>
      <c r="H137" s="212"/>
      <c r="I137" s="116"/>
      <c r="J137" s="213"/>
      <c r="K137" s="213"/>
      <c r="L137" s="213"/>
    </row>
    <row r="138" spans="1:12" ht="22.5" customHeight="1">
      <c r="A138" s="210"/>
      <c r="B138" s="115" t="e">
        <f>VLOOKUP(C138,Lists!I:J,2,FALSE)</f>
        <v>#N/A</v>
      </c>
      <c r="C138" s="115"/>
      <c r="D138" s="17"/>
      <c r="E138" s="211"/>
      <c r="F138" s="17"/>
      <c r="G138" s="212"/>
      <c r="H138" s="212"/>
      <c r="I138" s="116"/>
      <c r="J138" s="213"/>
      <c r="K138" s="213"/>
      <c r="L138" s="213"/>
    </row>
    <row r="139" spans="1:12" ht="22.5" customHeight="1">
      <c r="A139" s="210"/>
      <c r="B139" s="115" t="e">
        <f>VLOOKUP(C139,Lists!I:J,2,FALSE)</f>
        <v>#N/A</v>
      </c>
      <c r="C139" s="115"/>
      <c r="D139" s="17"/>
      <c r="E139" s="211"/>
      <c r="F139" s="17"/>
      <c r="G139" s="212"/>
      <c r="H139" s="212"/>
      <c r="I139" s="116"/>
      <c r="J139" s="213"/>
      <c r="K139" s="213"/>
      <c r="L139" s="213"/>
    </row>
    <row r="140" spans="1:12" ht="22.5" customHeight="1">
      <c r="A140" s="210"/>
      <c r="B140" s="115" t="e">
        <f>VLOOKUP(C140,Lists!I:J,2,FALSE)</f>
        <v>#N/A</v>
      </c>
      <c r="C140" s="115"/>
      <c r="D140" s="17"/>
      <c r="E140" s="211"/>
      <c r="F140" s="17"/>
      <c r="G140" s="212"/>
      <c r="H140" s="212"/>
      <c r="I140" s="116"/>
      <c r="J140" s="213"/>
      <c r="K140" s="213"/>
      <c r="L140" s="213"/>
    </row>
    <row r="141" spans="1:12" ht="22.5" customHeight="1">
      <c r="A141" s="210"/>
      <c r="B141" s="115" t="e">
        <f>VLOOKUP(C141,Lists!I:J,2,FALSE)</f>
        <v>#N/A</v>
      </c>
      <c r="C141" s="115"/>
      <c r="D141" s="17"/>
      <c r="E141" s="211"/>
      <c r="F141" s="17"/>
      <c r="G141" s="212"/>
      <c r="H141" s="212"/>
      <c r="I141" s="116"/>
      <c r="J141" s="213"/>
      <c r="K141" s="213"/>
      <c r="L141" s="213"/>
    </row>
    <row r="142" spans="1:12" ht="22.5" customHeight="1">
      <c r="A142" s="210"/>
      <c r="B142" s="115" t="e">
        <f>VLOOKUP(C142,Lists!I:J,2,FALSE)</f>
        <v>#N/A</v>
      </c>
      <c r="C142" s="115"/>
      <c r="D142" s="17"/>
      <c r="E142" s="211"/>
      <c r="F142" s="17"/>
      <c r="G142" s="212"/>
      <c r="H142" s="212"/>
      <c r="I142" s="116"/>
      <c r="J142" s="213"/>
      <c r="K142" s="213"/>
      <c r="L142" s="213"/>
    </row>
    <row r="143" spans="1:12" ht="22.5" customHeight="1">
      <c r="A143" s="210"/>
      <c r="B143" s="115" t="e">
        <f>VLOOKUP(C143,Lists!I:J,2,FALSE)</f>
        <v>#N/A</v>
      </c>
      <c r="C143" s="115"/>
      <c r="D143" s="17"/>
      <c r="E143" s="211"/>
      <c r="F143" s="17"/>
      <c r="G143" s="212"/>
      <c r="H143" s="212"/>
      <c r="I143" s="116"/>
      <c r="J143" s="213"/>
      <c r="K143" s="213"/>
      <c r="L143" s="213"/>
    </row>
    <row r="144" spans="1:12" ht="22.5" customHeight="1">
      <c r="A144" s="210"/>
      <c r="B144" s="115" t="e">
        <f>VLOOKUP(C144,Lists!I:J,2,FALSE)</f>
        <v>#N/A</v>
      </c>
      <c r="C144" s="115"/>
      <c r="D144" s="17"/>
      <c r="E144" s="211"/>
      <c r="F144" s="17"/>
      <c r="G144" s="212"/>
      <c r="H144" s="212"/>
      <c r="I144" s="116"/>
      <c r="J144" s="213"/>
      <c r="K144" s="213"/>
      <c r="L144" s="213"/>
    </row>
    <row r="145" spans="1:12" ht="22.5" customHeight="1">
      <c r="A145" s="210"/>
      <c r="B145" s="115" t="e">
        <f>VLOOKUP(C145,Lists!I:J,2,FALSE)</f>
        <v>#N/A</v>
      </c>
      <c r="C145" s="115"/>
      <c r="D145" s="17"/>
      <c r="E145" s="211"/>
      <c r="F145" s="17"/>
      <c r="G145" s="212"/>
      <c r="H145" s="212"/>
      <c r="I145" s="116"/>
      <c r="J145" s="213"/>
      <c r="K145" s="213"/>
      <c r="L145" s="213"/>
    </row>
    <row r="146" spans="1:12" ht="22.5" customHeight="1">
      <c r="A146" s="210"/>
      <c r="B146" s="115" t="e">
        <f>VLOOKUP(C146,Lists!I:J,2,FALSE)</f>
        <v>#N/A</v>
      </c>
      <c r="C146" s="115"/>
      <c r="D146" s="17"/>
      <c r="E146" s="211"/>
      <c r="F146" s="17"/>
      <c r="G146" s="212"/>
      <c r="H146" s="212"/>
      <c r="I146" s="116"/>
      <c r="J146" s="213"/>
      <c r="K146" s="213"/>
      <c r="L146" s="213"/>
    </row>
    <row r="147" spans="1:12" ht="22.5" customHeight="1">
      <c r="A147" s="210"/>
      <c r="B147" s="115" t="e">
        <f>VLOOKUP(C147,Lists!I:J,2,FALSE)</f>
        <v>#N/A</v>
      </c>
      <c r="C147" s="115"/>
      <c r="D147" s="17"/>
      <c r="E147" s="211"/>
      <c r="F147" s="17"/>
      <c r="G147" s="212"/>
      <c r="H147" s="212"/>
      <c r="I147" s="116"/>
      <c r="J147" s="213"/>
      <c r="K147" s="213"/>
      <c r="L147" s="213"/>
    </row>
    <row r="148" spans="1:12" ht="22.5" customHeight="1">
      <c r="A148" s="210"/>
      <c r="B148" s="115" t="e">
        <f>VLOOKUP(C148,Lists!I:J,2,FALSE)</f>
        <v>#N/A</v>
      </c>
      <c r="C148" s="115"/>
      <c r="D148" s="17"/>
      <c r="E148" s="211"/>
      <c r="F148" s="17"/>
      <c r="G148" s="212"/>
      <c r="H148" s="212"/>
      <c r="I148" s="116"/>
      <c r="J148" s="213"/>
      <c r="K148" s="213"/>
      <c r="L148" s="213"/>
    </row>
    <row r="149" spans="1:12" ht="22.5" customHeight="1">
      <c r="A149" s="210"/>
      <c r="B149" s="115" t="e">
        <f>VLOOKUP(C149,Lists!I:J,2,FALSE)</f>
        <v>#N/A</v>
      </c>
      <c r="C149" s="115"/>
      <c r="D149" s="17"/>
      <c r="E149" s="211"/>
      <c r="F149" s="17"/>
      <c r="G149" s="212"/>
      <c r="H149" s="212"/>
      <c r="I149" s="116"/>
      <c r="J149" s="213"/>
      <c r="K149" s="213"/>
      <c r="L149" s="213"/>
    </row>
    <row r="150" spans="1:12" ht="22.5" customHeight="1">
      <c r="A150" s="210"/>
      <c r="B150" s="115" t="e">
        <f>VLOOKUP(C150,Lists!I:J,2,FALSE)</f>
        <v>#N/A</v>
      </c>
      <c r="C150" s="115"/>
      <c r="D150" s="17"/>
      <c r="E150" s="211"/>
      <c r="F150" s="17"/>
      <c r="G150" s="212"/>
      <c r="H150" s="212"/>
      <c r="I150" s="116"/>
      <c r="J150" s="213"/>
      <c r="K150" s="213"/>
      <c r="L150" s="213"/>
    </row>
    <row r="151" spans="1:12" ht="22.5" customHeight="1">
      <c r="A151" s="210"/>
      <c r="B151" s="115" t="e">
        <f>VLOOKUP(C151,Lists!I:J,2,FALSE)</f>
        <v>#N/A</v>
      </c>
      <c r="C151" s="115"/>
      <c r="D151" s="17"/>
      <c r="E151" s="211"/>
      <c r="F151" s="17"/>
      <c r="G151" s="212"/>
      <c r="H151" s="212"/>
      <c r="I151" s="116"/>
      <c r="J151" s="213"/>
      <c r="K151" s="213"/>
      <c r="L151" s="213"/>
    </row>
    <row r="152" spans="1:12" ht="22.5" customHeight="1">
      <c r="A152" s="210"/>
      <c r="B152" s="115" t="e">
        <f>VLOOKUP(C152,Lists!I:J,2,FALSE)</f>
        <v>#N/A</v>
      </c>
      <c r="C152" s="115"/>
      <c r="D152" s="17"/>
      <c r="E152" s="211"/>
      <c r="F152" s="17"/>
      <c r="G152" s="212"/>
      <c r="H152" s="212"/>
      <c r="I152" s="116"/>
      <c r="J152" s="213"/>
      <c r="K152" s="213"/>
      <c r="L152" s="213"/>
    </row>
    <row r="153" spans="1:12" ht="22.5" customHeight="1">
      <c r="A153" s="210"/>
      <c r="B153" s="115" t="e">
        <f>VLOOKUP(C153,Lists!I:J,2,FALSE)</f>
        <v>#N/A</v>
      </c>
      <c r="C153" s="115"/>
      <c r="D153" s="17"/>
      <c r="E153" s="211"/>
      <c r="F153" s="17"/>
      <c r="G153" s="212"/>
      <c r="H153" s="212"/>
      <c r="I153" s="116"/>
      <c r="J153" s="213"/>
      <c r="K153" s="213"/>
      <c r="L153" s="213"/>
    </row>
    <row r="154" spans="1:12" ht="22.5" customHeight="1">
      <c r="A154" s="210"/>
      <c r="B154" s="115" t="e">
        <f>VLOOKUP(C154,Lists!I:J,2,FALSE)</f>
        <v>#N/A</v>
      </c>
      <c r="C154" s="115"/>
      <c r="D154" s="17"/>
      <c r="E154" s="211"/>
      <c r="F154" s="17"/>
      <c r="G154" s="212"/>
      <c r="H154" s="212"/>
      <c r="I154" s="116"/>
      <c r="J154" s="213"/>
      <c r="K154" s="213"/>
      <c r="L154" s="213"/>
    </row>
    <row r="155" spans="1:12" ht="22.5" customHeight="1">
      <c r="A155" s="210"/>
      <c r="B155" s="115" t="e">
        <f>VLOOKUP(C155,Lists!I:J,2,FALSE)</f>
        <v>#N/A</v>
      </c>
      <c r="C155" s="115"/>
      <c r="D155" s="17"/>
      <c r="E155" s="211"/>
      <c r="F155" s="17"/>
      <c r="G155" s="212"/>
      <c r="H155" s="212"/>
      <c r="I155" s="116"/>
      <c r="J155" s="213"/>
      <c r="K155" s="213"/>
      <c r="L155" s="213"/>
    </row>
    <row r="156" spans="1:12" ht="22.5" customHeight="1">
      <c r="A156" s="210"/>
      <c r="B156" s="115" t="e">
        <f>VLOOKUP(C156,Lists!I:J,2,FALSE)</f>
        <v>#N/A</v>
      </c>
      <c r="C156" s="115"/>
      <c r="D156" s="17"/>
      <c r="E156" s="211"/>
      <c r="F156" s="17"/>
      <c r="G156" s="212"/>
      <c r="H156" s="212"/>
      <c r="I156" s="116"/>
      <c r="J156" s="213"/>
      <c r="K156" s="213"/>
      <c r="L156" s="213"/>
    </row>
    <row r="157" spans="1:12" ht="22.5" customHeight="1">
      <c r="A157" s="210"/>
      <c r="B157" s="115" t="e">
        <f>VLOOKUP(C157,Lists!I:J,2,FALSE)</f>
        <v>#N/A</v>
      </c>
      <c r="C157" s="115"/>
      <c r="D157" s="17"/>
      <c r="E157" s="211"/>
      <c r="F157" s="17"/>
      <c r="G157" s="212"/>
      <c r="H157" s="212"/>
      <c r="I157" s="116"/>
      <c r="J157" s="213"/>
      <c r="K157" s="213"/>
      <c r="L157" s="213"/>
    </row>
    <row r="158" spans="1:12" ht="22.5" customHeight="1">
      <c r="A158" s="210"/>
      <c r="B158" s="115" t="e">
        <f>VLOOKUP(C158,Lists!I:J,2,FALSE)</f>
        <v>#N/A</v>
      </c>
      <c r="C158" s="115"/>
      <c r="D158" s="17"/>
      <c r="E158" s="211"/>
      <c r="F158" s="17"/>
      <c r="G158" s="212"/>
      <c r="H158" s="212"/>
      <c r="I158" s="116"/>
      <c r="J158" s="213"/>
      <c r="K158" s="213"/>
      <c r="L158" s="213"/>
    </row>
    <row r="159" spans="1:12" ht="22.5" customHeight="1">
      <c r="A159" s="210"/>
      <c r="B159" s="115" t="e">
        <f>VLOOKUP(C159,Lists!I:J,2,FALSE)</f>
        <v>#N/A</v>
      </c>
      <c r="C159" s="115"/>
      <c r="D159" s="17"/>
      <c r="E159" s="211"/>
      <c r="F159" s="17"/>
      <c r="G159" s="212"/>
      <c r="H159" s="212"/>
      <c r="I159" s="116"/>
      <c r="J159" s="213"/>
      <c r="K159" s="213"/>
      <c r="L159" s="213"/>
    </row>
    <row r="160" spans="1:12" ht="22.5" customHeight="1">
      <c r="A160" s="210"/>
      <c r="B160" s="115" t="e">
        <f>VLOOKUP(C160,Lists!I:J,2,FALSE)</f>
        <v>#N/A</v>
      </c>
      <c r="C160" s="115"/>
      <c r="D160" s="17"/>
      <c r="E160" s="211"/>
      <c r="F160" s="17"/>
      <c r="G160" s="212"/>
      <c r="H160" s="212"/>
      <c r="I160" s="116"/>
      <c r="J160" s="213"/>
      <c r="K160" s="213"/>
      <c r="L160" s="213"/>
    </row>
    <row r="161" spans="1:12" ht="22.5" customHeight="1">
      <c r="A161" s="210"/>
      <c r="B161" s="115" t="e">
        <f>VLOOKUP(C161,Lists!I:J,2,FALSE)</f>
        <v>#N/A</v>
      </c>
      <c r="C161" s="115"/>
      <c r="D161" s="17"/>
      <c r="E161" s="211"/>
      <c r="F161" s="17"/>
      <c r="G161" s="212"/>
      <c r="H161" s="212"/>
      <c r="I161" s="116"/>
      <c r="J161" s="213"/>
      <c r="K161" s="213"/>
      <c r="L161" s="213"/>
    </row>
    <row r="162" spans="1:12" ht="22.5" customHeight="1">
      <c r="A162" s="210"/>
      <c r="B162" s="115" t="e">
        <f>VLOOKUP(C162,Lists!I:J,2,FALSE)</f>
        <v>#N/A</v>
      </c>
      <c r="C162" s="115"/>
      <c r="D162" s="17"/>
      <c r="E162" s="211"/>
      <c r="F162" s="17"/>
      <c r="G162" s="212"/>
      <c r="H162" s="212"/>
      <c r="I162" s="116"/>
      <c r="J162" s="213"/>
      <c r="K162" s="213"/>
      <c r="L162" s="213"/>
    </row>
    <row r="163" spans="1:12" ht="22.5" customHeight="1">
      <c r="A163" s="210"/>
      <c r="B163" s="115" t="e">
        <f>VLOOKUP(C163,Lists!I:J,2,FALSE)</f>
        <v>#N/A</v>
      </c>
      <c r="C163" s="115"/>
      <c r="D163" s="17"/>
      <c r="E163" s="211"/>
      <c r="F163" s="17"/>
      <c r="G163" s="212"/>
      <c r="H163" s="212"/>
      <c r="I163" s="116"/>
      <c r="J163" s="213"/>
      <c r="K163" s="213"/>
      <c r="L163" s="213"/>
    </row>
  </sheetData>
  <mergeCells count="14">
    <mergeCell ref="R63:T63"/>
    <mergeCell ref="AB63:AD63"/>
    <mergeCell ref="R2:T2"/>
    <mergeCell ref="V2:W2"/>
    <mergeCell ref="Y2:Z2"/>
    <mergeCell ref="AB2:AD2"/>
    <mergeCell ref="V15:W15"/>
    <mergeCell ref="Y15:Z15"/>
    <mergeCell ref="AB15:AD15"/>
    <mergeCell ref="R15:T15"/>
    <mergeCell ref="R28:T28"/>
    <mergeCell ref="AB28:AD28"/>
    <mergeCell ref="R49:T49"/>
    <mergeCell ref="AB49:AD49"/>
  </mergeCells>
  <dataValidations count="4">
    <dataValidation type="list" allowBlank="1" sqref="B2:D163" xr:uid="{00000000-0002-0000-1000-000000000000}">
      <formula1>#REF!</formula1>
    </dataValidation>
    <dataValidation type="list" allowBlank="1" sqref="F2:F163" xr:uid="{00000000-0002-0000-1000-000002000000}">
      <formula1>"Yellow,Red"</formula1>
    </dataValidation>
    <dataValidation type="custom" allowBlank="1" showDropDown="1" sqref="AC4:AD14 S4:T14 AC17:AD25 S17:T25 S30:T46 AC30:AD46 S51:T60 AC51:AD60 S65:T72 AC65:AD72 A2:A163 G2:L163" xr:uid="{00000000-0002-0000-1000-000003000000}">
      <formula1>AND(ISNUMBER(A2),(NOT(OR(NOT(ISERROR(DATEVALUE(A2))), AND(ISNUMBER(A2), LEFT(CELL("format", A2))="D")))))</formula1>
    </dataValidation>
    <dataValidation allowBlank="1" showDropDown="1" sqref="E2:E163" xr:uid="{00000000-0002-0000-1000-000004000000}"/>
  </dataValidations>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189" t="s">
        <v>463</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30" ht="22.5" customHeight="1">
      <c r="A2" s="82">
        <v>6</v>
      </c>
      <c r="B2" s="115" t="str">
        <f>VLOOKUP(C2,Lists!I:J,2,FALSE)</f>
        <v>Ranged DPS</v>
      </c>
      <c r="C2" s="115" t="str">
        <f>VLOOKUP(E2,Lists!D:E,2,FALSE)</f>
        <v>Staff/Dagger</v>
      </c>
      <c r="D2" s="13" t="s">
        <v>30</v>
      </c>
      <c r="E2" s="83" t="s">
        <v>231</v>
      </c>
      <c r="F2" s="13" t="s">
        <v>483</v>
      </c>
      <c r="G2" s="82">
        <v>32</v>
      </c>
      <c r="H2" s="82">
        <v>71</v>
      </c>
      <c r="I2" s="194">
        <f t="shared" ref="I2:I97" si="0">SUM(G2:H2)</f>
        <v>103</v>
      </c>
      <c r="J2" s="85">
        <v>2511623</v>
      </c>
      <c r="K2" s="85">
        <v>443465</v>
      </c>
      <c r="L2" s="85">
        <v>0</v>
      </c>
      <c r="M2" s="195">
        <f>I2/(HLOOKUP(F2,Team_Composition_23[[#All],[Yellow]:[Red]],10,FALSE)+HLOOKUP(F2,Team_Composition_23[[#All],[Yellow]:[Red]],11,FALSE))</f>
        <v>0.12545676004872108</v>
      </c>
      <c r="N2" s="195">
        <f>J2/HLOOKUP(F2,Team_Composition_23[[#All],[Yellow]:[Red]],6,FALSE)</f>
        <v>0.14233864283647782</v>
      </c>
      <c r="O2" s="195">
        <f>K2/HLOOKUP(F2,Team_Composition_23[[#All],[Yellow]:[Red]],8,FALSE)</f>
        <v>1.0075100523814806E-2</v>
      </c>
      <c r="P2" s="195">
        <f>L2/HLOOKUP(F2,Team_Composition_23[[#All],[Yellow]:[Red]],7,FALSE)</f>
        <v>0</v>
      </c>
      <c r="R2" s="232" t="s">
        <v>477</v>
      </c>
      <c r="S2" s="228"/>
      <c r="T2" s="228"/>
      <c r="V2" s="233" t="s">
        <v>478</v>
      </c>
      <c r="W2" s="228"/>
      <c r="X2" s="196"/>
      <c r="Y2" s="233" t="s">
        <v>479</v>
      </c>
      <c r="Z2" s="228"/>
      <c r="AB2" s="232" t="s">
        <v>480</v>
      </c>
      <c r="AC2" s="228"/>
      <c r="AD2" s="228"/>
    </row>
    <row r="3" spans="1:30" ht="22.5" customHeight="1">
      <c r="A3" s="82">
        <v>2</v>
      </c>
      <c r="B3" s="115" t="str">
        <f>VLOOKUP(C3,Lists!I:J,2,FALSE)</f>
        <v>Ranged DPS</v>
      </c>
      <c r="C3" s="115" t="str">
        <f>VLOOKUP(E3,Lists!D:E,2,FALSE)</f>
        <v>Staff/Longbow</v>
      </c>
      <c r="D3" s="13" t="s">
        <v>30</v>
      </c>
      <c r="E3" s="83" t="s">
        <v>224</v>
      </c>
      <c r="F3" s="13" t="s">
        <v>483</v>
      </c>
      <c r="G3" s="82">
        <v>43</v>
      </c>
      <c r="H3" s="82">
        <v>56</v>
      </c>
      <c r="I3" s="194">
        <f t="shared" si="0"/>
        <v>99</v>
      </c>
      <c r="J3" s="85">
        <v>3275204</v>
      </c>
      <c r="K3" s="85">
        <v>521330</v>
      </c>
      <c r="L3" s="85">
        <v>47836</v>
      </c>
      <c r="M3" s="195">
        <f>I3/(HLOOKUP(F3,Team_Composition_23[[#All],[Yellow]:[Red]],10,FALSE)+HLOOKUP(F3,Team_Composition_23[[#All],[Yellow]:[Red]],11,FALSE))</f>
        <v>0.12058465286236297</v>
      </c>
      <c r="N3" s="195">
        <f>J3/HLOOKUP(F3,Team_Composition_23[[#All],[Yellow]:[Red]],6,FALSE)</f>
        <v>0.18561228829828502</v>
      </c>
      <c r="O3" s="195">
        <f>K3/HLOOKUP(F3,Team_Composition_23[[#All],[Yellow]:[Red]],8,FALSE)</f>
        <v>1.184411882804815E-2</v>
      </c>
      <c r="P3" s="195">
        <f>L3/HLOOKUP(F3,Team_Composition_23[[#All],[Yellow]:[Red]],7,FALSE)</f>
        <v>1.971122210772037E-3</v>
      </c>
      <c r="R3" s="197" t="s">
        <v>482</v>
      </c>
      <c r="S3" s="198" t="s">
        <v>476</v>
      </c>
      <c r="T3" s="198" t="s">
        <v>483</v>
      </c>
      <c r="V3" s="199" t="s">
        <v>1</v>
      </c>
      <c r="W3" s="200" t="s">
        <v>467</v>
      </c>
      <c r="Y3" s="199" t="s">
        <v>1</v>
      </c>
      <c r="Z3" s="200" t="s">
        <v>484</v>
      </c>
      <c r="AB3" s="197" t="s">
        <v>482</v>
      </c>
      <c r="AC3" s="198" t="s">
        <v>7</v>
      </c>
      <c r="AD3" s="198" t="s">
        <v>527</v>
      </c>
    </row>
    <row r="4" spans="1:30" ht="22.5" customHeight="1">
      <c r="A4" s="82">
        <v>51</v>
      </c>
      <c r="B4" s="115" t="str">
        <f>VLOOKUP(C4,Lists!I:J,2,FALSE)</f>
        <v>Healer</v>
      </c>
      <c r="C4" s="115" t="str">
        <f>VLOOKUP(E4,Lists!D:E,2,FALSE)</f>
        <v>Wand/Orb</v>
      </c>
      <c r="D4" s="13" t="s">
        <v>30</v>
      </c>
      <c r="E4" s="83" t="s">
        <v>200</v>
      </c>
      <c r="F4" s="13" t="s">
        <v>483</v>
      </c>
      <c r="G4" s="82">
        <v>0</v>
      </c>
      <c r="H4" s="82">
        <v>90</v>
      </c>
      <c r="I4" s="194">
        <f t="shared" si="0"/>
        <v>90</v>
      </c>
      <c r="J4" s="85">
        <v>1005</v>
      </c>
      <c r="K4" s="85">
        <v>117871</v>
      </c>
      <c r="L4" s="85">
        <v>336043</v>
      </c>
      <c r="M4" s="195">
        <f>I4/(HLOOKUP(F4,Team_Composition_23[[#All],[Yellow]:[Red]],10,FALSE)+HLOOKUP(F4,Team_Composition_23[[#All],[Yellow]:[Red]],11,FALSE))</f>
        <v>0.10962241169305725</v>
      </c>
      <c r="N4" s="195">
        <f>J4/HLOOKUP(F4,Team_Composition_23[[#All],[Yellow]:[Red]],6,FALSE)</f>
        <v>5.6955337664394783E-5</v>
      </c>
      <c r="O4" s="195">
        <f>K4/HLOOKUP(F4,Team_Composition_23[[#All],[Yellow]:[Red]],8,FALSE)</f>
        <v>2.6779163493005648E-3</v>
      </c>
      <c r="P4" s="195">
        <f>L4/HLOOKUP(F4,Team_Composition_23[[#All],[Yellow]:[Red]],7,FALSE)</f>
        <v>1.3846931622093562E-2</v>
      </c>
      <c r="R4" s="201" t="s">
        <v>25</v>
      </c>
      <c r="S4" s="202">
        <f>COUNTIFS(Scoreboard_28[Role],R4,Scoreboard_28[Team],"Yellow")</f>
        <v>3</v>
      </c>
      <c r="T4" s="203">
        <f>COUNTIFS(Scoreboard_28[Role],R4,Scoreboard_28[Team],"Red")</f>
        <v>3</v>
      </c>
      <c r="V4" s="204" t="str">
        <f ca="1">IFERROR(__xludf.DUMMYFUNCTION("query(A1:P238, ""Select E,I where B!='Healer' Order by I Desc Limit 10"", 0)"),"Sodapop")</f>
        <v>Sodapop</v>
      </c>
      <c r="W4" s="116">
        <f ca="1">IFERROR(__xludf.DUMMYFUNCTION("""COMPUTED_VALUE"""),103)</f>
        <v>103</v>
      </c>
      <c r="Y4" s="204" t="str">
        <f ca="1">IFERROR(__xludf.DUMMYFUNCTION("query(A1:P238, ""Select E,J Order by J Desc Limit 10"", 0)"),"GUNWALLET")</f>
        <v>GUNWALLET</v>
      </c>
      <c r="Z4" s="116">
        <f ca="1">IFERROR(__xludf.DUMMYFUNCTION("""COMPUTED_VALUE"""),3275204)</f>
        <v>3275204</v>
      </c>
      <c r="AB4" s="201" t="s">
        <v>25</v>
      </c>
      <c r="AC4" s="205">
        <f>COUNTIFS(Scoreboard_28[Role],AB4,Scoreboard_28[Guild],"FTP")</f>
        <v>0</v>
      </c>
      <c r="AD4" s="206">
        <f>COUNTIFS(Scoreboard_28[Role],AB4,Scoreboard_28[Guild],"Undercooked")</f>
        <v>0</v>
      </c>
    </row>
    <row r="5" spans="1:30" ht="22.5" customHeight="1">
      <c r="A5" s="82">
        <v>12</v>
      </c>
      <c r="B5" s="115" t="str">
        <f>VLOOKUP(C5,Lists!I:J,2,FALSE)</f>
        <v>Ranged DPS</v>
      </c>
      <c r="C5" s="115" t="s">
        <v>58</v>
      </c>
      <c r="D5" s="13" t="s">
        <v>30</v>
      </c>
      <c r="E5" s="83" t="s">
        <v>397</v>
      </c>
      <c r="F5" s="13" t="s">
        <v>483</v>
      </c>
      <c r="G5" s="82">
        <v>26</v>
      </c>
      <c r="H5" s="82">
        <v>57</v>
      </c>
      <c r="I5" s="194">
        <f t="shared" si="0"/>
        <v>83</v>
      </c>
      <c r="J5" s="85">
        <v>2445902</v>
      </c>
      <c r="K5" s="85">
        <v>926552</v>
      </c>
      <c r="L5" s="85">
        <v>0</v>
      </c>
      <c r="M5" s="195">
        <f>I5/(HLOOKUP(F5,Team_Composition_23[[#All],[Yellow]:[Red]],10,FALSE)+HLOOKUP(F5,Team_Composition_23[[#All],[Yellow]:[Red]],11,FALSE))</f>
        <v>0.10109622411693057</v>
      </c>
      <c r="N5" s="195">
        <f>J5/HLOOKUP(F5,Team_Composition_23[[#All],[Yellow]:[Red]],6,FALSE)</f>
        <v>0.13861410378509306</v>
      </c>
      <c r="O5" s="195">
        <f>K5/HLOOKUP(F5,Team_Composition_23[[#All],[Yellow]:[Red]],8,FALSE)</f>
        <v>2.1050374980081079E-2</v>
      </c>
      <c r="P5" s="195">
        <f>L5/HLOOKUP(F5,Team_Composition_23[[#All],[Yellow]:[Red]],7,FALSE)</f>
        <v>0</v>
      </c>
      <c r="R5" s="201" t="s">
        <v>39</v>
      </c>
      <c r="S5" s="202">
        <f>COUNTIFS(Scoreboard_28[Role],R5,Scoreboard_28[Team],"Yellow")</f>
        <v>7</v>
      </c>
      <c r="T5" s="203">
        <f>COUNTIFS(Scoreboard_28[Role],R5,Scoreboard_28[Team],"Red")</f>
        <v>7</v>
      </c>
      <c r="V5" s="204" t="str">
        <f ca="1">IFERROR(__xludf.DUMMYFUNCTION("""COMPUTED_VALUE"""),"GUNWALLET")</f>
        <v>GUNWALLET</v>
      </c>
      <c r="W5" s="116">
        <f ca="1">IFERROR(__xludf.DUMMYFUNCTION("""COMPUTED_VALUE"""),99)</f>
        <v>99</v>
      </c>
      <c r="Y5" s="204" t="str">
        <f ca="1">IFERROR(__xludf.DUMMYFUNCTION("""COMPUTED_VALUE"""),"Sodapop")</f>
        <v>Sodapop</v>
      </c>
      <c r="Z5" s="116">
        <f ca="1">IFERROR(__xludf.DUMMYFUNCTION("""COMPUTED_VALUE"""),2511623)</f>
        <v>2511623</v>
      </c>
      <c r="AB5" s="201" t="s">
        <v>39</v>
      </c>
      <c r="AC5" s="205">
        <f>COUNTIFS(Scoreboard_28[Role],AB5,Scoreboard_28[Guild],"FTP")</f>
        <v>0</v>
      </c>
      <c r="AD5" s="206">
        <f>COUNTIFS(Scoreboard_28[Role],AB5,Scoreboard_28[Guild],"Undercooked")</f>
        <v>0</v>
      </c>
    </row>
    <row r="6" spans="1:30" ht="22.5" customHeight="1">
      <c r="A6" s="82">
        <v>15</v>
      </c>
      <c r="B6" s="115" t="str">
        <f>VLOOKUP(C6,Lists!I:J,2,FALSE)</f>
        <v>Melee DPS</v>
      </c>
      <c r="C6" s="115" t="s">
        <v>23</v>
      </c>
      <c r="D6" s="13" t="s">
        <v>30</v>
      </c>
      <c r="E6" s="83" t="s">
        <v>398</v>
      </c>
      <c r="F6" s="13" t="s">
        <v>483</v>
      </c>
      <c r="G6" s="82">
        <v>22</v>
      </c>
      <c r="H6" s="82">
        <v>60</v>
      </c>
      <c r="I6" s="194">
        <f t="shared" si="0"/>
        <v>82</v>
      </c>
      <c r="J6" s="85">
        <v>1611919</v>
      </c>
      <c r="K6" s="85">
        <v>715811</v>
      </c>
      <c r="L6" s="85">
        <v>89853</v>
      </c>
      <c r="M6" s="195">
        <f>I6/(HLOOKUP(F6,Team_Composition_23[[#All],[Yellow]:[Red]],10,FALSE)+HLOOKUP(F6,Team_Composition_23[[#All],[Yellow]:[Red]],11,FALSE))</f>
        <v>9.9878197320341047E-2</v>
      </c>
      <c r="N6" s="195">
        <f>J6/HLOOKUP(F6,Team_Composition_23[[#All],[Yellow]:[Red]],6,FALSE)</f>
        <v>9.1350637743933899E-2</v>
      </c>
      <c r="O6" s="195">
        <f>K6/HLOOKUP(F6,Team_Composition_23[[#All],[Yellow]:[Red]],8,FALSE)</f>
        <v>1.6262541082277971E-2</v>
      </c>
      <c r="P6" s="195">
        <f>L6/HLOOKUP(F6,Team_Composition_23[[#All],[Yellow]:[Red]],7,FALSE)</f>
        <v>3.7024676813383192E-3</v>
      </c>
      <c r="R6" s="201" t="s">
        <v>67</v>
      </c>
      <c r="S6" s="202">
        <f>COUNTIFS(Scoreboard_28[Role],R6,Scoreboard_28[Team],"Yellow")</f>
        <v>17</v>
      </c>
      <c r="T6" s="203">
        <f>COUNTIFS(Scoreboard_28[Role],R6,Scoreboard_28[Team],"Red")</f>
        <v>12</v>
      </c>
      <c r="V6" s="204" t="str">
        <f ca="1">IFERROR(__xludf.DUMMYFUNCTION("""COMPUTED_VALUE"""),"SuperSaiyanAndy")</f>
        <v>SuperSaiyanAndy</v>
      </c>
      <c r="W6" s="116">
        <f ca="1">IFERROR(__xludf.DUMMYFUNCTION("""COMPUTED_VALUE"""),83)</f>
        <v>83</v>
      </c>
      <c r="Y6" s="204" t="str">
        <f ca="1">IFERROR(__xludf.DUMMYFUNCTION("""COMPUTED_VALUE"""),"SuperSaiyanAndy")</f>
        <v>SuperSaiyanAndy</v>
      </c>
      <c r="Z6" s="116">
        <f ca="1">IFERROR(__xludf.DUMMYFUNCTION("""COMPUTED_VALUE"""),2445902)</f>
        <v>2445902</v>
      </c>
      <c r="AB6" s="201" t="s">
        <v>67</v>
      </c>
      <c r="AC6" s="205">
        <f>COUNTIFS(Scoreboard_28[Role],AB6,Scoreboard_28[Guild],"FTP")</f>
        <v>0</v>
      </c>
      <c r="AD6" s="206">
        <f>COUNTIFS(Scoreboard_28[Role],AB6,Scoreboard_28[Guild],"Undercooked")</f>
        <v>0</v>
      </c>
    </row>
    <row r="7" spans="1:30" ht="22.5" customHeight="1">
      <c r="A7" s="82">
        <v>14</v>
      </c>
      <c r="B7" s="115" t="str">
        <f>VLOOKUP(C7,Lists!I:J,2,FALSE)</f>
        <v>Ranged DPS</v>
      </c>
      <c r="C7" s="115" t="str">
        <f>VLOOKUP(E7,Lists!D:E,2,FALSE)</f>
        <v>Staff/Dagger</v>
      </c>
      <c r="D7" s="13" t="s">
        <v>34</v>
      </c>
      <c r="E7" s="83" t="s">
        <v>31</v>
      </c>
      <c r="F7" s="13" t="s">
        <v>476</v>
      </c>
      <c r="G7" s="82">
        <v>25</v>
      </c>
      <c r="H7" s="82">
        <v>56</v>
      </c>
      <c r="I7" s="194">
        <f t="shared" si="0"/>
        <v>81</v>
      </c>
      <c r="J7" s="85">
        <v>1846710</v>
      </c>
      <c r="K7" s="85">
        <v>633567</v>
      </c>
      <c r="L7" s="85">
        <v>0</v>
      </c>
      <c r="M7" s="195">
        <f>I7/(HLOOKUP(F7,Team_Composition_23[[#All],[Yellow]:[Red]],10,FALSE)+HLOOKUP(F7,Team_Composition_23[[#All],[Yellow]:[Red]],11,FALSE))</f>
        <v>2.0244938765308671E-2</v>
      </c>
      <c r="N7" s="195">
        <f>J7/HLOOKUP(F7,Team_Composition_23[[#All],[Yellow]:[Red]],6,FALSE)</f>
        <v>4.1626702401074793E-2</v>
      </c>
      <c r="O7" s="195">
        <f>K7/HLOOKUP(F7,Team_Composition_23[[#All],[Yellow]:[Red]],8,FALSE)</f>
        <v>3.6165053434423423E-2</v>
      </c>
      <c r="P7" s="195">
        <f>L7/HLOOKUP(F7,Team_Composition_23[[#All],[Yellow]:[Red]],7,FALSE)</f>
        <v>0</v>
      </c>
      <c r="R7" s="201" t="s">
        <v>11</v>
      </c>
      <c r="S7" s="202">
        <f>COUNTIFS(Scoreboard_28[Role],R7,Scoreboard_28[Team],"Yellow")</f>
        <v>16</v>
      </c>
      <c r="T7" s="203">
        <f>COUNTIFS(Scoreboard_28[Role],R7,Scoreboard_28[Team],"Red")</f>
        <v>17</v>
      </c>
      <c r="V7" s="204" t="str">
        <f ca="1">IFERROR(__xludf.DUMMYFUNCTION("""COMPUTED_VALUE"""),"nightghost1")</f>
        <v>nightghost1</v>
      </c>
      <c r="W7" s="116">
        <f ca="1">IFERROR(__xludf.DUMMYFUNCTION("""COMPUTED_VALUE"""),82)</f>
        <v>82</v>
      </c>
      <c r="Y7" s="204" t="str">
        <f ca="1">IFERROR(__xludf.DUMMYFUNCTION("""COMPUTED_VALUE"""),"EnoughCrazy")</f>
        <v>EnoughCrazy</v>
      </c>
      <c r="Z7" s="116">
        <f ca="1">IFERROR(__xludf.DUMMYFUNCTION("""COMPUTED_VALUE"""),2079643)</f>
        <v>2079643</v>
      </c>
      <c r="AB7" s="201" t="s">
        <v>11</v>
      </c>
      <c r="AC7" s="205">
        <f>COUNTIFS(Scoreboard_28[Role],AB7,Scoreboard_28[Guild],"FTP")</f>
        <v>0</v>
      </c>
      <c r="AD7" s="206">
        <f>COUNTIFS(Scoreboard_28[Role],AB7,Scoreboard_28[Guild],"Undercooked")</f>
        <v>0</v>
      </c>
    </row>
    <row r="8" spans="1:30" ht="22.5" customHeight="1">
      <c r="A8" s="82">
        <v>1</v>
      </c>
      <c r="B8" s="115" t="str">
        <f>VLOOKUP(C8,Lists!I:J,2,FALSE)</f>
        <v>KS</v>
      </c>
      <c r="C8" s="115" t="s">
        <v>69</v>
      </c>
      <c r="D8" s="13" t="s">
        <v>30</v>
      </c>
      <c r="E8" s="83" t="s">
        <v>531</v>
      </c>
      <c r="F8" s="13" t="s">
        <v>483</v>
      </c>
      <c r="G8" s="82">
        <v>44</v>
      </c>
      <c r="H8" s="82">
        <v>35</v>
      </c>
      <c r="I8" s="194">
        <f t="shared" si="0"/>
        <v>79</v>
      </c>
      <c r="J8" s="85">
        <v>1478373</v>
      </c>
      <c r="K8" s="85">
        <v>563097</v>
      </c>
      <c r="L8" s="85">
        <v>92258</v>
      </c>
      <c r="M8" s="195">
        <f>I8/(HLOOKUP(F8,Team_Composition_23[[#All],[Yellow]:[Red]],10,FALSE)+HLOOKUP(F8,Team_Composition_23[[#All],[Yellow]:[Red]],11,FALSE))</f>
        <v>9.6224116930572479E-2</v>
      </c>
      <c r="N8" s="195">
        <f>J8/HLOOKUP(F8,Team_Composition_23[[#All],[Yellow]:[Red]],6,FALSE)</f>
        <v>8.3782321799924689E-2</v>
      </c>
      <c r="O8" s="195">
        <f>K8/HLOOKUP(F8,Team_Composition_23[[#All],[Yellow]:[Red]],8,FALSE)</f>
        <v>1.2793025108314175E-2</v>
      </c>
      <c r="P8" s="195">
        <f>L8/HLOOKUP(F8,Team_Composition_23[[#All],[Yellow]:[Red]],7,FALSE)</f>
        <v>3.8015677088679362E-3</v>
      </c>
      <c r="R8" s="201" t="s">
        <v>468</v>
      </c>
      <c r="S8" s="202">
        <f>SUMIFS(Scoreboard_28[Damage Dealt],Scoreboard_28[Team],"Yellow")</f>
        <v>22788003</v>
      </c>
      <c r="T8" s="203">
        <f>SUMIFS(Scoreboard_28[Damage Dealt],Scoreboard_28[Team],"Red")</f>
        <v>26436457</v>
      </c>
      <c r="V8" s="204" t="str">
        <f ca="1">IFERROR(__xludf.DUMMYFUNCTION("""COMPUTED_VALUE"""),"CLEM")</f>
        <v>CLEM</v>
      </c>
      <c r="W8" s="116">
        <f ca="1">IFERROR(__xludf.DUMMYFUNCTION("""COMPUTED_VALUE"""),81)</f>
        <v>81</v>
      </c>
      <c r="Y8" s="204" t="str">
        <f ca="1">IFERROR(__xludf.DUMMYFUNCTION("""COMPUTED_VALUE"""),"CLEM")</f>
        <v>CLEM</v>
      </c>
      <c r="Z8" s="116">
        <f ca="1">IFERROR(__xludf.DUMMYFUNCTION("""COMPUTED_VALUE"""),1846710)</f>
        <v>1846710</v>
      </c>
      <c r="AB8" s="201" t="s">
        <v>468</v>
      </c>
      <c r="AC8" s="205">
        <f>SUMIFS(Scoreboard_28[Damage Dealt],Scoreboard_28[Guild],"FTP")</f>
        <v>0</v>
      </c>
      <c r="AD8" s="206">
        <f>SUMIFS(Scoreboard_28[Damage Dealt],Scoreboard_28[Guild],"Undercooked")</f>
        <v>0</v>
      </c>
    </row>
    <row r="9" spans="1:30" ht="22.5" customHeight="1">
      <c r="A9" s="82">
        <v>52</v>
      </c>
      <c r="B9" s="115" t="str">
        <f>VLOOKUP(C9,Lists!I:J,2,FALSE)</f>
        <v>Tank</v>
      </c>
      <c r="C9" s="115" t="s">
        <v>73</v>
      </c>
      <c r="D9" s="13" t="s">
        <v>30</v>
      </c>
      <c r="E9" s="83" t="s">
        <v>410</v>
      </c>
      <c r="F9" s="13" t="s">
        <v>483</v>
      </c>
      <c r="G9" s="82">
        <v>0</v>
      </c>
      <c r="H9" s="82">
        <v>79</v>
      </c>
      <c r="I9" s="194">
        <f t="shared" si="0"/>
        <v>79</v>
      </c>
      <c r="J9" s="85">
        <v>2012</v>
      </c>
      <c r="K9" s="85">
        <v>193102</v>
      </c>
      <c r="L9" s="85">
        <v>383539</v>
      </c>
      <c r="M9" s="195">
        <f>I9/(HLOOKUP(F9,Team_Composition_23[[#All],[Yellow]:[Red]],10,FALSE)+HLOOKUP(F9,Team_Composition_23[[#All],[Yellow]:[Red]],11,FALSE))</f>
        <v>9.6224116930572479E-2</v>
      </c>
      <c r="N9" s="195">
        <f>J9/HLOOKUP(F9,Team_Composition_23[[#All],[Yellow]:[Red]],6,FALSE)</f>
        <v>1.140240192843406E-4</v>
      </c>
      <c r="O9" s="195">
        <f>K9/HLOOKUP(F9,Team_Composition_23[[#All],[Yellow]:[Red]],8,FALSE)</f>
        <v>4.3870926935602279E-3</v>
      </c>
      <c r="P9" s="195">
        <f>L9/HLOOKUP(F9,Team_Composition_23[[#All],[Yellow]:[Red]],7,FALSE)</f>
        <v>1.5804043849763701E-2</v>
      </c>
      <c r="R9" s="201" t="s">
        <v>470</v>
      </c>
      <c r="S9" s="202">
        <f>SUMIFS(Scoreboard_28[Amount Healed],Scoreboard_28[Team],"Yellow")</f>
        <v>16659660</v>
      </c>
      <c r="T9" s="203">
        <f>SUMIFS(Scoreboard_28[Amount Healed],Scoreboard_28[Team],"Red")</f>
        <v>14343352</v>
      </c>
      <c r="V9" s="204" t="str">
        <f ca="1">IFERROR(__xludf.DUMMYFUNCTION("""COMPUTED_VALUE"""),"Syn˚")</f>
        <v>Syn˚</v>
      </c>
      <c r="W9" s="116">
        <f ca="1">IFERROR(__xludf.DUMMYFUNCTION("""COMPUTED_VALUE"""),79)</f>
        <v>79</v>
      </c>
      <c r="Y9" s="204" t="str">
        <f ca="1">IFERROR(__xludf.DUMMYFUNCTION("""COMPUTED_VALUE"""),"HEALERTANKDPS")</f>
        <v>HEALERTANKDPS</v>
      </c>
      <c r="Z9" s="116">
        <f ca="1">IFERROR(__xludf.DUMMYFUNCTION("""COMPUTED_VALUE"""),1641438)</f>
        <v>1641438</v>
      </c>
      <c r="AB9" s="201" t="s">
        <v>470</v>
      </c>
      <c r="AC9" s="205">
        <f>SUMIFS(Scoreboard_28[Amount Healed],Scoreboard_28[Guild],"FTP")</f>
        <v>0</v>
      </c>
      <c r="AD9" s="206">
        <f>SUMIFS(Scoreboard_25[Amount Healed],Scoreboard_25[Guild],"Undercooked")</f>
        <v>16888010</v>
      </c>
    </row>
    <row r="10" spans="1:30" ht="22.5" customHeight="1">
      <c r="A10" s="82">
        <v>7</v>
      </c>
      <c r="B10" s="115" t="str">
        <f>VLOOKUP(C10,Lists!I:J,2,FALSE)</f>
        <v>Melee DPS</v>
      </c>
      <c r="C10" s="115" t="str">
        <f>VLOOKUP(E10,Lists!D:E,2,FALSE)</f>
        <v>Greatsword/Spear</v>
      </c>
      <c r="D10" s="13" t="s">
        <v>34</v>
      </c>
      <c r="E10" s="83" t="s">
        <v>147</v>
      </c>
      <c r="F10" s="13" t="s">
        <v>476</v>
      </c>
      <c r="G10" s="82">
        <v>31</v>
      </c>
      <c r="H10" s="82">
        <v>46</v>
      </c>
      <c r="I10" s="194">
        <f t="shared" si="0"/>
        <v>77</v>
      </c>
      <c r="J10" s="85">
        <v>1577974</v>
      </c>
      <c r="K10" s="85">
        <v>1080377</v>
      </c>
      <c r="L10" s="85">
        <v>56728</v>
      </c>
      <c r="M10" s="195">
        <f>I10/(HLOOKUP(F10,Team_Composition_23[[#All],[Yellow]:[Red]],10,FALSE)+HLOOKUP(F10,Team_Composition_23[[#All],[Yellow]:[Red]],11,FALSE))</f>
        <v>1.9245188702824295E-2</v>
      </c>
      <c r="N10" s="195">
        <f>J10/HLOOKUP(F10,Team_Composition_23[[#All],[Yellow]:[Red]],6,FALSE)</f>
        <v>3.5569122436459211E-2</v>
      </c>
      <c r="O10" s="195">
        <f>K10/HLOOKUP(F10,Team_Composition_23[[#All],[Yellow]:[Red]],8,FALSE)</f>
        <v>6.1669708072424979E-2</v>
      </c>
      <c r="P10" s="195">
        <f>L10/HLOOKUP(F10,Team_Composition_23[[#All],[Yellow]:[Red]],7,FALSE)</f>
        <v>4.3823090306559231E-3</v>
      </c>
      <c r="R10" s="201" t="s">
        <v>469</v>
      </c>
      <c r="S10" s="202">
        <f>SUMIFS(Scoreboard_28[Damage Taken],Scoreboard_28[Team],"Yellow")</f>
        <v>26423366</v>
      </c>
      <c r="T10" s="203">
        <f>SUMIFS(Scoreboard_28[Damage Taken],Scoreboard_28[Team],"Red")</f>
        <v>22801094</v>
      </c>
      <c r="V10" s="204" t="str">
        <f ca="1">IFERROR(__xludf.DUMMYFUNCTION("""COMPUTED_VALUE"""),"Carolinne·")</f>
        <v>Carolinne·</v>
      </c>
      <c r="W10" s="116">
        <f ca="1">IFERROR(__xludf.DUMMYFUNCTION("""COMPUTED_VALUE"""),79)</f>
        <v>79</v>
      </c>
      <c r="Y10" s="204" t="str">
        <f ca="1">IFERROR(__xludf.DUMMYFUNCTION("""COMPUTED_VALUE"""),"nightghost1")</f>
        <v>nightghost1</v>
      </c>
      <c r="Z10" s="116">
        <f ca="1">IFERROR(__xludf.DUMMYFUNCTION("""COMPUTED_VALUE"""),1611919)</f>
        <v>1611919</v>
      </c>
      <c r="AB10" s="201" t="s">
        <v>469</v>
      </c>
      <c r="AC10" s="205">
        <f>SUMIFS(Scoreboard_28[Damage Taken],Scoreboard_28[Guild],"FTP")</f>
        <v>0</v>
      </c>
      <c r="AD10" s="206">
        <f>SUMIFS(Scoreboard_28[Damage Taken],Scoreboard_28[Guild],"Undercooked")</f>
        <v>0</v>
      </c>
    </row>
    <row r="11" spans="1:30" ht="22.5" customHeight="1">
      <c r="A11" s="82">
        <v>17</v>
      </c>
      <c r="B11" s="115" t="str">
        <f>VLOOKUP(C11,Lists!I:J,2,FALSE)</f>
        <v>Ranged DPS</v>
      </c>
      <c r="C11" s="115" t="s">
        <v>45</v>
      </c>
      <c r="D11" s="13" t="s">
        <v>30</v>
      </c>
      <c r="E11" s="83" t="s">
        <v>399</v>
      </c>
      <c r="F11" s="13" t="s">
        <v>483</v>
      </c>
      <c r="G11" s="82">
        <v>20</v>
      </c>
      <c r="H11" s="82">
        <v>55</v>
      </c>
      <c r="I11" s="194">
        <f t="shared" si="0"/>
        <v>75</v>
      </c>
      <c r="J11" s="85">
        <v>1641438</v>
      </c>
      <c r="K11" s="85">
        <v>746431</v>
      </c>
      <c r="L11" s="85">
        <v>29584</v>
      </c>
      <c r="M11" s="195">
        <f>I11/(HLOOKUP(F11,Team_Composition_23[[#All],[Yellow]:[Red]],10,FALSE)+HLOOKUP(F11,Team_Composition_23[[#All],[Yellow]:[Red]],11,FALSE))</f>
        <v>9.1352009744214369E-2</v>
      </c>
      <c r="N11" s="195">
        <f>J11/HLOOKUP(F11,Team_Composition_23[[#All],[Yellow]:[Red]],6,FALSE)</f>
        <v>9.3023537855889391E-2</v>
      </c>
      <c r="O11" s="195">
        <f>K11/HLOOKUP(F11,Team_Composition_23[[#All],[Yellow]:[Red]],8,FALSE)</f>
        <v>1.6958198187211188E-2</v>
      </c>
      <c r="P11" s="195">
        <f>L11/HLOOKUP(F11,Team_Composition_23[[#All],[Yellow]:[Red]],7,FALSE)</f>
        <v>1.2190333531959183E-3</v>
      </c>
      <c r="R11" s="201" t="s">
        <v>495</v>
      </c>
      <c r="S11" s="202">
        <f ca="1">IFERROR(DIVIDE(SUMIFS(Scoreboard_28[Amount Healed],Scoreboard_28[Team],"Yellow"), SUMIFS(Scoreboard_28[Damage Taken],Scoreboard_28[Team],"Yellow"))*(100),0)</f>
        <v>0</v>
      </c>
      <c r="T11" s="203">
        <f ca="1">IFERROR(DIVIDE(SUMIFS(Scoreboard_28[Amount Healed],Scoreboard_28[Team],"Red"), SUMIFS(Scoreboard_28[Damage Taken],Scoreboard_28[Team],"Red"))*(100),0)</f>
        <v>0</v>
      </c>
      <c r="V11" s="204" t="str">
        <f ca="1">IFERROR(__xludf.DUMMYFUNCTION("""COMPUTED_VALUE"""),"K")</f>
        <v>K</v>
      </c>
      <c r="W11" s="116">
        <f ca="1">IFERROR(__xludf.DUMMYFUNCTION("""COMPUTED_VALUE"""),77)</f>
        <v>77</v>
      </c>
      <c r="Y11" s="204" t="str">
        <f ca="1">IFERROR(__xludf.DUMMYFUNCTION("""COMPUTED_VALUE"""),"K")</f>
        <v>K</v>
      </c>
      <c r="Z11" s="116">
        <f ca="1">IFERROR(__xludf.DUMMYFUNCTION("""COMPUTED_VALUE"""),1577974)</f>
        <v>1577974</v>
      </c>
      <c r="AB11" s="201" t="s">
        <v>495</v>
      </c>
      <c r="AC11" s="205">
        <f ca="1">IFERROR(DIVIDE(SUMIFS(Scoreboard_28[Amount Healed],Scoreboard_28[Guild],"FTP"), SUMIFS(Scoreboard_28[Damage Taken],Scoreboard_28[Guild],"FTP"))*(100),0)</f>
        <v>0</v>
      </c>
      <c r="AD11" s="206">
        <f ca="1">IFERROR(DIVIDE(SUMIFS(Scoreboard_28[Amount Healed],Scoreboard_28[Guild],"Undercooked"), SUMIFS(Scoreboard_28[Damage Taken],Scoreboard_28[Guild],"Undercooked"))*(100),0)</f>
        <v>0</v>
      </c>
    </row>
    <row r="12" spans="1:30" ht="22.5" customHeight="1">
      <c r="A12" s="82">
        <v>5</v>
      </c>
      <c r="B12" s="115" t="str">
        <f>VLOOKUP(C12,Lists!I:J,2,FALSE)</f>
        <v>KS</v>
      </c>
      <c r="C12" s="115" t="s">
        <v>69</v>
      </c>
      <c r="D12" s="13" t="s">
        <v>30</v>
      </c>
      <c r="E12" s="83" t="s">
        <v>394</v>
      </c>
      <c r="F12" s="13" t="s">
        <v>483</v>
      </c>
      <c r="G12" s="82">
        <v>34</v>
      </c>
      <c r="H12" s="82">
        <v>37</v>
      </c>
      <c r="I12" s="194">
        <f t="shared" si="0"/>
        <v>71</v>
      </c>
      <c r="J12" s="85">
        <v>1285948</v>
      </c>
      <c r="K12" s="85">
        <v>953677</v>
      </c>
      <c r="L12" s="85">
        <v>19623</v>
      </c>
      <c r="M12" s="195">
        <f>I12/(HLOOKUP(F12,Team_Composition_23[[#All],[Yellow]:[Red]],10,FALSE)+HLOOKUP(F12,Team_Composition_23[[#All],[Yellow]:[Red]],11,FALSE))</f>
        <v>8.6479902557856272E-2</v>
      </c>
      <c r="N12" s="195">
        <f>J12/HLOOKUP(F12,Team_Composition_23[[#All],[Yellow]:[Red]],6,FALSE)</f>
        <v>7.2877216476470788E-2</v>
      </c>
      <c r="O12" s="195">
        <f>K12/HLOOKUP(F12,Team_Composition_23[[#All],[Yellow]:[Red]],8,FALSE)</f>
        <v>2.1666629028784981E-2</v>
      </c>
      <c r="P12" s="195">
        <f>L12/HLOOKUP(F12,Team_Composition_23[[#All],[Yellow]:[Red]],7,FALSE)</f>
        <v>8.0858205414289825E-4</v>
      </c>
      <c r="R12" s="201" t="s">
        <v>465</v>
      </c>
      <c r="S12" s="202">
        <f>SUMIFS(Scoreboard_28[Kills],Scoreboard_28[Team],"Yellow")</f>
        <v>353</v>
      </c>
      <c r="T12" s="203">
        <f>SUMIFS(Scoreboard_28[Kills],Scoreboard_28[Team],"Red")</f>
        <v>434</v>
      </c>
      <c r="V12" s="204" t="str">
        <f ca="1">IFERROR(__xludf.DUMMYFUNCTION("""COMPUTED_VALUE"""),"HEALERTANKDPS")</f>
        <v>HEALERTANKDPS</v>
      </c>
      <c r="W12" s="116">
        <f ca="1">IFERROR(__xludf.DUMMYFUNCTION("""COMPUTED_VALUE"""),75)</f>
        <v>75</v>
      </c>
      <c r="Y12" s="204" t="str">
        <f ca="1">IFERROR(__xludf.DUMMYFUNCTION("""COMPUTED_VALUE"""),"HoodRobin")</f>
        <v>HoodRobin</v>
      </c>
      <c r="Z12" s="116">
        <f ca="1">IFERROR(__xludf.DUMMYFUNCTION("""COMPUTED_VALUE"""),1558353)</f>
        <v>1558353</v>
      </c>
      <c r="AB12" s="201" t="s">
        <v>465</v>
      </c>
      <c r="AC12" s="205">
        <f>SUMIFS(Scoreboard_28[Kills],Scoreboard_28[Guild],"FTP")</f>
        <v>0</v>
      </c>
      <c r="AD12" s="206">
        <f>SUMIFS(Scoreboard_28[Kills],Scoreboard_28[Guild],"Undercooked")</f>
        <v>0</v>
      </c>
    </row>
    <row r="13" spans="1:30" ht="22.5" customHeight="1">
      <c r="A13" s="82">
        <v>16</v>
      </c>
      <c r="B13" s="115" t="str">
        <f>VLOOKUP(C13,Lists!I:J,2,FALSE)</f>
        <v>Ranged DPS</v>
      </c>
      <c r="C13" s="115" t="s">
        <v>58</v>
      </c>
      <c r="D13" s="13" t="s">
        <v>34</v>
      </c>
      <c r="E13" s="83" t="s">
        <v>160</v>
      </c>
      <c r="F13" s="13" t="s">
        <v>476</v>
      </c>
      <c r="G13" s="82">
        <v>21</v>
      </c>
      <c r="H13" s="82">
        <v>48</v>
      </c>
      <c r="I13" s="194">
        <f t="shared" si="0"/>
        <v>69</v>
      </c>
      <c r="J13" s="85">
        <v>2079643</v>
      </c>
      <c r="K13" s="85">
        <v>848586</v>
      </c>
      <c r="L13" s="85">
        <v>12877</v>
      </c>
      <c r="M13" s="195">
        <f>I13/(HLOOKUP(F13,Team_Composition_23[[#All],[Yellow]:[Red]],10,FALSE)+HLOOKUP(F13,Team_Composition_23[[#All],[Yellow]:[Red]],11,FALSE))</f>
        <v>1.7245688577855536E-2</v>
      </c>
      <c r="N13" s="195">
        <f>J13/HLOOKUP(F13,Team_Composition_23[[#All],[Yellow]:[Red]],6,FALSE)</f>
        <v>4.687724670439776E-2</v>
      </c>
      <c r="O13" s="195">
        <f>K13/HLOOKUP(F13,Team_Composition_23[[#All],[Yellow]:[Red]],8,FALSE)</f>
        <v>4.8438693987697651E-2</v>
      </c>
      <c r="P13" s="195">
        <f>L13/HLOOKUP(F13,Team_Composition_23[[#All],[Yellow]:[Red]],7,FALSE)</f>
        <v>9.9476437363835006E-4</v>
      </c>
      <c r="R13" s="201" t="s">
        <v>466</v>
      </c>
      <c r="S13" s="202">
        <f>SUMIFS(Scoreboard_28[Assists],Scoreboard_28[Team],"Yellow")</f>
        <v>1347</v>
      </c>
      <c r="T13" s="203">
        <f>SUMIFS(Scoreboard_28[Assists],Scoreboard_28[Team],"Red")</f>
        <v>1755</v>
      </c>
      <c r="V13" s="204" t="str">
        <f ca="1">IFERROR(__xludf.DUMMYFUNCTION("""COMPUTED_VALUE"""),"Emperor")</f>
        <v>Emperor</v>
      </c>
      <c r="W13" s="116">
        <f ca="1">IFERROR(__xludf.DUMMYFUNCTION("""COMPUTED_VALUE"""),71)</f>
        <v>71</v>
      </c>
      <c r="Y13" s="204" t="str">
        <f ca="1">IFERROR(__xludf.DUMMYFUNCTION("""COMPUTED_VALUE"""),"Superluigi")</f>
        <v>Superluigi</v>
      </c>
      <c r="Z13" s="116">
        <f ca="1">IFERROR(__xludf.DUMMYFUNCTION("""COMPUTED_VALUE"""),1546859)</f>
        <v>1546859</v>
      </c>
      <c r="AB13" s="201" t="s">
        <v>466</v>
      </c>
      <c r="AC13" s="205">
        <f>SUMIFS(Scoreboard_28[Assists],Scoreboard_28[Guild],"FTP")</f>
        <v>0</v>
      </c>
      <c r="AD13" s="206">
        <f>SUMIFS(Scoreboard_28[Assists],Scoreboard_28[Guild],"Undercooked")</f>
        <v>0</v>
      </c>
    </row>
    <row r="14" spans="1:30" ht="22.5" customHeight="1">
      <c r="A14" s="82">
        <v>3</v>
      </c>
      <c r="B14" s="115" t="str">
        <f>VLOOKUP(C14,Lists!I:J,2,FALSE)</f>
        <v>KS</v>
      </c>
      <c r="C14" s="115" t="str">
        <f>VLOOKUP(E14,Lists!D:E,2,FALSE)</f>
        <v>Crossbow/Dagger</v>
      </c>
      <c r="D14" s="13" t="s">
        <v>30</v>
      </c>
      <c r="E14" s="83" t="s">
        <v>229</v>
      </c>
      <c r="F14" s="13" t="s">
        <v>483</v>
      </c>
      <c r="G14" s="82">
        <v>37</v>
      </c>
      <c r="H14" s="82">
        <v>30</v>
      </c>
      <c r="I14" s="194">
        <f t="shared" si="0"/>
        <v>67</v>
      </c>
      <c r="J14" s="85">
        <v>1558353</v>
      </c>
      <c r="K14" s="85">
        <v>336869</v>
      </c>
      <c r="L14" s="85">
        <v>17586</v>
      </c>
      <c r="M14" s="195">
        <f>I14/(HLOOKUP(F14,Team_Composition_23[[#All],[Yellow]:[Red]],10,FALSE)+HLOOKUP(F14,Team_Composition_23[[#All],[Yellow]:[Red]],11,FALSE))</f>
        <v>8.1607795371498176E-2</v>
      </c>
      <c r="N14" s="195">
        <f>J14/HLOOKUP(F14,Team_Composition_23[[#All],[Yellow]:[Red]],6,FALSE)</f>
        <v>8.8314946582410542E-2</v>
      </c>
      <c r="O14" s="195">
        <f>K14/HLOOKUP(F14,Team_Composition_23[[#All],[Yellow]:[Red]],8,FALSE)</f>
        <v>7.6533413873856333E-3</v>
      </c>
      <c r="P14" s="195">
        <f>L14/HLOOKUP(F14,Team_Composition_23[[#All],[Yellow]:[Red]],7,FALSE)</f>
        <v>7.2464577302945566E-4</v>
      </c>
      <c r="R14" s="204"/>
      <c r="S14" s="207">
        <f t="shared" ref="S14:T14" si="1">SUM(S4:S7)</f>
        <v>43</v>
      </c>
      <c r="T14" s="207">
        <f t="shared" si="1"/>
        <v>39</v>
      </c>
      <c r="AB14" s="204"/>
      <c r="AC14" s="207"/>
      <c r="AD14" s="207"/>
    </row>
    <row r="15" spans="1:30" ht="22.5" customHeight="1">
      <c r="A15" s="82">
        <v>9</v>
      </c>
      <c r="B15" s="115" t="str">
        <f>VLOOKUP(C15,Lists!I:J,2,FALSE)</f>
        <v>KS</v>
      </c>
      <c r="C15" s="115" t="s">
        <v>69</v>
      </c>
      <c r="D15" s="13" t="s">
        <v>30</v>
      </c>
      <c r="E15" s="83" t="s">
        <v>395</v>
      </c>
      <c r="F15" s="13" t="s">
        <v>483</v>
      </c>
      <c r="G15" s="82">
        <v>27</v>
      </c>
      <c r="H15" s="82">
        <v>40</v>
      </c>
      <c r="I15" s="194">
        <f t="shared" si="0"/>
        <v>67</v>
      </c>
      <c r="J15" s="85">
        <v>825867</v>
      </c>
      <c r="K15" s="85">
        <v>633072</v>
      </c>
      <c r="L15" s="85">
        <v>51341</v>
      </c>
      <c r="M15" s="195">
        <f>I15/(HLOOKUP(F15,Team_Composition_23[[#All],[Yellow]:[Red]],10,FALSE)+HLOOKUP(F15,Team_Composition_23[[#All],[Yellow]:[Red]],11,FALSE))</f>
        <v>8.1607795371498176E-2</v>
      </c>
      <c r="N15" s="195">
        <f>J15/HLOOKUP(F15,Team_Composition_23[[#All],[Yellow]:[Red]],6,FALSE)</f>
        <v>4.6803516269533059E-2</v>
      </c>
      <c r="O15" s="195">
        <f>K15/HLOOKUP(F15,Team_Composition_23[[#All],[Yellow]:[Red]],8,FALSE)</f>
        <v>1.4382790161145719E-2</v>
      </c>
      <c r="P15" s="195">
        <f>L15/HLOOKUP(F15,Team_Composition_23[[#All],[Yellow]:[Red]],7,FALSE)</f>
        <v>2.1155486542195658E-3</v>
      </c>
      <c r="R15" s="232" t="s">
        <v>25</v>
      </c>
      <c r="S15" s="228"/>
      <c r="T15" s="228"/>
      <c r="V15" s="233" t="s">
        <v>496</v>
      </c>
      <c r="W15" s="228"/>
      <c r="Y15" s="233" t="s">
        <v>497</v>
      </c>
      <c r="Z15" s="228"/>
      <c r="AB15" s="232" t="s">
        <v>25</v>
      </c>
      <c r="AC15" s="228"/>
      <c r="AD15" s="228"/>
    </row>
    <row r="16" spans="1:30" ht="22.5" customHeight="1">
      <c r="A16" s="82">
        <v>13</v>
      </c>
      <c r="B16" s="115" t="str">
        <f>VLOOKUP(C16,Lists!I:J,2,FALSE)</f>
        <v>Melee DPS</v>
      </c>
      <c r="C16" s="115" t="str">
        <f>VLOOKUP(E16,Lists!D:E,2,FALSE)</f>
        <v>Spear/Dagger</v>
      </c>
      <c r="D16" s="13" t="s">
        <v>34</v>
      </c>
      <c r="E16" s="83" t="s">
        <v>104</v>
      </c>
      <c r="F16" s="13" t="s">
        <v>476</v>
      </c>
      <c r="G16" s="82">
        <v>26</v>
      </c>
      <c r="H16" s="82">
        <v>41</v>
      </c>
      <c r="I16" s="194">
        <f t="shared" si="0"/>
        <v>67</v>
      </c>
      <c r="J16" s="85">
        <v>1546859</v>
      </c>
      <c r="K16" s="85">
        <v>1097700</v>
      </c>
      <c r="L16" s="85">
        <v>11507</v>
      </c>
      <c r="M16" s="195">
        <f>I16/(HLOOKUP(F16,Team_Composition_23[[#All],[Yellow]:[Red]],10,FALSE)+HLOOKUP(F16,Team_Composition_23[[#All],[Yellow]:[Red]],11,FALSE))</f>
        <v>1.6745813546613347E-2</v>
      </c>
      <c r="N16" s="195">
        <f>J16/HLOOKUP(F16,Team_Composition_23[[#All],[Yellow]:[Red]],6,FALSE)</f>
        <v>3.4867759014368338E-2</v>
      </c>
      <c r="O16" s="195">
        <f>K16/HLOOKUP(F16,Team_Composition_23[[#All],[Yellow]:[Red]],8,FALSE)</f>
        <v>6.2658533596236216E-2</v>
      </c>
      <c r="P16" s="195">
        <f>L16/HLOOKUP(F16,Team_Composition_23[[#All],[Yellow]:[Red]],7,FALSE)</f>
        <v>8.8893015822446957E-4</v>
      </c>
      <c r="R16" s="197" t="s">
        <v>482</v>
      </c>
      <c r="S16" s="198" t="s">
        <v>476</v>
      </c>
      <c r="T16" s="198" t="s">
        <v>483</v>
      </c>
      <c r="V16" s="199" t="s">
        <v>1</v>
      </c>
      <c r="W16" s="200" t="s">
        <v>498</v>
      </c>
      <c r="Y16" s="199" t="s">
        <v>1</v>
      </c>
      <c r="Z16" s="200" t="s">
        <v>499</v>
      </c>
      <c r="AB16" s="197" t="s">
        <v>482</v>
      </c>
      <c r="AC16" s="198" t="s">
        <v>7</v>
      </c>
      <c r="AD16" s="198" t="s">
        <v>527</v>
      </c>
    </row>
    <row r="17" spans="1:30" ht="22.5" customHeight="1">
      <c r="A17" s="82">
        <v>10</v>
      </c>
      <c r="B17" s="115" t="str">
        <f>VLOOKUP(C17,Lists!I:J,2,FALSE)</f>
        <v>KS</v>
      </c>
      <c r="C17" s="115" t="s">
        <v>69</v>
      </c>
      <c r="D17" s="13" t="s">
        <v>30</v>
      </c>
      <c r="E17" s="83" t="s">
        <v>396</v>
      </c>
      <c r="F17" s="13" t="s">
        <v>483</v>
      </c>
      <c r="G17" s="82">
        <v>27</v>
      </c>
      <c r="H17" s="82">
        <v>39</v>
      </c>
      <c r="I17" s="194">
        <f t="shared" si="0"/>
        <v>66</v>
      </c>
      <c r="J17" s="85">
        <v>805226</v>
      </c>
      <c r="K17" s="85">
        <v>500728</v>
      </c>
      <c r="L17" s="85">
        <v>4988</v>
      </c>
      <c r="M17" s="195">
        <f>I17/(HLOOKUP(F17,Team_Composition_23[[#All],[Yellow]:[Red]],10,FALSE)+HLOOKUP(F17,Team_Composition_23[[#All],[Yellow]:[Red]],11,FALSE))</f>
        <v>8.0389768574908649E-2</v>
      </c>
      <c r="N17" s="195">
        <f>J17/HLOOKUP(F17,Team_Composition_23[[#All],[Yellow]:[Red]],6,FALSE)</f>
        <v>4.5633749976268609E-2</v>
      </c>
      <c r="O17" s="195">
        <f>K17/HLOOKUP(F17,Team_Composition_23[[#All],[Yellow]:[Red]],8,FALSE)</f>
        <v>1.1376061098595696E-2</v>
      </c>
      <c r="P17" s="195">
        <f>L17/HLOOKUP(F17,Team_Composition_23[[#All],[Yellow]:[Red]],7,FALSE)</f>
        <v>2.055346932714048E-4</v>
      </c>
      <c r="R17" s="201" t="s">
        <v>468</v>
      </c>
      <c r="S17" s="202">
        <f>SUMIFS(Scoreboard_28[Damage Dealt],Scoreboard_28[Role],"Melee DPS",Scoreboard_28[Team],"Yellow")</f>
        <v>3997526</v>
      </c>
      <c r="T17" s="203">
        <f>SUMIFS(Scoreboard_28[Damage Dealt],Scoreboard_28[Role],"Melee DPS",Scoreboard_28[Team],"Red")</f>
        <v>3612753</v>
      </c>
      <c r="V17" s="204" t="str">
        <f ca="1">IFERROR(__xludf.DUMMYFUNCTION("query(A1:P238, ""Select E,K Order by K Desc Limit 10"", 0)"),"Superluigi")</f>
        <v>Superluigi</v>
      </c>
      <c r="W17" s="116">
        <f ca="1">IFERROR(__xludf.DUMMYFUNCTION("""COMPUTED_VALUE"""),1097700)</f>
        <v>1097700</v>
      </c>
      <c r="Y17" s="204" t="str">
        <f ca="1">IFERROR(__xludf.DUMMYFUNCTION("query(A1:P238, ""Select E,L Order by L Desc Limit 10"", 0)"),"apgonzo")</f>
        <v>apgonzo</v>
      </c>
      <c r="Z17" s="116">
        <f ca="1">IFERROR(__xludf.DUMMYFUNCTION("""COMPUTED_VALUE"""),2155111)</f>
        <v>2155111</v>
      </c>
      <c r="AB17" s="201" t="s">
        <v>468</v>
      </c>
      <c r="AC17" s="205">
        <f>SUMIFS(Scoreboard_28[Damage Dealt],Scoreboard_28[Role],"Melee DPS",Scoreboard_28[Guild],"FTP")</f>
        <v>0</v>
      </c>
      <c r="AD17" s="206">
        <f>SUMIFS(Scoreboard_28[Damage Dealt],Scoreboard_28[Role],"Melee DPS",Scoreboard_28[Guild],"Undercooked")</f>
        <v>0</v>
      </c>
    </row>
    <row r="18" spans="1:30" ht="22.5" customHeight="1">
      <c r="A18" s="82">
        <v>8</v>
      </c>
      <c r="B18" s="115" t="str">
        <f>VLOOKUP(C18,Lists!I:J,2,FALSE)</f>
        <v>KS</v>
      </c>
      <c r="C18" s="115" t="str">
        <f>VLOOKUP(E18,Lists!D:E,2,FALSE)</f>
        <v>Crossbow/Dagger</v>
      </c>
      <c r="D18" s="13" t="s">
        <v>34</v>
      </c>
      <c r="E18" s="83" t="s">
        <v>504</v>
      </c>
      <c r="F18" s="13" t="s">
        <v>476</v>
      </c>
      <c r="G18" s="82">
        <v>31</v>
      </c>
      <c r="H18" s="82">
        <v>31</v>
      </c>
      <c r="I18" s="194">
        <f t="shared" si="0"/>
        <v>62</v>
      </c>
      <c r="J18" s="85">
        <v>1253218</v>
      </c>
      <c r="K18" s="85">
        <v>596498</v>
      </c>
      <c r="L18" s="85">
        <v>0</v>
      </c>
      <c r="M18" s="195">
        <f>I18/(HLOOKUP(F18,Team_Composition_23[[#All],[Yellow]:[Red]],10,FALSE)+HLOOKUP(F18,Team_Composition_23[[#All],[Yellow]:[Red]],11,FALSE))</f>
        <v>1.5496125968507872E-2</v>
      </c>
      <c r="N18" s="195">
        <f>J18/HLOOKUP(F18,Team_Composition_23[[#All],[Yellow]:[Red]],6,FALSE)</f>
        <v>2.8248795278993533E-2</v>
      </c>
      <c r="O18" s="195">
        <f>K18/HLOOKUP(F18,Team_Composition_23[[#All],[Yellow]:[Red]],8,FALSE)</f>
        <v>3.4049093534743294E-2</v>
      </c>
      <c r="P18" s="195">
        <f>L18/HLOOKUP(F18,Team_Composition_23[[#All],[Yellow]:[Red]],7,FALSE)</f>
        <v>0</v>
      </c>
      <c r="R18" s="201" t="s">
        <v>469</v>
      </c>
      <c r="S18" s="202">
        <f>SUMIFS(Scoreboard_28[Damage Taken],Scoreboard_28[Role],"Melee DPS",Scoreboard_28[Team],"Yellow")</f>
        <v>3164823</v>
      </c>
      <c r="T18" s="203">
        <f>SUMIFS(Scoreboard_28[Damage Taken],Scoreboard_28[Role],"Melee DPS",Scoreboard_28[Team],"Red")</f>
        <v>2532147</v>
      </c>
      <c r="V18" s="204" t="str">
        <f ca="1">IFERROR(__xludf.DUMMYFUNCTION("""COMPUTED_VALUE"""),"K")</f>
        <v>K</v>
      </c>
      <c r="W18" s="116">
        <f ca="1">IFERROR(__xludf.DUMMYFUNCTION("""COMPUTED_VALUE"""),1080377)</f>
        <v>1080377</v>
      </c>
      <c r="Y18" s="204" t="str">
        <f ca="1">IFERROR(__xludf.DUMMYFUNCTION("""COMPUTED_VALUE"""),"EgirlWaifu")</f>
        <v>EgirlWaifu</v>
      </c>
      <c r="Z18" s="116">
        <f ca="1">IFERROR(__xludf.DUMMYFUNCTION("""COMPUTED_VALUE"""),1847866)</f>
        <v>1847866</v>
      </c>
      <c r="AB18" s="201" t="s">
        <v>469</v>
      </c>
      <c r="AC18" s="205">
        <f>SUMIFS(Scoreboard_28[Damage Taken],Scoreboard_28[Role],"Melee DPS",Scoreboard_28[Guild],"FTP")</f>
        <v>0</v>
      </c>
      <c r="AD18" s="206">
        <f>SUMIFS(Scoreboard_28[Damage Taken],Scoreboard_28[Role],"Melee DPS",Scoreboard_28[Guild],"Undercooked")</f>
        <v>0</v>
      </c>
    </row>
    <row r="19" spans="1:30" ht="22.5" customHeight="1">
      <c r="A19" s="82">
        <v>46</v>
      </c>
      <c r="B19" s="115" t="str">
        <f>VLOOKUP(C19,Lists!I:J,2,FALSE)</f>
        <v>Healer</v>
      </c>
      <c r="C19" s="115" t="str">
        <f>VLOOKUP(E19,Lists!D:E,2,FALSE)</f>
        <v>Wand/Orb</v>
      </c>
      <c r="D19" s="13" t="s">
        <v>34</v>
      </c>
      <c r="E19" s="83" t="s">
        <v>139</v>
      </c>
      <c r="F19" s="13" t="s">
        <v>476</v>
      </c>
      <c r="G19" s="82">
        <v>1</v>
      </c>
      <c r="H19" s="82">
        <v>58</v>
      </c>
      <c r="I19" s="194">
        <f t="shared" si="0"/>
        <v>59</v>
      </c>
      <c r="J19" s="85">
        <v>9401</v>
      </c>
      <c r="K19" s="85">
        <v>306629</v>
      </c>
      <c r="L19" s="85">
        <v>701654</v>
      </c>
      <c r="M19" s="195">
        <f>I19/(HLOOKUP(F19,Team_Composition_23[[#All],[Yellow]:[Red]],10,FALSE)+HLOOKUP(F19,Team_Composition_23[[#All],[Yellow]:[Red]],11,FALSE))</f>
        <v>1.474631342164459E-2</v>
      </c>
      <c r="N19" s="195">
        <f>J19/HLOOKUP(F19,Team_Composition_23[[#All],[Yellow]:[Red]],6,FALSE)</f>
        <v>2.1190800356986431E-4</v>
      </c>
      <c r="O19" s="195">
        <f>K19/HLOOKUP(F19,Team_Composition_23[[#All],[Yellow]:[Red]],8,FALSE)</f>
        <v>1.7502891043163264E-2</v>
      </c>
      <c r="P19" s="195">
        <f>L19/HLOOKUP(F19,Team_Composition_23[[#All],[Yellow]:[Red]],7,FALSE)</f>
        <v>5.4203650059861996E-2</v>
      </c>
      <c r="R19" s="201" t="s">
        <v>470</v>
      </c>
      <c r="S19" s="202">
        <f>SUMIFS(Scoreboard_28[Amount Healed],Scoreboard_28[Role],"Melee DPS",Scoreboard_28[Team],"Yellow")</f>
        <v>69145</v>
      </c>
      <c r="T19" s="203">
        <f>SUMIFS(Scoreboard_28[Amount Healed],Scoreboard_28[Role],"Melee DPS",Scoreboard_28[Team],"Red")</f>
        <v>133474</v>
      </c>
      <c r="V19" s="204" t="str">
        <f ca="1">IFERROR(__xludf.DUMMYFUNCTION("""COMPUTED_VALUE"""),"PhoPapi")</f>
        <v>PhoPapi</v>
      </c>
      <c r="W19" s="116">
        <f ca="1">IFERROR(__xludf.DUMMYFUNCTION("""COMPUTED_VALUE"""),1042488)</f>
        <v>1042488</v>
      </c>
      <c r="Y19" s="204" t="str">
        <f ca="1">IFERROR(__xludf.DUMMYFUNCTION("""COMPUTED_VALUE"""),"Boharding")</f>
        <v>Boharding</v>
      </c>
      <c r="Z19" s="116">
        <f ca="1">IFERROR(__xludf.DUMMYFUNCTION("""COMPUTED_VALUE"""),1646986)</f>
        <v>1646986</v>
      </c>
      <c r="AB19" s="201" t="s">
        <v>470</v>
      </c>
      <c r="AC19" s="205">
        <f>SUMIFS(Scoreboard_28[Amount Healed],Scoreboard_28[Role],"Melee DPS",Scoreboard_28[Guild],"FTP")</f>
        <v>0</v>
      </c>
      <c r="AD19" s="206">
        <f>SUMIFS(Scoreboard_28[Amount Healed],Scoreboard_28[Role],"Melee DPS",Scoreboard_28[Guild],"Undercooked")</f>
        <v>0</v>
      </c>
    </row>
    <row r="20" spans="1:30" ht="22.5" customHeight="1">
      <c r="A20" s="82">
        <v>4</v>
      </c>
      <c r="B20" s="115" t="str">
        <f>VLOOKUP(C20,Lists!I:J,2,FALSE)</f>
        <v>KS</v>
      </c>
      <c r="C20" s="115" t="s">
        <v>54</v>
      </c>
      <c r="D20" s="13" t="s">
        <v>34</v>
      </c>
      <c r="E20" s="83" t="s">
        <v>159</v>
      </c>
      <c r="F20" s="13" t="s">
        <v>476</v>
      </c>
      <c r="G20" s="82">
        <v>37</v>
      </c>
      <c r="H20" s="82">
        <v>21</v>
      </c>
      <c r="I20" s="194">
        <f t="shared" si="0"/>
        <v>58</v>
      </c>
      <c r="J20" s="85">
        <v>1019206</v>
      </c>
      <c r="K20" s="85">
        <v>633761</v>
      </c>
      <c r="L20" s="85">
        <v>0</v>
      </c>
      <c r="M20" s="195">
        <f>I20/(HLOOKUP(F20,Team_Composition_23[[#All],[Yellow]:[Red]],10,FALSE)+HLOOKUP(F20,Team_Composition_23[[#All],[Yellow]:[Red]],11,FALSE))</f>
        <v>1.4496375906023495E-2</v>
      </c>
      <c r="N20" s="195">
        <f>J20/HLOOKUP(F20,Team_Composition_23[[#All],[Yellow]:[Red]],6,FALSE)</f>
        <v>2.2973929229489109E-2</v>
      </c>
      <c r="O20" s="195">
        <f>K20/HLOOKUP(F20,Team_Composition_23[[#All],[Yellow]:[Red]],8,FALSE)</f>
        <v>3.6176127275652968E-2</v>
      </c>
      <c r="P20" s="195">
        <f>L20/HLOOKUP(F20,Team_Composition_23[[#All],[Yellow]:[Red]],7,FALSE)</f>
        <v>0</v>
      </c>
      <c r="R20" s="201" t="s">
        <v>465</v>
      </c>
      <c r="S20" s="202">
        <f>SUMIFS(Scoreboard_28[Kills],Scoreboard_28[Role],"Melee DPS",Scoreboard_28[Team],"Yellow")</f>
        <v>72</v>
      </c>
      <c r="T20" s="203">
        <f>SUMIFS(Scoreboard_28[Kills],Scoreboard_28[Role],"Melee DPS",Scoreboard_28[Team],"Red")</f>
        <v>58</v>
      </c>
      <c r="V20" s="204" t="str">
        <f ca="1">IFERROR(__xludf.DUMMYFUNCTION("""COMPUTED_VALUE"""),"RheGGie")</f>
        <v>RheGGie</v>
      </c>
      <c r="W20" s="116">
        <f ca="1">IFERROR(__xludf.DUMMYFUNCTION("""COMPUTED_VALUE"""),1030544)</f>
        <v>1030544</v>
      </c>
      <c r="Y20" s="204" t="str">
        <f ca="1">IFERROR(__xludf.DUMMYFUNCTION("""COMPUTED_VALUE"""),"Dusk")</f>
        <v>Dusk</v>
      </c>
      <c r="Z20" s="116">
        <f ca="1">IFERROR(__xludf.DUMMYFUNCTION("""COMPUTED_VALUE"""),1616748)</f>
        <v>1616748</v>
      </c>
      <c r="AB20" s="201" t="s">
        <v>465</v>
      </c>
      <c r="AC20" s="205">
        <f>SUMIFS(Scoreboard_28[Kills],Scoreboard_28[Role],"Melee DPS",Scoreboard_28[Guild],"FTP")</f>
        <v>0</v>
      </c>
      <c r="AD20" s="206">
        <f>SUMIFS(Scoreboard_28[Kills],Scoreboard_28[Role],"Melee DPS",Scoreboard_28[Guild],"Undercooked")</f>
        <v>0</v>
      </c>
    </row>
    <row r="21" spans="1:30" ht="22.5" customHeight="1">
      <c r="A21" s="82">
        <v>53</v>
      </c>
      <c r="B21" s="115" t="str">
        <f>VLOOKUP(C21,Lists!I:J,2,FALSE)</f>
        <v>Healer</v>
      </c>
      <c r="C21" s="115" t="s">
        <v>10</v>
      </c>
      <c r="D21" s="13" t="s">
        <v>34</v>
      </c>
      <c r="E21" s="83" t="s">
        <v>165</v>
      </c>
      <c r="F21" s="13" t="s">
        <v>476</v>
      </c>
      <c r="G21" s="82">
        <v>0</v>
      </c>
      <c r="H21" s="82">
        <v>58</v>
      </c>
      <c r="I21" s="194">
        <f t="shared" si="0"/>
        <v>58</v>
      </c>
      <c r="J21" s="85">
        <v>20568</v>
      </c>
      <c r="K21" s="85">
        <v>551286</v>
      </c>
      <c r="L21" s="85">
        <v>1185853</v>
      </c>
      <c r="M21" s="195">
        <f>I21/(HLOOKUP(F21,Team_Composition_23[[#All],[Yellow]:[Red]],10,FALSE)+HLOOKUP(F21,Team_Composition_23[[#All],[Yellow]:[Red]],11,FALSE))</f>
        <v>1.4496375906023495E-2</v>
      </c>
      <c r="N21" s="195">
        <f>J21/HLOOKUP(F21,Team_Composition_23[[#All],[Yellow]:[Red]],6,FALSE)</f>
        <v>4.6362342489362503E-4</v>
      </c>
      <c r="O21" s="195">
        <f>K21/HLOOKUP(F21,Team_Composition_23[[#All],[Yellow]:[Red]],8,FALSE)</f>
        <v>3.146831771170145E-2</v>
      </c>
      <c r="P21" s="195">
        <f>L21/HLOOKUP(F21,Team_Composition_23[[#All],[Yellow]:[Red]],7,FALSE)</f>
        <v>9.160862908846458E-2</v>
      </c>
      <c r="R21" s="201" t="s">
        <v>466</v>
      </c>
      <c r="S21" s="202">
        <f>SUMIFS(Scoreboard_28[Assists],Scoreboard_28[Role],"Melee DPS",Scoreboard_28[Team],"Yellow")</f>
        <v>115</v>
      </c>
      <c r="T21" s="203">
        <f>SUMIFS(Scoreboard_28[Assists],Scoreboard_28[Role],"Melee DPS",Scoreboard_28[Team],"Red")</f>
        <v>115</v>
      </c>
      <c r="V21" s="204" t="str">
        <f ca="1">IFERROR(__xludf.DUMMYFUNCTION("""COMPUTED_VALUE"""),"H612ツ")</f>
        <v>H612ツ</v>
      </c>
      <c r="W21" s="116">
        <f ca="1">IFERROR(__xludf.DUMMYFUNCTION("""COMPUTED_VALUE"""),986746)</f>
        <v>986746</v>
      </c>
      <c r="Y21" s="204" t="str">
        <f ca="1">IFERROR(__xludf.DUMMYFUNCTION("""COMPUTED_VALUE"""),"Azulツ")</f>
        <v>Azulツ</v>
      </c>
      <c r="Z21" s="116">
        <f ca="1">IFERROR(__xludf.DUMMYFUNCTION("""COMPUTED_VALUE"""),1434830)</f>
        <v>1434830</v>
      </c>
      <c r="AB21" s="201" t="s">
        <v>466</v>
      </c>
      <c r="AC21" s="205">
        <f>SUMIFS(Scoreboard_28[Assists],Scoreboard_28[Role],"Melee DPS",Scoreboard_28[Guild],"FTP")</f>
        <v>0</v>
      </c>
      <c r="AD21" s="206">
        <f>SUMIFS(Scoreboard_28[Assists],Scoreboard_28[Role],"Melee DPS",Scoreboard_28[Guild],"Undercooked")</f>
        <v>0</v>
      </c>
    </row>
    <row r="22" spans="1:30" ht="22.5" customHeight="1">
      <c r="A22" s="82">
        <v>35</v>
      </c>
      <c r="B22" s="115" t="str">
        <f>VLOOKUP(C22,Lists!I:J,2,FALSE)</f>
        <v>Ranged DPS</v>
      </c>
      <c r="C22" s="115" t="s">
        <v>45</v>
      </c>
      <c r="D22" s="13" t="s">
        <v>30</v>
      </c>
      <c r="E22" s="83" t="s">
        <v>405</v>
      </c>
      <c r="F22" s="13" t="s">
        <v>483</v>
      </c>
      <c r="G22" s="82">
        <v>6</v>
      </c>
      <c r="H22" s="82">
        <v>51</v>
      </c>
      <c r="I22" s="194">
        <f t="shared" si="0"/>
        <v>57</v>
      </c>
      <c r="J22" s="85">
        <v>1035178</v>
      </c>
      <c r="K22" s="85">
        <v>333754</v>
      </c>
      <c r="L22" s="85">
        <v>33187</v>
      </c>
      <c r="M22" s="195">
        <f>I22/(HLOOKUP(F22,Team_Composition_23[[#All],[Yellow]:[Red]],10,FALSE)+HLOOKUP(F22,Team_Composition_23[[#All],[Yellow]:[Red]],11,FALSE))</f>
        <v>6.9427527405602929E-2</v>
      </c>
      <c r="N22" s="195">
        <f>J22/HLOOKUP(F22,Team_Composition_23[[#All],[Yellow]:[Red]],6,FALSE)</f>
        <v>5.8665584609704342E-2</v>
      </c>
      <c r="O22" s="195">
        <f>K22/HLOOKUP(F22,Team_Composition_23[[#All],[Yellow]:[Red]],8,FALSE)</f>
        <v>7.582571567598991E-3</v>
      </c>
      <c r="P22" s="195">
        <f>L22/HLOOKUP(F22,Team_Composition_23[[#All],[Yellow]:[Red]],7,FALSE)</f>
        <v>1.3674979682434065E-3</v>
      </c>
      <c r="R22" s="201" t="s">
        <v>24</v>
      </c>
      <c r="S22" s="202">
        <f t="shared" ref="S22:S25" si="2">COUNTIFS(C:C,R22,F:F,"Yellow")</f>
        <v>2</v>
      </c>
      <c r="T22" s="203">
        <f t="shared" ref="T22:T25" si="3">COUNTIFS(C:C,R22,F:F,"Red")</f>
        <v>2</v>
      </c>
      <c r="V22" s="204" t="str">
        <f ca="1">IFERROR(__xludf.DUMMYFUNCTION("""COMPUTED_VALUE"""),"Emperor")</f>
        <v>Emperor</v>
      </c>
      <c r="W22" s="116">
        <f ca="1">IFERROR(__xludf.DUMMYFUNCTION("""COMPUTED_VALUE"""),953677)</f>
        <v>953677</v>
      </c>
      <c r="Y22" s="204" t="str">
        <f ca="1">IFERROR(__xludf.DUMMYFUNCTION("""COMPUTED_VALUE"""),"Raye")</f>
        <v>Raye</v>
      </c>
      <c r="Z22" s="116">
        <f ca="1">IFERROR(__xludf.DUMMYFUNCTION("""COMPUTED_VALUE"""),1307578)</f>
        <v>1307578</v>
      </c>
      <c r="AB22" s="201" t="s">
        <v>24</v>
      </c>
      <c r="AC22" s="205">
        <f t="shared" ref="AC22:AC25" si="4">COUNTIFS(C:C,AB22,D:D,"FTP")</f>
        <v>0</v>
      </c>
      <c r="AD22" s="206">
        <f t="shared" ref="AD22:AD25" si="5">COUNTIFS(C:C,AB22,D:D,"Undercooked")</f>
        <v>0</v>
      </c>
    </row>
    <row r="23" spans="1:30" ht="22.5" customHeight="1">
      <c r="A23" s="82">
        <v>11</v>
      </c>
      <c r="B23" s="115" t="str">
        <f>VLOOKUP(C23,Lists!I:J,2,FALSE)</f>
        <v>KS</v>
      </c>
      <c r="C23" s="115" t="str">
        <f>VLOOKUP(E23,Lists!D:E,2,FALSE)</f>
        <v>Greatsword/Dagger</v>
      </c>
      <c r="D23" s="13" t="s">
        <v>34</v>
      </c>
      <c r="E23" s="83" t="s">
        <v>98</v>
      </c>
      <c r="F23" s="13" t="s">
        <v>476</v>
      </c>
      <c r="G23" s="82">
        <v>27</v>
      </c>
      <c r="H23" s="82">
        <v>28</v>
      </c>
      <c r="I23" s="194">
        <f t="shared" si="0"/>
        <v>55</v>
      </c>
      <c r="J23" s="85">
        <v>1336505</v>
      </c>
      <c r="K23" s="85">
        <v>833983</v>
      </c>
      <c r="L23" s="85">
        <v>52536</v>
      </c>
      <c r="M23" s="195">
        <f>I23/(HLOOKUP(F23,Team_Composition_23[[#All],[Yellow]:[Red]],10,FALSE)+HLOOKUP(F23,Team_Composition_23[[#All],[Yellow]:[Red]],11,FALSE))</f>
        <v>1.374656335916021E-2</v>
      </c>
      <c r="N23" s="195">
        <f>J23/HLOOKUP(F23,Team_Composition_23[[#All],[Yellow]:[Red]],6,FALSE)</f>
        <v>3.0126168100323529E-2</v>
      </c>
      <c r="O23" s="195">
        <f>K23/HLOOKUP(F23,Team_Composition_23[[#All],[Yellow]:[Red]],8,FALSE)</f>
        <v>4.7605130567723301E-2</v>
      </c>
      <c r="P23" s="195">
        <f>L23/HLOOKUP(F23,Team_Composition_23[[#All],[Yellow]:[Red]],7,FALSE)</f>
        <v>4.0584717817398743E-3</v>
      </c>
      <c r="R23" s="201" t="s">
        <v>69</v>
      </c>
      <c r="S23" s="202">
        <f t="shared" si="2"/>
        <v>1</v>
      </c>
      <c r="T23" s="203">
        <f t="shared" si="3"/>
        <v>4</v>
      </c>
      <c r="V23" s="204" t="str">
        <f ca="1">IFERROR(__xludf.DUMMYFUNCTION("""COMPUTED_VALUE"""),"SuperSaiyanAndy")</f>
        <v>SuperSaiyanAndy</v>
      </c>
      <c r="W23" s="116">
        <f ca="1">IFERROR(__xludf.DUMMYFUNCTION("""COMPUTED_VALUE"""),926552)</f>
        <v>926552</v>
      </c>
      <c r="Y23" s="204" t="str">
        <f ca="1">IFERROR(__xludf.DUMMYFUNCTION("""COMPUTED_VALUE"""),"ToxicFell")</f>
        <v>ToxicFell</v>
      </c>
      <c r="Z23" s="116">
        <f ca="1">IFERROR(__xludf.DUMMYFUNCTION("""COMPUTED_VALUE"""),1242596)</f>
        <v>1242596</v>
      </c>
      <c r="AB23" s="201" t="s">
        <v>69</v>
      </c>
      <c r="AC23" s="205">
        <f t="shared" si="4"/>
        <v>0</v>
      </c>
      <c r="AD23" s="206">
        <f t="shared" si="5"/>
        <v>0</v>
      </c>
    </row>
    <row r="24" spans="1:30" ht="22.5" customHeight="1">
      <c r="A24" s="82">
        <v>20</v>
      </c>
      <c r="B24" s="115" t="str">
        <f>VLOOKUP(C24,Lists!I:J,2,FALSE)</f>
        <v>Ranged DPS</v>
      </c>
      <c r="C24" s="115" t="s">
        <v>32</v>
      </c>
      <c r="D24" s="13" t="s">
        <v>34</v>
      </c>
      <c r="E24" s="83" t="s">
        <v>172</v>
      </c>
      <c r="F24" s="13" t="s">
        <v>476</v>
      </c>
      <c r="G24" s="82">
        <v>18</v>
      </c>
      <c r="H24" s="82">
        <v>36</v>
      </c>
      <c r="I24" s="194">
        <f t="shared" si="0"/>
        <v>54</v>
      </c>
      <c r="J24" s="85">
        <v>1436802</v>
      </c>
      <c r="K24" s="85">
        <v>733038</v>
      </c>
      <c r="L24" s="85">
        <v>0</v>
      </c>
      <c r="M24" s="195">
        <f>I24/(HLOOKUP(F24,Team_Composition_23[[#All],[Yellow]:[Red]],10,FALSE)+HLOOKUP(F24,Team_Composition_23[[#All],[Yellow]:[Red]],11,FALSE))</f>
        <v>1.3496625843539115E-2</v>
      </c>
      <c r="N24" s="195">
        <f>J24/HLOOKUP(F24,Team_Composition_23[[#All],[Yellow]:[Red]],6,FALSE)</f>
        <v>3.2386963444866308E-2</v>
      </c>
      <c r="O24" s="195">
        <f>K24/HLOOKUP(F24,Team_Composition_23[[#All],[Yellow]:[Red]],8,FALSE)</f>
        <v>4.184302282073226E-2</v>
      </c>
      <c r="P24" s="195">
        <f>L24/HLOOKUP(F24,Team_Composition_23[[#All],[Yellow]:[Red]],7,FALSE)</f>
        <v>0</v>
      </c>
      <c r="R24" s="201" t="s">
        <v>23</v>
      </c>
      <c r="S24" s="202">
        <f t="shared" si="2"/>
        <v>1</v>
      </c>
      <c r="T24" s="203">
        <f t="shared" si="3"/>
        <v>1</v>
      </c>
      <c r="V24" s="204" t="str">
        <f ca="1">IFERROR(__xludf.DUMMYFUNCTION("""COMPUTED_VALUE"""),"Foonia")</f>
        <v>Foonia</v>
      </c>
      <c r="W24" s="116">
        <f ca="1">IFERROR(__xludf.DUMMYFUNCTION("""COMPUTED_VALUE"""),923771)</f>
        <v>923771</v>
      </c>
      <c r="Y24" s="204" t="str">
        <f ca="1">IFERROR(__xludf.DUMMYFUNCTION("""COMPUTED_VALUE"""),"Mostley")</f>
        <v>Mostley</v>
      </c>
      <c r="Z24" s="116">
        <f ca="1">IFERROR(__xludf.DUMMYFUNCTION("""COMPUTED_VALUE"""),1215184)</f>
        <v>1215184</v>
      </c>
      <c r="AB24" s="201" t="s">
        <v>23</v>
      </c>
      <c r="AC24" s="205">
        <f t="shared" si="4"/>
        <v>0</v>
      </c>
      <c r="AD24" s="206">
        <f t="shared" si="5"/>
        <v>0</v>
      </c>
    </row>
    <row r="25" spans="1:30" ht="22.5" customHeight="1">
      <c r="A25" s="82">
        <v>27</v>
      </c>
      <c r="B25" s="115" t="str">
        <f>VLOOKUP(C25,Lists!I:J,2,FALSE)</f>
        <v>Ranged DPS</v>
      </c>
      <c r="C25" s="115" t="s">
        <v>32</v>
      </c>
      <c r="D25" s="13" t="s">
        <v>34</v>
      </c>
      <c r="E25" s="83" t="s">
        <v>158</v>
      </c>
      <c r="F25" s="13" t="s">
        <v>476</v>
      </c>
      <c r="G25" s="82">
        <v>14</v>
      </c>
      <c r="H25" s="82">
        <v>40</v>
      </c>
      <c r="I25" s="194">
        <f t="shared" si="0"/>
        <v>54</v>
      </c>
      <c r="J25" s="85">
        <v>1486136</v>
      </c>
      <c r="K25" s="85">
        <v>594197</v>
      </c>
      <c r="L25" s="85">
        <v>42264</v>
      </c>
      <c r="M25" s="195">
        <f>I25/(HLOOKUP(F25,Team_Composition_23[[#All],[Yellow]:[Red]],10,FALSE)+HLOOKUP(F25,Team_Composition_23[[#All],[Yellow]:[Red]],11,FALSE))</f>
        <v>1.3496625843539115E-2</v>
      </c>
      <c r="N25" s="195">
        <f>J25/HLOOKUP(F25,Team_Composition_23[[#All],[Yellow]:[Red]],6,FALSE)</f>
        <v>3.3499001467216662E-2</v>
      </c>
      <c r="O25" s="195">
        <f>K25/HLOOKUP(F25,Team_Composition_23[[#All],[Yellow]:[Red]],8,FALSE)</f>
        <v>3.3917748644695975E-2</v>
      </c>
      <c r="P25" s="195">
        <f>L25/HLOOKUP(F25,Team_Composition_23[[#All],[Yellow]:[Red]],7,FALSE)</f>
        <v>3.2649469198921511E-3</v>
      </c>
      <c r="R25" s="201" t="s">
        <v>33</v>
      </c>
      <c r="S25" s="202">
        <f t="shared" si="2"/>
        <v>0</v>
      </c>
      <c r="T25" s="203">
        <f t="shared" si="3"/>
        <v>0</v>
      </c>
      <c r="V25" s="204" t="str">
        <f ca="1">IFERROR(__xludf.DUMMYFUNCTION("""COMPUTED_VALUE"""),"StephyBabyx")</f>
        <v>StephyBabyx</v>
      </c>
      <c r="W25" s="116">
        <f ca="1">IFERROR(__xludf.DUMMYFUNCTION("""COMPUTED_VALUE"""),902560)</f>
        <v>902560</v>
      </c>
      <c r="Y25" s="204" t="str">
        <f ca="1">IFERROR(__xludf.DUMMYFUNCTION("""COMPUTED_VALUE"""),"Reinnier")</f>
        <v>Reinnier</v>
      </c>
      <c r="Z25" s="116">
        <f ca="1">IFERROR(__xludf.DUMMYFUNCTION("""COMPUTED_VALUE"""),1185853)</f>
        <v>1185853</v>
      </c>
      <c r="AB25" s="201" t="s">
        <v>33</v>
      </c>
      <c r="AC25" s="205">
        <f t="shared" si="4"/>
        <v>0</v>
      </c>
      <c r="AD25" s="206">
        <f t="shared" si="5"/>
        <v>0</v>
      </c>
    </row>
    <row r="26" spans="1:30" ht="22.5" customHeight="1">
      <c r="A26" s="82">
        <v>32</v>
      </c>
      <c r="B26" s="115" t="str">
        <f>VLOOKUP(C26,Lists!I:J,2,FALSE)</f>
        <v>Ranged DPS</v>
      </c>
      <c r="C26" s="115" t="s">
        <v>52</v>
      </c>
      <c r="D26" s="13" t="s">
        <v>34</v>
      </c>
      <c r="E26" s="83" t="s">
        <v>532</v>
      </c>
      <c r="F26" s="13" t="s">
        <v>476</v>
      </c>
      <c r="G26" s="82">
        <v>9</v>
      </c>
      <c r="H26" s="82">
        <v>45</v>
      </c>
      <c r="I26" s="194">
        <f t="shared" si="0"/>
        <v>54</v>
      </c>
      <c r="J26" s="85">
        <v>1170969</v>
      </c>
      <c r="K26" s="85">
        <v>791900</v>
      </c>
      <c r="L26" s="85">
        <v>285905</v>
      </c>
      <c r="M26" s="195">
        <f>I26/(HLOOKUP(F26,Team_Composition_23[[#All],[Yellow]:[Red]],10,FALSE)+HLOOKUP(F26,Team_Composition_23[[#All],[Yellow]:[Red]],11,FALSE))</f>
        <v>1.3496625843539115E-2</v>
      </c>
      <c r="N26" s="195">
        <f>J26/HLOOKUP(F26,Team_Composition_23[[#All],[Yellow]:[Red]],6,FALSE)</f>
        <v>2.6394820022572114E-2</v>
      </c>
      <c r="O26" s="195">
        <f>K26/HLOOKUP(F26,Team_Composition_23[[#All],[Yellow]:[Red]],8,FALSE)</f>
        <v>4.5202963245749711E-2</v>
      </c>
      <c r="P26" s="195">
        <f>L26/HLOOKUP(F26,Team_Composition_23[[#All],[Yellow]:[Red]],7,FALSE)</f>
        <v>2.208651923934709E-2</v>
      </c>
      <c r="R26" s="204"/>
      <c r="S26" s="208"/>
      <c r="T26" s="208"/>
      <c r="V26" s="204" t="str">
        <f ca="1">IFERROR(__xludf.DUMMYFUNCTION("""COMPUTED_VALUE"""),"Basileus")</f>
        <v>Basileus</v>
      </c>
      <c r="W26" s="116">
        <f ca="1">IFERROR(__xludf.DUMMYFUNCTION("""COMPUTED_VALUE"""),873265)</f>
        <v>873265</v>
      </c>
      <c r="Y26" s="204" t="str">
        <f ca="1">IFERROR(__xludf.DUMMYFUNCTION("""COMPUTED_VALUE"""),"Niyaaツ")</f>
        <v>Niyaaツ</v>
      </c>
      <c r="Z26" s="116">
        <f ca="1">IFERROR(__xludf.DUMMYFUNCTION("""COMPUTED_VALUE"""),1176428)</f>
        <v>1176428</v>
      </c>
      <c r="AB26" s="204"/>
      <c r="AC26" s="208"/>
      <c r="AD26" s="208"/>
    </row>
    <row r="27" spans="1:30" ht="22.5" customHeight="1">
      <c r="A27" s="82">
        <v>54</v>
      </c>
      <c r="B27" s="115" t="str">
        <f>VLOOKUP(C27,Lists!I:J,2,FALSE)</f>
        <v>Healer</v>
      </c>
      <c r="C27" s="115" t="str">
        <f>VLOOKUP(E27,Lists!D:E,2,FALSE)</f>
        <v>Wand/Orb</v>
      </c>
      <c r="D27" s="13" t="s">
        <v>34</v>
      </c>
      <c r="E27" s="83" t="s">
        <v>153</v>
      </c>
      <c r="F27" s="13" t="s">
        <v>476</v>
      </c>
      <c r="G27" s="82">
        <v>0</v>
      </c>
      <c r="H27" s="82">
        <v>54</v>
      </c>
      <c r="I27" s="194">
        <f t="shared" si="0"/>
        <v>54</v>
      </c>
      <c r="J27" s="85">
        <v>4197</v>
      </c>
      <c r="K27" s="85">
        <v>379987</v>
      </c>
      <c r="L27" s="85">
        <v>636828</v>
      </c>
      <c r="M27" s="195">
        <f>I27/(HLOOKUP(F27,Team_Composition_23[[#All],[Yellow]:[Red]],10,FALSE)+HLOOKUP(F27,Team_Composition_23[[#All],[Yellow]:[Red]],11,FALSE))</f>
        <v>1.3496625843539115E-2</v>
      </c>
      <c r="N27" s="195">
        <f>J27/HLOOKUP(F27,Team_Composition_23[[#All],[Yellow]:[Red]],6,FALSE)</f>
        <v>9.4604604933807098E-5</v>
      </c>
      <c r="O27" s="195">
        <f>K27/HLOOKUP(F27,Team_Composition_23[[#All],[Yellow]:[Red]],8,FALSE)</f>
        <v>2.1690287150982063E-2</v>
      </c>
      <c r="P27" s="195">
        <f>L27/HLOOKUP(F27,Team_Composition_23[[#All],[Yellow]:[Red]],7,FALSE)</f>
        <v>4.9195760389482271E-2</v>
      </c>
      <c r="R27" s="6"/>
      <c r="S27" s="209"/>
      <c r="T27" s="209"/>
      <c r="AB27" s="6"/>
      <c r="AC27" s="209"/>
      <c r="AD27" s="209"/>
    </row>
    <row r="28" spans="1:30" ht="22.5" customHeight="1">
      <c r="A28" s="82">
        <v>18</v>
      </c>
      <c r="B28" s="115" t="str">
        <f>VLOOKUP(C28,Lists!I:J,2,FALSE)</f>
        <v>Melee DPS</v>
      </c>
      <c r="C28" s="115" t="s">
        <v>24</v>
      </c>
      <c r="D28" s="13" t="s">
        <v>30</v>
      </c>
      <c r="E28" s="83" t="s">
        <v>400</v>
      </c>
      <c r="F28" s="13" t="s">
        <v>483</v>
      </c>
      <c r="G28" s="82">
        <v>20</v>
      </c>
      <c r="H28" s="82">
        <v>33</v>
      </c>
      <c r="I28" s="194">
        <f t="shared" si="0"/>
        <v>53</v>
      </c>
      <c r="J28" s="85">
        <v>1237626</v>
      </c>
      <c r="K28" s="85">
        <v>1042488</v>
      </c>
      <c r="L28" s="85">
        <v>0</v>
      </c>
      <c r="M28" s="195">
        <f>I28/(HLOOKUP(F28,Team_Composition_23[[#All],[Yellow]:[Red]],10,FALSE)+HLOOKUP(F28,Team_Composition_23[[#All],[Yellow]:[Red]],11,FALSE))</f>
        <v>6.4555420219244819E-2</v>
      </c>
      <c r="N28" s="195">
        <f>J28/HLOOKUP(F28,Team_Composition_23[[#All],[Yellow]:[Red]],6,FALSE)</f>
        <v>7.0138713166402245E-2</v>
      </c>
      <c r="O28" s="195">
        <f>K28/HLOOKUP(F28,Team_Composition_23[[#All],[Yellow]:[Red]],8,FALSE)</f>
        <v>2.3684329980653826E-2</v>
      </c>
      <c r="P28" s="195">
        <f>L28/HLOOKUP(F28,Team_Composition_23[[#All],[Yellow]:[Red]],7,FALSE)</f>
        <v>0</v>
      </c>
      <c r="R28" s="232" t="s">
        <v>39</v>
      </c>
      <c r="S28" s="228"/>
      <c r="T28" s="228"/>
      <c r="AB28" s="232" t="s">
        <v>39</v>
      </c>
      <c r="AC28" s="228"/>
      <c r="AD28" s="228"/>
    </row>
    <row r="29" spans="1:30" ht="22.5" customHeight="1">
      <c r="A29" s="82">
        <v>21</v>
      </c>
      <c r="B29" s="115" t="str">
        <f>VLOOKUP(C29,Lists!I:J,2,FALSE)</f>
        <v>KS</v>
      </c>
      <c r="C29" s="115" t="s">
        <v>54</v>
      </c>
      <c r="D29" s="13" t="s">
        <v>34</v>
      </c>
      <c r="E29" s="83" t="s">
        <v>161</v>
      </c>
      <c r="F29" s="13" t="s">
        <v>476</v>
      </c>
      <c r="G29" s="82">
        <v>18</v>
      </c>
      <c r="H29" s="82">
        <v>35</v>
      </c>
      <c r="I29" s="194">
        <f t="shared" si="0"/>
        <v>53</v>
      </c>
      <c r="J29" s="85">
        <v>886090</v>
      </c>
      <c r="K29" s="85">
        <v>694265</v>
      </c>
      <c r="L29" s="85">
        <v>20869</v>
      </c>
      <c r="M29" s="195">
        <f>I29/(HLOOKUP(F29,Team_Composition_23[[#All],[Yellow]:[Red]],10,FALSE)+HLOOKUP(F29,Team_Composition_23[[#All],[Yellow]:[Red]],11,FALSE))</f>
        <v>1.324668832791802E-2</v>
      </c>
      <c r="N29" s="195">
        <f>J29/HLOOKUP(F29,Team_Composition_23[[#All],[Yellow]:[Red]],6,FALSE)</f>
        <v>1.9973360587514206E-2</v>
      </c>
      <c r="O29" s="195">
        <f>K29/HLOOKUP(F29,Team_Composition_23[[#All],[Yellow]:[Red]],8,FALSE)</f>
        <v>3.9629795779530783E-2</v>
      </c>
      <c r="P29" s="195">
        <f>L29/HLOOKUP(F29,Team_Composition_23[[#All],[Yellow]:[Red]],7,FALSE)</f>
        <v>1.6121563806366956E-3</v>
      </c>
      <c r="R29" s="197" t="s">
        <v>482</v>
      </c>
      <c r="S29" s="198" t="s">
        <v>476</v>
      </c>
      <c r="T29" s="198" t="s">
        <v>483</v>
      </c>
      <c r="AB29" s="197" t="s">
        <v>482</v>
      </c>
      <c r="AC29" s="198" t="s">
        <v>7</v>
      </c>
      <c r="AD29" s="198" t="s">
        <v>527</v>
      </c>
    </row>
    <row r="30" spans="1:30" ht="22.5" customHeight="1">
      <c r="A30" s="82">
        <v>28</v>
      </c>
      <c r="B30" s="115" t="str">
        <f>VLOOKUP(C30,Lists!I:J,2,FALSE)</f>
        <v>Ranged DPS</v>
      </c>
      <c r="C30" s="115" t="s">
        <v>45</v>
      </c>
      <c r="D30" s="13" t="s">
        <v>30</v>
      </c>
      <c r="E30" s="83" t="s">
        <v>403</v>
      </c>
      <c r="F30" s="13" t="s">
        <v>483</v>
      </c>
      <c r="G30" s="82">
        <v>12</v>
      </c>
      <c r="H30" s="82">
        <v>40</v>
      </c>
      <c r="I30" s="194">
        <f t="shared" si="0"/>
        <v>52</v>
      </c>
      <c r="J30" s="85">
        <v>938566</v>
      </c>
      <c r="K30" s="85">
        <v>498996</v>
      </c>
      <c r="L30" s="85">
        <v>8601</v>
      </c>
      <c r="M30" s="195">
        <f>I30/(HLOOKUP(F30,Team_Composition_23[[#All],[Yellow]:[Red]],10,FALSE)+HLOOKUP(F30,Team_Composition_23[[#All],[Yellow]:[Red]],11,FALSE))</f>
        <v>6.3337393422655291E-2</v>
      </c>
      <c r="N30" s="195">
        <f>J30/HLOOKUP(F30,Team_Composition_23[[#All],[Yellow]:[Red]],6,FALSE)</f>
        <v>5.3190391492856072E-2</v>
      </c>
      <c r="O30" s="195">
        <f>K30/HLOOKUP(F30,Team_Composition_23[[#All],[Yellow]:[Red]],8,FALSE)</f>
        <v>1.1336711715651726E-2</v>
      </c>
      <c r="P30" s="195">
        <f>L30/HLOOKUP(F30,Team_Composition_23[[#All],[Yellow]:[Red]],7,FALSE)</f>
        <v>3.5441136664541954E-4</v>
      </c>
      <c r="R30" s="201" t="s">
        <v>468</v>
      </c>
      <c r="S30" s="202">
        <f>SUMIFS(Scoreboard_28[Damage Dealt],Scoreboard_28[Role],"Ranged DPS",Scoreboard_28[Team],"Yellow")</f>
        <v>10164612</v>
      </c>
      <c r="T30" s="203">
        <f>SUMIFS(Scoreboard_28[Damage Dealt],Scoreboard_28[Role],"Ranged DPS",Scoreboard_28[Team],"Red")</f>
        <v>11883275</v>
      </c>
      <c r="AB30" s="201" t="s">
        <v>468</v>
      </c>
      <c r="AC30" s="205">
        <f>SUMIFS(Scoreboard_28[Damage Dealt],Scoreboard_28[Role],"Ranged DPS",Scoreboard_28[Guild],"FTP")</f>
        <v>0</v>
      </c>
      <c r="AD30" s="206">
        <f>SUMIFS(Scoreboard_28[Damage Dealt],Scoreboard_28[Role],"Ranged DPS",Scoreboard_28[Guild],"Undercooked")</f>
        <v>0</v>
      </c>
    </row>
    <row r="31" spans="1:30" ht="22.5" customHeight="1">
      <c r="A31" s="82">
        <v>19</v>
      </c>
      <c r="B31" s="115" t="str">
        <f>VLOOKUP(C31,Lists!I:J,2,FALSE)</f>
        <v>KS</v>
      </c>
      <c r="C31" s="115" t="s">
        <v>54</v>
      </c>
      <c r="D31" s="13" t="s">
        <v>30</v>
      </c>
      <c r="E31" s="83" t="s">
        <v>401</v>
      </c>
      <c r="F31" s="13" t="s">
        <v>483</v>
      </c>
      <c r="G31" s="82">
        <v>19</v>
      </c>
      <c r="H31" s="82">
        <v>32</v>
      </c>
      <c r="I31" s="194">
        <f t="shared" si="0"/>
        <v>51</v>
      </c>
      <c r="J31" s="85">
        <v>911615</v>
      </c>
      <c r="K31" s="85">
        <v>454799</v>
      </c>
      <c r="L31" s="85">
        <v>0</v>
      </c>
      <c r="M31" s="195">
        <f>I31/(HLOOKUP(F31,Team_Composition_23[[#All],[Yellow]:[Red]],10,FALSE)+HLOOKUP(F31,Team_Composition_23[[#All],[Yellow]:[Red]],11,FALSE))</f>
        <v>6.2119366626065771E-2</v>
      </c>
      <c r="N31" s="195">
        <f>J31/HLOOKUP(F31,Team_Composition_23[[#All],[Yellow]:[Red]],6,FALSE)</f>
        <v>5.1663025019828106E-2</v>
      </c>
      <c r="O31" s="195">
        <f>K31/HLOOKUP(F31,Team_Composition_23[[#All],[Yellow]:[Red]],8,FALSE)</f>
        <v>1.0332598160239138E-2</v>
      </c>
      <c r="P31" s="195">
        <f>L31/HLOOKUP(F31,Team_Composition_23[[#All],[Yellow]:[Red]],7,FALSE)</f>
        <v>0</v>
      </c>
      <c r="R31" s="201" t="s">
        <v>469</v>
      </c>
      <c r="S31" s="202">
        <f>SUMIFS(Scoreboard_28[Damage Taken],Scoreboard_28[Role],"Ranged DPS",Scoreboard_28[Team],"Yellow")</f>
        <v>5006899</v>
      </c>
      <c r="T31" s="203">
        <f>SUMIFS(Scoreboard_28[Damage Taken],Scoreboard_28[Role],"Ranged DPS",Scoreboard_28[Team],"Red")</f>
        <v>3987838</v>
      </c>
      <c r="AB31" s="201" t="s">
        <v>469</v>
      </c>
      <c r="AC31" s="205">
        <f>SUMIFS(Scoreboard_28[Damage Taken],Scoreboard_28[Role],"Ranged DPS",Scoreboard_28[Guild],"FTP")</f>
        <v>0</v>
      </c>
      <c r="AD31" s="206">
        <f>SUMIFS(Scoreboard_28[Damage Taken],Scoreboard_28[Role],"Ranged DPS",Scoreboard_28[Guild],"Undercooked")</f>
        <v>0</v>
      </c>
    </row>
    <row r="32" spans="1:30" ht="22.5" customHeight="1">
      <c r="A32" s="82">
        <v>55</v>
      </c>
      <c r="B32" s="115" t="str">
        <f>VLOOKUP(C32,Lists!I:J,2,FALSE)</f>
        <v>Healer</v>
      </c>
      <c r="C32" s="115" t="s">
        <v>9</v>
      </c>
      <c r="D32" s="13" t="s">
        <v>30</v>
      </c>
      <c r="E32" s="83" t="s">
        <v>411</v>
      </c>
      <c r="F32" s="13" t="s">
        <v>483</v>
      </c>
      <c r="G32" s="82">
        <v>0</v>
      </c>
      <c r="H32" s="82">
        <v>51</v>
      </c>
      <c r="I32" s="194">
        <f t="shared" si="0"/>
        <v>51</v>
      </c>
      <c r="J32" s="85">
        <v>6247</v>
      </c>
      <c r="K32" s="85">
        <v>259802</v>
      </c>
      <c r="L32" s="85">
        <v>457698</v>
      </c>
      <c r="M32" s="195">
        <f>I32/(HLOOKUP(F32,Team_Composition_23[[#All],[Yellow]:[Red]],10,FALSE)+HLOOKUP(F32,Team_Composition_23[[#All],[Yellow]:[Red]],11,FALSE))</f>
        <v>6.2119366626065771E-2</v>
      </c>
      <c r="N32" s="195">
        <f>J32/HLOOKUP(F32,Team_Composition_23[[#All],[Yellow]:[Red]],6,FALSE)</f>
        <v>3.5402984516365592E-4</v>
      </c>
      <c r="O32" s="195">
        <f>K32/HLOOKUP(F32,Team_Composition_23[[#All],[Yellow]:[Red]],8,FALSE)</f>
        <v>5.902452879681901E-3</v>
      </c>
      <c r="P32" s="195">
        <f>L32/HLOOKUP(F32,Team_Composition_23[[#All],[Yellow]:[Red]],7,FALSE)</f>
        <v>1.8859827193451372E-2</v>
      </c>
      <c r="R32" s="201" t="s">
        <v>470</v>
      </c>
      <c r="S32" s="202">
        <f>SUMIFS(Scoreboard_28[Amount Healed],Scoreboard_28[Role],"Ranged DPS",Scoreboard_28[Team],"Yellow")</f>
        <v>366434</v>
      </c>
      <c r="T32" s="203">
        <f>SUMIFS(Scoreboard_28[Amount Healed],Scoreboard_28[Role],"Ranged DPS",Scoreboard_28[Team],"Red")</f>
        <v>485968</v>
      </c>
      <c r="AB32" s="201" t="s">
        <v>470</v>
      </c>
      <c r="AC32" s="205">
        <f>SUMIFS(Scoreboard_28[Amount Healed],Scoreboard_28[Role],"Ranged DPS",Scoreboard_28[Guild],"FTP")</f>
        <v>0</v>
      </c>
      <c r="AD32" s="206">
        <f>SUMIFS(Scoreboard_28[Amount Healed],Scoreboard_28[Role],"Ranged DPS",Scoreboard_28[Guild],"Undercooked")</f>
        <v>0</v>
      </c>
    </row>
    <row r="33" spans="1:30" ht="22.5" customHeight="1">
      <c r="A33" s="82">
        <v>40</v>
      </c>
      <c r="B33" s="115" t="str">
        <f>VLOOKUP(C33,Lists!I:J,2,FALSE)</f>
        <v>Tank</v>
      </c>
      <c r="C33" s="115" t="str">
        <f>VLOOKUP(E33,Lists!D:E,2,FALSE)</f>
        <v>SnS/Greatsword</v>
      </c>
      <c r="D33" s="13" t="s">
        <v>30</v>
      </c>
      <c r="E33" s="83" t="s">
        <v>215</v>
      </c>
      <c r="F33" s="13" t="s">
        <v>483</v>
      </c>
      <c r="G33" s="82">
        <v>2</v>
      </c>
      <c r="H33" s="82">
        <v>48</v>
      </c>
      <c r="I33" s="194">
        <f t="shared" si="0"/>
        <v>50</v>
      </c>
      <c r="J33" s="85">
        <v>536591</v>
      </c>
      <c r="K33" s="85">
        <v>670132</v>
      </c>
      <c r="L33" s="85">
        <v>102024</v>
      </c>
      <c r="M33" s="195">
        <f>I33/(HLOOKUP(F33,Team_Composition_23[[#All],[Yellow]:[Red]],10,FALSE)+HLOOKUP(F33,Team_Composition_23[[#All],[Yellow]:[Red]],11,FALSE))</f>
        <v>6.090133982947625E-2</v>
      </c>
      <c r="N33" s="195">
        <f>J33/HLOOKUP(F33,Team_Composition_23[[#All],[Yellow]:[Red]],6,FALSE)</f>
        <v>3.0409673226542547E-2</v>
      </c>
      <c r="O33" s="195">
        <f>K33/HLOOKUP(F33,Team_Composition_23[[#All],[Yellow]:[Red]],8,FALSE)</f>
        <v>1.5224757904738961E-2</v>
      </c>
      <c r="P33" s="195">
        <f>L33/HLOOKUP(F33,Team_Composition_23[[#All],[Yellow]:[Red]],7,FALSE)</f>
        <v>4.2039838705536896E-3</v>
      </c>
      <c r="R33" s="201" t="s">
        <v>465</v>
      </c>
      <c r="S33" s="202">
        <f>SUMIFS(Scoreboard_28[Kills],Scoreboard_28[Role],"Ranged DPS",Scoreboard_28[Team],"Yellow")</f>
        <v>115</v>
      </c>
      <c r="T33" s="203">
        <f>SUMIFS(Scoreboard_28[Kills],Scoreboard_28[Role],"Ranged DPS",Scoreboard_28[Team],"Red")</f>
        <v>139</v>
      </c>
      <c r="AB33" s="201" t="s">
        <v>465</v>
      </c>
      <c r="AC33" s="205">
        <f>SUMIFS(Scoreboard_28[Kills],Scoreboard_28[Role],"Ranged DPS",Scoreboard_28[Guild],"FTP")</f>
        <v>0</v>
      </c>
      <c r="AD33" s="206">
        <f>SUMIFS(Scoreboard_28[Kills],Scoreboard_28[Role],"Ranged DPS",Scoreboard_28[Guild],"Undercooked")</f>
        <v>0</v>
      </c>
    </row>
    <row r="34" spans="1:30" ht="22.5" customHeight="1">
      <c r="A34" s="82">
        <v>56</v>
      </c>
      <c r="B34" s="115" t="str">
        <f>VLOOKUP(C34,Lists!I:J,2,FALSE)</f>
        <v>Healer</v>
      </c>
      <c r="C34" s="115" t="s">
        <v>9</v>
      </c>
      <c r="D34" s="13" t="s">
        <v>30</v>
      </c>
      <c r="E34" s="83" t="s">
        <v>191</v>
      </c>
      <c r="F34" s="13" t="s">
        <v>483</v>
      </c>
      <c r="G34" s="82">
        <v>0</v>
      </c>
      <c r="H34" s="82">
        <v>49</v>
      </c>
      <c r="I34" s="194">
        <f t="shared" si="0"/>
        <v>49</v>
      </c>
      <c r="J34" s="85">
        <v>10764</v>
      </c>
      <c r="K34" s="85">
        <v>261284</v>
      </c>
      <c r="L34" s="85">
        <v>559266</v>
      </c>
      <c r="M34" s="195">
        <f>I34/(HLOOKUP(F34,Team_Composition_23[[#All],[Yellow]:[Red]],10,FALSE)+HLOOKUP(F34,Team_Composition_23[[#All],[Yellow]:[Red]],11,FALSE))</f>
        <v>5.9683313032886723E-2</v>
      </c>
      <c r="N34" s="195">
        <f>J34/HLOOKUP(F34,Team_Composition_23[[#All],[Yellow]:[Red]],6,FALSE)</f>
        <v>6.1001716877566708E-4</v>
      </c>
      <c r="O34" s="195">
        <f>K34/HLOOKUP(F34,Team_Composition_23[[#All],[Yellow]:[Red]],8,FALSE)</f>
        <v>5.9361225018083226E-3</v>
      </c>
      <c r="P34" s="195">
        <f>L34/HLOOKUP(F34,Team_Composition_23[[#All],[Yellow]:[Red]],7,FALSE)</f>
        <v>2.3045021204315452E-2</v>
      </c>
      <c r="R34" s="201" t="s">
        <v>466</v>
      </c>
      <c r="S34" s="202">
        <f>SUMIFS(Scoreboard_28[Assists],Scoreboard_28[Role],"Ranged DPS",Scoreboard_28[Team],"Yellow")</f>
        <v>279</v>
      </c>
      <c r="T34" s="203">
        <f>SUMIFS(Scoreboard_28[Assists],Scoreboard_28[Role],"Ranged DPS",Scoreboard_28[Team],"Red")</f>
        <v>347</v>
      </c>
      <c r="AB34" s="201" t="s">
        <v>466</v>
      </c>
      <c r="AC34" s="205">
        <f>SUMIFS(Scoreboard_28[Assists],Scoreboard_28[Role],"Ranged DPS",Scoreboard_28[Guild],"FTP")</f>
        <v>0</v>
      </c>
      <c r="AD34" s="206">
        <f>SUMIFS(Scoreboard_28[Assists],Scoreboard_28[Role],"Ranged DPS",Scoreboard_28[Team],"Red")</f>
        <v>347</v>
      </c>
    </row>
    <row r="35" spans="1:30" ht="22.5" customHeight="1">
      <c r="A35" s="82">
        <v>22</v>
      </c>
      <c r="B35" s="115" t="str">
        <f>VLOOKUP(C35,Lists!I:J,2,FALSE)</f>
        <v>Ranged DPS</v>
      </c>
      <c r="C35" s="115" t="s">
        <v>43</v>
      </c>
      <c r="D35" s="13" t="s">
        <v>34</v>
      </c>
      <c r="E35" s="83" t="s">
        <v>51</v>
      </c>
      <c r="F35" s="13" t="s">
        <v>476</v>
      </c>
      <c r="G35" s="82">
        <v>18</v>
      </c>
      <c r="H35" s="82">
        <v>29</v>
      </c>
      <c r="I35" s="194">
        <f t="shared" si="0"/>
        <v>47</v>
      </c>
      <c r="J35" s="85">
        <v>886775</v>
      </c>
      <c r="K35" s="85">
        <v>730943</v>
      </c>
      <c r="L35" s="85">
        <v>0</v>
      </c>
      <c r="M35" s="195">
        <f>I35/(HLOOKUP(F35,Team_Composition_23[[#All],[Yellow]:[Red]],10,FALSE)+HLOOKUP(F35,Team_Composition_23[[#All],[Yellow]:[Red]],11,FALSE))</f>
        <v>1.1747063234191453E-2</v>
      </c>
      <c r="N35" s="195">
        <f>J35/HLOOKUP(F35,Team_Composition_23[[#All],[Yellow]:[Red]],6,FALSE)</f>
        <v>1.9988801177073336E-2</v>
      </c>
      <c r="O35" s="195">
        <f>K35/HLOOKUP(F35,Team_Composition_23[[#All],[Yellow]:[Red]],8,FALSE)</f>
        <v>4.172343675178436E-2</v>
      </c>
      <c r="P35" s="195">
        <f>L35/HLOOKUP(F35,Team_Composition_23[[#All],[Yellow]:[Red]],7,FALSE)</f>
        <v>0</v>
      </c>
      <c r="R35" s="201" t="s">
        <v>54</v>
      </c>
      <c r="S35" s="202">
        <f t="shared" ref="S35:S46" si="6">COUNTIFS(C:C,R35,F:F,"Yellow")</f>
        <v>4</v>
      </c>
      <c r="T35" s="203">
        <f t="shared" ref="T35:T46" si="7">COUNTIFS(C:C,R35,F:F,"Red")</f>
        <v>4</v>
      </c>
      <c r="AB35" s="201" t="s">
        <v>54</v>
      </c>
      <c r="AC35" s="205">
        <f t="shared" ref="AC35:AC46" si="8">COUNTIFS(C:C,AB35,D:D,"FTP")</f>
        <v>0</v>
      </c>
      <c r="AD35" s="206">
        <f t="shared" ref="AD35:AD46" si="9">COUNTIFS(C:C,AB35,D:D,"Undercooked")</f>
        <v>0</v>
      </c>
    </row>
    <row r="36" spans="1:30" ht="22.5" customHeight="1">
      <c r="A36" s="82">
        <v>39</v>
      </c>
      <c r="B36" s="115" t="str">
        <f>VLOOKUP(C36,Lists!I:J,2,FALSE)</f>
        <v>Tank</v>
      </c>
      <c r="C36" s="115" t="s">
        <v>14</v>
      </c>
      <c r="D36" s="13" t="s">
        <v>30</v>
      </c>
      <c r="E36" s="83" t="s">
        <v>407</v>
      </c>
      <c r="F36" s="13" t="s">
        <v>483</v>
      </c>
      <c r="G36" s="82">
        <v>3</v>
      </c>
      <c r="H36" s="82">
        <v>44</v>
      </c>
      <c r="I36" s="194">
        <f t="shared" si="0"/>
        <v>47</v>
      </c>
      <c r="J36" s="85">
        <v>161197</v>
      </c>
      <c r="K36" s="85">
        <v>133958</v>
      </c>
      <c r="L36" s="85">
        <v>42682</v>
      </c>
      <c r="M36" s="195">
        <f>I36/(HLOOKUP(F36,Team_Composition_23[[#All],[Yellow]:[Red]],10,FALSE)+HLOOKUP(F36,Team_Composition_23[[#All],[Yellow]:[Red]],11,FALSE))</f>
        <v>5.7247259439707675E-2</v>
      </c>
      <c r="N36" s="195">
        <f>J36/HLOOKUP(F36,Team_Composition_23[[#All],[Yellow]:[Red]],6,FALSE)</f>
        <v>9.1353528014800449E-3</v>
      </c>
      <c r="O36" s="195">
        <f>K36/HLOOKUP(F36,Team_Composition_23[[#All],[Yellow]:[Red]],8,FALSE)</f>
        <v>3.043397598388111E-3</v>
      </c>
      <c r="P36" s="195">
        <f>L36/HLOOKUP(F36,Team_Composition_23[[#All],[Yellow]:[Red]],7,FALSE)</f>
        <v>1.7587473492802928E-3</v>
      </c>
      <c r="R36" s="201" t="s">
        <v>43</v>
      </c>
      <c r="S36" s="202">
        <f t="shared" si="6"/>
        <v>1</v>
      </c>
      <c r="T36" s="203">
        <f t="shared" si="7"/>
        <v>0</v>
      </c>
      <c r="AB36" s="201" t="s">
        <v>43</v>
      </c>
      <c r="AC36" s="205">
        <f t="shared" si="8"/>
        <v>0</v>
      </c>
      <c r="AD36" s="206">
        <f t="shared" si="9"/>
        <v>0</v>
      </c>
    </row>
    <row r="37" spans="1:30" ht="22.5" customHeight="1">
      <c r="A37" s="82">
        <v>57</v>
      </c>
      <c r="B37" s="115" t="str">
        <f>VLOOKUP(C37,Lists!I:J,2,FALSE)</f>
        <v>Healer</v>
      </c>
      <c r="C37" s="115" t="s">
        <v>9</v>
      </c>
      <c r="D37" s="13" t="s">
        <v>30</v>
      </c>
      <c r="E37" s="83" t="s">
        <v>412</v>
      </c>
      <c r="F37" s="13" t="s">
        <v>483</v>
      </c>
      <c r="G37" s="82">
        <v>0</v>
      </c>
      <c r="H37" s="82">
        <v>47</v>
      </c>
      <c r="I37" s="194">
        <f t="shared" si="0"/>
        <v>47</v>
      </c>
      <c r="J37" s="85">
        <v>10894</v>
      </c>
      <c r="K37" s="85">
        <v>195950</v>
      </c>
      <c r="L37" s="85">
        <v>243534</v>
      </c>
      <c r="M37" s="195">
        <f>I37/(HLOOKUP(F37,Team_Composition_23[[#All],[Yellow]:[Red]],10,FALSE)+HLOOKUP(F37,Team_Composition_23[[#All],[Yellow]:[Red]],11,FALSE))</f>
        <v>5.7247259439707675E-2</v>
      </c>
      <c r="N37" s="195">
        <f>J37/HLOOKUP(F37,Team_Composition_23[[#All],[Yellow]:[Red]],6,FALSE)</f>
        <v>6.1738452588648433E-4</v>
      </c>
      <c r="O37" s="195">
        <f>K37/HLOOKUP(F37,Team_Composition_23[[#All],[Yellow]:[Red]],8,FALSE)</f>
        <v>4.4517965287937293E-3</v>
      </c>
      <c r="P37" s="195">
        <f>L37/HLOOKUP(F37,Team_Composition_23[[#All],[Yellow]:[Red]],7,FALSE)</f>
        <v>1.0035021249229812E-2</v>
      </c>
      <c r="R37" s="201" t="s">
        <v>45</v>
      </c>
      <c r="S37" s="202">
        <f t="shared" si="6"/>
        <v>0</v>
      </c>
      <c r="T37" s="203">
        <f t="shared" si="7"/>
        <v>3</v>
      </c>
      <c r="AB37" s="201" t="s">
        <v>45</v>
      </c>
      <c r="AC37" s="205">
        <f t="shared" si="8"/>
        <v>0</v>
      </c>
      <c r="AD37" s="206">
        <f t="shared" si="9"/>
        <v>0</v>
      </c>
    </row>
    <row r="38" spans="1:30" ht="22.5" customHeight="1">
      <c r="A38" s="82">
        <v>58</v>
      </c>
      <c r="B38" s="115" t="str">
        <f>VLOOKUP(C38,Lists!I:J,2,FALSE)</f>
        <v>Healer</v>
      </c>
      <c r="C38" s="115" t="s">
        <v>9</v>
      </c>
      <c r="D38" s="13" t="s">
        <v>30</v>
      </c>
      <c r="E38" s="83" t="s">
        <v>413</v>
      </c>
      <c r="F38" s="13" t="s">
        <v>483</v>
      </c>
      <c r="G38" s="82">
        <v>0</v>
      </c>
      <c r="H38" s="82">
        <v>46</v>
      </c>
      <c r="I38" s="194">
        <f t="shared" si="0"/>
        <v>46</v>
      </c>
      <c r="J38" s="85">
        <v>562</v>
      </c>
      <c r="K38" s="85">
        <v>254736</v>
      </c>
      <c r="L38" s="85">
        <v>657724</v>
      </c>
      <c r="M38" s="195">
        <f>I38/(HLOOKUP(F38,Team_Composition_23[[#All],[Yellow]:[Red]],10,FALSE)+HLOOKUP(F38,Team_Composition_23[[#All],[Yellow]:[Red]],11,FALSE))</f>
        <v>5.6029232643118147E-2</v>
      </c>
      <c r="N38" s="195">
        <f>J38/HLOOKUP(F38,Team_Composition_23[[#All],[Yellow]:[Red]],6,FALSE)</f>
        <v>3.1849651509840664E-5</v>
      </c>
      <c r="O38" s="195">
        <f>K38/HLOOKUP(F38,Team_Composition_23[[#All],[Yellow]:[Red]],8,FALSE)</f>
        <v>5.7873582064751185E-3</v>
      </c>
      <c r="P38" s="195">
        <f>L38/HLOOKUP(F38,Team_Composition_23[[#All],[Yellow]:[Red]],7,FALSE)</f>
        <v>2.7102065075629803E-2</v>
      </c>
      <c r="R38" s="201" t="s">
        <v>81</v>
      </c>
      <c r="S38" s="202">
        <f t="shared" si="6"/>
        <v>0</v>
      </c>
      <c r="T38" s="203">
        <f t="shared" si="7"/>
        <v>0</v>
      </c>
      <c r="AB38" s="201" t="s">
        <v>81</v>
      </c>
      <c r="AC38" s="205">
        <f t="shared" si="8"/>
        <v>0</v>
      </c>
      <c r="AD38" s="206">
        <f t="shared" si="9"/>
        <v>0</v>
      </c>
    </row>
    <row r="39" spans="1:30" ht="22.5" customHeight="1">
      <c r="A39" s="82">
        <v>23</v>
      </c>
      <c r="B39" s="115" t="str">
        <f>VLOOKUP(C39,Lists!I:J,2,FALSE)</f>
        <v>KS</v>
      </c>
      <c r="C39" s="115" t="s">
        <v>54</v>
      </c>
      <c r="D39" s="13" t="s">
        <v>30</v>
      </c>
      <c r="E39" s="83" t="s">
        <v>402</v>
      </c>
      <c r="F39" s="13" t="s">
        <v>483</v>
      </c>
      <c r="G39" s="82">
        <v>16</v>
      </c>
      <c r="H39" s="82">
        <v>29</v>
      </c>
      <c r="I39" s="194">
        <f t="shared" si="0"/>
        <v>45</v>
      </c>
      <c r="J39" s="85">
        <v>681413</v>
      </c>
      <c r="K39" s="85">
        <v>370500</v>
      </c>
      <c r="L39" s="85">
        <v>2553</v>
      </c>
      <c r="M39" s="195">
        <f>I39/(HLOOKUP(F39,Team_Composition_23[[#All],[Yellow]:[Red]],10,FALSE)+HLOOKUP(F39,Team_Composition_23[[#All],[Yellow]:[Red]],11,FALSE))</f>
        <v>5.4811205846528627E-2</v>
      </c>
      <c r="N39" s="195">
        <f>J39/HLOOKUP(F39,Team_Composition_23[[#All],[Yellow]:[Red]],6,FALSE)</f>
        <v>3.8617022391948495E-2</v>
      </c>
      <c r="O39" s="195">
        <f>K39/HLOOKUP(F39,Team_Composition_23[[#All],[Yellow]:[Red]],8,FALSE)</f>
        <v>8.4174055316053927E-3</v>
      </c>
      <c r="P39" s="195">
        <f>L39/HLOOKUP(F39,Team_Composition_23[[#All],[Yellow]:[Red]],7,FALSE)</f>
        <v>1.051984907622086E-4</v>
      </c>
      <c r="R39" s="201" t="s">
        <v>48</v>
      </c>
      <c r="S39" s="202">
        <f t="shared" si="6"/>
        <v>0</v>
      </c>
      <c r="T39" s="203">
        <f t="shared" si="7"/>
        <v>0</v>
      </c>
      <c r="AB39" s="201" t="s">
        <v>48</v>
      </c>
      <c r="AC39" s="205">
        <f t="shared" si="8"/>
        <v>0</v>
      </c>
      <c r="AD39" s="206">
        <f t="shared" si="9"/>
        <v>0</v>
      </c>
    </row>
    <row r="40" spans="1:30" ht="22.5" customHeight="1">
      <c r="A40" s="82">
        <v>29</v>
      </c>
      <c r="B40" s="115" t="str">
        <f>VLOOKUP(C40,Lists!I:J,2,FALSE)</f>
        <v>Tank</v>
      </c>
      <c r="C40" s="115" t="str">
        <f>VLOOKUP(E40,Lists!D:E,2,FALSE)</f>
        <v>SnS/Greatsword</v>
      </c>
      <c r="D40" s="13" t="s">
        <v>34</v>
      </c>
      <c r="E40" s="83" t="s">
        <v>141</v>
      </c>
      <c r="F40" s="13" t="s">
        <v>476</v>
      </c>
      <c r="G40" s="82">
        <v>10</v>
      </c>
      <c r="H40" s="82">
        <v>35</v>
      </c>
      <c r="I40" s="194">
        <f t="shared" si="0"/>
        <v>45</v>
      </c>
      <c r="J40" s="85">
        <v>1212118</v>
      </c>
      <c r="K40" s="85">
        <v>558463</v>
      </c>
      <c r="L40" s="85">
        <v>21077</v>
      </c>
      <c r="M40" s="195">
        <f>I40/(HLOOKUP(F40,Team_Composition_23[[#All],[Yellow]:[Red]],10,FALSE)+HLOOKUP(F40,Team_Composition_23[[#All],[Yellow]:[Red]],11,FALSE))</f>
        <v>1.1247188202949263E-2</v>
      </c>
      <c r="N40" s="195">
        <f>J40/HLOOKUP(F40,Team_Composition_23[[#All],[Yellow]:[Red]],6,FALSE)</f>
        <v>2.7322359905445886E-2</v>
      </c>
      <c r="O40" s="195">
        <f>K40/HLOOKUP(F40,Team_Composition_23[[#All],[Yellow]:[Red]],8,FALSE)</f>
        <v>3.187799275553873E-2</v>
      </c>
      <c r="P40" s="195">
        <f>L40/HLOOKUP(F40,Team_Composition_23[[#All],[Yellow]:[Red]],7,FALSE)</f>
        <v>1.6282246410790949E-3</v>
      </c>
      <c r="R40" s="201" t="s">
        <v>50</v>
      </c>
      <c r="S40" s="202">
        <f t="shared" si="6"/>
        <v>0</v>
      </c>
      <c r="T40" s="203">
        <f t="shared" si="7"/>
        <v>0</v>
      </c>
      <c r="AB40" s="201" t="s">
        <v>50</v>
      </c>
      <c r="AC40" s="205">
        <f t="shared" si="8"/>
        <v>0</v>
      </c>
      <c r="AD40" s="206">
        <f t="shared" si="9"/>
        <v>0</v>
      </c>
    </row>
    <row r="41" spans="1:30" ht="22.5" customHeight="1">
      <c r="A41" s="82">
        <v>25</v>
      </c>
      <c r="B41" s="115" t="str">
        <f>VLOOKUP(C41,Lists!I:J,2,FALSE)</f>
        <v>Melee DPS</v>
      </c>
      <c r="C41" s="115" t="s">
        <v>24</v>
      </c>
      <c r="D41" s="13" t="s">
        <v>34</v>
      </c>
      <c r="E41" s="83" t="s">
        <v>533</v>
      </c>
      <c r="F41" s="13" t="s">
        <v>476</v>
      </c>
      <c r="G41" s="82">
        <v>15</v>
      </c>
      <c r="H41" s="82">
        <v>28</v>
      </c>
      <c r="I41" s="194">
        <f t="shared" si="0"/>
        <v>43</v>
      </c>
      <c r="J41" s="85">
        <v>872693</v>
      </c>
      <c r="K41" s="85">
        <v>986746</v>
      </c>
      <c r="L41" s="85">
        <v>910</v>
      </c>
      <c r="M41" s="195">
        <f>I41/(HLOOKUP(F41,Team_Composition_23[[#All],[Yellow]:[Red]],10,FALSE)+HLOOKUP(F41,Team_Composition_23[[#All],[Yellow]:[Red]],11,FALSE))</f>
        <v>1.0747313171707074E-2</v>
      </c>
      <c r="N41" s="195">
        <f>J41/HLOOKUP(F41,Team_Composition_23[[#All],[Yellow]:[Red]],6,FALSE)</f>
        <v>1.9671378721348325E-2</v>
      </c>
      <c r="O41" s="195">
        <f>K41/HLOOKUP(F41,Team_Composition_23[[#All],[Yellow]:[Red]],8,FALSE)</f>
        <v>5.6325095556118886E-2</v>
      </c>
      <c r="P41" s="195">
        <f>L41/HLOOKUP(F41,Team_Composition_23[[#All],[Yellow]:[Red]],7,FALSE)</f>
        <v>7.0298639435497292E-5</v>
      </c>
      <c r="R41" s="201" t="s">
        <v>52</v>
      </c>
      <c r="S41" s="202">
        <f t="shared" si="6"/>
        <v>1</v>
      </c>
      <c r="T41" s="203">
        <f t="shared" si="7"/>
        <v>1</v>
      </c>
      <c r="AB41" s="201" t="s">
        <v>52</v>
      </c>
      <c r="AC41" s="205">
        <f t="shared" si="8"/>
        <v>0</v>
      </c>
      <c r="AD41" s="206">
        <f t="shared" si="9"/>
        <v>0</v>
      </c>
    </row>
    <row r="42" spans="1:30" ht="22.5" customHeight="1">
      <c r="A42" s="82">
        <v>26</v>
      </c>
      <c r="B42" s="115" t="str">
        <f>VLOOKUP(C42,Lists!I:J,2,FALSE)</f>
        <v>KS</v>
      </c>
      <c r="C42" s="115" t="str">
        <f>VLOOKUP(E42,Lists!D:E,2,FALSE)</f>
        <v>Crossbow/Dagger</v>
      </c>
      <c r="D42" s="13" t="s">
        <v>34</v>
      </c>
      <c r="E42" s="83" t="s">
        <v>152</v>
      </c>
      <c r="F42" s="13" t="s">
        <v>476</v>
      </c>
      <c r="G42" s="82">
        <v>15</v>
      </c>
      <c r="H42" s="82">
        <v>28</v>
      </c>
      <c r="I42" s="194">
        <f t="shared" si="0"/>
        <v>43</v>
      </c>
      <c r="J42" s="85">
        <v>703541</v>
      </c>
      <c r="K42" s="85">
        <v>578159</v>
      </c>
      <c r="L42" s="85">
        <v>0</v>
      </c>
      <c r="M42" s="195">
        <f>I42/(HLOOKUP(F42,Team_Composition_23[[#All],[Yellow]:[Red]],10,FALSE)+HLOOKUP(F42,Team_Composition_23[[#All],[Yellow]:[Red]],11,FALSE))</f>
        <v>1.0747313171707074E-2</v>
      </c>
      <c r="N42" s="195">
        <f>J42/HLOOKUP(F42,Team_Composition_23[[#All],[Yellow]:[Red]],6,FALSE)</f>
        <v>1.5858522363530039E-2</v>
      </c>
      <c r="O42" s="195">
        <f>K42/HLOOKUP(F42,Team_Composition_23[[#All],[Yellow]:[Red]],8,FALSE)</f>
        <v>3.3002273048616505E-2</v>
      </c>
      <c r="P42" s="195">
        <f>L42/HLOOKUP(F42,Team_Composition_23[[#All],[Yellow]:[Red]],7,FALSE)</f>
        <v>0</v>
      </c>
      <c r="R42" s="201" t="s">
        <v>32</v>
      </c>
      <c r="S42" s="202">
        <f t="shared" si="6"/>
        <v>3</v>
      </c>
      <c r="T42" s="203">
        <f t="shared" si="7"/>
        <v>1</v>
      </c>
      <c r="AB42" s="201" t="s">
        <v>32</v>
      </c>
      <c r="AC42" s="205">
        <f t="shared" si="8"/>
        <v>0</v>
      </c>
      <c r="AD42" s="206">
        <f t="shared" si="9"/>
        <v>0</v>
      </c>
    </row>
    <row r="43" spans="1:30" ht="22.5" customHeight="1">
      <c r="A43" s="82">
        <v>33</v>
      </c>
      <c r="B43" s="115" t="str">
        <f>VLOOKUP(C43,Lists!I:J,2,FALSE)</f>
        <v>KS</v>
      </c>
      <c r="C43" s="115" t="s">
        <v>54</v>
      </c>
      <c r="D43" s="13" t="s">
        <v>30</v>
      </c>
      <c r="E43" s="83" t="s">
        <v>404</v>
      </c>
      <c r="F43" s="13" t="s">
        <v>483</v>
      </c>
      <c r="G43" s="82">
        <v>9</v>
      </c>
      <c r="H43" s="82">
        <v>33</v>
      </c>
      <c r="I43" s="194">
        <f t="shared" si="0"/>
        <v>42</v>
      </c>
      <c r="J43" s="85">
        <v>569216</v>
      </c>
      <c r="K43" s="85">
        <v>627691</v>
      </c>
      <c r="L43" s="85">
        <v>5206</v>
      </c>
      <c r="M43" s="195">
        <f>I43/(HLOOKUP(F43,Team_Composition_23[[#All],[Yellow]:[Red]],10,FALSE)+HLOOKUP(F43,Team_Composition_23[[#All],[Yellow]:[Red]],11,FALSE))</f>
        <v>5.1157125456760051E-2</v>
      </c>
      <c r="N43" s="195">
        <f>J43/HLOOKUP(F43,Team_Composition_23[[#All],[Yellow]:[Red]],6,FALSE)</f>
        <v>3.2258596501468798E-2</v>
      </c>
      <c r="O43" s="195">
        <f>K43/HLOOKUP(F43,Team_Composition_23[[#All],[Yellow]:[Red]],8,FALSE)</f>
        <v>1.4260538989308827E-2</v>
      </c>
      <c r="P43" s="195">
        <f>L43/HLOOKUP(F43,Team_Composition_23[[#All],[Yellow]:[Red]],7,FALSE)</f>
        <v>2.1451756478968193E-4</v>
      </c>
      <c r="R43" s="201" t="s">
        <v>56</v>
      </c>
      <c r="S43" s="202">
        <f t="shared" si="6"/>
        <v>0</v>
      </c>
      <c r="T43" s="203">
        <f t="shared" si="7"/>
        <v>1</v>
      </c>
      <c r="AB43" s="201" t="s">
        <v>56</v>
      </c>
      <c r="AC43" s="205">
        <f t="shared" si="8"/>
        <v>0</v>
      </c>
      <c r="AD43" s="206">
        <f t="shared" si="9"/>
        <v>0</v>
      </c>
    </row>
    <row r="44" spans="1:30" ht="22.5" customHeight="1">
      <c r="A44" s="82">
        <v>41</v>
      </c>
      <c r="B44" s="115" t="str">
        <f>VLOOKUP(C44,Lists!I:J,2,FALSE)</f>
        <v>Tank</v>
      </c>
      <c r="C44" s="115" t="str">
        <f>VLOOKUP(E44,Lists!D:E,2,FALSE)</f>
        <v>SnS/Greatsword</v>
      </c>
      <c r="D44" s="13" t="s">
        <v>34</v>
      </c>
      <c r="E44" s="83" t="s">
        <v>93</v>
      </c>
      <c r="F44" s="13" t="s">
        <v>476</v>
      </c>
      <c r="G44" s="82">
        <v>2</v>
      </c>
      <c r="H44" s="82">
        <v>39</v>
      </c>
      <c r="I44" s="194">
        <f t="shared" si="0"/>
        <v>41</v>
      </c>
      <c r="J44" s="85">
        <v>125682</v>
      </c>
      <c r="K44" s="85">
        <v>388643</v>
      </c>
      <c r="L44" s="85">
        <v>22575</v>
      </c>
      <c r="M44" s="195">
        <f>I44/(HLOOKUP(F44,Team_Composition_23[[#All],[Yellow]:[Red]],10,FALSE)+HLOOKUP(F44,Team_Composition_23[[#All],[Yellow]:[Red]],11,FALSE))</f>
        <v>1.0247438140464884E-2</v>
      </c>
      <c r="N44" s="195">
        <f>J44/HLOOKUP(F44,Team_Composition_23[[#All],[Yellow]:[Red]],6,FALSE)</f>
        <v>2.8329987984967221E-3</v>
      </c>
      <c r="O44" s="195">
        <f>K44/HLOOKUP(F44,Team_Composition_23[[#All],[Yellow]:[Red]],8,FALSE)</f>
        <v>2.218438596378066E-2</v>
      </c>
      <c r="P44" s="195">
        <f>L44/HLOOKUP(F44,Team_Composition_23[[#All],[Yellow]:[Red]],7,FALSE)</f>
        <v>1.7439470167652212E-3</v>
      </c>
      <c r="R44" s="201" t="s">
        <v>58</v>
      </c>
      <c r="S44" s="202">
        <f t="shared" si="6"/>
        <v>2</v>
      </c>
      <c r="T44" s="203">
        <f t="shared" si="7"/>
        <v>1</v>
      </c>
      <c r="AB44" s="201" t="s">
        <v>58</v>
      </c>
      <c r="AC44" s="205">
        <f t="shared" si="8"/>
        <v>0</v>
      </c>
      <c r="AD44" s="206">
        <f t="shared" si="9"/>
        <v>0</v>
      </c>
    </row>
    <row r="45" spans="1:30" ht="22.5" customHeight="1">
      <c r="A45" s="82">
        <v>34</v>
      </c>
      <c r="B45" s="115" t="str">
        <f>VLOOKUP(C45,Lists!I:J,2,FALSE)</f>
        <v>Tank</v>
      </c>
      <c r="C45" s="115" t="str">
        <f>VLOOKUP(E45,Lists!D:E,2,FALSE)</f>
        <v>SnS/Greatsword</v>
      </c>
      <c r="D45" s="13" t="s">
        <v>34</v>
      </c>
      <c r="E45" s="83" t="s">
        <v>64</v>
      </c>
      <c r="F45" s="13" t="s">
        <v>476</v>
      </c>
      <c r="G45" s="82">
        <v>8</v>
      </c>
      <c r="H45" s="82">
        <v>32</v>
      </c>
      <c r="I45" s="194">
        <f t="shared" si="0"/>
        <v>40</v>
      </c>
      <c r="J45" s="85">
        <v>398423</v>
      </c>
      <c r="K45" s="85">
        <v>518093</v>
      </c>
      <c r="L45" s="85">
        <v>40026</v>
      </c>
      <c r="M45" s="195">
        <f>I45/(HLOOKUP(F45,Team_Composition_23[[#All],[Yellow]:[Red]],10,FALSE)+HLOOKUP(F45,Team_Composition_23[[#All],[Yellow]:[Red]],11,FALSE))</f>
        <v>9.997500624843789E-3</v>
      </c>
      <c r="N45" s="195">
        <f>J45/HLOOKUP(F45,Team_Composition_23[[#All],[Yellow]:[Red]],6,FALSE)</f>
        <v>8.9808554947682206E-3</v>
      </c>
      <c r="O45" s="195">
        <f>K45/HLOOKUP(F45,Team_Composition_23[[#All],[Yellow]:[Red]],8,FALSE)</f>
        <v>2.9573606309988894E-2</v>
      </c>
      <c r="P45" s="195">
        <f>L45/HLOOKUP(F45,Team_Composition_23[[#All],[Yellow]:[Red]],7,FALSE)</f>
        <v>3.0920586176321038E-3</v>
      </c>
      <c r="R45" s="201" t="s">
        <v>60</v>
      </c>
      <c r="S45" s="202">
        <f t="shared" si="6"/>
        <v>0</v>
      </c>
      <c r="T45" s="203">
        <f t="shared" si="7"/>
        <v>0</v>
      </c>
      <c r="AB45" s="201" t="s">
        <v>60</v>
      </c>
      <c r="AC45" s="205">
        <f t="shared" si="8"/>
        <v>0</v>
      </c>
      <c r="AD45" s="206">
        <f t="shared" si="9"/>
        <v>0</v>
      </c>
    </row>
    <row r="46" spans="1:30" ht="22.5" customHeight="1">
      <c r="A46" s="82">
        <v>24</v>
      </c>
      <c r="B46" s="115" t="str">
        <f>VLOOKUP(C46,Lists!I:J,2,FALSE)</f>
        <v>Melee DPS</v>
      </c>
      <c r="C46" s="115" t="str">
        <f>VLOOKUP(E46,Lists!D:E,2,FALSE)</f>
        <v>Spear/Dagger</v>
      </c>
      <c r="D46" s="13" t="s">
        <v>30</v>
      </c>
      <c r="E46" s="83" t="s">
        <v>228</v>
      </c>
      <c r="F46" s="13" t="s">
        <v>483</v>
      </c>
      <c r="G46" s="82">
        <v>16</v>
      </c>
      <c r="H46" s="82">
        <v>22</v>
      </c>
      <c r="I46" s="194">
        <f t="shared" si="0"/>
        <v>38</v>
      </c>
      <c r="J46" s="85">
        <v>763208</v>
      </c>
      <c r="K46" s="85">
        <v>773848</v>
      </c>
      <c r="L46" s="85">
        <v>43621</v>
      </c>
      <c r="M46" s="195">
        <f>I46/(HLOOKUP(F46,Team_Composition_23[[#All],[Yellow]:[Red]],10,FALSE)+HLOOKUP(F46,Team_Composition_23[[#All],[Yellow]:[Red]],11,FALSE))</f>
        <v>4.6285018270401948E-2</v>
      </c>
      <c r="N46" s="195">
        <f>J46/HLOOKUP(F46,Team_Composition_23[[#All],[Yellow]:[Red]],6,FALSE)</f>
        <v>4.3252506814096925E-2</v>
      </c>
      <c r="O46" s="195">
        <f>K46/HLOOKUP(F46,Team_Composition_23[[#All],[Yellow]:[Red]],8,FALSE)</f>
        <v>1.7581086196549987E-2</v>
      </c>
      <c r="P46" s="195">
        <f>L46/HLOOKUP(F46,Team_Composition_23[[#All],[Yellow]:[Red]],7,FALSE)</f>
        <v>1.7974396261411286E-3</v>
      </c>
      <c r="R46" s="201" t="s">
        <v>63</v>
      </c>
      <c r="S46" s="202">
        <f t="shared" si="6"/>
        <v>0</v>
      </c>
      <c r="T46" s="203">
        <f t="shared" si="7"/>
        <v>0</v>
      </c>
      <c r="AB46" s="201" t="s">
        <v>63</v>
      </c>
      <c r="AC46" s="205">
        <f t="shared" si="8"/>
        <v>0</v>
      </c>
      <c r="AD46" s="206">
        <f t="shared" si="9"/>
        <v>0</v>
      </c>
    </row>
    <row r="47" spans="1:30" ht="22.5" customHeight="1">
      <c r="A47" s="82">
        <v>59</v>
      </c>
      <c r="B47" s="115" t="str">
        <f>VLOOKUP(C47,Lists!I:J,2,FALSE)</f>
        <v>Healer</v>
      </c>
      <c r="C47" s="115" t="str">
        <f>VLOOKUP(E47,Lists!D:E,2,FALSE)</f>
        <v>Wand/Orb</v>
      </c>
      <c r="D47" s="13" t="s">
        <v>34</v>
      </c>
      <c r="E47" s="83" t="s">
        <v>96</v>
      </c>
      <c r="F47" s="13" t="s">
        <v>476</v>
      </c>
      <c r="G47" s="82">
        <v>0</v>
      </c>
      <c r="H47" s="82">
        <v>38</v>
      </c>
      <c r="I47" s="194">
        <f t="shared" si="0"/>
        <v>38</v>
      </c>
      <c r="J47" s="85">
        <v>9604</v>
      </c>
      <c r="K47" s="85">
        <v>263628</v>
      </c>
      <c r="L47" s="85">
        <v>635689</v>
      </c>
      <c r="M47" s="195">
        <f>I47/(HLOOKUP(F47,Team_Composition_23[[#All],[Yellow]:[Red]],10,FALSE)+HLOOKUP(F47,Team_Composition_23[[#All],[Yellow]:[Red]],11,FALSE))</f>
        <v>9.4976255936015993E-3</v>
      </c>
      <c r="N47" s="195">
        <f>J47/HLOOKUP(F47,Team_Composition_23[[#All],[Yellow]:[Red]],6,FALSE)</f>
        <v>2.1648382792096337E-4</v>
      </c>
      <c r="O47" s="195">
        <f>K47/HLOOKUP(F47,Team_Composition_23[[#All],[Yellow]:[Red]],8,FALSE)</f>
        <v>1.5048322761144723E-2</v>
      </c>
      <c r="P47" s="195">
        <f>L47/HLOOKUP(F47,Team_Composition_23[[#All],[Yellow]:[Red]],7,FALSE)</f>
        <v>4.9107771213309712E-2</v>
      </c>
      <c r="R47" s="204"/>
      <c r="S47" s="208"/>
      <c r="T47" s="208"/>
      <c r="AB47" s="204"/>
      <c r="AC47" s="208"/>
      <c r="AD47" s="208"/>
    </row>
    <row r="48" spans="1:30" ht="22.5" customHeight="1">
      <c r="A48" s="82">
        <v>60</v>
      </c>
      <c r="B48" s="115" t="str">
        <f>VLOOKUP(C48,Lists!I:J,2,FALSE)</f>
        <v>Healer</v>
      </c>
      <c r="C48" s="115" t="s">
        <v>10</v>
      </c>
      <c r="D48" s="13" t="s">
        <v>30</v>
      </c>
      <c r="E48" s="83" t="s">
        <v>414</v>
      </c>
      <c r="F48" s="13" t="s">
        <v>483</v>
      </c>
      <c r="G48" s="82">
        <v>0</v>
      </c>
      <c r="H48" s="82">
        <v>37</v>
      </c>
      <c r="I48" s="194">
        <f t="shared" si="0"/>
        <v>37</v>
      </c>
      <c r="J48" s="85">
        <v>36947</v>
      </c>
      <c r="K48" s="85">
        <v>218194</v>
      </c>
      <c r="L48" s="85">
        <v>1307578</v>
      </c>
      <c r="M48" s="195">
        <f>I48/(HLOOKUP(F48,Team_Composition_23[[#All],[Yellow]:[Red]],10,FALSE)+HLOOKUP(F48,Team_Composition_23[[#All],[Yellow]:[Red]],11,FALSE))</f>
        <v>4.5066991473812421E-2</v>
      </c>
      <c r="N48" s="195">
        <f>J48/HLOOKUP(F48,Team_Composition_23[[#All],[Yellow]:[Red]],6,FALSE)</f>
        <v>2.0938595628720337E-3</v>
      </c>
      <c r="O48" s="195">
        <f>K48/HLOOKUP(F48,Team_Composition_23[[#All],[Yellow]:[Red]],8,FALSE)</f>
        <v>4.9571589272958353E-3</v>
      </c>
      <c r="P48" s="195">
        <f>L48/HLOOKUP(F48,Team_Composition_23[[#All],[Yellow]:[Red]],7,FALSE)</f>
        <v>5.3879840248283274E-2</v>
      </c>
      <c r="R48" s="6"/>
      <c r="S48" s="209"/>
      <c r="T48" s="209"/>
      <c r="AB48" s="6"/>
      <c r="AC48" s="209"/>
      <c r="AD48" s="209"/>
    </row>
    <row r="49" spans="1:30" ht="22.5" customHeight="1">
      <c r="A49" s="82">
        <v>30</v>
      </c>
      <c r="B49" s="115" t="str">
        <f>VLOOKUP(C49,Lists!I:J,2,FALSE)</f>
        <v>Tank</v>
      </c>
      <c r="C49" s="115" t="str">
        <f>VLOOKUP(E49,Lists!D:E,2,FALSE)</f>
        <v>SnS/Greatsword</v>
      </c>
      <c r="D49" s="13" t="s">
        <v>34</v>
      </c>
      <c r="E49" s="83" t="s">
        <v>118</v>
      </c>
      <c r="F49" s="13" t="s">
        <v>476</v>
      </c>
      <c r="G49" s="82">
        <v>10</v>
      </c>
      <c r="H49" s="82">
        <v>26</v>
      </c>
      <c r="I49" s="194">
        <f t="shared" si="0"/>
        <v>36</v>
      </c>
      <c r="J49" s="85">
        <v>582674</v>
      </c>
      <c r="K49" s="85">
        <v>702872</v>
      </c>
      <c r="L49" s="85">
        <v>23322</v>
      </c>
      <c r="M49" s="195">
        <f>I49/(HLOOKUP(F49,Team_Composition_23[[#All],[Yellow]:[Red]],10,FALSE)+HLOOKUP(F49,Team_Composition_23[[#All],[Yellow]:[Red]],11,FALSE))</f>
        <v>8.9977505623594096E-3</v>
      </c>
      <c r="N49" s="195">
        <f>J49/HLOOKUP(F49,Team_Composition_23[[#All],[Yellow]:[Red]],6,FALSE)</f>
        <v>1.3134058512080323E-2</v>
      </c>
      <c r="O49" s="195">
        <f>K49/HLOOKUP(F49,Team_Composition_23[[#All],[Yellow]:[Red]],8,FALSE)</f>
        <v>4.0121097591194081E-2</v>
      </c>
      <c r="P49" s="195">
        <f>L49/HLOOKUP(F49,Team_Composition_23[[#All],[Yellow]:[Red]],7,FALSE)</f>
        <v>1.8016537021040306E-3</v>
      </c>
      <c r="R49" s="232" t="s">
        <v>67</v>
      </c>
      <c r="S49" s="228"/>
      <c r="T49" s="228"/>
      <c r="AB49" s="232" t="s">
        <v>67</v>
      </c>
      <c r="AC49" s="228"/>
      <c r="AD49" s="228"/>
    </row>
    <row r="50" spans="1:30" ht="22.5" customHeight="1">
      <c r="A50" s="82">
        <v>31</v>
      </c>
      <c r="B50" s="115" t="str">
        <f>VLOOKUP(C50,Lists!I:J,2,FALSE)</f>
        <v>Ranged DPS</v>
      </c>
      <c r="C50" s="115" t="str">
        <f>VLOOKUP(E50,Lists!D:E,2,FALSE)</f>
        <v>Staff/Orb</v>
      </c>
      <c r="D50" s="13" t="s">
        <v>34</v>
      </c>
      <c r="E50" s="83" t="s">
        <v>156</v>
      </c>
      <c r="F50" s="13" t="s">
        <v>476</v>
      </c>
      <c r="G50" s="82">
        <v>10</v>
      </c>
      <c r="H50" s="82">
        <v>25</v>
      </c>
      <c r="I50" s="194">
        <f t="shared" si="0"/>
        <v>35</v>
      </c>
      <c r="J50" s="85">
        <v>1257577</v>
      </c>
      <c r="K50" s="85">
        <v>674668</v>
      </c>
      <c r="L50" s="85">
        <v>25388</v>
      </c>
      <c r="M50" s="195">
        <f>I50/(HLOOKUP(F50,Team_Composition_23[[#All],[Yellow]:[Red]],10,FALSE)+HLOOKUP(F50,Team_Composition_23[[#All],[Yellow]:[Red]],11,FALSE))</f>
        <v>8.7478130467383147E-3</v>
      </c>
      <c r="N50" s="195">
        <f>J50/HLOOKUP(F50,Team_Composition_23[[#All],[Yellow]:[Red]],6,FALSE)</f>
        <v>2.8347051527005559E-2</v>
      </c>
      <c r="O50" s="195">
        <f>K50/HLOOKUP(F50,Team_Composition_23[[#All],[Yellow]:[Red]],8,FALSE)</f>
        <v>3.8511166570379424E-2</v>
      </c>
      <c r="P50" s="195">
        <f>L50/HLOOKUP(F50,Team_Composition_23[[#All],[Yellow]:[Red]],7,FALSE)</f>
        <v>1.9612547889982473E-3</v>
      </c>
      <c r="R50" s="197" t="s">
        <v>482</v>
      </c>
      <c r="S50" s="198" t="s">
        <v>476</v>
      </c>
      <c r="T50" s="198" t="s">
        <v>483</v>
      </c>
      <c r="AB50" s="197" t="s">
        <v>482</v>
      </c>
      <c r="AC50" s="198" t="s">
        <v>7</v>
      </c>
      <c r="AD50" s="198" t="s">
        <v>527</v>
      </c>
    </row>
    <row r="51" spans="1:30" ht="22.5" customHeight="1">
      <c r="A51" s="82">
        <v>61</v>
      </c>
      <c r="B51" s="115" t="str">
        <f>VLOOKUP(C51,Lists!I:J,2,FALSE)</f>
        <v>Healer</v>
      </c>
      <c r="C51" s="115" t="s">
        <v>18</v>
      </c>
      <c r="D51" s="13" t="s">
        <v>30</v>
      </c>
      <c r="E51" s="83" t="s">
        <v>415</v>
      </c>
      <c r="F51" s="13" t="s">
        <v>483</v>
      </c>
      <c r="G51" s="82">
        <v>0</v>
      </c>
      <c r="H51" s="82">
        <v>35</v>
      </c>
      <c r="I51" s="194">
        <f t="shared" si="0"/>
        <v>35</v>
      </c>
      <c r="J51" s="85">
        <v>15047</v>
      </c>
      <c r="K51" s="85">
        <v>240765</v>
      </c>
      <c r="L51" s="85">
        <v>250805</v>
      </c>
      <c r="M51" s="195">
        <f>I51/(HLOOKUP(F51,Team_Composition_23[[#All],[Yellow]:[Red]],10,FALSE)+HLOOKUP(F51,Team_Composition_23[[#All],[Yellow]:[Red]],11,FALSE))</f>
        <v>4.2630937880633372E-2</v>
      </c>
      <c r="N51" s="195">
        <f>J51/HLOOKUP(F51,Team_Composition_23[[#All],[Yellow]:[Red]],6,FALSE)</f>
        <v>8.5274324958820719E-4</v>
      </c>
      <c r="O51" s="195">
        <f>K51/HLOOKUP(F51,Team_Composition_23[[#All],[Yellow]:[Red]],8,FALSE)</f>
        <v>5.4699504529472937E-3</v>
      </c>
      <c r="P51" s="195">
        <f>L51/HLOOKUP(F51,Team_Composition_23[[#All],[Yellow]:[Red]],7,FALSE)</f>
        <v>1.0334628858447209E-2</v>
      </c>
      <c r="R51" s="201" t="s">
        <v>468</v>
      </c>
      <c r="S51" s="202">
        <f>SUMIFS(Scoreboard_28[Damage Dealt],Scoreboard_28[Role],"Tank",Scoreboard_28[Team],"Yellow")</f>
        <v>3091218</v>
      </c>
      <c r="T51" s="203">
        <f>SUMIFS(Scoreboard_28[Damage Dealt],Scoreboard_28[Role],"Tank",Scoreboard_28[Team],"Red")</f>
        <v>2406814</v>
      </c>
      <c r="AB51" s="201" t="s">
        <v>468</v>
      </c>
      <c r="AC51" s="205">
        <f>SUMIFS(Scoreboard_28[Damage Dealt],Scoreboard_28[Role],"Tank",Scoreboard_28[Guild],"FTP")</f>
        <v>0</v>
      </c>
      <c r="AD51" s="206">
        <f>SUMIFS(Scoreboard_28[Damage Dealt],Scoreboard_28[Role],"Tank",Scoreboard_28[Guild],"Undercooked")</f>
        <v>0</v>
      </c>
    </row>
    <row r="52" spans="1:30" ht="22.5" customHeight="1">
      <c r="A52" s="82">
        <v>62</v>
      </c>
      <c r="B52" s="115" t="str">
        <f>VLOOKUP(C52,Lists!I:J,2,FALSE)</f>
        <v>Healer</v>
      </c>
      <c r="C52" s="115" t="str">
        <f>VLOOKUP(E52,Lists!D:E,2,FALSE)</f>
        <v>Wand/Orb</v>
      </c>
      <c r="D52" s="13" t="s">
        <v>30</v>
      </c>
      <c r="E52" s="83" t="s">
        <v>199</v>
      </c>
      <c r="F52" s="13" t="s">
        <v>483</v>
      </c>
      <c r="G52" s="82">
        <v>0</v>
      </c>
      <c r="H52" s="82">
        <v>35</v>
      </c>
      <c r="I52" s="194">
        <f t="shared" si="0"/>
        <v>35</v>
      </c>
      <c r="J52" s="85">
        <v>0</v>
      </c>
      <c r="K52" s="85">
        <v>404742</v>
      </c>
      <c r="L52" s="85">
        <v>746317</v>
      </c>
      <c r="M52" s="195">
        <f>I52/(HLOOKUP(F52,Team_Composition_23[[#All],[Yellow]:[Red]],10,FALSE)+HLOOKUP(F52,Team_Composition_23[[#All],[Yellow]:[Red]],11,FALSE))</f>
        <v>4.2630937880633372E-2</v>
      </c>
      <c r="N52" s="195">
        <f>J52/HLOOKUP(F52,Team_Composition_23[[#All],[Yellow]:[Red]],6,FALSE)</f>
        <v>0</v>
      </c>
      <c r="O52" s="195">
        <f>K52/HLOOKUP(F52,Team_Composition_23[[#All],[Yellow]:[Red]],8,FALSE)</f>
        <v>9.1953510112632378E-3</v>
      </c>
      <c r="P52" s="195">
        <f>L52/HLOOKUP(F52,Team_Composition_23[[#All],[Yellow]:[Red]],7,FALSE)</f>
        <v>3.0752613407825789E-2</v>
      </c>
      <c r="R52" s="201" t="s">
        <v>469</v>
      </c>
      <c r="S52" s="202">
        <f>SUMIFS(Scoreboard_28[Damage Taken],Scoreboard_28[Role],"Tank",Scoreboard_28[Team],"Yellow")</f>
        <v>9252637</v>
      </c>
      <c r="T52" s="203">
        <f>SUMIFS(Scoreboard_28[Damage Taken],Scoreboard_28[Role],"Tank",Scoreboard_28[Team],"Red")</f>
        <v>6545311</v>
      </c>
      <c r="AB52" s="201" t="s">
        <v>469</v>
      </c>
      <c r="AC52" s="205">
        <f>SUMIFS(Scoreboard_28[Damage Taken],Scoreboard_28[Role],"Tank",Scoreboard_28[Guild],"FTP")</f>
        <v>0</v>
      </c>
      <c r="AD52" s="206">
        <f>SUMIFS(Scoreboard_28[Damage Taken],Scoreboard_28[Role],"Tank",Scoreboard_28[Guild],"Undercooked")</f>
        <v>0</v>
      </c>
    </row>
    <row r="53" spans="1:30" ht="22.5" customHeight="1">
      <c r="A53" s="82">
        <v>38</v>
      </c>
      <c r="B53" s="115" t="str">
        <f>VLOOKUP(C53,Lists!I:J,2,FALSE)</f>
        <v>Tank</v>
      </c>
      <c r="C53" s="115" t="str">
        <f>VLOOKUP(E53,Lists!D:E,2,FALSE)</f>
        <v>SnS/Greatsword</v>
      </c>
      <c r="D53" s="13" t="s">
        <v>30</v>
      </c>
      <c r="E53" s="83" t="s">
        <v>214</v>
      </c>
      <c r="F53" s="13" t="s">
        <v>483</v>
      </c>
      <c r="G53" s="82">
        <v>4</v>
      </c>
      <c r="H53" s="82">
        <v>30</v>
      </c>
      <c r="I53" s="194">
        <f t="shared" si="0"/>
        <v>34</v>
      </c>
      <c r="J53" s="85">
        <v>474100</v>
      </c>
      <c r="K53" s="85">
        <v>923771</v>
      </c>
      <c r="L53" s="85">
        <v>21303</v>
      </c>
      <c r="M53" s="195">
        <f>I53/(HLOOKUP(F53,Team_Composition_23[[#All],[Yellow]:[Red]],10,FALSE)+HLOOKUP(F53,Team_Composition_23[[#All],[Yellow]:[Red]],11,FALSE))</f>
        <v>4.1412911084043852E-2</v>
      </c>
      <c r="N53" s="195">
        <f>J53/HLOOKUP(F53,Team_Composition_23[[#All],[Yellow]:[Red]],6,FALSE)</f>
        <v>2.6868184663372704E-2</v>
      </c>
      <c r="O53" s="195">
        <f>K53/HLOOKUP(F53,Team_Composition_23[[#All],[Yellow]:[Red]],8,FALSE)</f>
        <v>2.098719332074668E-2</v>
      </c>
      <c r="P53" s="195">
        <f>L53/HLOOKUP(F53,Team_Composition_23[[#All],[Yellow]:[Red]],7,FALSE)</f>
        <v>8.7780785299934572E-4</v>
      </c>
      <c r="R53" s="201" t="s">
        <v>470</v>
      </c>
      <c r="S53" s="202">
        <f>SUMIFS(Scoreboard_28[Amount Healed],Scoreboard_28[Role],"Tank",Scoreboard_28[Team],"Yellow")</f>
        <v>1578144</v>
      </c>
      <c r="T53" s="203">
        <f>SUMIFS(Scoreboard_28[Amount Healed],Scoreboard_28[Role],"Tank",Scoreboard_28[Team],"Red")</f>
        <v>1250281</v>
      </c>
      <c r="AB53" s="201" t="s">
        <v>470</v>
      </c>
      <c r="AC53" s="205">
        <f>SUMIFS(Scoreboard_28[Amount Healed],Scoreboard_28[Role],"Tank",Scoreboard_28[Guild],"FTP")</f>
        <v>0</v>
      </c>
      <c r="AD53" s="206">
        <f>SUMIFS(Scoreboard_28[Amount Healed],Scoreboard_28[Role],"Tank",Scoreboard_28[Guild],"Undercooked")</f>
        <v>0</v>
      </c>
    </row>
    <row r="54" spans="1:30" ht="22.5" customHeight="1">
      <c r="A54" s="82">
        <v>63</v>
      </c>
      <c r="B54" s="115" t="str">
        <f>VLOOKUP(C54,Lists!I:J,2,FALSE)</f>
        <v>Healer</v>
      </c>
      <c r="C54" s="115" t="s">
        <v>10</v>
      </c>
      <c r="D54" s="13" t="s">
        <v>30</v>
      </c>
      <c r="E54" s="83" t="s">
        <v>416</v>
      </c>
      <c r="F54" s="13" t="s">
        <v>483</v>
      </c>
      <c r="G54" s="82">
        <v>0</v>
      </c>
      <c r="H54" s="82">
        <v>34</v>
      </c>
      <c r="I54" s="194">
        <f t="shared" si="0"/>
        <v>34</v>
      </c>
      <c r="J54" s="85">
        <v>16434</v>
      </c>
      <c r="K54" s="85">
        <v>228914</v>
      </c>
      <c r="L54" s="85">
        <v>847511</v>
      </c>
      <c r="M54" s="195">
        <f>I54/(HLOOKUP(F54,Team_Composition_23[[#All],[Yellow]:[Red]],10,FALSE)+HLOOKUP(F54,Team_Composition_23[[#All],[Yellow]:[Red]],11,FALSE))</f>
        <v>4.1412911084043852E-2</v>
      </c>
      <c r="N54" s="195">
        <f>J54/HLOOKUP(F54,Team_Composition_23[[#All],[Yellow]:[Red]],6,FALSE)</f>
        <v>9.3134728276284961E-4</v>
      </c>
      <c r="O54" s="195">
        <f>K54/HLOOKUP(F54,Team_Composition_23[[#All],[Yellow]:[Red]],8,FALSE)</f>
        <v>5.2007070711522722E-3</v>
      </c>
      <c r="P54" s="195">
        <f>L54/HLOOKUP(F54,Team_Composition_23[[#All],[Yellow]:[Red]],7,FALSE)</f>
        <v>3.4922396437277778E-2</v>
      </c>
      <c r="R54" s="201" t="s">
        <v>465</v>
      </c>
      <c r="S54" s="202">
        <f>SUMIFS(Scoreboard_28[Kills],Scoreboard_28[Role],"Tank",Scoreboard_28[Team],"Yellow")</f>
        <v>35</v>
      </c>
      <c r="T54" s="203">
        <f>SUMIFS(Scoreboard_28[Kills],Scoreboard_28[Role],"Tank",Scoreboard_28[Team],"Red")</f>
        <v>19</v>
      </c>
      <c r="AB54" s="201" t="s">
        <v>465</v>
      </c>
      <c r="AC54" s="205">
        <f>SUMIFS(Scoreboard_28[Kills],Scoreboard_28[Role],"Tank",Scoreboard_28[Guild],"FTP")</f>
        <v>0</v>
      </c>
      <c r="AD54" s="206">
        <f>SUMIFS(Scoreboard_28[Kills],Scoreboard_28[Role],"Tank",Scoreboard_28[Guild],"Undercooked")</f>
        <v>0</v>
      </c>
    </row>
    <row r="55" spans="1:30" ht="22.5" customHeight="1">
      <c r="A55" s="82">
        <v>64</v>
      </c>
      <c r="B55" s="115" t="str">
        <f>VLOOKUP(C55,Lists!I:J,2,FALSE)</f>
        <v>Healer</v>
      </c>
      <c r="C55" s="115" t="s">
        <v>9</v>
      </c>
      <c r="D55" s="13" t="s">
        <v>30</v>
      </c>
      <c r="E55" s="83" t="s">
        <v>417</v>
      </c>
      <c r="F55" s="13" t="s">
        <v>483</v>
      </c>
      <c r="G55" s="82">
        <v>0</v>
      </c>
      <c r="H55" s="82">
        <v>34</v>
      </c>
      <c r="I55" s="194">
        <f t="shared" si="0"/>
        <v>34</v>
      </c>
      <c r="J55" s="85">
        <v>4915</v>
      </c>
      <c r="K55" s="85">
        <v>131312</v>
      </c>
      <c r="L55" s="85">
        <v>431657</v>
      </c>
      <c r="M55" s="195">
        <f>I55/(HLOOKUP(F55,Team_Composition_23[[#All],[Yellow]:[Red]],10,FALSE)+HLOOKUP(F55,Team_Composition_23[[#All],[Yellow]:[Red]],11,FALSE))</f>
        <v>4.1412911084043852E-2</v>
      </c>
      <c r="N55" s="195">
        <f>J55/HLOOKUP(F55,Team_Composition_23[[#All],[Yellow]:[Red]],6,FALSE)</f>
        <v>2.7854277076666702E-4</v>
      </c>
      <c r="O55" s="195">
        <f>K55/HLOOKUP(F55,Team_Composition_23[[#All],[Yellow]:[Red]],8,FALSE)</f>
        <v>2.9832830098951886E-3</v>
      </c>
      <c r="P55" s="195">
        <f>L55/HLOOKUP(F55,Team_Composition_23[[#All],[Yellow]:[Red]],7,FALSE)</f>
        <v>1.7786786105343781E-2</v>
      </c>
      <c r="R55" s="201" t="s">
        <v>466</v>
      </c>
      <c r="S55" s="202">
        <f>SUMIFS(Scoreboard_28[Assists],Scoreboard_28[Role],"Tank",Scoreboard_28[Team],"Yellow")</f>
        <v>328</v>
      </c>
      <c r="T55" s="203">
        <f>SUMIFS(Scoreboard_28[Assists],Scoreboard_28[Role],"Tank",Scoreboard_28[Team],"Red")</f>
        <v>363</v>
      </c>
      <c r="AB55" s="201" t="s">
        <v>466</v>
      </c>
      <c r="AC55" s="205">
        <f>SUMIFS(Scoreboard_28[Assists],Scoreboard_28[Role],"Tank",Scoreboard_28[Guild],"FTP")</f>
        <v>0</v>
      </c>
      <c r="AD55" s="206">
        <f>SUMIFS(Scoreboard_28[Assists],Scoreboard_28[Role],"Tank",Scoreboard_28[Guild],"Undercooked")</f>
        <v>0</v>
      </c>
    </row>
    <row r="56" spans="1:30" ht="22.5" customHeight="1">
      <c r="A56" s="82">
        <v>65</v>
      </c>
      <c r="B56" s="115" t="str">
        <f>VLOOKUP(C56,Lists!I:J,2,FALSE)</f>
        <v>Healer</v>
      </c>
      <c r="C56" s="115" t="s">
        <v>9</v>
      </c>
      <c r="D56" s="13" t="s">
        <v>30</v>
      </c>
      <c r="E56" s="83" t="s">
        <v>418</v>
      </c>
      <c r="F56" s="13" t="s">
        <v>483</v>
      </c>
      <c r="G56" s="82">
        <v>0</v>
      </c>
      <c r="H56" s="82">
        <v>34</v>
      </c>
      <c r="I56" s="194">
        <f t="shared" si="0"/>
        <v>34</v>
      </c>
      <c r="J56" s="85">
        <v>1497</v>
      </c>
      <c r="K56" s="85">
        <v>336647</v>
      </c>
      <c r="L56" s="85">
        <v>450383</v>
      </c>
      <c r="M56" s="195">
        <f>I56/(HLOOKUP(F56,Team_Composition_23[[#All],[Yellow]:[Red]],10,FALSE)+HLOOKUP(F56,Team_Composition_23[[#All],[Yellow]:[Red]],11,FALSE))</f>
        <v>4.1412911084043852E-2</v>
      </c>
      <c r="N56" s="195">
        <f>J56/HLOOKUP(F56,Team_Composition_23[[#All],[Yellow]:[Red]],6,FALSE)</f>
        <v>8.4837950729949236E-5</v>
      </c>
      <c r="O56" s="195">
        <f>K56/HLOOKUP(F56,Team_Composition_23[[#All],[Yellow]:[Red]],8,FALSE)</f>
        <v>7.6482977597796507E-3</v>
      </c>
      <c r="P56" s="195">
        <f>L56/HLOOKUP(F56,Team_Composition_23[[#All],[Yellow]:[Red]],7,FALSE)</f>
        <v>1.8558406527597257E-2</v>
      </c>
      <c r="R56" s="201" t="s">
        <v>62</v>
      </c>
      <c r="S56" s="202">
        <f t="shared" ref="S56:S60" si="10">COUNTIFS(C:C,R56,F:F,"Yellow")</f>
        <v>2</v>
      </c>
      <c r="T56" s="203">
        <f t="shared" ref="T56:T60" si="11">COUNTIFS(C:C,R56,F:F,"Red")</f>
        <v>2</v>
      </c>
      <c r="AB56" s="201" t="s">
        <v>62</v>
      </c>
      <c r="AC56" s="205">
        <f t="shared" ref="AC56:AC60" si="12">COUNTIFS(C:C,AB56,D:D,"FTP")</f>
        <v>0</v>
      </c>
      <c r="AD56" s="206">
        <f t="shared" ref="AD56:AD60" si="13">COUNTIFS(C:C,AB56,D:D,"Undercooked")</f>
        <v>0</v>
      </c>
    </row>
    <row r="57" spans="1:30" ht="22.5" customHeight="1">
      <c r="A57" s="82">
        <v>66</v>
      </c>
      <c r="B57" s="115" t="str">
        <f>VLOOKUP(C57,Lists!I:J,2,FALSE)</f>
        <v>Healer</v>
      </c>
      <c r="C57" s="115" t="str">
        <f>VLOOKUP(E57,Lists!D:E,2,FALSE)</f>
        <v>Wand/Orb</v>
      </c>
      <c r="D57" s="13" t="s">
        <v>34</v>
      </c>
      <c r="E57" s="83" t="s">
        <v>74</v>
      </c>
      <c r="F57" s="13" t="s">
        <v>476</v>
      </c>
      <c r="G57" s="82">
        <v>0</v>
      </c>
      <c r="H57" s="82">
        <v>33</v>
      </c>
      <c r="I57" s="194">
        <f t="shared" si="0"/>
        <v>33</v>
      </c>
      <c r="J57" s="85">
        <v>15951</v>
      </c>
      <c r="K57" s="85">
        <v>225955</v>
      </c>
      <c r="L57" s="85">
        <v>518437</v>
      </c>
      <c r="M57" s="195">
        <f>I57/(HLOOKUP(F57,Team_Composition_23[[#All],[Yellow]:[Red]],10,FALSE)+HLOOKUP(F57,Team_Composition_23[[#All],[Yellow]:[Red]],11,FALSE))</f>
        <v>8.2479380154961267E-3</v>
      </c>
      <c r="N57" s="195">
        <f>J57/HLOOKUP(F57,Team_Composition_23[[#All],[Yellow]:[Red]],6,FALSE)</f>
        <v>3.5955159716444056E-4</v>
      </c>
      <c r="O57" s="195">
        <f>K57/HLOOKUP(F57,Team_Composition_23[[#All],[Yellow]:[Red]],8,FALSE)</f>
        <v>1.2897885541347867E-2</v>
      </c>
      <c r="P57" s="195">
        <f>L57/HLOOKUP(F57,Team_Composition_23[[#All],[Yellow]:[Red]],7,FALSE)</f>
        <v>4.0049907398924077E-2</v>
      </c>
      <c r="R57" s="201" t="s">
        <v>70</v>
      </c>
      <c r="S57" s="202">
        <f t="shared" si="10"/>
        <v>0</v>
      </c>
      <c r="T57" s="203">
        <f t="shared" si="11"/>
        <v>0</v>
      </c>
      <c r="AB57" s="201" t="s">
        <v>70</v>
      </c>
      <c r="AC57" s="205">
        <f t="shared" si="12"/>
        <v>0</v>
      </c>
      <c r="AD57" s="206">
        <f t="shared" si="13"/>
        <v>0</v>
      </c>
    </row>
    <row r="58" spans="1:30" ht="22.5" customHeight="1">
      <c r="A58" s="82">
        <v>67</v>
      </c>
      <c r="B58" s="115" t="str">
        <f>VLOOKUP(C58,Lists!I:J,2,FALSE)</f>
        <v>Healer</v>
      </c>
      <c r="C58" s="115" t="str">
        <f>VLOOKUP(E58,Lists!D:E,2,FALSE)</f>
        <v>Wand/Orb</v>
      </c>
      <c r="D58" s="13" t="s">
        <v>30</v>
      </c>
      <c r="E58" s="83" t="s">
        <v>204</v>
      </c>
      <c r="F58" s="13" t="s">
        <v>483</v>
      </c>
      <c r="G58" s="82">
        <v>0</v>
      </c>
      <c r="H58" s="82">
        <v>33</v>
      </c>
      <c r="I58" s="194">
        <f t="shared" si="0"/>
        <v>33</v>
      </c>
      <c r="J58" s="85">
        <v>2715</v>
      </c>
      <c r="K58" s="85">
        <v>408592</v>
      </c>
      <c r="L58" s="85">
        <v>1434830</v>
      </c>
      <c r="M58" s="195">
        <f>I58/(HLOOKUP(F58,Team_Composition_23[[#All],[Yellow]:[Red]],10,FALSE)+HLOOKUP(F58,Team_Composition_23[[#All],[Yellow]:[Red]],11,FALSE))</f>
        <v>4.0194884287454324E-2</v>
      </c>
      <c r="N58" s="195">
        <f>J58/HLOOKUP(F58,Team_Composition_23[[#All],[Yellow]:[Red]],6,FALSE)</f>
        <v>1.5386441966052918E-4</v>
      </c>
      <c r="O58" s="195">
        <f>K58/HLOOKUP(F58,Team_Composition_23[[#All],[Yellow]:[Red]],8,FALSE)</f>
        <v>9.2828193278534695E-3</v>
      </c>
      <c r="P58" s="195">
        <f>L58/HLOOKUP(F58,Team_Composition_23[[#All],[Yellow]:[Red]],7,FALSE)</f>
        <v>5.9123364864997946E-2</v>
      </c>
      <c r="R58" s="201" t="s">
        <v>14</v>
      </c>
      <c r="S58" s="202">
        <f t="shared" si="10"/>
        <v>14</v>
      </c>
      <c r="T58" s="203">
        <f t="shared" si="11"/>
        <v>8</v>
      </c>
      <c r="AB58" s="201" t="s">
        <v>14</v>
      </c>
      <c r="AC58" s="205">
        <f t="shared" si="12"/>
        <v>0</v>
      </c>
      <c r="AD58" s="206">
        <f t="shared" si="13"/>
        <v>0</v>
      </c>
    </row>
    <row r="59" spans="1:30" ht="22.5" customHeight="1">
      <c r="A59" s="82">
        <v>68</v>
      </c>
      <c r="B59" s="115" t="str">
        <f>VLOOKUP(C59,Lists!I:J,2,FALSE)</f>
        <v>Healer</v>
      </c>
      <c r="C59" s="115" t="str">
        <f>VLOOKUP(E59,Lists!D:E,2,FALSE)</f>
        <v>Wand/Orb</v>
      </c>
      <c r="D59" s="13" t="s">
        <v>34</v>
      </c>
      <c r="E59" s="83" t="s">
        <v>146</v>
      </c>
      <c r="F59" s="13" t="s">
        <v>476</v>
      </c>
      <c r="G59" s="82">
        <v>0</v>
      </c>
      <c r="H59" s="82">
        <v>33</v>
      </c>
      <c r="I59" s="194">
        <f t="shared" si="0"/>
        <v>33</v>
      </c>
      <c r="J59" s="85">
        <v>2620</v>
      </c>
      <c r="K59" s="85">
        <v>295401</v>
      </c>
      <c r="L59" s="85">
        <v>1616748</v>
      </c>
      <c r="M59" s="195">
        <f>I59/(HLOOKUP(F59,Team_Composition_23[[#All],[Yellow]:[Red]],10,FALSE)+HLOOKUP(F59,Team_Composition_23[[#All],[Yellow]:[Red]],11,FALSE))</f>
        <v>8.2479380154961267E-3</v>
      </c>
      <c r="N59" s="195">
        <f>J59/HLOOKUP(F59,Team_Composition_23[[#All],[Yellow]:[Red]],6,FALSE)</f>
        <v>5.9057437437830493E-5</v>
      </c>
      <c r="O59" s="195">
        <f>K59/HLOOKUP(F59,Team_Composition_23[[#All],[Yellow]:[Red]],8,FALSE)</f>
        <v>1.6861978211589482E-2</v>
      </c>
      <c r="P59" s="195">
        <f>L59/HLOOKUP(F59,Team_Composition_23[[#All],[Yellow]:[Red]],7,FALSE)</f>
        <v>0.12489580737369381</v>
      </c>
      <c r="R59" s="201" t="s">
        <v>73</v>
      </c>
      <c r="S59" s="202">
        <f t="shared" si="10"/>
        <v>1</v>
      </c>
      <c r="T59" s="203">
        <f t="shared" si="11"/>
        <v>2</v>
      </c>
      <c r="AB59" s="201" t="s">
        <v>73</v>
      </c>
      <c r="AC59" s="205">
        <f t="shared" si="12"/>
        <v>0</v>
      </c>
      <c r="AD59" s="206">
        <f t="shared" si="13"/>
        <v>0</v>
      </c>
    </row>
    <row r="60" spans="1:30" ht="22.5" customHeight="1">
      <c r="A60" s="82">
        <v>42</v>
      </c>
      <c r="B60" s="115" t="str">
        <f>VLOOKUP(C60,Lists!I:J,2,FALSE)</f>
        <v>Tank</v>
      </c>
      <c r="C60" s="115" t="str">
        <f>VLOOKUP(E60,Lists!D:E,2,FALSE)</f>
        <v>SnS/Greatsword</v>
      </c>
      <c r="D60" s="13" t="s">
        <v>30</v>
      </c>
      <c r="E60" s="83" t="s">
        <v>209</v>
      </c>
      <c r="F60" s="13" t="s">
        <v>483</v>
      </c>
      <c r="G60" s="82">
        <v>2</v>
      </c>
      <c r="H60" s="82">
        <v>30</v>
      </c>
      <c r="I60" s="194">
        <f t="shared" si="0"/>
        <v>32</v>
      </c>
      <c r="J60" s="85">
        <v>265462</v>
      </c>
      <c r="K60" s="85">
        <v>817781</v>
      </c>
      <c r="L60" s="85">
        <v>32009</v>
      </c>
      <c r="M60" s="195">
        <f>I60/(HLOOKUP(F60,Team_Composition_23[[#All],[Yellow]:[Red]],10,FALSE)+HLOOKUP(F60,Team_Composition_23[[#All],[Yellow]:[Red]],11,FALSE))</f>
        <v>3.8976857490864797E-2</v>
      </c>
      <c r="N60" s="195">
        <f>J60/HLOOKUP(F60,Team_Composition_23[[#All],[Yellow]:[Red]],6,FALSE)</f>
        <v>1.5044256564244346E-2</v>
      </c>
      <c r="O60" s="195">
        <f>K60/HLOOKUP(F60,Team_Composition_23[[#All],[Yellow]:[Red]],8,FALSE)</f>
        <v>1.8579201924539244E-2</v>
      </c>
      <c r="P60" s="195">
        <f>L60/HLOOKUP(F60,Team_Composition_23[[#All],[Yellow]:[Red]],7,FALSE)</f>
        <v>1.3189574973785879E-3</v>
      </c>
      <c r="R60" s="201" t="s">
        <v>75</v>
      </c>
      <c r="S60" s="202">
        <f t="shared" si="10"/>
        <v>0</v>
      </c>
      <c r="T60" s="203">
        <f t="shared" si="11"/>
        <v>0</v>
      </c>
      <c r="AB60" s="201" t="s">
        <v>75</v>
      </c>
      <c r="AC60" s="205">
        <f t="shared" si="12"/>
        <v>0</v>
      </c>
      <c r="AD60" s="206">
        <f t="shared" si="13"/>
        <v>0</v>
      </c>
    </row>
    <row r="61" spans="1:30" ht="22.5" customHeight="1">
      <c r="A61" s="82">
        <v>69</v>
      </c>
      <c r="B61" s="115" t="str">
        <f>VLOOKUP(C61,Lists!I:J,2,FALSE)</f>
        <v>Healer</v>
      </c>
      <c r="C61" s="115" t="str">
        <f>VLOOKUP(E61,Lists!D:E,2,FALSE)</f>
        <v>Wand/Longbow</v>
      </c>
      <c r="D61" s="13" t="s">
        <v>34</v>
      </c>
      <c r="E61" s="83" t="s">
        <v>44</v>
      </c>
      <c r="F61" s="13" t="s">
        <v>476</v>
      </c>
      <c r="G61" s="82">
        <v>0</v>
      </c>
      <c r="H61" s="82">
        <v>32</v>
      </c>
      <c r="I61" s="194">
        <f t="shared" si="0"/>
        <v>32</v>
      </c>
      <c r="J61" s="85">
        <v>65681</v>
      </c>
      <c r="K61" s="85">
        <v>504878</v>
      </c>
      <c r="L61" s="85">
        <v>1847866</v>
      </c>
      <c r="M61" s="195">
        <f>I61/(HLOOKUP(F61,Team_Composition_23[[#All],[Yellow]:[Red]],10,FALSE)+HLOOKUP(F61,Team_Composition_23[[#All],[Yellow]:[Red]],11,FALSE))</f>
        <v>7.9980004998750319E-3</v>
      </c>
      <c r="N61" s="195">
        <f>J61/HLOOKUP(F61,Team_Composition_23[[#All],[Yellow]:[Red]],6,FALSE)</f>
        <v>1.480515858150437E-3</v>
      </c>
      <c r="O61" s="195">
        <f>K61/HLOOKUP(F61,Team_Composition_23[[#All],[Yellow]:[Red]],8,FALSE)</f>
        <v>2.8819272228296028E-2</v>
      </c>
      <c r="P61" s="195">
        <f>L61/HLOOKUP(F61,Team_Composition_23[[#All],[Yellow]:[Red]],7,FALSE)</f>
        <v>0.14274996226276335</v>
      </c>
      <c r="R61" s="204"/>
      <c r="S61" s="208"/>
      <c r="T61" s="208"/>
      <c r="AB61" s="204"/>
      <c r="AC61" s="208"/>
      <c r="AD61" s="208"/>
    </row>
    <row r="62" spans="1:30" ht="22.5" customHeight="1">
      <c r="A62" s="82">
        <v>43</v>
      </c>
      <c r="B62" s="115" t="str">
        <f>VLOOKUP(C62,Lists!I:J,2,FALSE)</f>
        <v>Tank</v>
      </c>
      <c r="C62" s="115" t="s">
        <v>14</v>
      </c>
      <c r="D62" s="13" t="s">
        <v>30</v>
      </c>
      <c r="E62" s="83" t="s">
        <v>408</v>
      </c>
      <c r="F62" s="13" t="s">
        <v>483</v>
      </c>
      <c r="G62" s="82">
        <v>2</v>
      </c>
      <c r="H62" s="82">
        <v>29</v>
      </c>
      <c r="I62" s="194">
        <f t="shared" si="0"/>
        <v>31</v>
      </c>
      <c r="J62" s="85">
        <v>195834</v>
      </c>
      <c r="K62" s="85">
        <v>369713</v>
      </c>
      <c r="L62" s="85">
        <v>16796</v>
      </c>
      <c r="M62" s="195">
        <f>I62/(HLOOKUP(F62,Team_Composition_23[[#All],[Yellow]:[Red]],10,FALSE)+HLOOKUP(F62,Team_Composition_23[[#All],[Yellow]:[Red]],11,FALSE))</f>
        <v>3.7758830694275276E-2</v>
      </c>
      <c r="N62" s="195">
        <f>J62/HLOOKUP(F62,Team_Composition_23[[#All],[Yellow]:[Red]],6,FALSE)</f>
        <v>1.1098300095690634E-2</v>
      </c>
      <c r="O62" s="195">
        <f>K62/HLOOKUP(F62,Team_Composition_23[[#All],[Yellow]:[Red]],8,FALSE)</f>
        <v>8.3995256445517537E-3</v>
      </c>
      <c r="P62" s="195">
        <f>L62/HLOOKUP(F62,Team_Composition_23[[#All],[Yellow]:[Red]],7,FALSE)</f>
        <v>6.9209316523386431E-4</v>
      </c>
      <c r="R62" s="6"/>
      <c r="S62" s="209"/>
      <c r="T62" s="209"/>
      <c r="AB62" s="6"/>
      <c r="AC62" s="209"/>
      <c r="AD62" s="209"/>
    </row>
    <row r="63" spans="1:30" ht="22.5" customHeight="1">
      <c r="A63" s="82">
        <v>70</v>
      </c>
      <c r="B63" s="115" t="str">
        <f>VLOOKUP(C63,Lists!I:J,2,FALSE)</f>
        <v>Healer</v>
      </c>
      <c r="C63" s="115" t="s">
        <v>10</v>
      </c>
      <c r="D63" s="13" t="s">
        <v>34</v>
      </c>
      <c r="E63" s="83" t="s">
        <v>157</v>
      </c>
      <c r="F63" s="13" t="s">
        <v>476</v>
      </c>
      <c r="G63" s="82">
        <v>0</v>
      </c>
      <c r="H63" s="82">
        <v>31</v>
      </c>
      <c r="I63" s="194">
        <f t="shared" si="0"/>
        <v>31</v>
      </c>
      <c r="J63" s="85">
        <v>33900</v>
      </c>
      <c r="K63" s="85">
        <v>606314</v>
      </c>
      <c r="L63" s="85">
        <v>873177</v>
      </c>
      <c r="M63" s="195">
        <f>I63/(HLOOKUP(F63,Team_Composition_23[[#All],[Yellow]:[Red]],10,FALSE)+HLOOKUP(F63,Team_Composition_23[[#All],[Yellow]:[Red]],11,FALSE))</f>
        <v>7.7480629842539362E-3</v>
      </c>
      <c r="N63" s="195">
        <f>J63/HLOOKUP(F63,Team_Composition_23[[#All],[Yellow]:[Red]],6,FALSE)</f>
        <v>7.6414012562689079E-4</v>
      </c>
      <c r="O63" s="195">
        <f>K63/HLOOKUP(F63,Team_Composition_23[[#All],[Yellow]:[Red]],8,FALSE)</f>
        <v>3.4609407068295864E-2</v>
      </c>
      <c r="P63" s="195">
        <f>L63/HLOOKUP(F63,Team_Composition_23[[#All],[Yellow]:[Red]],7,FALSE)</f>
        <v>6.7454016578427714E-2</v>
      </c>
      <c r="R63" s="232" t="s">
        <v>11</v>
      </c>
      <c r="S63" s="228"/>
      <c r="T63" s="228"/>
      <c r="AB63" s="232" t="s">
        <v>11</v>
      </c>
      <c r="AC63" s="228"/>
      <c r="AD63" s="228"/>
    </row>
    <row r="64" spans="1:30" ht="22.5" customHeight="1">
      <c r="A64" s="82">
        <v>71</v>
      </c>
      <c r="B64" s="115" t="str">
        <f>VLOOKUP(C64,Lists!I:J,2,FALSE)</f>
        <v>Healer</v>
      </c>
      <c r="C64" s="115" t="str">
        <f>VLOOKUP(E64,Lists!D:E,2,FALSE)</f>
        <v>Wand/Longbow</v>
      </c>
      <c r="D64" s="13" t="s">
        <v>34</v>
      </c>
      <c r="E64" s="83" t="s">
        <v>29</v>
      </c>
      <c r="F64" s="13" t="s">
        <v>476</v>
      </c>
      <c r="G64" s="82">
        <v>0</v>
      </c>
      <c r="H64" s="82">
        <v>30</v>
      </c>
      <c r="I64" s="194">
        <f t="shared" si="0"/>
        <v>30</v>
      </c>
      <c r="J64" s="85">
        <v>60428</v>
      </c>
      <c r="K64" s="85">
        <v>118057</v>
      </c>
      <c r="L64" s="85">
        <v>1646986</v>
      </c>
      <c r="M64" s="195">
        <f>I64/(HLOOKUP(F64,Team_Composition_23[[#All],[Yellow]:[Red]],10,FALSE)+HLOOKUP(F64,Team_Composition_23[[#All],[Yellow]:[Red]],11,FALSE))</f>
        <v>7.4981254686328422E-3</v>
      </c>
      <c r="N64" s="195">
        <f>J64/HLOOKUP(F64,Team_Composition_23[[#All],[Yellow]:[Red]],6,FALSE)</f>
        <v>1.3621079501882523E-3</v>
      </c>
      <c r="O64" s="195">
        <f>K64/HLOOKUP(F64,Team_Composition_23[[#All],[Yellow]:[Red]],8,FALSE)</f>
        <v>6.7388890414237582E-3</v>
      </c>
      <c r="P64" s="195">
        <f>L64/HLOOKUP(F64,Team_Composition_23[[#All],[Yellow]:[Red]],7,FALSE)</f>
        <v>0.12723173073550761</v>
      </c>
      <c r="R64" s="197" t="s">
        <v>482</v>
      </c>
      <c r="S64" s="198" t="s">
        <v>476</v>
      </c>
      <c r="T64" s="198" t="s">
        <v>483</v>
      </c>
      <c r="AB64" s="197" t="s">
        <v>482</v>
      </c>
      <c r="AC64" s="198" t="s">
        <v>7</v>
      </c>
      <c r="AD64" s="198" t="s">
        <v>527</v>
      </c>
    </row>
    <row r="65" spans="1:30" ht="22.5" customHeight="1">
      <c r="A65" s="82">
        <v>36</v>
      </c>
      <c r="B65" s="115" t="str">
        <f>VLOOKUP(C65,Lists!I:J,2,FALSE)</f>
        <v>Healer</v>
      </c>
      <c r="C65" s="115" t="s">
        <v>10</v>
      </c>
      <c r="D65" s="13" t="s">
        <v>30</v>
      </c>
      <c r="E65" s="83" t="s">
        <v>217</v>
      </c>
      <c r="F65" s="13" t="s">
        <v>483</v>
      </c>
      <c r="G65" s="82">
        <v>5</v>
      </c>
      <c r="H65" s="82">
        <v>23</v>
      </c>
      <c r="I65" s="194">
        <f t="shared" si="0"/>
        <v>28</v>
      </c>
      <c r="J65" s="85">
        <v>233201</v>
      </c>
      <c r="K65" s="85">
        <v>143444</v>
      </c>
      <c r="L65" s="85">
        <v>0</v>
      </c>
      <c r="M65" s="195">
        <f>I65/(HLOOKUP(F65,Team_Composition_23[[#All],[Yellow]:[Red]],10,FALSE)+HLOOKUP(F65,Team_Composition_23[[#All],[Yellow]:[Red]],11,FALSE))</f>
        <v>3.4104750304506701E-2</v>
      </c>
      <c r="N65" s="195">
        <f>J65/HLOOKUP(F65,Team_Composition_23[[#All],[Yellow]:[Red]],6,FALSE)</f>
        <v>1.3215961889228385E-2</v>
      </c>
      <c r="O65" s="195">
        <f>K65/HLOOKUP(F65,Team_Composition_23[[#All],[Yellow]:[Red]],8,FALSE)</f>
        <v>3.2589104428491335E-3</v>
      </c>
      <c r="P65" s="195">
        <f>L65/HLOOKUP(F65,Team_Composition_23[[#All],[Yellow]:[Red]],7,FALSE)</f>
        <v>0</v>
      </c>
      <c r="R65" s="201" t="s">
        <v>468</v>
      </c>
      <c r="S65" s="202">
        <f>SUMIFS(Scoreboard_28[Damage Dealt],Scoreboard_28[Role],"Healer",Scoreboard_28[Team],"Yellow")</f>
        <v>336087</v>
      </c>
      <c r="T65" s="203">
        <f>SUMIFS(Scoreboard_28[Damage Dealt],Scoreboard_28[Role],"Healer",Scoreboard_28[Team],"Red")</f>
        <v>417604</v>
      </c>
      <c r="AB65" s="201" t="s">
        <v>468</v>
      </c>
      <c r="AC65" s="205">
        <f>SUMIFS(Scoreboard_28[Damage Dealt],Scoreboard_28[Role],"Healer",Scoreboard_28[Guild],"FTP")</f>
        <v>0</v>
      </c>
      <c r="AD65" s="206">
        <f>SUMIFS(Scoreboard_28[Damage Dealt],Scoreboard_28[Role],"Healer",Scoreboard_28[Guild],"Undercooked")</f>
        <v>0</v>
      </c>
    </row>
    <row r="66" spans="1:30" ht="22.5" customHeight="1">
      <c r="A66" s="82">
        <v>47</v>
      </c>
      <c r="B66" s="115" t="str">
        <f>VLOOKUP(C66,Lists!I:J,2,FALSE)</f>
        <v>Healer</v>
      </c>
      <c r="C66" s="115" t="str">
        <f>VLOOKUP(E66,Lists!D:E,2,FALSE)</f>
        <v>Wand/Longbow</v>
      </c>
      <c r="D66" s="13" t="s">
        <v>34</v>
      </c>
      <c r="E66" s="83" t="s">
        <v>134</v>
      </c>
      <c r="F66" s="13" t="s">
        <v>476</v>
      </c>
      <c r="G66" s="82">
        <v>1</v>
      </c>
      <c r="H66" s="82">
        <v>27</v>
      </c>
      <c r="I66" s="194">
        <f t="shared" si="0"/>
        <v>28</v>
      </c>
      <c r="J66" s="85">
        <v>6920</v>
      </c>
      <c r="K66" s="85">
        <v>447442</v>
      </c>
      <c r="L66" s="85">
        <v>711699</v>
      </c>
      <c r="M66" s="195">
        <f>I66/(HLOOKUP(F66,Team_Composition_23[[#All],[Yellow]:[Red]],10,FALSE)+HLOOKUP(F66,Team_Composition_23[[#All],[Yellow]:[Red]],11,FALSE))</f>
        <v>6.9982504373906525E-3</v>
      </c>
      <c r="N66" s="195">
        <f>J66/HLOOKUP(F66,Team_Composition_23[[#All],[Yellow]:[Red]],6,FALSE)</f>
        <v>1.5598376605717061E-4</v>
      </c>
      <c r="O66" s="195">
        <f>K66/HLOOKUP(F66,Team_Composition_23[[#All],[Yellow]:[Red]],8,FALSE)</f>
        <v>2.5540730244481304E-2</v>
      </c>
      <c r="P66" s="195">
        <f>L66/HLOOKUP(F66,Team_Composition_23[[#All],[Yellow]:[Red]],7,FALSE)</f>
        <v>5.4979638887476909E-2</v>
      </c>
      <c r="R66" s="201" t="s">
        <v>469</v>
      </c>
      <c r="S66" s="202">
        <f>SUMIFS(Scoreboard_28[Damage Taken],Scoreboard_28[Role],"Healer",Scoreboard_28[Team],"Yellow")</f>
        <v>5662341</v>
      </c>
      <c r="T66" s="203">
        <f>SUMIFS(Scoreboard_28[Damage Taken],Scoreboard_28[Role],"Healer",Scoreboard_28[Team],"Red")</f>
        <v>4869707</v>
      </c>
      <c r="AB66" s="201" t="s">
        <v>469</v>
      </c>
      <c r="AC66" s="205">
        <f>SUMIFS(Scoreboard_28[Damage Taken],Scoreboard_28[Role],"Healer",Scoreboard_28[Guild],"FTP")</f>
        <v>0</v>
      </c>
      <c r="AD66" s="206">
        <f>SUMIFS(Scoreboard_28[Damage Taken],Scoreboard_28[Role],"Healer",Scoreboard_28[Guild],"Undercooked")</f>
        <v>0</v>
      </c>
    </row>
    <row r="67" spans="1:30" ht="22.5" customHeight="1">
      <c r="A67" s="82">
        <v>72</v>
      </c>
      <c r="B67" s="115" t="str">
        <f>VLOOKUP(C67,Lists!I:J,2,FALSE)</f>
        <v>Healer</v>
      </c>
      <c r="C67" s="115" t="str">
        <f>VLOOKUP(E67,Lists!D:E,2,FALSE)</f>
        <v>Wand/Longbow</v>
      </c>
      <c r="D67" s="13" t="s">
        <v>34</v>
      </c>
      <c r="E67" s="83" t="s">
        <v>17</v>
      </c>
      <c r="F67" s="13" t="s">
        <v>476</v>
      </c>
      <c r="G67" s="82">
        <v>0</v>
      </c>
      <c r="H67" s="82">
        <v>27</v>
      </c>
      <c r="I67" s="194">
        <f t="shared" si="0"/>
        <v>27</v>
      </c>
      <c r="J67" s="85">
        <v>38421</v>
      </c>
      <c r="K67" s="85">
        <v>577021</v>
      </c>
      <c r="L67" s="85">
        <v>2155111</v>
      </c>
      <c r="M67" s="195">
        <f>I67/(HLOOKUP(F67,Team_Composition_23[[#All],[Yellow]:[Red]],10,FALSE)+HLOOKUP(F67,Team_Composition_23[[#All],[Yellow]:[Red]],11,FALSE))</f>
        <v>6.7483129217695576E-3</v>
      </c>
      <c r="N67" s="195">
        <f>J67/HLOOKUP(F67,Team_Composition_23[[#All],[Yellow]:[Red]],6,FALSE)</f>
        <v>8.6604801671713182E-4</v>
      </c>
      <c r="O67" s="195">
        <f>K67/HLOOKUP(F67,Team_Composition_23[[#All],[Yellow]:[Red]],8,FALSE)</f>
        <v>3.2937314124290622E-2</v>
      </c>
      <c r="P67" s="195">
        <f>L67/HLOOKUP(F67,Team_Composition_23[[#All],[Yellow]:[Red]],7,FALSE)</f>
        <v>0.16648502322249889</v>
      </c>
      <c r="R67" s="201" t="s">
        <v>470</v>
      </c>
      <c r="S67" s="202">
        <f>SUMIFS(Scoreboard_28[Amount Healed],Scoreboard_28[Role],"Healer",Scoreboard_28[Team],"Yellow")</f>
        <v>14572532</v>
      </c>
      <c r="T67" s="203">
        <f>SUMIFS(Scoreboard_28[Amount Healed],Scoreboard_28[Role],"Healer",Scoreboard_28[Team],"Red")</f>
        <v>11037478</v>
      </c>
      <c r="AB67" s="201" t="s">
        <v>470</v>
      </c>
      <c r="AC67" s="205">
        <f>SUMIFS(Scoreboard_28[Amount Healed],Scoreboard_28[Role],"Healer",Scoreboard_28[Guild],"FTP")</f>
        <v>0</v>
      </c>
      <c r="AD67" s="206">
        <f>SUMIFS(Scoreboard_28[Amount Healed],Scoreboard_28[Role],"Healer",Scoreboard_28[Guild],"Undercooked")</f>
        <v>0</v>
      </c>
    </row>
    <row r="68" spans="1:30" ht="22.5" customHeight="1">
      <c r="A68" s="82">
        <v>73</v>
      </c>
      <c r="B68" s="115" t="str">
        <f>VLOOKUP(C68,Lists!I:J,2,FALSE)</f>
        <v>Healer</v>
      </c>
      <c r="C68" s="115" t="s">
        <v>9</v>
      </c>
      <c r="D68" s="13" t="s">
        <v>30</v>
      </c>
      <c r="E68" s="83" t="s">
        <v>419</v>
      </c>
      <c r="F68" s="13" t="s">
        <v>483</v>
      </c>
      <c r="G68" s="82">
        <v>0</v>
      </c>
      <c r="H68" s="82">
        <v>27</v>
      </c>
      <c r="I68" s="194">
        <f t="shared" si="0"/>
        <v>27</v>
      </c>
      <c r="J68" s="85">
        <v>7775</v>
      </c>
      <c r="K68" s="85">
        <v>238223</v>
      </c>
      <c r="L68" s="85">
        <v>524976</v>
      </c>
      <c r="M68" s="195">
        <f>I68/(HLOOKUP(F68,Team_Composition_23[[#All],[Yellow]:[Red]],10,FALSE)+HLOOKUP(F68,Team_Composition_23[[#All],[Yellow]:[Red]],11,FALSE))</f>
        <v>3.2886723507917173E-2</v>
      </c>
      <c r="N68" s="195">
        <f>J68/HLOOKUP(F68,Team_Composition_23[[#All],[Yellow]:[Red]],6,FALSE)</f>
        <v>4.4062462720464621E-4</v>
      </c>
      <c r="O68" s="195">
        <f>K68/HLOOKUP(F68,Team_Composition_23[[#All],[Yellow]:[Red]],8,FALSE)</f>
        <v>5.4121986449544709E-3</v>
      </c>
      <c r="P68" s="195">
        <f>L68/HLOOKUP(F68,Team_Composition_23[[#All],[Yellow]:[Red]],7,FALSE)</f>
        <v>2.1632073202656178E-2</v>
      </c>
      <c r="R68" s="201" t="s">
        <v>465</v>
      </c>
      <c r="S68" s="202">
        <f>SUMIFS(Scoreboard_28[Kills],Scoreboard_28[Role],"Healer",Scoreboard_28[Team],"Yellow")</f>
        <v>3</v>
      </c>
      <c r="T68" s="203">
        <f>SUMIFS(Scoreboard_28[Kills],Scoreboard_28[Role],"Healer",Scoreboard_28[Team],"Red")</f>
        <v>5</v>
      </c>
      <c r="AB68" s="201" t="s">
        <v>465</v>
      </c>
      <c r="AC68" s="205">
        <f>SUMIFS(Scoreboard_28[Kills],Scoreboard_28[Role],"Healer",Scoreboard_28[Guild],"FTP")</f>
        <v>0</v>
      </c>
      <c r="AD68" s="206">
        <f>SUMIFS(Scoreboard_28[Kills],Scoreboard_28[Role],"Healer",Scoreboard_28[Guild],"Undercooked")</f>
        <v>0</v>
      </c>
    </row>
    <row r="69" spans="1:30" ht="22.5" customHeight="1">
      <c r="A69" s="82">
        <v>37</v>
      </c>
      <c r="B69" s="115" t="str">
        <f>VLOOKUP(C69,Lists!I:J,2,FALSE)</f>
        <v>Tank</v>
      </c>
      <c r="C69" s="115" t="s">
        <v>14</v>
      </c>
      <c r="D69" s="13" t="s">
        <v>30</v>
      </c>
      <c r="E69" s="83" t="s">
        <v>406</v>
      </c>
      <c r="F69" s="13" t="s">
        <v>483</v>
      </c>
      <c r="G69" s="82">
        <v>5</v>
      </c>
      <c r="H69" s="82">
        <v>20</v>
      </c>
      <c r="I69" s="194">
        <f t="shared" si="0"/>
        <v>25</v>
      </c>
      <c r="J69" s="85">
        <v>434145</v>
      </c>
      <c r="K69" s="85">
        <v>694741</v>
      </c>
      <c r="L69" s="85">
        <v>48351</v>
      </c>
      <c r="M69" s="195">
        <f>I69/(HLOOKUP(F69,Team_Composition_23[[#All],[Yellow]:[Red]],10,FALSE)+HLOOKUP(F69,Team_Composition_23[[#All],[Yellow]:[Red]],11,FALSE))</f>
        <v>3.0450669914738125E-2</v>
      </c>
      <c r="N69" s="195">
        <f>J69/HLOOKUP(F69,Team_Composition_23[[#All],[Yellow]:[Red]],6,FALSE)</f>
        <v>2.4603855791351912E-2</v>
      </c>
      <c r="O69" s="195">
        <f>K69/HLOOKUP(F69,Team_Composition_23[[#All],[Yellow]:[Red]],8,FALSE)</f>
        <v>1.5783850840575066E-2</v>
      </c>
      <c r="P69" s="195">
        <f>L69/HLOOKUP(F69,Team_Composition_23[[#All],[Yellow]:[Red]],7,FALSE)</f>
        <v>1.9923432145881504E-3</v>
      </c>
      <c r="R69" s="201" t="s">
        <v>466</v>
      </c>
      <c r="S69" s="202">
        <f>SUMIFS(Scoreboard_28[Assists],Scoreboard_28[Role],"Healer",Scoreboard_28[Team],"Yellow")</f>
        <v>482</v>
      </c>
      <c r="T69" s="203">
        <f>SUMIFS(Scoreboard_28[Assists],Scoreboard_28[Role],"Healer",Scoreboard_28[Team],"Red")</f>
        <v>630</v>
      </c>
      <c r="AB69" s="201" t="s">
        <v>466</v>
      </c>
      <c r="AC69" s="205">
        <f>SUMIFS(Scoreboard_28[Assists],Scoreboard_28[Role],"Healer",Scoreboard_28[Guild],"FTP")</f>
        <v>0</v>
      </c>
      <c r="AD69" s="206">
        <f>SUMIFS(Scoreboard_28[Assists],Scoreboard_28[Role],"Healer",Scoreboard_28[Guild],"Undercooked")</f>
        <v>0</v>
      </c>
    </row>
    <row r="70" spans="1:30" ht="22.5" customHeight="1">
      <c r="A70" s="82">
        <v>74</v>
      </c>
      <c r="B70" s="115" t="e">
        <f>VLOOKUP(C70,Lists!I:J,2,FALSE)</f>
        <v>#N/A</v>
      </c>
      <c r="C70" s="115">
        <f>VLOOKUP(E70,Lists!D:E,2,FALSE)</f>
        <v>0</v>
      </c>
      <c r="D70" s="13" t="s">
        <v>30</v>
      </c>
      <c r="E70" s="83" t="s">
        <v>187</v>
      </c>
      <c r="F70" s="13" t="s">
        <v>483</v>
      </c>
      <c r="G70" s="82">
        <v>0</v>
      </c>
      <c r="H70" s="82">
        <v>25</v>
      </c>
      <c r="I70" s="194">
        <f t="shared" si="0"/>
        <v>25</v>
      </c>
      <c r="J70" s="85">
        <v>0</v>
      </c>
      <c r="K70" s="85">
        <v>425658</v>
      </c>
      <c r="L70" s="85">
        <v>1242596</v>
      </c>
      <c r="M70" s="195">
        <f>I70/(HLOOKUP(F70,Team_Composition_23[[#All],[Yellow]:[Red]],10,FALSE)+HLOOKUP(F70,Team_Composition_23[[#All],[Yellow]:[Red]],11,FALSE))</f>
        <v>3.0450669914738125E-2</v>
      </c>
      <c r="N70" s="195">
        <f>J70/HLOOKUP(F70,Team_Composition_23[[#All],[Yellow]:[Red]],6,FALSE)</f>
        <v>0</v>
      </c>
      <c r="O70" s="195">
        <f>K70/HLOOKUP(F70,Team_Composition_23[[#All],[Yellow]:[Red]],8,FALSE)</f>
        <v>9.6705425203025327E-3</v>
      </c>
      <c r="P70" s="195">
        <f>L70/HLOOKUP(F70,Team_Composition_23[[#All],[Yellow]:[Red]],7,FALSE)</f>
        <v>5.1202202830848947E-2</v>
      </c>
      <c r="R70" s="201" t="s">
        <v>10</v>
      </c>
      <c r="S70" s="202">
        <f t="shared" ref="S70:S72" si="14">COUNTIFS(C:C,R70,F:F,"Yellow")</f>
        <v>8</v>
      </c>
      <c r="T70" s="203">
        <f t="shared" ref="T70:T72" si="15">COUNTIFS(C:C,R70,F:F,"Red")</f>
        <v>5</v>
      </c>
      <c r="AB70" s="201" t="s">
        <v>10</v>
      </c>
      <c r="AC70" s="205">
        <f t="shared" ref="AC70:AC72" si="16">COUNTIFS(C:C,AB70,D:D,"FTP")</f>
        <v>0</v>
      </c>
      <c r="AD70" s="206">
        <f t="shared" ref="AD70:AD72" si="17">COUNTIFS(C:C,AB70,D:D,"Undercooked")</f>
        <v>0</v>
      </c>
    </row>
    <row r="71" spans="1:30" ht="22.5" customHeight="1">
      <c r="A71" s="82">
        <v>48</v>
      </c>
      <c r="B71" s="115" t="str">
        <f>VLOOKUP(C71,Lists!I:J,2,FALSE)</f>
        <v>Tank</v>
      </c>
      <c r="C71" s="115" t="str">
        <f>VLOOKUP(E71,Lists!D:E,2,FALSE)</f>
        <v>SnS/Spear</v>
      </c>
      <c r="D71" s="13" t="s">
        <v>34</v>
      </c>
      <c r="E71" s="83" t="s">
        <v>61</v>
      </c>
      <c r="F71" s="13" t="s">
        <v>476</v>
      </c>
      <c r="G71" s="82">
        <v>1</v>
      </c>
      <c r="H71" s="82">
        <v>22</v>
      </c>
      <c r="I71" s="194">
        <f t="shared" si="0"/>
        <v>23</v>
      </c>
      <c r="J71" s="85">
        <v>115580</v>
      </c>
      <c r="K71" s="85">
        <v>546614</v>
      </c>
      <c r="L71" s="85">
        <v>15744</v>
      </c>
      <c r="M71" s="195">
        <f>I71/(HLOOKUP(F71,Team_Composition_23[[#All],[Yellow]:[Red]],10,FALSE)+HLOOKUP(F71,Team_Composition_23[[#All],[Yellow]:[Red]],11,FALSE))</f>
        <v>5.7485628592851791E-3</v>
      </c>
      <c r="N71" s="195">
        <f>J71/HLOOKUP(F71,Team_Composition_23[[#All],[Yellow]:[Red]],6,FALSE)</f>
        <v>2.60528954926124E-3</v>
      </c>
      <c r="O71" s="195">
        <f>K71/HLOOKUP(F71,Team_Composition_23[[#All],[Yellow]:[Red]],8,FALSE)</f>
        <v>3.1201632215699247E-2</v>
      </c>
      <c r="P71" s="195">
        <f>L71/HLOOKUP(F71,Team_Composition_23[[#All],[Yellow]:[Red]],7,FALSE)</f>
        <v>1.21624371348623E-3</v>
      </c>
      <c r="R71" s="201" t="s">
        <v>9</v>
      </c>
      <c r="S71" s="202">
        <f t="shared" si="14"/>
        <v>8</v>
      </c>
      <c r="T71" s="203">
        <f t="shared" si="15"/>
        <v>11</v>
      </c>
      <c r="AB71" s="201" t="s">
        <v>9</v>
      </c>
      <c r="AC71" s="205">
        <f t="shared" si="16"/>
        <v>0</v>
      </c>
      <c r="AD71" s="206">
        <f t="shared" si="17"/>
        <v>0</v>
      </c>
    </row>
    <row r="72" spans="1:30" ht="22.5" customHeight="1">
      <c r="A72" s="82">
        <v>75</v>
      </c>
      <c r="B72" s="115" t="str">
        <f>VLOOKUP(C72,Lists!I:J,2,FALSE)</f>
        <v>Healer</v>
      </c>
      <c r="C72" s="115" t="str">
        <f>VLOOKUP(E72,Lists!D:E,2,FALSE)</f>
        <v>Wand/Orb</v>
      </c>
      <c r="D72" s="13" t="s">
        <v>34</v>
      </c>
      <c r="E72" s="83" t="s">
        <v>121</v>
      </c>
      <c r="F72" s="13" t="s">
        <v>476</v>
      </c>
      <c r="G72" s="82">
        <v>0</v>
      </c>
      <c r="H72" s="82">
        <v>23</v>
      </c>
      <c r="I72" s="194">
        <f t="shared" si="0"/>
        <v>23</v>
      </c>
      <c r="J72" s="85">
        <v>18138</v>
      </c>
      <c r="K72" s="85">
        <v>368514</v>
      </c>
      <c r="L72" s="85">
        <v>360761</v>
      </c>
      <c r="M72" s="195">
        <f>I72/(HLOOKUP(F72,Team_Composition_23[[#All],[Yellow]:[Red]],10,FALSE)+HLOOKUP(F72,Team_Composition_23[[#All],[Yellow]:[Red]],11,FALSE))</f>
        <v>5.7485628592851791E-3</v>
      </c>
      <c r="N72" s="195">
        <f>J72/HLOOKUP(F72,Team_Composition_23[[#All],[Yellow]:[Red]],6,FALSE)</f>
        <v>4.0884877872037005E-4</v>
      </c>
      <c r="O72" s="195">
        <f>K72/HLOOKUP(F72,Team_Composition_23[[#All],[Yellow]:[Red]],8,FALSE)</f>
        <v>2.1035389313731796E-2</v>
      </c>
      <c r="P72" s="195">
        <f>L72/HLOOKUP(F72,Team_Composition_23[[#All],[Yellow]:[Red]],7,FALSE)</f>
        <v>2.786923896855982E-2</v>
      </c>
      <c r="R72" s="201" t="s">
        <v>18</v>
      </c>
      <c r="S72" s="202">
        <f t="shared" si="14"/>
        <v>0</v>
      </c>
      <c r="T72" s="203">
        <f t="shared" si="15"/>
        <v>1</v>
      </c>
      <c r="AB72" s="201" t="s">
        <v>18</v>
      </c>
      <c r="AC72" s="205">
        <f t="shared" si="16"/>
        <v>0</v>
      </c>
      <c r="AD72" s="206">
        <f t="shared" si="17"/>
        <v>0</v>
      </c>
    </row>
    <row r="73" spans="1:30" ht="22.5" customHeight="1">
      <c r="A73" s="82">
        <v>76</v>
      </c>
      <c r="B73" s="115" t="str">
        <f>VLOOKUP(C73,Lists!I:J,2,FALSE)</f>
        <v>Tank</v>
      </c>
      <c r="C73" s="115" t="s">
        <v>14</v>
      </c>
      <c r="D73" s="13" t="s">
        <v>34</v>
      </c>
      <c r="E73" s="83" t="s">
        <v>144</v>
      </c>
      <c r="F73" s="13" t="s">
        <v>476</v>
      </c>
      <c r="G73" s="82">
        <v>0</v>
      </c>
      <c r="H73" s="82">
        <v>23</v>
      </c>
      <c r="I73" s="194">
        <f t="shared" si="0"/>
        <v>23</v>
      </c>
      <c r="J73" s="85">
        <v>2332</v>
      </c>
      <c r="K73" s="85">
        <v>327397</v>
      </c>
      <c r="L73" s="85">
        <v>654950</v>
      </c>
      <c r="M73" s="195">
        <f>I73/(HLOOKUP(F73,Team_Composition_23[[#All],[Yellow]:[Red]],10,FALSE)+HLOOKUP(F73,Team_Composition_23[[#All],[Yellow]:[Red]],11,FALSE))</f>
        <v>5.7485628592851791E-3</v>
      </c>
      <c r="N73" s="195">
        <f>J73/HLOOKUP(F73,Team_Composition_23[[#All],[Yellow]:[Red]],6,FALSE)</f>
        <v>5.2565627521000273E-5</v>
      </c>
      <c r="O73" s="195">
        <f>K73/HLOOKUP(F73,Team_Composition_23[[#All],[Yellow]:[Red]],8,FALSE)</f>
        <v>1.8688362871282636E-2</v>
      </c>
      <c r="P73" s="195">
        <f>L73/HLOOKUP(F73,Team_Composition_23[[#All],[Yellow]:[Red]],7,FALSE)</f>
        <v>5.0595707580526318E-2</v>
      </c>
    </row>
    <row r="74" spans="1:30" ht="22.5" customHeight="1">
      <c r="A74" s="82">
        <v>77</v>
      </c>
      <c r="B74" s="115" t="str">
        <f>VLOOKUP(C74,Lists!I:J,2,FALSE)</f>
        <v>Tank</v>
      </c>
      <c r="C74" s="115" t="str">
        <f>VLOOKUP(E74,Lists!D:E,2,FALSE)</f>
        <v>SnS/Greatsword</v>
      </c>
      <c r="D74" s="13" t="s">
        <v>34</v>
      </c>
      <c r="E74" s="83" t="s">
        <v>150</v>
      </c>
      <c r="F74" s="13" t="s">
        <v>476</v>
      </c>
      <c r="G74" s="82">
        <v>0</v>
      </c>
      <c r="H74" s="82">
        <v>22</v>
      </c>
      <c r="I74" s="194">
        <f t="shared" si="0"/>
        <v>22</v>
      </c>
      <c r="J74" s="85">
        <v>37249</v>
      </c>
      <c r="K74" s="85">
        <v>666476</v>
      </c>
      <c r="L74" s="85">
        <v>37238</v>
      </c>
      <c r="M74" s="195">
        <f>I74/(HLOOKUP(F74,Team_Composition_23[[#All],[Yellow]:[Red]],10,FALSE)+HLOOKUP(F74,Team_Composition_23[[#All],[Yellow]:[Red]],11,FALSE))</f>
        <v>5.4986253436640842E-3</v>
      </c>
      <c r="N74" s="195">
        <f>J74/HLOOKUP(F74,Team_Composition_23[[#All],[Yellow]:[Red]],6,FALSE)</f>
        <v>8.3962995691669773E-4</v>
      </c>
      <c r="O74" s="195">
        <f>K74/HLOOKUP(F74,Team_Composition_23[[#All],[Yellow]:[Red]],8,FALSE)</f>
        <v>3.8043553645882418E-2</v>
      </c>
      <c r="P74" s="195">
        <f>L74/HLOOKUP(F74,Team_Composition_23[[#All],[Yellow]:[Red]],7,FALSE)</f>
        <v>2.8766821267022505E-3</v>
      </c>
    </row>
    <row r="75" spans="1:30" ht="22.5" customHeight="1">
      <c r="A75" s="82">
        <v>78</v>
      </c>
      <c r="B75" s="115" t="str">
        <f>VLOOKUP(C75,Lists!I:J,2,FALSE)</f>
        <v>Healer</v>
      </c>
      <c r="C75" s="115" t="s">
        <v>10</v>
      </c>
      <c r="D75" s="13" t="s">
        <v>30</v>
      </c>
      <c r="E75" s="83" t="s">
        <v>420</v>
      </c>
      <c r="F75" s="13" t="s">
        <v>483</v>
      </c>
      <c r="G75" s="82">
        <v>0</v>
      </c>
      <c r="H75" s="82">
        <v>22</v>
      </c>
      <c r="I75" s="194">
        <f t="shared" si="0"/>
        <v>22</v>
      </c>
      <c r="J75" s="85">
        <v>28991</v>
      </c>
      <c r="K75" s="85">
        <v>441262</v>
      </c>
      <c r="L75" s="85">
        <v>1215184</v>
      </c>
      <c r="M75" s="195">
        <f>I75/(HLOOKUP(F75,Team_Composition_23[[#All],[Yellow]:[Red]],10,FALSE)+HLOOKUP(F75,Team_Composition_23[[#All],[Yellow]:[Red]],11,FALSE))</f>
        <v>2.679658952496955E-2</v>
      </c>
      <c r="N75" s="195">
        <f>J75/HLOOKUP(F75,Team_Composition_23[[#All],[Yellow]:[Red]],6,FALSE)</f>
        <v>1.642977307690019E-3</v>
      </c>
      <c r="O75" s="195">
        <f>K75/HLOOKUP(F75,Team_Composition_23[[#All],[Yellow]:[Red]],8,FALSE)</f>
        <v>1.0025050471490576E-2</v>
      </c>
      <c r="P75" s="195">
        <f>L75/HLOOKUP(F75,Team_Composition_23[[#All],[Yellow]:[Red]],7,FALSE)</f>
        <v>5.0072668546174579E-2</v>
      </c>
    </row>
    <row r="76" spans="1:30" ht="22.5" customHeight="1">
      <c r="A76" s="82">
        <v>79</v>
      </c>
      <c r="B76" s="115" t="str">
        <f>VLOOKUP(C76,Lists!I:J,2,FALSE)</f>
        <v>Tank</v>
      </c>
      <c r="C76" s="115" t="s">
        <v>14</v>
      </c>
      <c r="D76" s="13" t="s">
        <v>34</v>
      </c>
      <c r="E76" s="83" t="s">
        <v>106</v>
      </c>
      <c r="F76" s="13" t="s">
        <v>476</v>
      </c>
      <c r="G76" s="82">
        <v>0</v>
      </c>
      <c r="H76" s="82">
        <v>22</v>
      </c>
      <c r="I76" s="194">
        <f t="shared" si="0"/>
        <v>22</v>
      </c>
      <c r="J76" s="85">
        <v>5016</v>
      </c>
      <c r="K76" s="85">
        <v>231776</v>
      </c>
      <c r="L76" s="85">
        <v>323766</v>
      </c>
      <c r="M76" s="195">
        <f>I76/(HLOOKUP(F76,Team_Composition_23[[#All],[Yellow]:[Red]],10,FALSE)+HLOOKUP(F76,Team_Composition_23[[#All],[Yellow]:[Red]],11,FALSE))</f>
        <v>5.4986253436640842E-3</v>
      </c>
      <c r="N76" s="195">
        <f>J76/HLOOKUP(F76,Team_Composition_23[[#All],[Yellow]:[Red]],6,FALSE)</f>
        <v>1.1306568938479304E-4</v>
      </c>
      <c r="O76" s="195">
        <f>K76/HLOOKUP(F76,Team_Composition_23[[#All],[Yellow]:[Red]],8,FALSE)</f>
        <v>1.3230157859889994E-2</v>
      </c>
      <c r="P76" s="195">
        <f>L76/HLOOKUP(F76,Team_Composition_23[[#All],[Yellow]:[Red]],7,FALSE)</f>
        <v>2.5011328896124414E-2</v>
      </c>
    </row>
    <row r="77" spans="1:30" ht="22.5" customHeight="1">
      <c r="A77" s="82">
        <v>80</v>
      </c>
      <c r="B77" s="115" t="str">
        <f>VLOOKUP(C77,Lists!I:J,2,FALSE)</f>
        <v>Tank</v>
      </c>
      <c r="C77" s="115" t="s">
        <v>62</v>
      </c>
      <c r="D77" s="13" t="s">
        <v>30</v>
      </c>
      <c r="E77" s="83" t="s">
        <v>421</v>
      </c>
      <c r="F77" s="13" t="s">
        <v>483</v>
      </c>
      <c r="G77" s="82">
        <v>0</v>
      </c>
      <c r="H77" s="82">
        <v>21</v>
      </c>
      <c r="I77" s="194">
        <f t="shared" si="0"/>
        <v>21</v>
      </c>
      <c r="J77" s="85">
        <v>30241</v>
      </c>
      <c r="K77" s="85">
        <v>202684</v>
      </c>
      <c r="L77" s="85">
        <v>23464</v>
      </c>
      <c r="M77" s="195">
        <f>I77/(HLOOKUP(F77,Team_Composition_23[[#All],[Yellow]:[Red]],10,FALSE)+HLOOKUP(F77,Team_Composition_23[[#All],[Yellow]:[Red]],11,FALSE))</f>
        <v>2.5578562728380026E-2</v>
      </c>
      <c r="N77" s="195">
        <f>J77/HLOOKUP(F77,Team_Composition_23[[#All],[Yellow]:[Red]],6,FALSE)</f>
        <v>1.7138172799094156E-3</v>
      </c>
      <c r="O77" s="195">
        <f>K77/HLOOKUP(F77,Team_Composition_23[[#All],[Yellow]:[Red]],8,FALSE)</f>
        <v>4.6047865661751888E-3</v>
      </c>
      <c r="P77" s="195">
        <f>L77/HLOOKUP(F77,Team_Composition_23[[#All],[Yellow]:[Red]],7,FALSE)</f>
        <v>9.6685365736171665E-4</v>
      </c>
    </row>
    <row r="78" spans="1:30" ht="22.5" customHeight="1">
      <c r="A78" s="82">
        <v>49</v>
      </c>
      <c r="B78" s="115" t="str">
        <f>VLOOKUP(C78,Lists!I:J,2,FALSE)</f>
        <v>Tank</v>
      </c>
      <c r="C78" s="115" t="s">
        <v>73</v>
      </c>
      <c r="D78" s="13" t="s">
        <v>30</v>
      </c>
      <c r="E78" s="83" t="s">
        <v>409</v>
      </c>
      <c r="F78" s="13" t="s">
        <v>483</v>
      </c>
      <c r="G78" s="82">
        <v>1</v>
      </c>
      <c r="H78" s="82">
        <v>19</v>
      </c>
      <c r="I78" s="194">
        <f t="shared" si="0"/>
        <v>20</v>
      </c>
      <c r="J78" s="85">
        <v>82325</v>
      </c>
      <c r="K78" s="85">
        <v>873265</v>
      </c>
      <c r="L78" s="85">
        <v>481854</v>
      </c>
      <c r="M78" s="195">
        <f>I78/(HLOOKUP(F78,Team_Composition_23[[#All],[Yellow]:[Red]],10,FALSE)+HLOOKUP(F78,Team_Composition_23[[#All],[Yellow]:[Red]],11,FALSE))</f>
        <v>2.4360535931790498E-2</v>
      </c>
      <c r="N78" s="195">
        <f>J78/HLOOKUP(F78,Team_Composition_23[[#All],[Yellow]:[Red]],6,FALSE)</f>
        <v>4.6655205703694533E-3</v>
      </c>
      <c r="O78" s="195">
        <f>K78/HLOOKUP(F78,Team_Composition_23[[#All],[Yellow]:[Red]],8,FALSE)</f>
        <v>1.9839745321342465E-2</v>
      </c>
      <c r="P78" s="195">
        <f>L78/HLOOKUP(F78,Team_Composition_23[[#All],[Yellow]:[Red]],7,FALSE)</f>
        <v>1.9855195287008721E-2</v>
      </c>
    </row>
    <row r="79" spans="1:30" ht="22.5" customHeight="1">
      <c r="A79" s="82">
        <v>44</v>
      </c>
      <c r="B79" s="115" t="str">
        <f>VLOOKUP(C79,Lists!I:J,2,FALSE)</f>
        <v>Tank</v>
      </c>
      <c r="C79" s="115" t="str">
        <f>VLOOKUP(E79,Lists!D:E,2,FALSE)</f>
        <v>SnS/Greatsword</v>
      </c>
      <c r="D79" s="13" t="s">
        <v>34</v>
      </c>
      <c r="E79" s="83" t="s">
        <v>85</v>
      </c>
      <c r="F79" s="13" t="s">
        <v>476</v>
      </c>
      <c r="G79" s="82">
        <v>2</v>
      </c>
      <c r="H79" s="82">
        <v>17</v>
      </c>
      <c r="I79" s="194">
        <f t="shared" si="0"/>
        <v>19</v>
      </c>
      <c r="J79" s="85">
        <v>168440</v>
      </c>
      <c r="K79" s="85">
        <v>735516</v>
      </c>
      <c r="L79" s="85">
        <v>40062</v>
      </c>
      <c r="M79" s="195">
        <f>I79/(HLOOKUP(F79,Team_Composition_23[[#All],[Yellow]:[Red]],10,FALSE)+HLOOKUP(F79,Team_Composition_23[[#All],[Yellow]:[Red]],11,FALSE))</f>
        <v>4.7488127968007996E-3</v>
      </c>
      <c r="N79" s="195">
        <f>J79/HLOOKUP(F79,Team_Composition_23[[#All],[Yellow]:[Red]],6,FALSE)</f>
        <v>3.7968071610794537E-3</v>
      </c>
      <c r="O79" s="195">
        <f>K79/HLOOKUP(F79,Team_Composition_23[[#All],[Yellow]:[Red]],8,FALSE)</f>
        <v>4.1984471163860143E-2</v>
      </c>
      <c r="P79" s="195">
        <f>L79/HLOOKUP(F79,Team_Composition_23[[#All],[Yellow]:[Red]],7,FALSE)</f>
        <v>3.0948396627086729E-3</v>
      </c>
    </row>
    <row r="80" spans="1:30" ht="22.5" customHeight="1">
      <c r="A80" s="82">
        <v>81</v>
      </c>
      <c r="B80" s="115" t="str">
        <f>VLOOKUP(C80,Lists!I:J,2,FALSE)</f>
        <v>Tank</v>
      </c>
      <c r="C80" s="115" t="s">
        <v>14</v>
      </c>
      <c r="D80" s="13" t="s">
        <v>34</v>
      </c>
      <c r="E80" s="83" t="s">
        <v>163</v>
      </c>
      <c r="F80" s="13" t="s">
        <v>476</v>
      </c>
      <c r="G80" s="82">
        <v>0</v>
      </c>
      <c r="H80" s="82">
        <v>19</v>
      </c>
      <c r="I80" s="194">
        <f t="shared" si="0"/>
        <v>19</v>
      </c>
      <c r="J80" s="85">
        <v>24109</v>
      </c>
      <c r="K80" s="85">
        <v>300476</v>
      </c>
      <c r="L80" s="85">
        <v>68410</v>
      </c>
      <c r="M80" s="195">
        <f>I80/(HLOOKUP(F80,Team_Composition_23[[#All],[Yellow]:[Red]],10,FALSE)+HLOOKUP(F80,Team_Composition_23[[#All],[Yellow]:[Red]],11,FALSE))</f>
        <v>4.7488127968007996E-3</v>
      </c>
      <c r="N80" s="195">
        <f>J80/HLOOKUP(F80,Team_Composition_23[[#All],[Yellow]:[Red]],6,FALSE)</f>
        <v>5.4344112946131881E-4</v>
      </c>
      <c r="O80" s="195">
        <f>K80/HLOOKUP(F80,Team_Composition_23[[#All],[Yellow]:[Red]],8,FALSE)</f>
        <v>1.7151667614888105E-2</v>
      </c>
      <c r="P80" s="195">
        <f>L80/HLOOKUP(F80,Team_Composition_23[[#All],[Yellow]:[Red]],7,FALSE)</f>
        <v>5.2847581580026037E-3</v>
      </c>
    </row>
    <row r="81" spans="1:16" ht="22.5" customHeight="1">
      <c r="A81" s="82">
        <v>82</v>
      </c>
      <c r="B81" s="115" t="str">
        <f>VLOOKUP(C81,Lists!I:J,2,FALSE)</f>
        <v>Tank</v>
      </c>
      <c r="C81" s="115" t="s">
        <v>14</v>
      </c>
      <c r="D81" s="13" t="s">
        <v>30</v>
      </c>
      <c r="E81" s="83" t="s">
        <v>422</v>
      </c>
      <c r="F81" s="13" t="s">
        <v>483</v>
      </c>
      <c r="G81" s="82">
        <v>0</v>
      </c>
      <c r="H81" s="82">
        <v>18</v>
      </c>
      <c r="I81" s="194">
        <f t="shared" si="0"/>
        <v>18</v>
      </c>
      <c r="J81" s="85">
        <v>137817</v>
      </c>
      <c r="K81" s="85">
        <v>422023</v>
      </c>
      <c r="L81" s="85">
        <v>28201</v>
      </c>
      <c r="M81" s="195">
        <f>I81/(HLOOKUP(F81,Team_Composition_23[[#All],[Yellow]:[Red]],10,FALSE)+HLOOKUP(F81,Team_Composition_23[[#All],[Yellow]:[Red]],11,FALSE))</f>
        <v>2.192448233861145E-2</v>
      </c>
      <c r="N81" s="195">
        <f>J81/HLOOKUP(F81,Team_Composition_23[[#All],[Yellow]:[Red]],6,FALSE)</f>
        <v>7.8103619610884537E-3</v>
      </c>
      <c r="O81" s="195">
        <f>K81/HLOOKUP(F81,Team_Composition_23[[#All],[Yellow]:[Red]],8,FALSE)</f>
        <v>9.5879587980153922E-3</v>
      </c>
      <c r="P81" s="195">
        <f>L81/HLOOKUP(F81,Team_Composition_23[[#All],[Yellow]:[Red]],7,FALSE)</f>
        <v>1.1620456866373069E-3</v>
      </c>
    </row>
    <row r="82" spans="1:16" ht="22.5" customHeight="1">
      <c r="A82" s="82">
        <v>83</v>
      </c>
      <c r="B82" s="115" t="str">
        <f>VLOOKUP(C82,Lists!I:J,2,FALSE)</f>
        <v>Tank</v>
      </c>
      <c r="C82" s="115" t="s">
        <v>14</v>
      </c>
      <c r="D82" s="13" t="s">
        <v>30</v>
      </c>
      <c r="E82" s="83" t="s">
        <v>423</v>
      </c>
      <c r="F82" s="13" t="s">
        <v>483</v>
      </c>
      <c r="G82" s="82">
        <v>0</v>
      </c>
      <c r="H82" s="82">
        <v>18</v>
      </c>
      <c r="I82" s="194">
        <f t="shared" si="0"/>
        <v>18</v>
      </c>
      <c r="J82" s="85">
        <v>64254</v>
      </c>
      <c r="K82" s="85">
        <v>698503</v>
      </c>
      <c r="L82" s="85">
        <v>38973</v>
      </c>
      <c r="M82" s="195">
        <f>I82/(HLOOKUP(F82,Team_Composition_23[[#All],[Yellow]:[Red]],10,FALSE)+HLOOKUP(F82,Team_Composition_23[[#All],[Yellow]:[Red]],11,FALSE))</f>
        <v>2.192448233861145E-2</v>
      </c>
      <c r="N82" s="195">
        <f>J82/HLOOKUP(F82,Team_Composition_23[[#All],[Yellow]:[Red]],6,FALSE)</f>
        <v>3.6414012599880817E-3</v>
      </c>
      <c r="O82" s="195">
        <f>K82/HLOOKUP(F82,Team_Composition_23[[#All],[Yellow]:[Red]],8,FALSE)</f>
        <v>1.5869319881357521E-2</v>
      </c>
      <c r="P82" s="195">
        <f>L82/HLOOKUP(F82,Team_Composition_23[[#All],[Yellow]:[Red]],7,FALSE)</f>
        <v>1.6059149159716238E-3</v>
      </c>
    </row>
    <row r="83" spans="1:16" ht="22.5" customHeight="1">
      <c r="A83" s="82">
        <v>84</v>
      </c>
      <c r="B83" s="115" t="str">
        <f>VLOOKUP(C83,Lists!I:J,2,FALSE)</f>
        <v>Ranged DPS</v>
      </c>
      <c r="C83" s="115" t="s">
        <v>52</v>
      </c>
      <c r="D83" s="13" t="s">
        <v>30</v>
      </c>
      <c r="E83" s="83" t="s">
        <v>424</v>
      </c>
      <c r="F83" s="13" t="s">
        <v>483</v>
      </c>
      <c r="G83" s="82">
        <v>0</v>
      </c>
      <c r="H83" s="82">
        <v>17</v>
      </c>
      <c r="I83" s="194">
        <f t="shared" si="0"/>
        <v>17</v>
      </c>
      <c r="J83" s="85">
        <v>35364</v>
      </c>
      <c r="K83" s="85">
        <v>517310</v>
      </c>
      <c r="L83" s="85">
        <v>366760</v>
      </c>
      <c r="M83" s="195">
        <f>I83/(HLOOKUP(F83,Team_Composition_23[[#All],[Yellow]:[Red]],10,FALSE)+HLOOKUP(F83,Team_Composition_23[[#All],[Yellow]:[Red]],11,FALSE))</f>
        <v>2.0706455542021926E-2</v>
      </c>
      <c r="N83" s="195">
        <f>J83/HLOOKUP(F83,Team_Composition_23[[#All],[Yellow]:[Red]],6,FALSE)</f>
        <v>2.0041478220533902E-3</v>
      </c>
      <c r="O83" s="195">
        <f>K83/HLOOKUP(F83,Team_Composition_23[[#All],[Yellow]:[Red]],8,FALSE)</f>
        <v>1.1752788274101986E-2</v>
      </c>
      <c r="P83" s="195">
        <f>L83/HLOOKUP(F83,Team_Composition_23[[#All],[Yellow]:[Red]],7,FALSE)</f>
        <v>1.511265118368493E-2</v>
      </c>
    </row>
    <row r="84" spans="1:16" ht="22.5" customHeight="1">
      <c r="A84" s="82">
        <v>85</v>
      </c>
      <c r="B84" s="115" t="str">
        <f>VLOOKUP(C84,Lists!I:J,2,FALSE)</f>
        <v>Healer</v>
      </c>
      <c r="C84" s="115" t="s">
        <v>9</v>
      </c>
      <c r="D84" s="13" t="s">
        <v>30</v>
      </c>
      <c r="E84" s="83" t="s">
        <v>425</v>
      </c>
      <c r="F84" s="13" t="s">
        <v>483</v>
      </c>
      <c r="G84" s="82">
        <v>0</v>
      </c>
      <c r="H84" s="82">
        <v>17</v>
      </c>
      <c r="I84" s="194">
        <f t="shared" si="0"/>
        <v>17</v>
      </c>
      <c r="J84" s="85">
        <v>18739</v>
      </c>
      <c r="K84" s="85">
        <v>208682</v>
      </c>
      <c r="L84" s="85">
        <v>397544</v>
      </c>
      <c r="M84" s="195">
        <f>I84/(HLOOKUP(F84,Team_Composition_23[[#All],[Yellow]:[Red]],10,FALSE)+HLOOKUP(F84,Team_Composition_23[[#All],[Yellow]:[Red]],11,FALSE))</f>
        <v>2.0706455542021926E-2</v>
      </c>
      <c r="N84" s="195">
        <f>J84/HLOOKUP(F84,Team_Composition_23[[#All],[Yellow]:[Red]],6,FALSE)</f>
        <v>1.0619761915354167E-3</v>
      </c>
      <c r="O84" s="195">
        <f>K84/HLOOKUP(F84,Team_Composition_23[[#All],[Yellow]:[Red]],8,FALSE)</f>
        <v>4.741055387709788E-3</v>
      </c>
      <c r="P84" s="195">
        <f>L84/HLOOKUP(F84,Team_Composition_23[[#All],[Yellow]:[Red]],7,FALSE)</f>
        <v>1.6381131536064023E-2</v>
      </c>
    </row>
    <row r="85" spans="1:16" ht="22.5" customHeight="1">
      <c r="A85" s="82">
        <v>86</v>
      </c>
      <c r="B85" s="115" t="str">
        <f>VLOOKUP(C85,Lists!I:J,2,FALSE)</f>
        <v>Tank</v>
      </c>
      <c r="C85" s="115" t="str">
        <f>VLOOKUP(E85,Lists!D:E,2,FALSE)</f>
        <v>SnS/Greatsword</v>
      </c>
      <c r="D85" s="13" t="s">
        <v>34</v>
      </c>
      <c r="E85" s="83" t="s">
        <v>123</v>
      </c>
      <c r="F85" s="13" t="s">
        <v>476</v>
      </c>
      <c r="G85" s="82">
        <v>0</v>
      </c>
      <c r="H85" s="82">
        <v>16</v>
      </c>
      <c r="I85" s="194">
        <f t="shared" si="0"/>
        <v>16</v>
      </c>
      <c r="J85" s="85">
        <v>124021</v>
      </c>
      <c r="K85" s="85">
        <v>1030544</v>
      </c>
      <c r="L85" s="85">
        <v>32039</v>
      </c>
      <c r="M85" s="195">
        <f>I85/(HLOOKUP(F85,Team_Composition_23[[#All],[Yellow]:[Red]],10,FALSE)+HLOOKUP(F85,Team_Composition_23[[#All],[Yellow]:[Red]],11,FALSE))</f>
        <v>3.9990002499375159E-3</v>
      </c>
      <c r="N85" s="195">
        <f>J85/HLOOKUP(F85,Team_Composition_23[[#All],[Yellow]:[Red]],6,FALSE)</f>
        <v>2.7955581864416703E-3</v>
      </c>
      <c r="O85" s="195">
        <f>K85/HLOOKUP(F85,Team_Composition_23[[#All],[Yellow]:[Red]],8,FALSE)</f>
        <v>5.8825157917827872E-2</v>
      </c>
      <c r="P85" s="195">
        <f>L85/HLOOKUP(F85,Team_Composition_23[[#All],[Yellow]:[Red]],7,FALSE)</f>
        <v>2.4750528668943932E-3</v>
      </c>
    </row>
    <row r="86" spans="1:16" ht="22.5" customHeight="1">
      <c r="A86" s="82">
        <v>87</v>
      </c>
      <c r="B86" s="115" t="str">
        <f>VLOOKUP(C86,Lists!I:J,2,FALSE)</f>
        <v>Healer</v>
      </c>
      <c r="C86" s="115" t="s">
        <v>10</v>
      </c>
      <c r="D86" s="13" t="s">
        <v>30</v>
      </c>
      <c r="E86" s="83" t="s">
        <v>534</v>
      </c>
      <c r="F86" s="13" t="s">
        <v>483</v>
      </c>
      <c r="G86" s="82">
        <v>0</v>
      </c>
      <c r="H86" s="82">
        <v>16</v>
      </c>
      <c r="I86" s="194">
        <f t="shared" si="0"/>
        <v>16</v>
      </c>
      <c r="J86" s="85">
        <v>21871</v>
      </c>
      <c r="K86" s="85">
        <v>779287</v>
      </c>
      <c r="L86" s="85">
        <v>1176428</v>
      </c>
      <c r="M86" s="195">
        <f>I86/(HLOOKUP(F86,Team_Composition_23[[#All],[Yellow]:[Red]],10,FALSE)+HLOOKUP(F86,Team_Composition_23[[#All],[Yellow]:[Red]],11,FALSE))</f>
        <v>1.9488428745432398E-2</v>
      </c>
      <c r="N86" s="195">
        <f>J86/HLOOKUP(F86,Team_Composition_23[[#All],[Yellow]:[Red]],6,FALSE)</f>
        <v>1.2394728259283365E-3</v>
      </c>
      <c r="O86" s="195">
        <f>K86/HLOOKUP(F86,Team_Composition_23[[#All],[Yellow]:[Red]],8,FALSE)</f>
        <v>1.770465507289655E-2</v>
      </c>
      <c r="P86" s="195">
        <f>L86/HLOOKUP(F86,Team_Composition_23[[#All],[Yellow]:[Red]],7,FALSE)</f>
        <v>4.8475695295888577E-2</v>
      </c>
    </row>
    <row r="87" spans="1:16" ht="22.5" customHeight="1">
      <c r="A87" s="82">
        <v>45</v>
      </c>
      <c r="B87" s="115" t="str">
        <f>VLOOKUP(C87,Lists!I:J,2,FALSE)</f>
        <v>Tank</v>
      </c>
      <c r="C87" s="115" t="str">
        <f>VLOOKUP(E87,Lists!D:E,2,FALSE)</f>
        <v>SnS/Spear</v>
      </c>
      <c r="D87" s="13" t="s">
        <v>34</v>
      </c>
      <c r="E87" s="83" t="s">
        <v>79</v>
      </c>
      <c r="F87" s="13" t="s">
        <v>476</v>
      </c>
      <c r="G87" s="82">
        <v>2</v>
      </c>
      <c r="H87" s="82">
        <v>13</v>
      </c>
      <c r="I87" s="194">
        <f t="shared" si="0"/>
        <v>15</v>
      </c>
      <c r="J87" s="85">
        <v>100388</v>
      </c>
      <c r="K87" s="85">
        <v>468082</v>
      </c>
      <c r="L87" s="85">
        <v>20893</v>
      </c>
      <c r="M87" s="195">
        <f>I87/(HLOOKUP(F87,Team_Composition_23[[#All],[Yellow]:[Red]],10,FALSE)+HLOOKUP(F87,Team_Composition_23[[#All],[Yellow]:[Red]],11,FALSE))</f>
        <v>3.7490627343164211E-3</v>
      </c>
      <c r="N87" s="195">
        <f>J87/HLOOKUP(F87,Team_Composition_23[[#All],[Yellow]:[Red]],6,FALSE)</f>
        <v>2.2628465761484456E-3</v>
      </c>
      <c r="O87" s="195">
        <f>K87/HLOOKUP(F87,Team_Composition_23[[#All],[Yellow]:[Red]],8,FALSE)</f>
        <v>2.6718895620655408E-2</v>
      </c>
      <c r="P87" s="195">
        <f>L87/HLOOKUP(F87,Team_Composition_23[[#All],[Yellow]:[Red]],7,FALSE)</f>
        <v>1.6140104106877416E-3</v>
      </c>
    </row>
    <row r="88" spans="1:16" ht="22.5" customHeight="1">
      <c r="A88" s="82">
        <v>88</v>
      </c>
      <c r="B88" s="115" t="str">
        <f>VLOOKUP(C88,Lists!I:J,2,FALSE)</f>
        <v>Tank</v>
      </c>
      <c r="C88" s="115" t="str">
        <f>VLOOKUP(E88,Lists!D:E,2,FALSE)</f>
        <v>SnS/Greatsword</v>
      </c>
      <c r="D88" s="13" t="s">
        <v>34</v>
      </c>
      <c r="E88" s="83" t="s">
        <v>57</v>
      </c>
      <c r="F88" s="13" t="s">
        <v>476</v>
      </c>
      <c r="G88" s="82">
        <v>0</v>
      </c>
      <c r="H88" s="82">
        <v>13</v>
      </c>
      <c r="I88" s="194">
        <f t="shared" si="0"/>
        <v>13</v>
      </c>
      <c r="J88" s="85">
        <v>54678</v>
      </c>
      <c r="K88" s="85">
        <v>413026</v>
      </c>
      <c r="L88" s="85">
        <v>32138</v>
      </c>
      <c r="M88" s="195">
        <f>I88/(HLOOKUP(F88,Team_Composition_23[[#All],[Yellow]:[Red]],10,FALSE)+HLOOKUP(F88,Team_Composition_23[[#All],[Yellow]:[Red]],11,FALSE))</f>
        <v>3.2491877030742314E-3</v>
      </c>
      <c r="N88" s="195">
        <f>J88/HLOOKUP(F88,Team_Composition_23[[#All],[Yellow]:[Red]],6,FALSE)</f>
        <v>1.2324971619182045E-3</v>
      </c>
      <c r="O88" s="195">
        <f>K88/HLOOKUP(F88,Team_Composition_23[[#All],[Yellow]:[Red]],8,FALSE)</f>
        <v>2.357620797769797E-2</v>
      </c>
      <c r="P88" s="195">
        <f>L88/HLOOKUP(F88,Team_Composition_23[[#All],[Yellow]:[Red]],7,FALSE)</f>
        <v>2.4827007408549581E-3</v>
      </c>
    </row>
    <row r="89" spans="1:16" ht="22.5" customHeight="1">
      <c r="A89" s="82">
        <v>50</v>
      </c>
      <c r="B89" s="115" t="str">
        <f>VLOOKUP(C89,Lists!I:J,2,FALSE)</f>
        <v>Healer</v>
      </c>
      <c r="C89" s="115" t="s">
        <v>9</v>
      </c>
      <c r="D89" s="13" t="s">
        <v>34</v>
      </c>
      <c r="E89" s="83" t="s">
        <v>83</v>
      </c>
      <c r="F89" s="13" t="s">
        <v>476</v>
      </c>
      <c r="G89" s="82">
        <v>1</v>
      </c>
      <c r="H89" s="82">
        <v>11</v>
      </c>
      <c r="I89" s="194">
        <f t="shared" si="0"/>
        <v>12</v>
      </c>
      <c r="J89" s="85">
        <v>26970</v>
      </c>
      <c r="K89" s="85">
        <v>136487</v>
      </c>
      <c r="L89" s="85">
        <v>72555</v>
      </c>
      <c r="M89" s="195">
        <f>I89/(HLOOKUP(F89,Team_Composition_23[[#All],[Yellow]:[Red]],10,FALSE)+HLOOKUP(F89,Team_Composition_23[[#All],[Yellow]:[Red]],11,FALSE))</f>
        <v>2.9992501874531365E-3</v>
      </c>
      <c r="N89" s="195">
        <f>J89/HLOOKUP(F89,Team_Composition_23[[#All],[Yellow]:[Red]],6,FALSE)</f>
        <v>6.079309495031635E-4</v>
      </c>
      <c r="O89" s="195">
        <f>K89/HLOOKUP(F89,Team_Composition_23[[#All],[Yellow]:[Red]],8,FALSE)</f>
        <v>7.790903958230384E-3</v>
      </c>
      <c r="P89" s="195">
        <f>L89/HLOOKUP(F89,Team_Composition_23[[#All],[Yellow]:[Red]],7,FALSE)</f>
        <v>5.6049645980686879E-3</v>
      </c>
    </row>
    <row r="90" spans="1:16" ht="22.5" customHeight="1">
      <c r="A90" s="82">
        <v>89</v>
      </c>
      <c r="B90" s="115" t="str">
        <f>VLOOKUP(C90,Lists!I:J,2,FALSE)</f>
        <v>Tank</v>
      </c>
      <c r="C90" s="115" t="str">
        <f>VLOOKUP(E90,Lists!D:E,2,FALSE)</f>
        <v>SnS/Greatsword</v>
      </c>
      <c r="D90" s="13" t="s">
        <v>34</v>
      </c>
      <c r="E90" s="83" t="s">
        <v>166</v>
      </c>
      <c r="F90" s="13" t="s">
        <v>476</v>
      </c>
      <c r="G90" s="82">
        <v>0</v>
      </c>
      <c r="H90" s="82">
        <v>12</v>
      </c>
      <c r="I90" s="194">
        <f t="shared" si="0"/>
        <v>12</v>
      </c>
      <c r="J90" s="85">
        <v>28914</v>
      </c>
      <c r="K90" s="85">
        <v>902560</v>
      </c>
      <c r="L90" s="85">
        <v>76736</v>
      </c>
      <c r="M90" s="195">
        <f>I90/(HLOOKUP(F90,Team_Composition_23[[#All],[Yellow]:[Red]],10,FALSE)+HLOOKUP(F90,Team_Composition_23[[#All],[Yellow]:[Red]],11,FALSE))</f>
        <v>2.9992501874531365E-3</v>
      </c>
      <c r="N90" s="195">
        <f>J90/HLOOKUP(F90,Team_Composition_23[[#All],[Yellow]:[Red]],6,FALSE)</f>
        <v>6.5175066644176753E-4</v>
      </c>
      <c r="O90" s="195">
        <f>K90/HLOOKUP(F90,Team_Composition_23[[#All],[Yellow]:[Red]],8,FALSE)</f>
        <v>5.1519619279055261E-2</v>
      </c>
      <c r="P90" s="195">
        <f>L90/HLOOKUP(F90,Team_Composition_23[[#All],[Yellow]:[Red]],7,FALSE)</f>
        <v>5.9279520832113408E-3</v>
      </c>
    </row>
    <row r="91" spans="1:16" ht="22.5" customHeight="1">
      <c r="A91" s="82">
        <v>90</v>
      </c>
      <c r="B91" s="115" t="str">
        <f>VLOOKUP(C91,Lists!I:J,2,FALSE)</f>
        <v>Healer</v>
      </c>
      <c r="C91" s="115" t="str">
        <f>VLOOKUP(E91,Lists!D:E,2,FALSE)</f>
        <v>Wand/Orb</v>
      </c>
      <c r="D91" s="13" t="s">
        <v>34</v>
      </c>
      <c r="E91" s="83" t="s">
        <v>164</v>
      </c>
      <c r="F91" s="13" t="s">
        <v>476</v>
      </c>
      <c r="G91" s="82">
        <v>0</v>
      </c>
      <c r="H91" s="82">
        <v>12</v>
      </c>
      <c r="I91" s="194">
        <f t="shared" si="0"/>
        <v>12</v>
      </c>
      <c r="J91" s="85">
        <v>4115</v>
      </c>
      <c r="K91" s="85">
        <v>248785</v>
      </c>
      <c r="L91" s="85">
        <v>434783</v>
      </c>
      <c r="M91" s="195">
        <f>I91/(HLOOKUP(F91,Team_Composition_23[[#All],[Yellow]:[Red]],10,FALSE)+HLOOKUP(F91,Team_Composition_23[[#All],[Yellow]:[Red]],11,FALSE))</f>
        <v>2.9992501874531365E-3</v>
      </c>
      <c r="N91" s="195">
        <f>J91/HLOOKUP(F91,Team_Composition_23[[#All],[Yellow]:[Red]],6,FALSE)</f>
        <v>9.2756242388042937E-5</v>
      </c>
      <c r="O91" s="195">
        <f>K91/HLOOKUP(F91,Team_Composition_23[[#All],[Yellow]:[Red]],8,FALSE)</f>
        <v>1.4201059743773005E-2</v>
      </c>
      <c r="P91" s="195">
        <f>L91/HLOOKUP(F91,Team_Composition_23[[#All],[Yellow]:[Red]],7,FALSE)</f>
        <v>3.3587531153498704E-2</v>
      </c>
    </row>
    <row r="92" spans="1:16" ht="22.5" customHeight="1">
      <c r="A92" s="82">
        <v>91</v>
      </c>
      <c r="B92" s="115" t="str">
        <f>VLOOKUP(C92,Lists!I:J,2,FALSE)</f>
        <v>Healer</v>
      </c>
      <c r="C92" s="115" t="str">
        <f>VLOOKUP(E92,Lists!D:E,2,FALSE)</f>
        <v>Wand/Longbow</v>
      </c>
      <c r="D92" s="13" t="s">
        <v>34</v>
      </c>
      <c r="E92" s="83" t="s">
        <v>136</v>
      </c>
      <c r="F92" s="13" t="s">
        <v>476</v>
      </c>
      <c r="G92" s="82">
        <v>0</v>
      </c>
      <c r="H92" s="82">
        <v>11</v>
      </c>
      <c r="I92" s="194">
        <f t="shared" si="0"/>
        <v>11</v>
      </c>
      <c r="J92" s="85">
        <v>18991</v>
      </c>
      <c r="K92" s="85">
        <v>432768</v>
      </c>
      <c r="L92" s="85">
        <v>803718</v>
      </c>
      <c r="M92" s="195">
        <f>I92/(HLOOKUP(F92,Team_Composition_23[[#All],[Yellow]:[Red]],10,FALSE)+HLOOKUP(F92,Team_Composition_23[[#All],[Yellow]:[Red]],11,FALSE))</f>
        <v>2.7493126718320421E-3</v>
      </c>
      <c r="N92" s="195">
        <f>J92/HLOOKUP(F92,Team_Composition_23[[#All],[Yellow]:[Red]],6,FALSE)</f>
        <v>4.2807625739764844E-4</v>
      </c>
      <c r="O92" s="195">
        <f>K92/HLOOKUP(F92,Team_Composition_23[[#All],[Yellow]:[Red]],8,FALSE)</f>
        <v>2.4703114026943571E-2</v>
      </c>
      <c r="P92" s="195">
        <f>L92/HLOOKUP(F92,Team_Composition_23[[#All],[Yellow]:[Red]],7,FALSE)</f>
        <v>6.2088221856943966E-2</v>
      </c>
    </row>
    <row r="93" spans="1:16" ht="22.5" customHeight="1">
      <c r="A93" s="82">
        <v>92</v>
      </c>
      <c r="B93" s="115" t="str">
        <f>VLOOKUP(C93,Lists!I:J,2,FALSE)</f>
        <v>Tank</v>
      </c>
      <c r="C93" s="115" t="str">
        <f>VLOOKUP(E93,Lists!D:E,2,FALSE)</f>
        <v>SnS/Spear</v>
      </c>
      <c r="D93" s="13" t="s">
        <v>30</v>
      </c>
      <c r="E93" s="83" t="s">
        <v>427</v>
      </c>
      <c r="F93" s="13" t="s">
        <v>483</v>
      </c>
      <c r="G93" s="82">
        <v>0</v>
      </c>
      <c r="H93" s="82">
        <v>7</v>
      </c>
      <c r="I93" s="194">
        <f t="shared" si="0"/>
        <v>7</v>
      </c>
      <c r="J93" s="85">
        <v>22836</v>
      </c>
      <c r="K93" s="85">
        <v>545638</v>
      </c>
      <c r="L93" s="85">
        <v>31085</v>
      </c>
      <c r="M93" s="195">
        <f>I93/(HLOOKUP(F93,Team_Composition_23[[#All],[Yellow]:[Red]],10,FALSE)+HLOOKUP(F93,Team_Composition_23[[#All],[Yellow]:[Red]],11,FALSE))</f>
        <v>8.5261875761266752E-3</v>
      </c>
      <c r="N93" s="195">
        <f>J93/HLOOKUP(F93,Team_Composition_23[[#All],[Yellow]:[Red]],6,FALSE)</f>
        <v>1.2941612844817106E-3</v>
      </c>
      <c r="O93" s="195">
        <f>K93/HLOOKUP(F93,Team_Composition_23[[#All],[Yellow]:[Red]],8,FALSE)</f>
        <v>1.2396373331859927E-2</v>
      </c>
      <c r="P93" s="195">
        <f>L93/HLOOKUP(F93,Team_Composition_23[[#All],[Yellow]:[Red]],7,FALSE)</f>
        <v>1.2808833080075418E-3</v>
      </c>
    </row>
    <row r="94" spans="1:16" ht="22.5" customHeight="1">
      <c r="A94" s="82">
        <v>93</v>
      </c>
      <c r="B94" s="115" t="str">
        <f>VLOOKUP(C94,Lists!I:J,2,FALSE)</f>
        <v>Tank</v>
      </c>
      <c r="C94" s="115" t="str">
        <f>VLOOKUP(E94,Lists!D:E,2,FALSE)</f>
        <v>SnS/Greatsword</v>
      </c>
      <c r="D94" s="13" t="s">
        <v>34</v>
      </c>
      <c r="E94" s="83" t="s">
        <v>155</v>
      </c>
      <c r="F94" s="13" t="s">
        <v>476</v>
      </c>
      <c r="G94" s="82">
        <v>0</v>
      </c>
      <c r="H94" s="82">
        <v>6</v>
      </c>
      <c r="I94" s="194">
        <f t="shared" si="0"/>
        <v>6</v>
      </c>
      <c r="J94" s="85">
        <v>72743</v>
      </c>
      <c r="K94" s="85">
        <v>669780</v>
      </c>
      <c r="L94" s="85">
        <v>74041</v>
      </c>
      <c r="M94" s="195">
        <f>I94/(HLOOKUP(F94,Team_Composition_23[[#All],[Yellow]:[Red]],10,FALSE)+HLOOKUP(F94,Team_Composition_23[[#All],[Yellow]:[Red]],11,FALSE))</f>
        <v>1.4996250937265683E-3</v>
      </c>
      <c r="N94" s="195">
        <f>J94/HLOOKUP(F94,Team_Composition_23[[#All],[Yellow]:[Red]],6,FALSE)</f>
        <v>1.6397004471527114E-3</v>
      </c>
      <c r="O94" s="195">
        <f>K94/HLOOKUP(F94,Team_Composition_23[[#All],[Yellow]:[Red]],8,FALSE)</f>
        <v>3.823215143671959E-2</v>
      </c>
      <c r="P94" s="195">
        <f>L94/HLOOKUP(F94,Team_Composition_23[[#All],[Yellow]:[Red]],7,FALSE)</f>
        <v>5.7197599587292909E-3</v>
      </c>
    </row>
    <row r="95" spans="1:16" ht="22.5" customHeight="1">
      <c r="A95" s="82">
        <v>94</v>
      </c>
      <c r="B95" s="115" t="str">
        <f>VLOOKUP(C95,Lists!I:J,2,FALSE)</f>
        <v>Tank</v>
      </c>
      <c r="C95" s="115" t="str">
        <f>VLOOKUP(E95,Lists!D:E,2,FALSE)</f>
        <v>SnS/Longbow</v>
      </c>
      <c r="D95" s="13" t="s">
        <v>34</v>
      </c>
      <c r="E95" s="83" t="s">
        <v>114</v>
      </c>
      <c r="F95" s="13" t="s">
        <v>476</v>
      </c>
      <c r="G95" s="82">
        <v>0</v>
      </c>
      <c r="H95" s="82">
        <v>6</v>
      </c>
      <c r="I95" s="194">
        <f t="shared" si="0"/>
        <v>6</v>
      </c>
      <c r="J95" s="85">
        <v>16793</v>
      </c>
      <c r="K95" s="85">
        <v>89521</v>
      </c>
      <c r="L95" s="85">
        <v>79113</v>
      </c>
      <c r="M95" s="195">
        <f>I95/(HLOOKUP(F95,Team_Composition_23[[#All],[Yellow]:[Red]],10,FALSE)+HLOOKUP(F95,Team_Composition_23[[#All],[Yellow]:[Red]],11,FALSE))</f>
        <v>1.4996250937265683E-3</v>
      </c>
      <c r="N95" s="195">
        <f>J95/HLOOKUP(F95,Team_Composition_23[[#All],[Yellow]:[Red]],6,FALSE)</f>
        <v>3.7853112476850665E-4</v>
      </c>
      <c r="O95" s="195">
        <f>K95/HLOOKUP(F95,Team_Composition_23[[#All],[Yellow]:[Red]],8,FALSE)</f>
        <v>5.1100069108760702E-3</v>
      </c>
      <c r="P95" s="195">
        <f>L95/HLOOKUP(F95,Team_Composition_23[[#All],[Yellow]:[Red]],7,FALSE)</f>
        <v>6.1115783095170295E-3</v>
      </c>
    </row>
    <row r="96" spans="1:16" ht="22.5" customHeight="1">
      <c r="A96" s="82">
        <v>95</v>
      </c>
      <c r="B96" s="115" t="str">
        <f>VLOOKUP(C96,Lists!I:J,2,FALSE)</f>
        <v>Tank</v>
      </c>
      <c r="C96" s="115" t="str">
        <f>VLOOKUP(E96,Lists!D:E,2,FALSE)</f>
        <v>SnS/Greatsword</v>
      </c>
      <c r="D96" s="13" t="s">
        <v>34</v>
      </c>
      <c r="E96" s="83" t="s">
        <v>109</v>
      </c>
      <c r="F96" s="13" t="s">
        <v>476</v>
      </c>
      <c r="G96" s="82">
        <v>0</v>
      </c>
      <c r="H96" s="82">
        <v>5</v>
      </c>
      <c r="I96" s="194">
        <f t="shared" si="0"/>
        <v>5</v>
      </c>
      <c r="J96" s="85">
        <v>22058</v>
      </c>
      <c r="K96" s="85">
        <v>702798</v>
      </c>
      <c r="L96" s="85">
        <v>16014</v>
      </c>
      <c r="M96" s="195">
        <f>I96/(HLOOKUP(F96,Team_Composition_23[[#All],[Yellow]:[Red]],10,FALSE)+HLOOKUP(F96,Team_Composition_23[[#All],[Yellow]:[Red]],11,FALSE))</f>
        <v>1.2496875781054736E-3</v>
      </c>
      <c r="N96" s="195">
        <f>J96/HLOOKUP(F96,Team_Composition_23[[#All],[Yellow]:[Red]],6,FALSE)</f>
        <v>4.9720952481055914E-4</v>
      </c>
      <c r="O96" s="195">
        <f>K96/HLOOKUP(F96,Team_Composition_23[[#All],[Yellow]:[Red]],8,FALSE)</f>
        <v>4.0116873548663223E-2</v>
      </c>
      <c r="P96" s="195">
        <f>L96/HLOOKUP(F96,Team_Composition_23[[#All],[Yellow]:[Red]],7,FALSE)</f>
        <v>1.2371015515604984E-3</v>
      </c>
    </row>
    <row r="97" spans="1:16" ht="22.5" customHeight="1">
      <c r="A97" s="82">
        <v>96</v>
      </c>
      <c r="B97" s="115" t="str">
        <f>VLOOKUP(C97,Lists!I:J,2,FALSE)</f>
        <v>Healer</v>
      </c>
      <c r="C97" s="115" t="str">
        <f>VLOOKUP(E97,Lists!D:E,2,FALSE)</f>
        <v>Wand/Longbow</v>
      </c>
      <c r="D97" s="13" t="s">
        <v>34</v>
      </c>
      <c r="E97" s="83" t="s">
        <v>135</v>
      </c>
      <c r="F97" s="13" t="s">
        <v>476</v>
      </c>
      <c r="G97" s="82">
        <v>0</v>
      </c>
      <c r="H97" s="82">
        <v>4</v>
      </c>
      <c r="I97" s="194">
        <f t="shared" si="0"/>
        <v>4</v>
      </c>
      <c r="J97" s="85">
        <v>182</v>
      </c>
      <c r="K97" s="85">
        <v>199189</v>
      </c>
      <c r="L97" s="85">
        <v>370667</v>
      </c>
      <c r="M97" s="195">
        <f>I97/(HLOOKUP(F97,Team_Composition_23[[#All],[Yellow]:[Red]],10,FALSE)+HLOOKUP(F97,Team_Composition_23[[#All],[Yellow]:[Red]],11,FALSE))</f>
        <v>9.9975006248437899E-4</v>
      </c>
      <c r="N97" s="195">
        <f>J97/HLOOKUP(F97,Team_Composition_23[[#All],[Yellow]:[Red]],6,FALSE)</f>
        <v>4.1024632113302096E-6</v>
      </c>
      <c r="O97" s="195">
        <f>K97/HLOOKUP(F97,Team_Composition_23[[#All],[Yellow]:[Red]],8,FALSE)</f>
        <v>1.1370037941605808E-2</v>
      </c>
      <c r="P97" s="195">
        <f>L97/HLOOKUP(F97,Team_Composition_23[[#All],[Yellow]:[Red]],7,FALSE)</f>
        <v>2.8634489872129094E-2</v>
      </c>
    </row>
    <row r="98" spans="1:16" ht="22.5" customHeight="1">
      <c r="A98" s="210"/>
      <c r="B98" s="115" t="e">
        <f>VLOOKUP(C98,Lists!I:J,2,FALSE)</f>
        <v>#N/A</v>
      </c>
      <c r="C98" s="115" t="e">
        <f>VLOOKUP(E98,Lists!D:E,2,FALSE)</f>
        <v>#N/A</v>
      </c>
      <c r="D98" s="17"/>
      <c r="E98" s="211"/>
      <c r="F98" s="17"/>
      <c r="G98" s="212"/>
      <c r="H98" s="212"/>
      <c r="I98" s="116"/>
      <c r="J98" s="213"/>
      <c r="K98" s="213"/>
      <c r="L98" s="213"/>
    </row>
    <row r="99" spans="1:16" ht="22.5" customHeight="1">
      <c r="A99" s="210"/>
      <c r="B99" s="115" t="e">
        <f>VLOOKUP(C99,Lists!I:J,2,FALSE)</f>
        <v>#N/A</v>
      </c>
      <c r="C99" s="115" t="e">
        <f>VLOOKUP(E99,Lists!D:E,2,FALSE)</f>
        <v>#N/A</v>
      </c>
      <c r="D99" s="17"/>
      <c r="E99" s="211"/>
      <c r="F99" s="17"/>
      <c r="G99" s="212"/>
      <c r="H99" s="212"/>
      <c r="I99" s="116"/>
      <c r="J99" s="213"/>
      <c r="K99" s="213"/>
      <c r="L99" s="213"/>
    </row>
    <row r="100" spans="1:16" ht="22.5" customHeight="1">
      <c r="A100" s="210"/>
      <c r="B100" s="115" t="e">
        <f>VLOOKUP(C100,Lists!I:J,2,FALSE)</f>
        <v>#N/A</v>
      </c>
      <c r="C100" s="115" t="e">
        <f>VLOOKUP(E100,Lists!D:E,2,FALSE)</f>
        <v>#N/A</v>
      </c>
      <c r="D100" s="17"/>
      <c r="E100" s="211"/>
      <c r="F100" s="17"/>
      <c r="G100" s="212"/>
      <c r="H100" s="212"/>
      <c r="I100" s="116"/>
      <c r="J100" s="213"/>
      <c r="K100" s="213"/>
      <c r="L100" s="213"/>
    </row>
    <row r="101" spans="1:16" ht="22.5" customHeight="1">
      <c r="A101" s="210"/>
      <c r="B101" s="115" t="e">
        <f>VLOOKUP(C101,Lists!I:J,2,FALSE)</f>
        <v>#N/A</v>
      </c>
      <c r="C101" s="115" t="e">
        <f>VLOOKUP(E101,Lists!D:E,2,FALSE)</f>
        <v>#N/A</v>
      </c>
      <c r="D101" s="17"/>
      <c r="E101" s="211"/>
      <c r="F101" s="17"/>
      <c r="G101" s="212"/>
      <c r="H101" s="212"/>
      <c r="I101" s="116"/>
      <c r="J101" s="213"/>
      <c r="K101" s="213"/>
      <c r="L101" s="213"/>
    </row>
    <row r="102" spans="1:16" ht="22.5" customHeight="1">
      <c r="A102" s="210"/>
      <c r="B102" s="115" t="e">
        <f>VLOOKUP(C102,Lists!I:J,2,FALSE)</f>
        <v>#N/A</v>
      </c>
      <c r="C102" s="115" t="e">
        <f>VLOOKUP(E102,Lists!D:E,2,FALSE)</f>
        <v>#N/A</v>
      </c>
      <c r="D102" s="17"/>
      <c r="E102" s="211"/>
      <c r="F102" s="17"/>
      <c r="G102" s="212"/>
      <c r="H102" s="212"/>
      <c r="I102" s="116"/>
      <c r="J102" s="213"/>
      <c r="K102" s="213"/>
      <c r="L102" s="213"/>
    </row>
    <row r="103" spans="1:16" ht="22.5" customHeight="1">
      <c r="A103" s="210"/>
      <c r="B103" s="115" t="e">
        <f>VLOOKUP(C103,Lists!I:J,2,FALSE)</f>
        <v>#N/A</v>
      </c>
      <c r="C103" s="115" t="e">
        <f>VLOOKUP(E103,Lists!D:E,2,FALSE)</f>
        <v>#N/A</v>
      </c>
      <c r="D103" s="17"/>
      <c r="E103" s="211"/>
      <c r="F103" s="17"/>
      <c r="G103" s="212"/>
      <c r="H103" s="212"/>
      <c r="I103" s="116"/>
      <c r="J103" s="213"/>
      <c r="K103" s="213"/>
      <c r="L103" s="213"/>
    </row>
    <row r="104" spans="1:16" ht="22.5" customHeight="1">
      <c r="A104" s="210"/>
      <c r="B104" s="115" t="e">
        <f>VLOOKUP(C104,Lists!I:J,2,FALSE)</f>
        <v>#N/A</v>
      </c>
      <c r="C104" s="115"/>
      <c r="D104" s="17"/>
      <c r="E104" s="211"/>
      <c r="F104" s="17"/>
      <c r="G104" s="212"/>
      <c r="H104" s="212"/>
      <c r="I104" s="116"/>
      <c r="J104" s="213"/>
      <c r="K104" s="213"/>
      <c r="L104" s="213"/>
    </row>
    <row r="105" spans="1:16" ht="22.5" customHeight="1">
      <c r="A105" s="210"/>
      <c r="B105" s="115" t="e">
        <f>VLOOKUP(C105,Lists!I:J,2,FALSE)</f>
        <v>#N/A</v>
      </c>
      <c r="C105" s="115"/>
      <c r="D105" s="17"/>
      <c r="E105" s="211"/>
      <c r="F105" s="17"/>
      <c r="G105" s="212"/>
      <c r="H105" s="212"/>
      <c r="I105" s="116"/>
      <c r="J105" s="213"/>
      <c r="K105" s="213"/>
      <c r="L105" s="213"/>
    </row>
    <row r="106" spans="1:16" ht="22.5" customHeight="1">
      <c r="A106" s="210"/>
      <c r="B106" s="115" t="e">
        <f>VLOOKUP(C106,Lists!I:J,2,FALSE)</f>
        <v>#N/A</v>
      </c>
      <c r="C106" s="115"/>
      <c r="D106" s="17"/>
      <c r="E106" s="211"/>
      <c r="F106" s="17"/>
      <c r="G106" s="212"/>
      <c r="H106" s="212"/>
      <c r="I106" s="116"/>
      <c r="J106" s="213"/>
      <c r="K106" s="213"/>
      <c r="L106" s="213"/>
    </row>
    <row r="107" spans="1:16" ht="22.5" customHeight="1">
      <c r="A107" s="210"/>
      <c r="B107" s="115" t="e">
        <f>VLOOKUP(C107,Lists!I:J,2,FALSE)</f>
        <v>#N/A</v>
      </c>
      <c r="C107" s="115"/>
      <c r="D107" s="17"/>
      <c r="E107" s="211"/>
      <c r="F107" s="17"/>
      <c r="G107" s="212"/>
      <c r="H107" s="212"/>
      <c r="I107" s="116"/>
      <c r="J107" s="213"/>
      <c r="K107" s="213"/>
      <c r="L107" s="213"/>
    </row>
    <row r="108" spans="1:16" ht="22.5" customHeight="1">
      <c r="A108" s="210"/>
      <c r="B108" s="115" t="e">
        <f>VLOOKUP(C108,Lists!I:J,2,FALSE)</f>
        <v>#N/A</v>
      </c>
      <c r="C108" s="115"/>
      <c r="D108" s="17"/>
      <c r="E108" s="211"/>
      <c r="F108" s="17"/>
      <c r="G108" s="212"/>
      <c r="H108" s="212"/>
      <c r="I108" s="116"/>
      <c r="J108" s="213"/>
      <c r="K108" s="213"/>
      <c r="L108" s="213"/>
    </row>
    <row r="109" spans="1:16" ht="22.5" customHeight="1">
      <c r="A109" s="210"/>
      <c r="B109" s="115" t="e">
        <f>VLOOKUP(C109,Lists!I:J,2,FALSE)</f>
        <v>#N/A</v>
      </c>
      <c r="C109" s="115"/>
      <c r="D109" s="17"/>
      <c r="E109" s="211"/>
      <c r="F109" s="17"/>
      <c r="G109" s="212"/>
      <c r="H109" s="212"/>
      <c r="I109" s="116"/>
      <c r="J109" s="213"/>
      <c r="K109" s="213"/>
      <c r="L109" s="213"/>
    </row>
    <row r="110" spans="1:16" ht="22.5" customHeight="1">
      <c r="A110" s="210"/>
      <c r="B110" s="115" t="e">
        <f>VLOOKUP(C110,Lists!I:J,2,FALSE)</f>
        <v>#N/A</v>
      </c>
      <c r="C110" s="115"/>
      <c r="D110" s="17"/>
      <c r="E110" s="211"/>
      <c r="F110" s="17"/>
      <c r="G110" s="212"/>
      <c r="H110" s="212"/>
      <c r="I110" s="116"/>
      <c r="J110" s="213"/>
      <c r="K110" s="213"/>
      <c r="L110" s="213"/>
    </row>
    <row r="111" spans="1:16" ht="22.5" customHeight="1">
      <c r="A111" s="210"/>
      <c r="B111" s="115" t="e">
        <f>VLOOKUP(C111,Lists!I:J,2,FALSE)</f>
        <v>#N/A</v>
      </c>
      <c r="C111" s="115"/>
      <c r="D111" s="17"/>
      <c r="E111" s="211"/>
      <c r="F111" s="17"/>
      <c r="G111" s="212"/>
      <c r="H111" s="212"/>
      <c r="I111" s="116"/>
      <c r="J111" s="213"/>
      <c r="K111" s="213"/>
      <c r="L111" s="213"/>
    </row>
    <row r="112" spans="1:16" ht="22.5" customHeight="1">
      <c r="A112" s="210"/>
      <c r="B112" s="115" t="e">
        <f>VLOOKUP(C112,Lists!I:J,2,FALSE)</f>
        <v>#N/A</v>
      </c>
      <c r="C112" s="115"/>
      <c r="D112" s="17"/>
      <c r="E112" s="211"/>
      <c r="F112" s="17"/>
      <c r="G112" s="212"/>
      <c r="H112" s="212"/>
      <c r="I112" s="116"/>
      <c r="J112" s="213"/>
      <c r="K112" s="213"/>
      <c r="L112" s="213"/>
    </row>
    <row r="113" spans="1:12" ht="22.5" customHeight="1">
      <c r="A113" s="210"/>
      <c r="B113" s="115" t="e">
        <f>VLOOKUP(C113,Lists!I:J,2,FALSE)</f>
        <v>#N/A</v>
      </c>
      <c r="C113" s="115"/>
      <c r="D113" s="17"/>
      <c r="E113" s="211"/>
      <c r="F113" s="17"/>
      <c r="G113" s="212"/>
      <c r="H113" s="212"/>
      <c r="I113" s="116"/>
      <c r="J113" s="213"/>
      <c r="K113" s="213"/>
      <c r="L113" s="213"/>
    </row>
    <row r="114" spans="1:12" ht="22.5" customHeight="1">
      <c r="A114" s="210"/>
      <c r="B114" s="115" t="e">
        <f>VLOOKUP(C114,Lists!I:J,2,FALSE)</f>
        <v>#N/A</v>
      </c>
      <c r="C114" s="115"/>
      <c r="D114" s="17"/>
      <c r="E114" s="211"/>
      <c r="F114" s="17"/>
      <c r="G114" s="212"/>
      <c r="H114" s="212"/>
      <c r="I114" s="116"/>
      <c r="J114" s="213"/>
      <c r="K114" s="213"/>
      <c r="L114" s="213"/>
    </row>
    <row r="115" spans="1:12" ht="22.5" customHeight="1">
      <c r="A115" s="210"/>
      <c r="B115" s="115" t="e">
        <f>VLOOKUP(C115,Lists!I:J,2,FALSE)</f>
        <v>#N/A</v>
      </c>
      <c r="C115" s="115"/>
      <c r="D115" s="17"/>
      <c r="E115" s="211"/>
      <c r="F115" s="17"/>
      <c r="G115" s="212"/>
      <c r="H115" s="212"/>
      <c r="I115" s="116"/>
      <c r="J115" s="213"/>
      <c r="K115" s="213"/>
      <c r="L115" s="213"/>
    </row>
    <row r="116" spans="1:12" ht="22.5" customHeight="1">
      <c r="A116" s="210"/>
      <c r="B116" s="115" t="e">
        <f>VLOOKUP(C116,Lists!I:J,2,FALSE)</f>
        <v>#N/A</v>
      </c>
      <c r="C116" s="115"/>
      <c r="D116" s="17"/>
      <c r="E116" s="211"/>
      <c r="F116" s="17"/>
      <c r="G116" s="212"/>
      <c r="H116" s="212"/>
      <c r="I116" s="116"/>
      <c r="J116" s="213"/>
      <c r="K116" s="213"/>
      <c r="L116" s="213"/>
    </row>
    <row r="117" spans="1:12" ht="22.5" customHeight="1">
      <c r="A117" s="210"/>
      <c r="B117" s="115" t="e">
        <f>VLOOKUP(C117,Lists!I:J,2,FALSE)</f>
        <v>#N/A</v>
      </c>
      <c r="C117" s="115"/>
      <c r="D117" s="17"/>
      <c r="E117" s="211"/>
      <c r="F117" s="17"/>
      <c r="G117" s="212"/>
      <c r="H117" s="212"/>
      <c r="I117" s="116"/>
      <c r="J117" s="213"/>
      <c r="K117" s="213"/>
      <c r="L117" s="213"/>
    </row>
    <row r="118" spans="1:12" ht="22.5" customHeight="1">
      <c r="A118" s="210"/>
      <c r="B118" s="115" t="e">
        <f>VLOOKUP(C118,Lists!I:J,2,FALSE)</f>
        <v>#N/A</v>
      </c>
      <c r="C118" s="115"/>
      <c r="D118" s="17"/>
      <c r="E118" s="211"/>
      <c r="F118" s="17"/>
      <c r="G118" s="212"/>
      <c r="H118" s="212"/>
      <c r="I118" s="116"/>
      <c r="J118" s="213"/>
      <c r="K118" s="213"/>
      <c r="L118" s="213"/>
    </row>
    <row r="119" spans="1:12" ht="22.5" customHeight="1">
      <c r="A119" s="210"/>
      <c r="B119" s="115" t="e">
        <f>VLOOKUP(C119,Lists!I:J,2,FALSE)</f>
        <v>#N/A</v>
      </c>
      <c r="C119" s="115"/>
      <c r="D119" s="17"/>
      <c r="E119" s="211"/>
      <c r="F119" s="17"/>
      <c r="G119" s="212"/>
      <c r="H119" s="212"/>
      <c r="I119" s="116"/>
      <c r="J119" s="213"/>
      <c r="K119" s="213"/>
      <c r="L119" s="213"/>
    </row>
    <row r="120" spans="1:12" ht="22.5" customHeight="1">
      <c r="A120" s="210"/>
      <c r="B120" s="115" t="e">
        <f>VLOOKUP(C120,Lists!I:J,2,FALSE)</f>
        <v>#N/A</v>
      </c>
      <c r="C120" s="115"/>
      <c r="D120" s="17"/>
      <c r="E120" s="211"/>
      <c r="F120" s="17"/>
      <c r="G120" s="212"/>
      <c r="H120" s="212"/>
      <c r="I120" s="116"/>
      <c r="J120" s="213"/>
      <c r="K120" s="213"/>
      <c r="L120" s="213"/>
    </row>
    <row r="121" spans="1:12" ht="22.5" customHeight="1">
      <c r="A121" s="210"/>
      <c r="B121" s="115" t="e">
        <f>VLOOKUP(C121,Lists!I:J,2,FALSE)</f>
        <v>#N/A</v>
      </c>
      <c r="C121" s="115"/>
      <c r="D121" s="17"/>
      <c r="E121" s="211"/>
      <c r="F121" s="17"/>
      <c r="G121" s="212"/>
      <c r="H121" s="212"/>
      <c r="I121" s="116"/>
      <c r="J121" s="213"/>
      <c r="K121" s="213"/>
      <c r="L121" s="213"/>
    </row>
    <row r="122" spans="1:12" ht="22.5" customHeight="1">
      <c r="A122" s="210"/>
      <c r="B122" s="115" t="e">
        <f>VLOOKUP(C122,Lists!I:J,2,FALSE)</f>
        <v>#N/A</v>
      </c>
      <c r="C122" s="115"/>
      <c r="D122" s="17"/>
      <c r="E122" s="211"/>
      <c r="F122" s="17"/>
      <c r="G122" s="212"/>
      <c r="H122" s="212"/>
      <c r="I122" s="116"/>
      <c r="J122" s="213"/>
      <c r="K122" s="213"/>
      <c r="L122" s="213"/>
    </row>
    <row r="123" spans="1:12" ht="22.5" customHeight="1">
      <c r="A123" s="210"/>
      <c r="B123" s="115" t="e">
        <f>VLOOKUP(C123,Lists!I:J,2,FALSE)</f>
        <v>#N/A</v>
      </c>
      <c r="C123" s="115"/>
      <c r="D123" s="17"/>
      <c r="E123" s="211"/>
      <c r="F123" s="17"/>
      <c r="G123" s="212"/>
      <c r="H123" s="212"/>
      <c r="I123" s="116"/>
      <c r="J123" s="213"/>
      <c r="K123" s="213"/>
      <c r="L123" s="213"/>
    </row>
    <row r="124" spans="1:12" ht="22.5" customHeight="1">
      <c r="A124" s="210"/>
      <c r="B124" s="115" t="e">
        <f>VLOOKUP(C124,Lists!I:J,2,FALSE)</f>
        <v>#N/A</v>
      </c>
      <c r="C124" s="115"/>
      <c r="D124" s="17"/>
      <c r="E124" s="211"/>
      <c r="F124" s="17"/>
      <c r="G124" s="212"/>
      <c r="H124" s="212"/>
      <c r="I124" s="116"/>
      <c r="J124" s="213"/>
      <c r="K124" s="213"/>
      <c r="L124" s="213"/>
    </row>
    <row r="125" spans="1:12" ht="22.5" customHeight="1">
      <c r="A125" s="210"/>
      <c r="B125" s="115" t="e">
        <f>VLOOKUP(C125,Lists!I:J,2,FALSE)</f>
        <v>#N/A</v>
      </c>
      <c r="C125" s="115"/>
      <c r="D125" s="17"/>
      <c r="E125" s="211"/>
      <c r="F125" s="17"/>
      <c r="G125" s="212"/>
      <c r="H125" s="212"/>
      <c r="I125" s="116"/>
      <c r="J125" s="213"/>
      <c r="K125" s="213"/>
      <c r="L125" s="213"/>
    </row>
    <row r="126" spans="1:12" ht="22.5" customHeight="1">
      <c r="A126" s="210"/>
      <c r="B126" s="115" t="e">
        <f>VLOOKUP(C126,Lists!I:J,2,FALSE)</f>
        <v>#N/A</v>
      </c>
      <c r="C126" s="115"/>
      <c r="D126" s="17"/>
      <c r="E126" s="211"/>
      <c r="F126" s="17"/>
      <c r="G126" s="212"/>
      <c r="H126" s="212"/>
      <c r="I126" s="116"/>
      <c r="J126" s="213"/>
      <c r="K126" s="213"/>
      <c r="L126" s="213"/>
    </row>
    <row r="127" spans="1:12" ht="22.5" customHeight="1">
      <c r="A127" s="210"/>
      <c r="B127" s="115" t="e">
        <f>VLOOKUP(C127,Lists!I:J,2,FALSE)</f>
        <v>#N/A</v>
      </c>
      <c r="C127" s="115"/>
      <c r="D127" s="17"/>
      <c r="E127" s="211"/>
      <c r="F127" s="17"/>
      <c r="G127" s="212"/>
      <c r="H127" s="212"/>
      <c r="I127" s="116"/>
      <c r="J127" s="213"/>
      <c r="K127" s="213"/>
      <c r="L127" s="213"/>
    </row>
    <row r="128" spans="1:12" ht="22.5" customHeight="1">
      <c r="A128" s="210"/>
      <c r="B128" s="115" t="e">
        <f>VLOOKUP(C128,Lists!I:J,2,FALSE)</f>
        <v>#N/A</v>
      </c>
      <c r="C128" s="115"/>
      <c r="D128" s="17"/>
      <c r="E128" s="211"/>
      <c r="F128" s="17"/>
      <c r="G128" s="212"/>
      <c r="H128" s="212"/>
      <c r="I128" s="116"/>
      <c r="J128" s="213"/>
      <c r="K128" s="213"/>
      <c r="L128" s="213"/>
    </row>
    <row r="129" spans="1:12" ht="22.5" customHeight="1">
      <c r="A129" s="210"/>
      <c r="B129" s="115" t="e">
        <f>VLOOKUP(C129,Lists!I:J,2,FALSE)</f>
        <v>#N/A</v>
      </c>
      <c r="C129" s="115"/>
      <c r="D129" s="17"/>
      <c r="E129" s="211"/>
      <c r="F129" s="17"/>
      <c r="G129" s="212"/>
      <c r="H129" s="212"/>
      <c r="I129" s="116"/>
      <c r="J129" s="213"/>
      <c r="K129" s="213"/>
      <c r="L129" s="213"/>
    </row>
    <row r="130" spans="1:12" ht="22.5" customHeight="1">
      <c r="A130" s="210"/>
      <c r="B130" s="115" t="e">
        <f>VLOOKUP(C130,Lists!I:J,2,FALSE)</f>
        <v>#N/A</v>
      </c>
      <c r="C130" s="115"/>
      <c r="D130" s="17"/>
      <c r="E130" s="211"/>
      <c r="F130" s="17"/>
      <c r="G130" s="212"/>
      <c r="H130" s="212"/>
      <c r="I130" s="116"/>
      <c r="J130" s="213"/>
      <c r="K130" s="213"/>
      <c r="L130" s="213"/>
    </row>
    <row r="131" spans="1:12" ht="22.5" customHeight="1">
      <c r="A131" s="210"/>
      <c r="B131" s="115" t="e">
        <f>VLOOKUP(C131,Lists!I:J,2,FALSE)</f>
        <v>#N/A</v>
      </c>
      <c r="C131" s="115"/>
      <c r="D131" s="17"/>
      <c r="E131" s="211"/>
      <c r="F131" s="17"/>
      <c r="G131" s="212"/>
      <c r="H131" s="212"/>
      <c r="I131" s="116"/>
      <c r="J131" s="213"/>
      <c r="K131" s="213"/>
      <c r="L131" s="213"/>
    </row>
    <row r="132" spans="1:12" ht="22.5" customHeight="1">
      <c r="A132" s="210"/>
      <c r="B132" s="115" t="e">
        <f>VLOOKUP(C132,Lists!I:J,2,FALSE)</f>
        <v>#N/A</v>
      </c>
      <c r="C132" s="115"/>
      <c r="D132" s="17"/>
      <c r="E132" s="211"/>
      <c r="F132" s="17"/>
      <c r="G132" s="212"/>
      <c r="H132" s="212"/>
      <c r="I132" s="116"/>
      <c r="J132" s="213"/>
      <c r="K132" s="213"/>
      <c r="L132" s="213"/>
    </row>
    <row r="133" spans="1:12" ht="22.5" customHeight="1">
      <c r="A133" s="210"/>
      <c r="B133" s="115" t="e">
        <f>VLOOKUP(C133,Lists!I:J,2,FALSE)</f>
        <v>#N/A</v>
      </c>
      <c r="C133" s="115"/>
      <c r="D133" s="17"/>
      <c r="E133" s="211"/>
      <c r="F133" s="17"/>
      <c r="G133" s="212"/>
      <c r="H133" s="212"/>
      <c r="I133" s="116"/>
      <c r="J133" s="213"/>
      <c r="K133" s="213"/>
      <c r="L133" s="213"/>
    </row>
    <row r="134" spans="1:12" ht="22.5" customHeight="1">
      <c r="A134" s="210"/>
      <c r="B134" s="115" t="e">
        <f>VLOOKUP(C134,Lists!I:J,2,FALSE)</f>
        <v>#N/A</v>
      </c>
      <c r="C134" s="115"/>
      <c r="D134" s="17"/>
      <c r="E134" s="211"/>
      <c r="F134" s="17"/>
      <c r="G134" s="212"/>
      <c r="H134" s="212"/>
      <c r="I134" s="116"/>
      <c r="J134" s="213"/>
      <c r="K134" s="213"/>
      <c r="L134" s="213"/>
    </row>
    <row r="135" spans="1:12" ht="22.5" customHeight="1">
      <c r="A135" s="210"/>
      <c r="B135" s="115" t="e">
        <f>VLOOKUP(C135,Lists!I:J,2,FALSE)</f>
        <v>#N/A</v>
      </c>
      <c r="C135" s="115"/>
      <c r="D135" s="17"/>
      <c r="E135" s="211"/>
      <c r="F135" s="17"/>
      <c r="G135" s="212"/>
      <c r="H135" s="212"/>
      <c r="I135" s="116"/>
      <c r="J135" s="213"/>
      <c r="K135" s="213"/>
      <c r="L135" s="213"/>
    </row>
    <row r="136" spans="1:12" ht="22.5" customHeight="1">
      <c r="A136" s="210"/>
      <c r="B136" s="115" t="e">
        <f>VLOOKUP(C136,Lists!I:J,2,FALSE)</f>
        <v>#N/A</v>
      </c>
      <c r="C136" s="115"/>
      <c r="D136" s="17"/>
      <c r="E136" s="211"/>
      <c r="F136" s="17"/>
      <c r="G136" s="212"/>
      <c r="H136" s="212"/>
      <c r="I136" s="116"/>
      <c r="J136" s="213"/>
      <c r="K136" s="213"/>
      <c r="L136" s="213"/>
    </row>
    <row r="137" spans="1:12" ht="22.5" customHeight="1">
      <c r="A137" s="210"/>
      <c r="B137" s="115" t="e">
        <f>VLOOKUP(C137,Lists!I:J,2,FALSE)</f>
        <v>#N/A</v>
      </c>
      <c r="C137" s="115"/>
      <c r="D137" s="17"/>
      <c r="E137" s="211"/>
      <c r="F137" s="17"/>
      <c r="G137" s="212"/>
      <c r="H137" s="212"/>
      <c r="I137" s="116"/>
      <c r="J137" s="213"/>
      <c r="K137" s="213"/>
      <c r="L137" s="213"/>
    </row>
    <row r="138" spans="1:12" ht="22.5" customHeight="1">
      <c r="A138" s="210"/>
      <c r="B138" s="115" t="e">
        <f>VLOOKUP(C138,Lists!I:J,2,FALSE)</f>
        <v>#N/A</v>
      </c>
      <c r="C138" s="115"/>
      <c r="D138" s="17"/>
      <c r="E138" s="211"/>
      <c r="F138" s="17"/>
      <c r="G138" s="212"/>
      <c r="H138" s="212"/>
      <c r="I138" s="116"/>
      <c r="J138" s="213"/>
      <c r="K138" s="213"/>
      <c r="L138" s="213"/>
    </row>
    <row r="139" spans="1:12" ht="22.5" customHeight="1">
      <c r="A139" s="210"/>
      <c r="B139" s="115" t="e">
        <f>VLOOKUP(C139,Lists!I:J,2,FALSE)</f>
        <v>#N/A</v>
      </c>
      <c r="C139" s="115"/>
      <c r="D139" s="17"/>
      <c r="E139" s="211"/>
      <c r="F139" s="17"/>
      <c r="G139" s="212"/>
      <c r="H139" s="212"/>
      <c r="I139" s="116"/>
      <c r="J139" s="213"/>
      <c r="K139" s="213"/>
      <c r="L139" s="213"/>
    </row>
    <row r="140" spans="1:12" ht="22.5" customHeight="1">
      <c r="A140" s="210"/>
      <c r="B140" s="115" t="e">
        <f>VLOOKUP(C140,Lists!I:J,2,FALSE)</f>
        <v>#N/A</v>
      </c>
      <c r="C140" s="115"/>
      <c r="D140" s="17"/>
      <c r="E140" s="211"/>
      <c r="F140" s="17"/>
      <c r="G140" s="212"/>
      <c r="H140" s="212"/>
      <c r="I140" s="116"/>
      <c r="J140" s="213"/>
      <c r="K140" s="213"/>
      <c r="L140" s="213"/>
    </row>
    <row r="141" spans="1:12" ht="22.5" customHeight="1">
      <c r="A141" s="210"/>
      <c r="B141" s="115" t="e">
        <f>VLOOKUP(C141,Lists!I:J,2,FALSE)</f>
        <v>#N/A</v>
      </c>
      <c r="C141" s="115"/>
      <c r="D141" s="17"/>
      <c r="E141" s="211"/>
      <c r="F141" s="17"/>
      <c r="G141" s="212"/>
      <c r="H141" s="212"/>
      <c r="I141" s="116"/>
      <c r="J141" s="213"/>
      <c r="K141" s="213"/>
      <c r="L141" s="213"/>
    </row>
    <row r="142" spans="1:12" ht="22.5" customHeight="1">
      <c r="A142" s="210"/>
      <c r="B142" s="115" t="e">
        <f>VLOOKUP(C142,Lists!I:J,2,FALSE)</f>
        <v>#N/A</v>
      </c>
      <c r="C142" s="115"/>
      <c r="D142" s="17"/>
      <c r="E142" s="211"/>
      <c r="F142" s="17"/>
      <c r="G142" s="212"/>
      <c r="H142" s="212"/>
      <c r="I142" s="116"/>
      <c r="J142" s="213"/>
      <c r="K142" s="213"/>
      <c r="L142" s="213"/>
    </row>
    <row r="143" spans="1:12" ht="22.5" customHeight="1">
      <c r="A143" s="210"/>
      <c r="B143" s="115" t="e">
        <f>VLOOKUP(C143,Lists!I:J,2,FALSE)</f>
        <v>#N/A</v>
      </c>
      <c r="C143" s="115"/>
      <c r="D143" s="17"/>
      <c r="E143" s="211"/>
      <c r="F143" s="17"/>
      <c r="G143" s="212"/>
      <c r="H143" s="212"/>
      <c r="I143" s="116"/>
      <c r="J143" s="213"/>
      <c r="K143" s="213"/>
      <c r="L143" s="213"/>
    </row>
    <row r="144" spans="1:12" ht="22.5" customHeight="1">
      <c r="A144" s="210"/>
      <c r="B144" s="115" t="e">
        <f>VLOOKUP(C144,Lists!I:J,2,FALSE)</f>
        <v>#N/A</v>
      </c>
      <c r="C144" s="115"/>
      <c r="D144" s="17"/>
      <c r="E144" s="211"/>
      <c r="F144" s="17"/>
      <c r="G144" s="212"/>
      <c r="H144" s="212"/>
      <c r="I144" s="116"/>
      <c r="J144" s="213"/>
      <c r="K144" s="213"/>
      <c r="L144" s="213"/>
    </row>
    <row r="145" spans="1:12" ht="22.5" customHeight="1">
      <c r="A145" s="210"/>
      <c r="B145" s="115" t="e">
        <f>VLOOKUP(C145,Lists!I:J,2,FALSE)</f>
        <v>#N/A</v>
      </c>
      <c r="C145" s="115"/>
      <c r="D145" s="17"/>
      <c r="E145" s="211"/>
      <c r="F145" s="17"/>
      <c r="G145" s="212"/>
      <c r="H145" s="212"/>
      <c r="I145" s="116"/>
      <c r="J145" s="213"/>
      <c r="K145" s="213"/>
      <c r="L145" s="213"/>
    </row>
    <row r="146" spans="1:12" ht="22.5" customHeight="1">
      <c r="A146" s="210"/>
      <c r="B146" s="115" t="e">
        <f>VLOOKUP(C146,Lists!I:J,2,FALSE)</f>
        <v>#N/A</v>
      </c>
      <c r="C146" s="115"/>
      <c r="D146" s="17"/>
      <c r="E146" s="211"/>
      <c r="F146" s="17"/>
      <c r="G146" s="212"/>
      <c r="H146" s="212"/>
      <c r="I146" s="116"/>
      <c r="J146" s="213"/>
      <c r="K146" s="213"/>
      <c r="L146" s="213"/>
    </row>
    <row r="147" spans="1:12" ht="22.5" customHeight="1">
      <c r="A147" s="210"/>
      <c r="B147" s="115" t="e">
        <f>VLOOKUP(C147,Lists!I:J,2,FALSE)</f>
        <v>#N/A</v>
      </c>
      <c r="C147" s="115"/>
      <c r="D147" s="17"/>
      <c r="E147" s="211"/>
      <c r="F147" s="17"/>
      <c r="G147" s="212"/>
      <c r="H147" s="212"/>
      <c r="I147" s="116"/>
      <c r="J147" s="213"/>
      <c r="K147" s="213"/>
      <c r="L147" s="213"/>
    </row>
    <row r="148" spans="1:12" ht="22.5" customHeight="1">
      <c r="A148" s="210"/>
      <c r="B148" s="115" t="e">
        <f>VLOOKUP(C148,Lists!I:J,2,FALSE)</f>
        <v>#N/A</v>
      </c>
      <c r="C148" s="115"/>
      <c r="D148" s="17"/>
      <c r="E148" s="211"/>
      <c r="F148" s="17"/>
      <c r="G148" s="212"/>
      <c r="H148" s="212"/>
      <c r="I148" s="116"/>
      <c r="J148" s="213"/>
      <c r="K148" s="213"/>
      <c r="L148" s="213"/>
    </row>
    <row r="149" spans="1:12" ht="22.5" customHeight="1">
      <c r="A149" s="210"/>
      <c r="B149" s="115" t="e">
        <f>VLOOKUP(C149,Lists!I:J,2,FALSE)</f>
        <v>#N/A</v>
      </c>
      <c r="C149" s="115"/>
      <c r="D149" s="17"/>
      <c r="E149" s="211"/>
      <c r="F149" s="17"/>
      <c r="G149" s="212"/>
      <c r="H149" s="212"/>
      <c r="I149" s="116"/>
      <c r="J149" s="213"/>
      <c r="K149" s="213"/>
      <c r="L149" s="213"/>
    </row>
    <row r="150" spans="1:12" ht="22.5" customHeight="1">
      <c r="A150" s="210"/>
      <c r="B150" s="115" t="e">
        <f>VLOOKUP(C150,Lists!I:J,2,FALSE)</f>
        <v>#N/A</v>
      </c>
      <c r="C150" s="115"/>
      <c r="D150" s="17"/>
      <c r="E150" s="211"/>
      <c r="F150" s="17"/>
      <c r="G150" s="212"/>
      <c r="H150" s="212"/>
      <c r="I150" s="116"/>
      <c r="J150" s="213"/>
      <c r="K150" s="213"/>
      <c r="L150" s="213"/>
    </row>
    <row r="151" spans="1:12" ht="22.5" customHeight="1">
      <c r="A151" s="210"/>
      <c r="B151" s="115" t="e">
        <f>VLOOKUP(C151,Lists!I:J,2,FALSE)</f>
        <v>#N/A</v>
      </c>
      <c r="C151" s="115"/>
      <c r="D151" s="17"/>
      <c r="E151" s="211"/>
      <c r="F151" s="17"/>
      <c r="G151" s="212"/>
      <c r="H151" s="212"/>
      <c r="I151" s="116"/>
      <c r="J151" s="213"/>
      <c r="K151" s="213"/>
      <c r="L151" s="213"/>
    </row>
    <row r="152" spans="1:12" ht="22.5" customHeight="1">
      <c r="A152" s="210"/>
      <c r="B152" s="115" t="e">
        <f>VLOOKUP(C152,Lists!I:J,2,FALSE)</f>
        <v>#N/A</v>
      </c>
      <c r="C152" s="115"/>
      <c r="D152" s="17"/>
      <c r="E152" s="211"/>
      <c r="F152" s="17"/>
      <c r="G152" s="212"/>
      <c r="H152" s="212"/>
      <c r="I152" s="116"/>
      <c r="J152" s="213"/>
      <c r="K152" s="213"/>
      <c r="L152" s="213"/>
    </row>
    <row r="153" spans="1:12" ht="22.5" customHeight="1">
      <c r="A153" s="210"/>
      <c r="B153" s="115" t="e">
        <f>VLOOKUP(C153,Lists!I:J,2,FALSE)</f>
        <v>#N/A</v>
      </c>
      <c r="C153" s="115"/>
      <c r="D153" s="17"/>
      <c r="E153" s="211"/>
      <c r="F153" s="17"/>
      <c r="G153" s="212"/>
      <c r="H153" s="212"/>
      <c r="I153" s="116"/>
      <c r="J153" s="213"/>
      <c r="K153" s="213"/>
      <c r="L153" s="213"/>
    </row>
    <row r="154" spans="1:12" ht="22.5" customHeight="1">
      <c r="A154" s="210"/>
      <c r="B154" s="115" t="e">
        <f>VLOOKUP(C154,Lists!I:J,2,FALSE)</f>
        <v>#N/A</v>
      </c>
      <c r="C154" s="115"/>
      <c r="D154" s="17"/>
      <c r="E154" s="211"/>
      <c r="F154" s="17"/>
      <c r="G154" s="212"/>
      <c r="H154" s="212"/>
      <c r="I154" s="116"/>
      <c r="J154" s="213"/>
      <c r="K154" s="213"/>
      <c r="L154" s="213"/>
    </row>
    <row r="155" spans="1:12" ht="22.5" customHeight="1">
      <c r="A155" s="210"/>
      <c r="B155" s="115" t="e">
        <f>VLOOKUP(C155,Lists!I:J,2,FALSE)</f>
        <v>#N/A</v>
      </c>
      <c r="C155" s="115"/>
      <c r="D155" s="17"/>
      <c r="E155" s="211"/>
      <c r="F155" s="17"/>
      <c r="G155" s="212"/>
      <c r="H155" s="212"/>
      <c r="I155" s="116"/>
      <c r="J155" s="213"/>
      <c r="K155" s="213"/>
      <c r="L155" s="213"/>
    </row>
    <row r="156" spans="1:12" ht="22.5" customHeight="1">
      <c r="A156" s="210"/>
      <c r="B156" s="115" t="e">
        <f>VLOOKUP(C156,Lists!I:J,2,FALSE)</f>
        <v>#N/A</v>
      </c>
      <c r="C156" s="115"/>
      <c r="D156" s="17"/>
      <c r="E156" s="211"/>
      <c r="F156" s="17"/>
      <c r="G156" s="212"/>
      <c r="H156" s="212"/>
      <c r="I156" s="116"/>
      <c r="J156" s="213"/>
      <c r="K156" s="213"/>
      <c r="L156" s="213"/>
    </row>
    <row r="157" spans="1:12" ht="22.5" customHeight="1">
      <c r="A157" s="210"/>
      <c r="B157" s="115" t="e">
        <f>VLOOKUP(C157,Lists!I:J,2,FALSE)</f>
        <v>#N/A</v>
      </c>
      <c r="C157" s="115"/>
      <c r="D157" s="17"/>
      <c r="E157" s="211"/>
      <c r="F157" s="17"/>
      <c r="G157" s="212"/>
      <c r="H157" s="212"/>
      <c r="I157" s="116"/>
      <c r="J157" s="213"/>
      <c r="K157" s="213"/>
      <c r="L157" s="213"/>
    </row>
    <row r="158" spans="1:12" ht="22.5" customHeight="1">
      <c r="A158" s="210"/>
      <c r="B158" s="115" t="e">
        <f>VLOOKUP(C158,Lists!I:J,2,FALSE)</f>
        <v>#N/A</v>
      </c>
      <c r="C158" s="115"/>
      <c r="D158" s="17"/>
      <c r="E158" s="211"/>
      <c r="F158" s="17"/>
      <c r="G158" s="212"/>
      <c r="H158" s="212"/>
      <c r="I158" s="116"/>
      <c r="J158" s="213"/>
      <c r="K158" s="213"/>
      <c r="L158" s="213"/>
    </row>
    <row r="159" spans="1:12" ht="22.5" customHeight="1">
      <c r="A159" s="210"/>
      <c r="B159" s="115" t="e">
        <f>VLOOKUP(C159,Lists!I:J,2,FALSE)</f>
        <v>#N/A</v>
      </c>
      <c r="C159" s="115"/>
      <c r="D159" s="17"/>
      <c r="E159" s="211"/>
      <c r="F159" s="17"/>
      <c r="G159" s="212"/>
      <c r="H159" s="212"/>
      <c r="I159" s="116"/>
      <c r="J159" s="213"/>
      <c r="K159" s="213"/>
      <c r="L159" s="213"/>
    </row>
    <row r="160" spans="1:12" ht="22.5" customHeight="1">
      <c r="A160" s="210"/>
      <c r="B160" s="115" t="e">
        <f>VLOOKUP(C160,Lists!I:J,2,FALSE)</f>
        <v>#N/A</v>
      </c>
      <c r="C160" s="115"/>
      <c r="D160" s="17"/>
      <c r="E160" s="211"/>
      <c r="F160" s="17"/>
      <c r="G160" s="212"/>
      <c r="H160" s="212"/>
      <c r="I160" s="116"/>
      <c r="J160" s="213"/>
      <c r="K160" s="213"/>
      <c r="L160" s="213"/>
    </row>
    <row r="161" spans="1:12" ht="22.5" customHeight="1">
      <c r="A161" s="210"/>
      <c r="B161" s="115" t="e">
        <f>VLOOKUP(C161,Lists!I:J,2,FALSE)</f>
        <v>#N/A</v>
      </c>
      <c r="C161" s="115"/>
      <c r="D161" s="17"/>
      <c r="E161" s="211"/>
      <c r="F161" s="17"/>
      <c r="G161" s="212"/>
      <c r="H161" s="212"/>
      <c r="I161" s="116"/>
      <c r="J161" s="213"/>
      <c r="K161" s="213"/>
      <c r="L161" s="213"/>
    </row>
    <row r="162" spans="1:12" ht="22.5" customHeight="1">
      <c r="A162" s="210"/>
      <c r="B162" s="115" t="e">
        <f>VLOOKUP(C162,Lists!I:J,2,FALSE)</f>
        <v>#N/A</v>
      </c>
      <c r="C162" s="115"/>
      <c r="D162" s="17"/>
      <c r="E162" s="211"/>
      <c r="F162" s="17"/>
      <c r="G162" s="212"/>
      <c r="H162" s="212"/>
      <c r="I162" s="116"/>
      <c r="J162" s="213"/>
      <c r="K162" s="213"/>
      <c r="L162" s="213"/>
    </row>
    <row r="163" spans="1:12" ht="22.5" customHeight="1">
      <c r="A163" s="210"/>
      <c r="B163" s="115" t="e">
        <f>VLOOKUP(C163,Lists!I:J,2,FALSE)</f>
        <v>#N/A</v>
      </c>
      <c r="C163" s="115"/>
      <c r="D163" s="17"/>
      <c r="E163" s="211"/>
      <c r="F163" s="17"/>
      <c r="G163" s="212"/>
      <c r="H163" s="212"/>
      <c r="I163" s="116"/>
      <c r="J163" s="213"/>
      <c r="K163" s="213"/>
      <c r="L163" s="213"/>
    </row>
  </sheetData>
  <mergeCells count="14">
    <mergeCell ref="R63:T63"/>
    <mergeCell ref="AB63:AD63"/>
    <mergeCell ref="R2:T2"/>
    <mergeCell ref="V2:W2"/>
    <mergeCell ref="Y2:Z2"/>
    <mergeCell ref="AB2:AD2"/>
    <mergeCell ref="V15:W15"/>
    <mergeCell ref="Y15:Z15"/>
    <mergeCell ref="AB15:AD15"/>
    <mergeCell ref="R15:T15"/>
    <mergeCell ref="R28:T28"/>
    <mergeCell ref="AB28:AD28"/>
    <mergeCell ref="R49:T49"/>
    <mergeCell ref="AB49:AD49"/>
  </mergeCells>
  <dataValidations count="4">
    <dataValidation type="list" allowBlank="1" sqref="B2:D163" xr:uid="{00000000-0002-0000-1100-000000000000}">
      <formula1>#REF!</formula1>
    </dataValidation>
    <dataValidation type="list" allowBlank="1" sqref="F2:F163" xr:uid="{00000000-0002-0000-1100-000002000000}">
      <formula1>"Yellow,Red"</formula1>
    </dataValidation>
    <dataValidation type="custom" allowBlank="1" showDropDown="1" sqref="AC4:AD14 S4:T14 AC17:AD25 S17:T25 AC30:AD46 S30:T46 AC51:AD60 S51:T60 S65:T72 AC65:AD72 A2:A163 G2:L163" xr:uid="{00000000-0002-0000-1100-000003000000}">
      <formula1>AND(ISNUMBER(A2),(NOT(OR(NOT(ISERROR(DATEVALUE(A2))), AND(ISNUMBER(A2), LEFT(CELL("format", A2))="D")))))</formula1>
    </dataValidation>
    <dataValidation allowBlank="1" showDropDown="1" sqref="E2:E163" xr:uid="{00000000-0002-0000-1100-000004000000}"/>
  </dataValidations>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189" t="s">
        <v>463</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30" ht="22.5" customHeight="1">
      <c r="A2" s="82">
        <v>1</v>
      </c>
      <c r="B2" s="115" t="str">
        <f>VLOOKUP(C2,Lists!I:J,2,FALSE)</f>
        <v>Melee DPS</v>
      </c>
      <c r="C2" s="115" t="str">
        <f>VLOOKUP(E2,Lists!D:E,2,FALSE)</f>
        <v>Greatsword/Spear</v>
      </c>
      <c r="D2" s="13" t="s">
        <v>7</v>
      </c>
      <c r="E2" s="83" t="s">
        <v>27</v>
      </c>
      <c r="F2" s="13" t="s">
        <v>476</v>
      </c>
      <c r="G2" s="82">
        <v>61</v>
      </c>
      <c r="H2" s="82">
        <v>76</v>
      </c>
      <c r="I2" s="194">
        <f t="shared" ref="I2:I110" si="0">SUM(G2:H2)</f>
        <v>137</v>
      </c>
      <c r="J2" s="85">
        <v>2958312</v>
      </c>
      <c r="K2" s="85">
        <v>713181</v>
      </c>
      <c r="L2" s="85">
        <v>10468</v>
      </c>
      <c r="M2" s="195">
        <f>I2/(HLOOKUP(F2,Team_Composition_23[[#All],[Yellow]:[Red]],10,FALSE)+HLOOKUP(F2,Team_Composition_23[[#All],[Yellow]:[Red]],11,FALSE))</f>
        <v>3.424143964008998E-2</v>
      </c>
      <c r="N2" s="195">
        <f>J2/HLOOKUP(F2,Team_Composition_23[[#All],[Yellow]:[Red]],6,FALSE)</f>
        <v>6.6683330481520309E-2</v>
      </c>
      <c r="O2" s="195">
        <f>K2/HLOOKUP(F2,Team_Composition_23[[#All],[Yellow]:[Red]],8,FALSE)</f>
        <v>4.0709552381067091E-2</v>
      </c>
      <c r="P2" s="195">
        <f>L2/HLOOKUP(F2,Team_Composition_23[[#All],[Yellow]:[Red]],7,FALSE)</f>
        <v>8.0866610726459964E-4</v>
      </c>
      <c r="R2" s="232" t="s">
        <v>477</v>
      </c>
      <c r="S2" s="228"/>
      <c r="T2" s="228"/>
      <c r="V2" s="233" t="s">
        <v>478</v>
      </c>
      <c r="W2" s="228"/>
      <c r="X2" s="196"/>
      <c r="Y2" s="233" t="s">
        <v>479</v>
      </c>
      <c r="Z2" s="228"/>
      <c r="AB2" s="232" t="s">
        <v>480</v>
      </c>
      <c r="AC2" s="228"/>
      <c r="AD2" s="228"/>
    </row>
    <row r="3" spans="1:30" ht="22.5" customHeight="1">
      <c r="A3" s="82">
        <v>2</v>
      </c>
      <c r="B3" s="115" t="str">
        <f>VLOOKUP(C3,Lists!I:J,2,FALSE)</f>
        <v>Ranged DPS</v>
      </c>
      <c r="C3" s="115" t="str">
        <f>VLOOKUP(E3,Lists!D:E,2,FALSE)</f>
        <v>Orb/Wand</v>
      </c>
      <c r="D3" s="13" t="s">
        <v>7</v>
      </c>
      <c r="E3" s="83" t="s">
        <v>94</v>
      </c>
      <c r="F3" s="13" t="s">
        <v>476</v>
      </c>
      <c r="G3" s="82">
        <v>56</v>
      </c>
      <c r="H3" s="82">
        <v>76</v>
      </c>
      <c r="I3" s="194">
        <f t="shared" si="0"/>
        <v>132</v>
      </c>
      <c r="J3" s="85">
        <v>4185009</v>
      </c>
      <c r="K3" s="85">
        <v>466351</v>
      </c>
      <c r="L3" s="85">
        <v>0</v>
      </c>
      <c r="M3" s="195">
        <f>I3/(HLOOKUP(F3,Team_Composition_23[[#All],[Yellow]:[Red]],10,FALSE)+HLOOKUP(F3,Team_Composition_23[[#All],[Yellow]:[Red]],11,FALSE))</f>
        <v>3.2991752061984507E-2</v>
      </c>
      <c r="N3" s="195">
        <f>J3/HLOOKUP(F3,Team_Composition_23[[#All],[Yellow]:[Red]],6,FALSE)</f>
        <v>9.4334315722999065E-2</v>
      </c>
      <c r="O3" s="195">
        <f>K3/HLOOKUP(F3,Team_Composition_23[[#All],[Yellow]:[Red]],8,FALSE)</f>
        <v>2.6620087274426853E-2</v>
      </c>
      <c r="P3" s="195">
        <f>L3/HLOOKUP(F3,Team_Composition_23[[#All],[Yellow]:[Red]],7,FALSE)</f>
        <v>0</v>
      </c>
      <c r="R3" s="197" t="s">
        <v>482</v>
      </c>
      <c r="S3" s="198" t="s">
        <v>476</v>
      </c>
      <c r="T3" s="198" t="s">
        <v>483</v>
      </c>
      <c r="V3" s="199" t="s">
        <v>1</v>
      </c>
      <c r="W3" s="200" t="s">
        <v>467</v>
      </c>
      <c r="Y3" s="199" t="s">
        <v>1</v>
      </c>
      <c r="Z3" s="200" t="s">
        <v>484</v>
      </c>
      <c r="AB3" s="197" t="s">
        <v>482</v>
      </c>
      <c r="AC3" s="198" t="s">
        <v>7</v>
      </c>
      <c r="AD3" s="198" t="s">
        <v>527</v>
      </c>
    </row>
    <row r="4" spans="1:30" ht="22.5" customHeight="1">
      <c r="A4" s="82">
        <v>13</v>
      </c>
      <c r="B4" s="115" t="str">
        <f>VLOOKUP(C4,Lists!I:J,2,FALSE)</f>
        <v>Melee DPS</v>
      </c>
      <c r="C4" s="115" t="str">
        <f>VLOOKUP(E4,Lists!D:E,2,FALSE)</f>
        <v>Greatsword/Spear</v>
      </c>
      <c r="D4" s="13" t="s">
        <v>7</v>
      </c>
      <c r="E4" s="83" t="s">
        <v>77</v>
      </c>
      <c r="F4" s="13" t="s">
        <v>476</v>
      </c>
      <c r="G4" s="82">
        <v>29</v>
      </c>
      <c r="H4" s="82">
        <v>102</v>
      </c>
      <c r="I4" s="194">
        <f t="shared" si="0"/>
        <v>131</v>
      </c>
      <c r="J4" s="85">
        <v>2510453</v>
      </c>
      <c r="K4" s="85">
        <v>1448746</v>
      </c>
      <c r="L4" s="85">
        <v>25989</v>
      </c>
      <c r="M4" s="195">
        <f>I4/(HLOOKUP(F4,Team_Composition_23[[#All],[Yellow]:[Red]],10,FALSE)+HLOOKUP(F4,Team_Composition_23[[#All],[Yellow]:[Red]],11,FALSE))</f>
        <v>3.2741814546363407E-2</v>
      </c>
      <c r="N4" s="195">
        <f>J4/HLOOKUP(F4,Team_Composition_23[[#All],[Yellow]:[Red]],6,FALSE)</f>
        <v>5.6588137781722857E-2</v>
      </c>
      <c r="O4" s="195">
        <f>K4/HLOOKUP(F4,Team_Composition_23[[#All],[Yellow]:[Red]],8,FALSE)</f>
        <v>8.2696820546062533E-2</v>
      </c>
      <c r="P4" s="195">
        <f>L4/HLOOKUP(F4,Team_Composition_23[[#All],[Yellow]:[Red]],7,FALSE)</f>
        <v>2.0076827915265264E-3</v>
      </c>
      <c r="R4" s="201" t="s">
        <v>25</v>
      </c>
      <c r="S4" s="202">
        <f>COUNTIFS(Scoreboard_27[Role],R4,Scoreboard_27[Team],"Yellow")</f>
        <v>4</v>
      </c>
      <c r="T4" s="203">
        <f>COUNTIFS(Scoreboard_27[Role],R4,Scoreboard_27[Team],"Red")</f>
        <v>4</v>
      </c>
      <c r="V4" s="204" t="str">
        <f ca="1">IFERROR(__xludf.DUMMYFUNCTION("query(A1:P238, ""Select E,I where B!='Healer' Order by I Desc Limit 10"", 0)"),"Blee")</f>
        <v>Blee</v>
      </c>
      <c r="W4" s="116">
        <f ca="1">IFERROR(__xludf.DUMMYFUNCTION("""COMPUTED_VALUE"""),137)</f>
        <v>137</v>
      </c>
      <c r="Y4" s="204" t="str">
        <f ca="1">IFERROR(__xludf.DUMMYFUNCTION("query(A1:P238, ""Select E,J Order by J Desc Limit 10"", 0)"),"Regalians")</f>
        <v>Regalians</v>
      </c>
      <c r="Z4" s="116">
        <f ca="1">IFERROR(__xludf.DUMMYFUNCTION("""COMPUTED_VALUE"""),4185009)</f>
        <v>4185009</v>
      </c>
      <c r="AB4" s="201" t="s">
        <v>25</v>
      </c>
      <c r="AC4" s="205">
        <f>COUNTIFS(Scoreboard_27[Role],AB4,Scoreboard_27[Guild],"FTP")</f>
        <v>4</v>
      </c>
      <c r="AD4" s="206">
        <f>COUNTIFS(Scoreboard_27[Role],AB4,Scoreboard_27[Guild],"Undercooked")</f>
        <v>0</v>
      </c>
    </row>
    <row r="5" spans="1:30" ht="22.5" customHeight="1">
      <c r="A5" s="82">
        <v>8</v>
      </c>
      <c r="B5" s="115" t="str">
        <f>VLOOKUP(C5,Lists!I:J,2,FALSE)</f>
        <v>Ranged DPS</v>
      </c>
      <c r="C5" s="115" t="str">
        <f>VLOOKUP(E5,Lists!D:E,2,FALSE)</f>
        <v>Staff/Dagger</v>
      </c>
      <c r="D5" s="13" t="s">
        <v>7</v>
      </c>
      <c r="E5" s="83" t="s">
        <v>31</v>
      </c>
      <c r="F5" s="13" t="s">
        <v>476</v>
      </c>
      <c r="G5" s="82">
        <v>35</v>
      </c>
      <c r="H5" s="82">
        <v>89</v>
      </c>
      <c r="I5" s="194">
        <f t="shared" si="0"/>
        <v>124</v>
      </c>
      <c r="J5" s="85">
        <v>2235191</v>
      </c>
      <c r="K5" s="85">
        <v>678755</v>
      </c>
      <c r="L5" s="85">
        <v>0</v>
      </c>
      <c r="M5" s="195">
        <f>I5/(HLOOKUP(F5,Team_Composition_23[[#All],[Yellow]:[Red]],10,FALSE)+HLOOKUP(F5,Team_Composition_23[[#All],[Yellow]:[Red]],11,FALSE))</f>
        <v>3.0992251937015745E-2</v>
      </c>
      <c r="N5" s="195">
        <f>J5/HLOOKUP(F5,Team_Composition_23[[#All],[Yellow]:[Red]],6,FALSE)</f>
        <v>5.0383455207672435E-2</v>
      </c>
      <c r="O5" s="195">
        <f>K5/HLOOKUP(F5,Team_Composition_23[[#All],[Yellow]:[Red]],8,FALSE)</f>
        <v>3.8744459297725527E-2</v>
      </c>
      <c r="P5" s="195">
        <f>L5/HLOOKUP(F5,Team_Composition_23[[#All],[Yellow]:[Red]],7,FALSE)</f>
        <v>0</v>
      </c>
      <c r="R5" s="201" t="s">
        <v>39</v>
      </c>
      <c r="S5" s="202">
        <f>COUNTIFS(Scoreboard_27[Role],R5,Scoreboard_27[Team],"Yellow")</f>
        <v>8</v>
      </c>
      <c r="T5" s="203">
        <f>COUNTIFS(Scoreboard_27[Role],R5,Scoreboard_27[Team],"Red")</f>
        <v>6</v>
      </c>
      <c r="V5" s="204" t="str">
        <f ca="1">IFERROR(__xludf.DUMMYFUNCTION("""COMPUTED_VALUE"""),"Regalians")</f>
        <v>Regalians</v>
      </c>
      <c r="W5" s="116">
        <f ca="1">IFERROR(__xludf.DUMMYFUNCTION("""COMPUTED_VALUE"""),132)</f>
        <v>132</v>
      </c>
      <c r="Y5" s="204" t="str">
        <f ca="1">IFERROR(__xludf.DUMMYFUNCTION("""COMPUTED_VALUE"""),"Blee")</f>
        <v>Blee</v>
      </c>
      <c r="Z5" s="116">
        <f ca="1">IFERROR(__xludf.DUMMYFUNCTION("""COMPUTED_VALUE"""),2958312)</f>
        <v>2958312</v>
      </c>
      <c r="AB5" s="201" t="s">
        <v>39</v>
      </c>
      <c r="AC5" s="205">
        <f>COUNTIFS(Scoreboard_27[Role],AB5,Scoreboard_27[Guild],"FTP")</f>
        <v>7</v>
      </c>
      <c r="AD5" s="206">
        <f>COUNTIFS(Scoreboard_27[Role],AB5,Scoreboard_27[Guild],"Undercooked")</f>
        <v>0</v>
      </c>
    </row>
    <row r="6" spans="1:30" ht="22.5" customHeight="1">
      <c r="A6" s="82">
        <v>6</v>
      </c>
      <c r="B6" s="115" t="str">
        <f>VLOOKUP(C6,Lists!I:J,2,FALSE)</f>
        <v>Ranged DPS</v>
      </c>
      <c r="C6" s="115" t="str">
        <f>VLOOKUP(E6,Lists!D:E,2,FALSE)</f>
        <v>Staff/Dagger</v>
      </c>
      <c r="D6" s="13" t="s">
        <v>7</v>
      </c>
      <c r="E6" s="83" t="s">
        <v>133</v>
      </c>
      <c r="F6" s="13" t="s">
        <v>476</v>
      </c>
      <c r="G6" s="82">
        <v>36</v>
      </c>
      <c r="H6" s="82">
        <v>87</v>
      </c>
      <c r="I6" s="194">
        <f t="shared" si="0"/>
        <v>123</v>
      </c>
      <c r="J6" s="85">
        <v>2837647</v>
      </c>
      <c r="K6" s="85">
        <v>588890</v>
      </c>
      <c r="L6" s="85">
        <v>7818</v>
      </c>
      <c r="M6" s="195">
        <f>I6/(HLOOKUP(F6,Team_Composition_23[[#All],[Yellow]:[Red]],10,FALSE)+HLOOKUP(F6,Team_Composition_23[[#All],[Yellow]:[Red]],11,FALSE))</f>
        <v>3.0742314421394652E-2</v>
      </c>
      <c r="N6" s="195">
        <f>J6/HLOOKUP(F6,Team_Composition_23[[#All],[Yellow]:[Red]],6,FALSE)</f>
        <v>6.3963419913415032E-2</v>
      </c>
      <c r="O6" s="195">
        <f>K6/HLOOKUP(F6,Team_Composition_23[[#All],[Yellow]:[Red]],8,FALSE)</f>
        <v>3.3614816297246559E-2</v>
      </c>
      <c r="P6" s="195">
        <f>L6/HLOOKUP(F6,Team_Composition_23[[#All],[Yellow]:[Red]],7,FALSE)</f>
        <v>6.0395028912826139E-4</v>
      </c>
      <c r="R6" s="201" t="s">
        <v>67</v>
      </c>
      <c r="S6" s="202">
        <f>COUNTIFS(Scoreboard_27[Role],R6,Scoreboard_27[Team],"Yellow")</f>
        <v>14</v>
      </c>
      <c r="T6" s="203">
        <f>COUNTIFS(Scoreboard_27[Role],R6,Scoreboard_27[Team],"Red")</f>
        <v>17</v>
      </c>
      <c r="V6" s="204" t="str">
        <f ca="1">IFERROR(__xludf.DUMMYFUNCTION("""COMPUTED_VALUE"""),"Kyu")</f>
        <v>Kyu</v>
      </c>
      <c r="W6" s="116">
        <f ca="1">IFERROR(__xludf.DUMMYFUNCTION("""COMPUTED_VALUE"""),131)</f>
        <v>131</v>
      </c>
      <c r="Y6" s="204" t="str">
        <f ca="1">IFERROR(__xludf.DUMMYFUNCTION("""COMPUTED_VALUE"""),"Itty")</f>
        <v>Itty</v>
      </c>
      <c r="Z6" s="116">
        <f ca="1">IFERROR(__xludf.DUMMYFUNCTION("""COMPUTED_VALUE"""),2837647)</f>
        <v>2837647</v>
      </c>
      <c r="AB6" s="201" t="s">
        <v>67</v>
      </c>
      <c r="AC6" s="205">
        <f>COUNTIFS(Scoreboard_27[Role],AB6,Scoreboard_27[Guild],"FTP")</f>
        <v>14</v>
      </c>
      <c r="AD6" s="206">
        <f>COUNTIFS(Scoreboard_27[Role],AB6,Scoreboard_27[Guild],"Undercooked")</f>
        <v>0</v>
      </c>
    </row>
    <row r="7" spans="1:30" ht="22.5" customHeight="1">
      <c r="A7" s="82">
        <v>3</v>
      </c>
      <c r="B7" s="115" t="str">
        <f>VLOOKUP(C7,Lists!I:J,2,FALSE)</f>
        <v>KS</v>
      </c>
      <c r="C7" s="115" t="str">
        <f>VLOOKUP(E7,Lists!D:E,2,FALSE)</f>
        <v>Crossbow/Dagger</v>
      </c>
      <c r="D7" s="13" t="s">
        <v>7</v>
      </c>
      <c r="E7" s="83" t="s">
        <v>504</v>
      </c>
      <c r="F7" s="13" t="s">
        <v>476</v>
      </c>
      <c r="G7" s="82">
        <v>51</v>
      </c>
      <c r="H7" s="82">
        <v>51</v>
      </c>
      <c r="I7" s="194">
        <f t="shared" si="0"/>
        <v>102</v>
      </c>
      <c r="J7" s="85">
        <v>2111063</v>
      </c>
      <c r="K7" s="85">
        <v>628069</v>
      </c>
      <c r="L7" s="85">
        <v>0</v>
      </c>
      <c r="M7" s="195">
        <f>I7/(HLOOKUP(F7,Team_Composition_23[[#All],[Yellow]:[Red]],10,FALSE)+HLOOKUP(F7,Team_Composition_23[[#All],[Yellow]:[Red]],11,FALSE))</f>
        <v>2.5493626593351661E-2</v>
      </c>
      <c r="N7" s="195">
        <f>J7/HLOOKUP(F7,Team_Composition_23[[#All],[Yellow]:[Red]],6,FALSE)</f>
        <v>4.758548513351861E-2</v>
      </c>
      <c r="O7" s="195">
        <f>K7/HLOOKUP(F7,Team_Composition_23[[#All],[Yellow]:[Red]],8,FALSE)</f>
        <v>3.5851218490711927E-2</v>
      </c>
      <c r="P7" s="195">
        <f>L7/HLOOKUP(F7,Team_Composition_23[[#All],[Yellow]:[Red]],7,FALSE)</f>
        <v>0</v>
      </c>
      <c r="R7" s="201" t="s">
        <v>11</v>
      </c>
      <c r="S7" s="202">
        <f>COUNTIFS(Scoreboard_27[Role],R7,Scoreboard_27[Team],"Yellow")</f>
        <v>19</v>
      </c>
      <c r="T7" s="203">
        <f>COUNTIFS(Scoreboard_27[Role],R7,Scoreboard_27[Team],"Red")</f>
        <v>22</v>
      </c>
      <c r="V7" s="204" t="str">
        <f ca="1">IFERROR(__xludf.DUMMYFUNCTION("""COMPUTED_VALUE"""),"CLEM")</f>
        <v>CLEM</v>
      </c>
      <c r="W7" s="116">
        <f ca="1">IFERROR(__xludf.DUMMYFUNCTION("""COMPUTED_VALUE"""),124)</f>
        <v>124</v>
      </c>
      <c r="Y7" s="204" t="str">
        <f ca="1">IFERROR(__xludf.DUMMYFUNCTION("""COMPUTED_VALUE"""),"Kyu")</f>
        <v>Kyu</v>
      </c>
      <c r="Z7" s="116">
        <f ca="1">IFERROR(__xludf.DUMMYFUNCTION("""COMPUTED_VALUE"""),2510453)</f>
        <v>2510453</v>
      </c>
      <c r="AB7" s="201" t="s">
        <v>11</v>
      </c>
      <c r="AC7" s="205">
        <f>COUNTIFS(Scoreboard_27[Role],AB7,Scoreboard_27[Guild],"FTP")</f>
        <v>18</v>
      </c>
      <c r="AD7" s="206">
        <f>COUNTIFS(Scoreboard_27[Role],AB7,Scoreboard_27[Guild],"Undercooked")</f>
        <v>0</v>
      </c>
    </row>
    <row r="8" spans="1:30" ht="22.5" customHeight="1">
      <c r="A8" s="82">
        <v>10</v>
      </c>
      <c r="B8" s="115" t="str">
        <f>VLOOKUP(C8,Lists!I:J,2,FALSE)</f>
        <v>KS</v>
      </c>
      <c r="C8" s="115" t="str">
        <f>VLOOKUP(E8,Lists!D:E,2,FALSE)</f>
        <v>Greatsword/Dagger</v>
      </c>
      <c r="D8" s="13" t="s">
        <v>7</v>
      </c>
      <c r="E8" s="83" t="s">
        <v>98</v>
      </c>
      <c r="F8" s="13" t="s">
        <v>476</v>
      </c>
      <c r="G8" s="82">
        <v>34</v>
      </c>
      <c r="H8" s="82">
        <v>62</v>
      </c>
      <c r="I8" s="194">
        <f t="shared" si="0"/>
        <v>96</v>
      </c>
      <c r="J8" s="85">
        <v>1507724</v>
      </c>
      <c r="K8" s="85">
        <v>655830</v>
      </c>
      <c r="L8" s="85">
        <v>17013</v>
      </c>
      <c r="M8" s="195">
        <f>I8/(HLOOKUP(F8,Team_Composition_23[[#All],[Yellow]:[Red]],10,FALSE)+HLOOKUP(F8,Team_Composition_23[[#All],[Yellow]:[Red]],11,FALSE))</f>
        <v>2.3994001499625092E-2</v>
      </c>
      <c r="N8" s="195">
        <f>J8/HLOOKUP(F8,Team_Composition_23[[#All],[Yellow]:[Red]],6,FALSE)</f>
        <v>3.3985616718899062E-2</v>
      </c>
      <c r="O8" s="195">
        <f>K8/HLOOKUP(F8,Team_Composition_23[[#All],[Yellow]:[Red]],8,FALSE)</f>
        <v>3.7435862337997269E-2</v>
      </c>
      <c r="P8" s="195">
        <f>L8/HLOOKUP(F8,Team_Composition_23[[#All],[Yellow]:[Red]],7,FALSE)</f>
        <v>1.3142755524352917E-3</v>
      </c>
      <c r="R8" s="201" t="s">
        <v>468</v>
      </c>
      <c r="S8" s="202">
        <f>SUMIFS(Scoreboard_27[Damage Dealt],Scoreboard_27[Team],"Yellow")</f>
        <v>33974732</v>
      </c>
      <c r="T8" s="203">
        <f>SUMIFS(Scoreboard_27[Damage Dealt],Scoreboard_27[Team],"Red")</f>
        <v>26930486</v>
      </c>
      <c r="V8" s="204" t="str">
        <f ca="1">IFERROR(__xludf.DUMMYFUNCTION("""COMPUTED_VALUE"""),"Itty")</f>
        <v>Itty</v>
      </c>
      <c r="W8" s="116">
        <f ca="1">IFERROR(__xludf.DUMMYFUNCTION("""COMPUTED_VALUE"""),123)</f>
        <v>123</v>
      </c>
      <c r="Y8" s="204" t="str">
        <f ca="1">IFERROR(__xludf.DUMMYFUNCTION("""COMPUTED_VALUE"""),"Delirax")</f>
        <v>Delirax</v>
      </c>
      <c r="Z8" s="116">
        <f ca="1">IFERROR(__xludf.DUMMYFUNCTION("""COMPUTED_VALUE"""),2414639)</f>
        <v>2414639</v>
      </c>
      <c r="AB8" s="201" t="s">
        <v>468</v>
      </c>
      <c r="AC8" s="205">
        <f>SUMIFS(Scoreboard_27[Damage Dealt],Scoreboard_27[Guild],"FTP")</f>
        <v>32639888</v>
      </c>
      <c r="AD8" s="206">
        <f>SUMIFS(Scoreboard_27[Damage Dealt],Scoreboard_27[Guild],"Undercooked")</f>
        <v>0</v>
      </c>
    </row>
    <row r="9" spans="1:30" ht="22.5" customHeight="1">
      <c r="A9" s="82">
        <v>17</v>
      </c>
      <c r="B9" s="115" t="str">
        <f>VLOOKUP(C9,Lists!I:J,2,FALSE)</f>
        <v>Melee DPS</v>
      </c>
      <c r="C9" s="115" t="str">
        <f>VLOOKUP(E9,Lists!D:E,2,FALSE)</f>
        <v>Greatsword/Spear</v>
      </c>
      <c r="D9" s="13" t="s">
        <v>7</v>
      </c>
      <c r="E9" s="83" t="s">
        <v>113</v>
      </c>
      <c r="F9" s="13" t="s">
        <v>476</v>
      </c>
      <c r="G9" s="82">
        <v>21</v>
      </c>
      <c r="H9" s="82">
        <v>73</v>
      </c>
      <c r="I9" s="194">
        <f t="shared" si="0"/>
        <v>94</v>
      </c>
      <c r="J9" s="85">
        <v>1644647</v>
      </c>
      <c r="K9" s="85">
        <v>1035166</v>
      </c>
      <c r="L9" s="85">
        <v>34799</v>
      </c>
      <c r="M9" s="195">
        <f>I9/(HLOOKUP(F9,Team_Composition_23[[#All],[Yellow]:[Red]],10,FALSE)+HLOOKUP(F9,Team_Composition_23[[#All],[Yellow]:[Red]],11,FALSE))</f>
        <v>2.3494126468382906E-2</v>
      </c>
      <c r="N9" s="195">
        <f>J9/HLOOKUP(F9,Team_Composition_23[[#All],[Yellow]:[Red]],6,FALSE)</f>
        <v>3.7071998973212061E-2</v>
      </c>
      <c r="O9" s="195">
        <f>K9/HLOOKUP(F9,Team_Composition_23[[#All],[Yellow]:[Red]],8,FALSE)</f>
        <v>5.9088989331038955E-2</v>
      </c>
      <c r="P9" s="195">
        <f>L9/HLOOKUP(F9,Team_Composition_23[[#All],[Yellow]:[Red]],7,FALSE)</f>
        <v>2.6882663227646925E-3</v>
      </c>
      <c r="R9" s="201" t="s">
        <v>470</v>
      </c>
      <c r="S9" s="202">
        <f>SUMIFS(Scoreboard_27[Amount Healed],Scoreboard_27[Team],"Yellow")</f>
        <v>18986964</v>
      </c>
      <c r="T9" s="203">
        <f>SUMIFS(Scoreboard_27[Amount Healed],Scoreboard_27[Team],"Red")</f>
        <v>20762222</v>
      </c>
      <c r="V9" s="204" t="str">
        <f ca="1">IFERROR(__xludf.DUMMYFUNCTION("""COMPUTED_VALUE"""),"Raitou")</f>
        <v>Raitou</v>
      </c>
      <c r="W9" s="116">
        <f ca="1">IFERROR(__xludf.DUMMYFUNCTION("""COMPUTED_VALUE"""),102)</f>
        <v>102</v>
      </c>
      <c r="Y9" s="204" t="str">
        <f ca="1">IFERROR(__xludf.DUMMYFUNCTION("""COMPUTED_VALUE"""),"CLEM")</f>
        <v>CLEM</v>
      </c>
      <c r="Z9" s="116">
        <f ca="1">IFERROR(__xludf.DUMMYFUNCTION("""COMPUTED_VALUE"""),2235191)</f>
        <v>2235191</v>
      </c>
      <c r="AB9" s="201" t="s">
        <v>470</v>
      </c>
      <c r="AC9" s="205">
        <f>SUMIFS(Scoreboard_27[Amount Healed],Scoreboard_27[Guild],"FTP")</f>
        <v>17981468</v>
      </c>
      <c r="AD9" s="206">
        <f>SUMIFS(Scoreboard_25[Amount Healed],Scoreboard_25[Guild],"Undercooked")</f>
        <v>16888010</v>
      </c>
    </row>
    <row r="10" spans="1:30" ht="22.5" customHeight="1">
      <c r="A10" s="82">
        <v>59</v>
      </c>
      <c r="B10" s="115" t="str">
        <f>VLOOKUP(C10,Lists!I:J,2,FALSE)</f>
        <v>Healer</v>
      </c>
      <c r="C10" s="115" t="str">
        <f>VLOOKUP(E10,Lists!D:E,2,FALSE)</f>
        <v>Wand/Orb</v>
      </c>
      <c r="D10" s="13" t="s">
        <v>7</v>
      </c>
      <c r="E10" s="83" t="s">
        <v>139</v>
      </c>
      <c r="F10" s="13" t="s">
        <v>476</v>
      </c>
      <c r="G10" s="82">
        <v>0</v>
      </c>
      <c r="H10" s="82">
        <v>91</v>
      </c>
      <c r="I10" s="194">
        <f t="shared" si="0"/>
        <v>91</v>
      </c>
      <c r="J10" s="85">
        <v>3533</v>
      </c>
      <c r="K10" s="85">
        <v>323040</v>
      </c>
      <c r="L10" s="85">
        <v>874394</v>
      </c>
      <c r="M10" s="195">
        <f>I10/(HLOOKUP(F10,Team_Composition_23[[#All],[Yellow]:[Red]],10,FALSE)+HLOOKUP(F10,Team_Composition_23[[#All],[Yellow]:[Red]],11,FALSE))</f>
        <v>2.274431392151962E-2</v>
      </c>
      <c r="N10" s="195">
        <f>J10/HLOOKUP(F10,Team_Composition_23[[#All],[Yellow]:[Red]],6,FALSE)</f>
        <v>7.9637376514448522E-5</v>
      </c>
      <c r="O10" s="195">
        <f>K10/HLOOKUP(F10,Team_Composition_23[[#All],[Yellow]:[Red]],8,FALSE)</f>
        <v>1.8439658096864486E-2</v>
      </c>
      <c r="P10" s="195">
        <f>L10/HLOOKUP(F10,Team_Composition_23[[#All],[Yellow]:[Red]],7,FALSE)</f>
        <v>6.7548031352266169E-2</v>
      </c>
      <c r="R10" s="201" t="s">
        <v>469</v>
      </c>
      <c r="S10" s="202">
        <f>SUMIFS(Scoreboard_27[Damage Taken],Scoreboard_27[Team],"Yellow")</f>
        <v>26926983</v>
      </c>
      <c r="T10" s="203">
        <f>SUMIFS(Scoreboard_27[Damage Taken],Scoreboard_27[Team],"Red")</f>
        <v>33978235</v>
      </c>
      <c r="V10" s="204" t="str">
        <f ca="1">IFERROR(__xludf.DUMMYFUNCTION("""COMPUTED_VALUE"""),"ShawarmaShuffle")</f>
        <v>ShawarmaShuffle</v>
      </c>
      <c r="W10" s="116">
        <f ca="1">IFERROR(__xludf.DUMMYFUNCTION("""COMPUTED_VALUE"""),96)</f>
        <v>96</v>
      </c>
      <c r="Y10" s="204" t="str">
        <f ca="1">IFERROR(__xludf.DUMMYFUNCTION("""COMPUTED_VALUE"""),"Raitou")</f>
        <v>Raitou</v>
      </c>
      <c r="Z10" s="116">
        <f ca="1">IFERROR(__xludf.DUMMYFUNCTION("""COMPUTED_VALUE"""),2111063)</f>
        <v>2111063</v>
      </c>
      <c r="AB10" s="201" t="s">
        <v>469</v>
      </c>
      <c r="AC10" s="205">
        <f>SUMIFS(Scoreboard_27[Damage Taken],Scoreboard_27[Guild],"FTP")</f>
        <v>25699035</v>
      </c>
      <c r="AD10" s="206">
        <f>SUMIFS(Scoreboard_27[Damage Taken],Scoreboard_27[Guild],"Undercooked")</f>
        <v>0</v>
      </c>
    </row>
    <row r="11" spans="1:30" ht="22.5" customHeight="1">
      <c r="A11" s="82">
        <v>60</v>
      </c>
      <c r="B11" s="115" t="str">
        <f>VLOOKUP(C11,Lists!I:J,2,FALSE)</f>
        <v>Healer</v>
      </c>
      <c r="C11" s="115" t="str">
        <f>VLOOKUP(E11,Lists!D:E,2,FALSE)</f>
        <v>Wand/Orb</v>
      </c>
      <c r="D11" s="13" t="s">
        <v>7</v>
      </c>
      <c r="E11" s="83" t="s">
        <v>41</v>
      </c>
      <c r="F11" s="13" t="s">
        <v>476</v>
      </c>
      <c r="G11" s="82">
        <v>0</v>
      </c>
      <c r="H11" s="82">
        <v>87</v>
      </c>
      <c r="I11" s="194">
        <f t="shared" si="0"/>
        <v>87</v>
      </c>
      <c r="J11" s="85">
        <v>4479</v>
      </c>
      <c r="K11" s="85">
        <v>128563</v>
      </c>
      <c r="L11" s="85">
        <v>1320291</v>
      </c>
      <c r="M11" s="195">
        <f>I11/(HLOOKUP(F11,Team_Composition_23[[#All],[Yellow]:[Red]],10,FALSE)+HLOOKUP(F11,Team_Composition_23[[#All],[Yellow]:[Red]],11,FALSE))</f>
        <v>2.174456385903524E-2</v>
      </c>
      <c r="N11" s="195">
        <f>J11/HLOOKUP(F11,Team_Composition_23[[#All],[Yellow]:[Red]],6,FALSE)</f>
        <v>1.0096116881070336E-4</v>
      </c>
      <c r="O11" s="195">
        <f>K11/HLOOKUP(F11,Team_Composition_23[[#All],[Yellow]:[Red]],8,FALSE)</f>
        <v>7.3385889174937755E-3</v>
      </c>
      <c r="P11" s="195">
        <f>L11/HLOOKUP(F11,Team_Composition_23[[#All],[Yellow]:[Red]],7,FALSE)</f>
        <v>0.10199413292190347</v>
      </c>
      <c r="R11" s="201" t="s">
        <v>495</v>
      </c>
      <c r="S11" s="202">
        <f ca="1">IFERROR(DIVIDE(SUMIFS(Scoreboard_27[Amount Healed],Scoreboard_27[Team],"Yellow"), SUMIFS(Scoreboard_27[Damage Taken],Scoreboard_27[Team],"Yellow"))*(100),0)</f>
        <v>0</v>
      </c>
      <c r="T11" s="203">
        <f ca="1">IFERROR(DIVIDE(SUMIFS(Scoreboard_27[Amount Healed],Scoreboard_27[Team],"Red"), SUMIFS(Scoreboard_27[Damage Taken],Scoreboard_27[Team],"Red"))*(100),0)</f>
        <v>0</v>
      </c>
      <c r="V11" s="204" t="str">
        <f ca="1">IFERROR(__xludf.DUMMYFUNCTION("""COMPUTED_VALUE"""),"Willan")</f>
        <v>Willan</v>
      </c>
      <c r="W11" s="116">
        <f ca="1">IFERROR(__xludf.DUMMYFUNCTION("""COMPUTED_VALUE"""),94)</f>
        <v>94</v>
      </c>
      <c r="Y11" s="204" t="str">
        <f ca="1">IFERROR(__xludf.DUMMYFUNCTION("""COMPUTED_VALUE"""),"stepbro")</f>
        <v>stepbro</v>
      </c>
      <c r="Z11" s="116">
        <f ca="1">IFERROR(__xludf.DUMMYFUNCTION("""COMPUTED_VALUE"""),1864368)</f>
        <v>1864368</v>
      </c>
      <c r="AB11" s="201" t="s">
        <v>495</v>
      </c>
      <c r="AC11" s="205">
        <f ca="1">IFERROR(DIVIDE(SUMIFS(Scoreboard_27[Amount Healed],Scoreboard_27[Guild],"FTP"), SUMIFS(Scoreboard_27[Damage Taken],Scoreboard_27[Guild],"FTP"))*(100),0)</f>
        <v>0</v>
      </c>
      <c r="AD11" s="206">
        <f ca="1">IFERROR(DIVIDE(SUMIFS(Scoreboard_27[Amount Healed],Scoreboard_27[Guild],"Undercooked"), SUMIFS(Scoreboard_27[Damage Taken],Scoreboard_27[Guild],"Undercooked"))*(100),0)</f>
        <v>0</v>
      </c>
    </row>
    <row r="12" spans="1:30" ht="22.5" customHeight="1">
      <c r="A12" s="82">
        <v>61</v>
      </c>
      <c r="B12" s="115" t="str">
        <f>VLOOKUP(C12,Lists!I:J,2,FALSE)</f>
        <v>Healer</v>
      </c>
      <c r="C12" s="115" t="str">
        <f>VLOOKUP(E12,Lists!D:E,2,FALSE)</f>
        <v>Wand/Longbow</v>
      </c>
      <c r="D12" s="13" t="s">
        <v>7</v>
      </c>
      <c r="E12" s="83" t="s">
        <v>126</v>
      </c>
      <c r="F12" s="13" t="s">
        <v>476</v>
      </c>
      <c r="G12" s="82">
        <v>0</v>
      </c>
      <c r="H12" s="82">
        <v>87</v>
      </c>
      <c r="I12" s="194">
        <f t="shared" si="0"/>
        <v>87</v>
      </c>
      <c r="J12" s="85">
        <v>597</v>
      </c>
      <c r="K12" s="85">
        <v>192308</v>
      </c>
      <c r="L12" s="85">
        <v>673936</v>
      </c>
      <c r="M12" s="195">
        <f>I12/(HLOOKUP(F12,Team_Composition_23[[#All],[Yellow]:[Red]],10,FALSE)+HLOOKUP(F12,Team_Composition_23[[#All],[Yellow]:[Red]],11,FALSE))</f>
        <v>2.174456385903524E-2</v>
      </c>
      <c r="N12" s="195">
        <f>J12/HLOOKUP(F12,Team_Composition_23[[#All],[Yellow]:[Red]],6,FALSE)</f>
        <v>1.3456980973429315E-5</v>
      </c>
      <c r="O12" s="195">
        <f>K12/HLOOKUP(F12,Team_Composition_23[[#All],[Yellow]:[Red]],8,FALSE)</f>
        <v>1.097725906789195E-2</v>
      </c>
      <c r="P12" s="195">
        <f>L12/HLOOKUP(F12,Team_Composition_23[[#All],[Yellow]:[Red]],7,FALSE)</f>
        <v>5.2062399853408027E-2</v>
      </c>
      <c r="R12" s="201" t="s">
        <v>465</v>
      </c>
      <c r="S12" s="202">
        <f>SUMIFS(Scoreboard_27[Kills],Scoreboard_27[Team],"Yellow")</f>
        <v>561</v>
      </c>
      <c r="T12" s="203">
        <f>SUMIFS(Scoreboard_27[Kills],Scoreboard_27[Team],"Red")</f>
        <v>341</v>
      </c>
      <c r="V12" s="204" t="str">
        <f ca="1">IFERROR(__xludf.DUMMYFUNCTION("""COMPUTED_VALUE"""),"Fuji")</f>
        <v>Fuji</v>
      </c>
      <c r="W12" s="116">
        <f ca="1">IFERROR(__xludf.DUMMYFUNCTION("""COMPUTED_VALUE"""),84)</f>
        <v>84</v>
      </c>
      <c r="Y12" s="204" t="str">
        <f ca="1">IFERROR(__xludf.DUMMYFUNCTION("""COMPUTED_VALUE"""),"⚔Leem⚔")</f>
        <v>⚔Leem⚔</v>
      </c>
      <c r="Z12" s="116">
        <f ca="1">IFERROR(__xludf.DUMMYFUNCTION("""COMPUTED_VALUE"""),1768714)</f>
        <v>1768714</v>
      </c>
      <c r="AB12" s="201" t="s">
        <v>465</v>
      </c>
      <c r="AC12" s="205">
        <f>SUMIFS(Scoreboard_27[Kills],Scoreboard_27[Guild],"FTP")</f>
        <v>549</v>
      </c>
      <c r="AD12" s="206">
        <f>SUMIFS(Scoreboard_27[Kills],Scoreboard_27[Guild],"Undercooked")</f>
        <v>0</v>
      </c>
    </row>
    <row r="13" spans="1:30" ht="22.5" customHeight="1">
      <c r="A13" s="82">
        <v>4</v>
      </c>
      <c r="B13" s="115" t="str">
        <f>VLOOKUP(C13,Lists!I:J,2,FALSE)</f>
        <v>Ranged DPS</v>
      </c>
      <c r="C13" s="115" t="str">
        <f>VLOOKUP(E13,Lists!D:E,2,FALSE)</f>
        <v>Crossbow/Longbow</v>
      </c>
      <c r="D13" s="13" t="s">
        <v>7</v>
      </c>
      <c r="E13" s="83" t="s">
        <v>51</v>
      </c>
      <c r="F13" s="13" t="s">
        <v>476</v>
      </c>
      <c r="G13" s="82">
        <v>42</v>
      </c>
      <c r="H13" s="82">
        <v>42</v>
      </c>
      <c r="I13" s="194">
        <f t="shared" si="0"/>
        <v>84</v>
      </c>
      <c r="J13" s="85">
        <v>1485487</v>
      </c>
      <c r="K13" s="85">
        <v>562954</v>
      </c>
      <c r="L13" s="85">
        <v>0</v>
      </c>
      <c r="M13" s="195">
        <f>I13/(HLOOKUP(F13,Team_Composition_23[[#All],[Yellow]:[Red]],10,FALSE)+HLOOKUP(F13,Team_Composition_23[[#All],[Yellow]:[Red]],11,FALSE))</f>
        <v>2.0994751312171957E-2</v>
      </c>
      <c r="N13" s="195">
        <f>J13/HLOOKUP(F13,Team_Composition_23[[#All],[Yellow]:[Red]],6,FALSE)</f>
        <v>3.3484372353897139E-2</v>
      </c>
      <c r="O13" s="195">
        <f>K13/HLOOKUP(F13,Team_Composition_23[[#All],[Yellow]:[Red]],8,FALSE)</f>
        <v>3.2134346471837084E-2</v>
      </c>
      <c r="P13" s="195">
        <f>L13/HLOOKUP(F13,Team_Composition_23[[#All],[Yellow]:[Red]],7,FALSE)</f>
        <v>0</v>
      </c>
      <c r="R13" s="201" t="s">
        <v>466</v>
      </c>
      <c r="S13" s="202">
        <f>SUMIFS(Scoreboard_27[Assists],Scoreboard_27[Team],"Yellow")</f>
        <v>2095</v>
      </c>
      <c r="T13" s="203">
        <f>SUMIFS(Scoreboard_27[Assists],Scoreboard_27[Team],"Red")</f>
        <v>1358</v>
      </c>
      <c r="V13" s="204" t="str">
        <f ca="1">IFERROR(__xludf.DUMMYFUNCTION("""COMPUTED_VALUE"""),"Dravx")</f>
        <v>Dravx</v>
      </c>
      <c r="W13" s="116">
        <f ca="1">IFERROR(__xludf.DUMMYFUNCTION("""COMPUTED_VALUE"""),81)</f>
        <v>81</v>
      </c>
      <c r="Y13" s="204" t="str">
        <f ca="1">IFERROR(__xludf.DUMMYFUNCTION("""COMPUTED_VALUE"""),"Superluigi")</f>
        <v>Superluigi</v>
      </c>
      <c r="Z13" s="116">
        <f ca="1">IFERROR(__xludf.DUMMYFUNCTION("""COMPUTED_VALUE"""),1713121)</f>
        <v>1713121</v>
      </c>
      <c r="AB13" s="201" t="s">
        <v>466</v>
      </c>
      <c r="AC13" s="205">
        <f>SUMIFS(Scoreboard_27[Assists],Scoreboard_27[Guild],"FTP")</f>
        <v>1984</v>
      </c>
      <c r="AD13" s="206">
        <f>SUMIFS(Scoreboard_27[Assists],Scoreboard_27[Guild],"Undercooked")</f>
        <v>0</v>
      </c>
    </row>
    <row r="14" spans="1:30" ht="22.5" customHeight="1">
      <c r="A14" s="82">
        <v>5</v>
      </c>
      <c r="B14" s="115" t="str">
        <f>VLOOKUP(C14,Lists!I:J,2,FALSE)</f>
        <v>KS</v>
      </c>
      <c r="C14" s="115" t="s">
        <v>69</v>
      </c>
      <c r="D14" s="13" t="s">
        <v>36</v>
      </c>
      <c r="E14" s="83" t="s">
        <v>287</v>
      </c>
      <c r="F14" s="13" t="s">
        <v>483</v>
      </c>
      <c r="G14" s="82">
        <v>38</v>
      </c>
      <c r="H14" s="82">
        <v>43</v>
      </c>
      <c r="I14" s="194">
        <f t="shared" si="0"/>
        <v>81</v>
      </c>
      <c r="J14" s="85">
        <v>1440737</v>
      </c>
      <c r="K14" s="85">
        <v>590999</v>
      </c>
      <c r="L14" s="85">
        <v>7572</v>
      </c>
      <c r="M14" s="195">
        <f>I14/(HLOOKUP(F14,Team_Composition_23[[#All],[Yellow]:[Red]],10,FALSE)+HLOOKUP(F14,Team_Composition_23[[#All],[Yellow]:[Red]],11,FALSE))</f>
        <v>9.866017052375152E-2</v>
      </c>
      <c r="N14" s="195">
        <f>J14/HLOOKUP(F14,Team_Composition_23[[#All],[Yellow]:[Red]],6,FALSE)</f>
        <v>8.1649415244365323E-2</v>
      </c>
      <c r="O14" s="195">
        <f>K14/HLOOKUP(F14,Team_Composition_23[[#All],[Yellow]:[Red]],8,FALSE)</f>
        <v>1.3426931853639017E-2</v>
      </c>
      <c r="P14" s="195">
        <f>L14/HLOOKUP(F14,Team_Composition_23[[#All],[Yellow]:[Red]],7,FALSE)</f>
        <v>3.1201056484584549E-4</v>
      </c>
      <c r="R14" s="204"/>
      <c r="S14" s="207">
        <f t="shared" ref="S14:T14" si="1">SUM(S4:S7)</f>
        <v>45</v>
      </c>
      <c r="T14" s="207">
        <f t="shared" si="1"/>
        <v>49</v>
      </c>
      <c r="AB14" s="204"/>
      <c r="AC14" s="207"/>
      <c r="AD14" s="207"/>
    </row>
    <row r="15" spans="1:30" ht="22.5" customHeight="1">
      <c r="A15" s="82">
        <v>12</v>
      </c>
      <c r="B15" s="115" t="str">
        <f>VLOOKUP(C15,Lists!I:J,2,FALSE)</f>
        <v>Melee DPS</v>
      </c>
      <c r="C15" s="115" t="str">
        <f>VLOOKUP(E15,Lists!D:E,2,FALSE)</f>
        <v>Spear/Dagger</v>
      </c>
      <c r="D15" s="13" t="s">
        <v>7</v>
      </c>
      <c r="E15" s="83" t="s">
        <v>104</v>
      </c>
      <c r="F15" s="13" t="s">
        <v>476</v>
      </c>
      <c r="G15" s="82">
        <v>32</v>
      </c>
      <c r="H15" s="82">
        <v>46</v>
      </c>
      <c r="I15" s="194">
        <f t="shared" si="0"/>
        <v>78</v>
      </c>
      <c r="J15" s="85">
        <v>1713121</v>
      </c>
      <c r="K15" s="85">
        <v>1318309</v>
      </c>
      <c r="L15" s="85">
        <v>42490</v>
      </c>
      <c r="M15" s="195">
        <f>I15/(HLOOKUP(F15,Team_Composition_23[[#All],[Yellow]:[Red]],10,FALSE)+HLOOKUP(F15,Team_Composition_23[[#All],[Yellow]:[Red]],11,FALSE))</f>
        <v>1.9495126218445388E-2</v>
      </c>
      <c r="N15" s="195">
        <f>J15/HLOOKUP(F15,Team_Composition_23[[#All],[Yellow]:[Red]],6,FALSE)</f>
        <v>3.8615471862951764E-2</v>
      </c>
      <c r="O15" s="195">
        <f>K15/HLOOKUP(F15,Team_Composition_23[[#All],[Yellow]:[Red]],8,FALSE)</f>
        <v>7.5251260605557591E-2</v>
      </c>
      <c r="P15" s="195">
        <f>L15/HLOOKUP(F15,Team_Composition_23[[#All],[Yellow]:[Red]],7,FALSE)</f>
        <v>3.282405702872835E-3</v>
      </c>
      <c r="R15" s="232" t="s">
        <v>25</v>
      </c>
      <c r="S15" s="228"/>
      <c r="T15" s="228"/>
      <c r="V15" s="233" t="s">
        <v>496</v>
      </c>
      <c r="W15" s="228"/>
      <c r="Y15" s="233" t="s">
        <v>497</v>
      </c>
      <c r="Z15" s="228"/>
      <c r="AB15" s="232" t="s">
        <v>25</v>
      </c>
      <c r="AC15" s="228"/>
      <c r="AD15" s="228"/>
    </row>
    <row r="16" spans="1:30" ht="22.5" customHeight="1">
      <c r="A16" s="82">
        <v>25</v>
      </c>
      <c r="B16" s="115" t="str">
        <f>VLOOKUP(C16,Lists!I:J,2,FALSE)</f>
        <v>Ranged DPS</v>
      </c>
      <c r="C16" s="115" t="str">
        <f>VLOOKUP(E16,Lists!D:E,2,FALSE)</f>
        <v>SnS/Wand</v>
      </c>
      <c r="D16" s="13" t="s">
        <v>7</v>
      </c>
      <c r="E16" s="83" t="s">
        <v>65</v>
      </c>
      <c r="F16" s="13" t="s">
        <v>476</v>
      </c>
      <c r="G16" s="82">
        <v>13</v>
      </c>
      <c r="H16" s="82">
        <v>62</v>
      </c>
      <c r="I16" s="194">
        <f t="shared" si="0"/>
        <v>75</v>
      </c>
      <c r="J16" s="85">
        <v>1551846</v>
      </c>
      <c r="K16" s="85">
        <v>507530</v>
      </c>
      <c r="L16" s="85">
        <v>192648</v>
      </c>
      <c r="M16" s="195">
        <f>I16/(HLOOKUP(F16,Team_Composition_23[[#All],[Yellow]:[Red]],10,FALSE)+HLOOKUP(F16,Team_Composition_23[[#All],[Yellow]:[Red]],11,FALSE))</f>
        <v>1.8745313671582105E-2</v>
      </c>
      <c r="N16" s="195">
        <f>J16/HLOOKUP(F16,Team_Composition_23[[#All],[Yellow]:[Red]],6,FALSE)</f>
        <v>3.4980171014560114E-2</v>
      </c>
      <c r="O16" s="195">
        <f>K16/HLOOKUP(F16,Team_Composition_23[[#All],[Yellow]:[Red]],8,FALSE)</f>
        <v>2.8970652779537004E-2</v>
      </c>
      <c r="P16" s="195">
        <f>L16/HLOOKUP(F16,Team_Composition_23[[#All],[Yellow]:[Red]],7,FALSE)</f>
        <v>1.4882299219746903E-2</v>
      </c>
      <c r="R16" s="197" t="s">
        <v>482</v>
      </c>
      <c r="S16" s="198" t="s">
        <v>476</v>
      </c>
      <c r="T16" s="198" t="s">
        <v>483</v>
      </c>
      <c r="V16" s="199" t="s">
        <v>1</v>
      </c>
      <c r="W16" s="200" t="s">
        <v>498</v>
      </c>
      <c r="Y16" s="199" t="s">
        <v>1</v>
      </c>
      <c r="Z16" s="200" t="s">
        <v>499</v>
      </c>
      <c r="AB16" s="197" t="s">
        <v>482</v>
      </c>
      <c r="AC16" s="198" t="s">
        <v>7</v>
      </c>
      <c r="AD16" s="198" t="s">
        <v>527</v>
      </c>
    </row>
    <row r="17" spans="1:30" ht="22.5" customHeight="1">
      <c r="A17" s="82">
        <v>44</v>
      </c>
      <c r="B17" s="115" t="str">
        <f>VLOOKUP(C17,Lists!I:J,2,FALSE)</f>
        <v>Healer</v>
      </c>
      <c r="C17" s="115" t="str">
        <f>VLOOKUP(E17,Lists!D:E,2,FALSE)</f>
        <v>Wand/Longbow</v>
      </c>
      <c r="D17" s="13" t="s">
        <v>7</v>
      </c>
      <c r="E17" s="83" t="s">
        <v>115</v>
      </c>
      <c r="F17" s="13" t="s">
        <v>476</v>
      </c>
      <c r="G17" s="82">
        <v>2</v>
      </c>
      <c r="H17" s="82">
        <v>72</v>
      </c>
      <c r="I17" s="194">
        <f t="shared" si="0"/>
        <v>74</v>
      </c>
      <c r="J17" s="85">
        <v>72678</v>
      </c>
      <c r="K17" s="85">
        <v>464765</v>
      </c>
      <c r="L17" s="85">
        <v>1671174</v>
      </c>
      <c r="M17" s="195">
        <f>I17/(HLOOKUP(F17,Team_Composition_23[[#All],[Yellow]:[Red]],10,FALSE)+HLOOKUP(F17,Team_Composition_23[[#All],[Yellow]:[Red]],11,FALSE))</f>
        <v>1.8495376155961009E-2</v>
      </c>
      <c r="N17" s="195">
        <f>J17/HLOOKUP(F17,Team_Composition_23[[#All],[Yellow]:[Red]],6,FALSE)</f>
        <v>1.6382352817200935E-3</v>
      </c>
      <c r="O17" s="195">
        <f>K17/HLOOKUP(F17,Team_Composition_23[[#All],[Yellow]:[Red]],8,FALSE)</f>
        <v>2.6529555768292544E-2</v>
      </c>
      <c r="P17" s="195">
        <f>L17/HLOOKUP(F17,Team_Composition_23[[#All],[Yellow]:[Red]],7,FALSE)</f>
        <v>0.12910028402195356</v>
      </c>
      <c r="R17" s="201" t="s">
        <v>468</v>
      </c>
      <c r="S17" s="202">
        <f>SUMIFS(Scoreboard_27[Damage Dealt],Scoreboard_27[Role],"Melee DPS",Scoreboard_27[Team],"Yellow")</f>
        <v>8826533</v>
      </c>
      <c r="T17" s="203">
        <f>SUMIFS(Scoreboard_27[Damage Dealt],Scoreboard_27[Role],"Melee DPS",Scoreboard_27[Team],"Red")</f>
        <v>2900314</v>
      </c>
      <c r="V17" s="204" t="str">
        <f ca="1">IFERROR(__xludf.DUMMYFUNCTION("query(A1:P238, ""Select E,K Order by K Desc Limit 10"", 0)"),"Kyu")</f>
        <v>Kyu</v>
      </c>
      <c r="W17" s="116">
        <f ca="1">IFERROR(__xludf.DUMMYFUNCTION("""COMPUTED_VALUE"""),1448746)</f>
        <v>1448746</v>
      </c>
      <c r="Y17" s="204" t="str">
        <f ca="1">IFERROR(__xludf.DUMMYFUNCTION("query(A1:P238, ""Select E,L Order by L Desc Limit 10"", 0)"),"EgirlWaifu")</f>
        <v>EgirlWaifu</v>
      </c>
      <c r="Z17" s="116">
        <f ca="1">IFERROR(__xludf.DUMMYFUNCTION("""COMPUTED_VALUE"""),2328656)</f>
        <v>2328656</v>
      </c>
      <c r="AB17" s="201" t="s">
        <v>468</v>
      </c>
      <c r="AC17" s="205">
        <f>SUMIFS(Scoreboard_27[Damage Dealt],Scoreboard_27[Role],"Melee DPS",Scoreboard_27[Guild],"FTP")</f>
        <v>8826533</v>
      </c>
      <c r="AD17" s="206">
        <f>SUMIFS(Scoreboard_27[Damage Dealt],Scoreboard_27[Role],"Melee DPS",Scoreboard_27[Guild],"Undercooked")</f>
        <v>0</v>
      </c>
    </row>
    <row r="18" spans="1:30" ht="22.5" customHeight="1">
      <c r="A18" s="82">
        <v>7</v>
      </c>
      <c r="B18" s="115" t="str">
        <f>VLOOKUP(C18,Lists!I:J,2,FALSE)</f>
        <v>KS</v>
      </c>
      <c r="C18" s="115" t="str">
        <f>VLOOKUP(E18,Lists!D:E,2,FALSE)</f>
        <v>Greatsword/Dagger</v>
      </c>
      <c r="D18" s="13" t="s">
        <v>36</v>
      </c>
      <c r="E18" s="83" t="s">
        <v>120</v>
      </c>
      <c r="F18" s="13" t="s">
        <v>483</v>
      </c>
      <c r="G18" s="82">
        <v>36</v>
      </c>
      <c r="H18" s="82">
        <v>37</v>
      </c>
      <c r="I18" s="194">
        <f t="shared" si="0"/>
        <v>73</v>
      </c>
      <c r="J18" s="85">
        <v>1864368</v>
      </c>
      <c r="K18" s="85">
        <v>663551</v>
      </c>
      <c r="L18" s="85">
        <v>1481</v>
      </c>
      <c r="M18" s="195">
        <f>I18/(HLOOKUP(F18,Team_Composition_23[[#All],[Yellow]:[Red]],10,FALSE)+HLOOKUP(F18,Team_Composition_23[[#All],[Yellow]:[Red]],11,FALSE))</f>
        <v>8.8915956151035327E-2</v>
      </c>
      <c r="N18" s="195">
        <f>J18/HLOOKUP(F18,Team_Composition_23[[#All],[Yellow]:[Red]],6,FALSE)</f>
        <v>0.10565742186138544</v>
      </c>
      <c r="O18" s="195">
        <f>K18/HLOOKUP(F18,Team_Composition_23[[#All],[Yellow]:[Red]],8,FALSE)</f>
        <v>1.507524388097784E-2</v>
      </c>
      <c r="P18" s="195">
        <f>L18/HLOOKUP(F18,Team_Composition_23[[#All],[Yellow]:[Red]],7,FALSE)</f>
        <v>6.1025838158570678E-5</v>
      </c>
      <c r="R18" s="201" t="s">
        <v>469</v>
      </c>
      <c r="S18" s="202">
        <f>SUMIFS(Scoreboard_27[Damage Taken],Scoreboard_27[Role],"Melee DPS",Scoreboard_27[Team],"Yellow")</f>
        <v>4515402</v>
      </c>
      <c r="T18" s="203">
        <f>SUMIFS(Scoreboard_27[Damage Taken],Scoreboard_27[Role],"Melee DPS",Scoreboard_27[Team],"Red")</f>
        <v>3340093</v>
      </c>
      <c r="V18" s="204" t="str">
        <f ca="1">IFERROR(__xludf.DUMMYFUNCTION("""COMPUTED_VALUE"""),"Superluigi")</f>
        <v>Superluigi</v>
      </c>
      <c r="W18" s="116">
        <f ca="1">IFERROR(__xludf.DUMMYFUNCTION("""COMPUTED_VALUE"""),1318309)</f>
        <v>1318309</v>
      </c>
      <c r="Y18" s="204" t="str">
        <f ca="1">IFERROR(__xludf.DUMMYFUNCTION("""COMPUTED_VALUE"""),"apgonzo")</f>
        <v>apgonzo</v>
      </c>
      <c r="Z18" s="116">
        <f ca="1">IFERROR(__xludf.DUMMYFUNCTION("""COMPUTED_VALUE"""),1879493)</f>
        <v>1879493</v>
      </c>
      <c r="AB18" s="201" t="s">
        <v>469</v>
      </c>
      <c r="AC18" s="205">
        <f>SUMIFS(Scoreboard_27[Damage Taken],Scoreboard_27[Role],"Melee DPS",Scoreboard_27[Guild],"FTP")</f>
        <v>4515402</v>
      </c>
      <c r="AD18" s="206">
        <f>SUMIFS(Scoreboard_27[Damage Taken],Scoreboard_27[Role],"Melee DPS",Scoreboard_27[Guild],"Undercooked")</f>
        <v>0</v>
      </c>
    </row>
    <row r="19" spans="1:30" ht="22.5" customHeight="1">
      <c r="A19" s="82">
        <v>21</v>
      </c>
      <c r="B19" s="115" t="str">
        <f>VLOOKUP(C19,Lists!I:J,2,FALSE)</f>
        <v>Ranged DPS</v>
      </c>
      <c r="C19" s="115" t="s">
        <v>45</v>
      </c>
      <c r="D19" s="13" t="s">
        <v>7</v>
      </c>
      <c r="E19" s="83" t="s">
        <v>535</v>
      </c>
      <c r="F19" s="13" t="s">
        <v>476</v>
      </c>
      <c r="G19" s="82">
        <v>16</v>
      </c>
      <c r="H19" s="82">
        <v>57</v>
      </c>
      <c r="I19" s="194">
        <f t="shared" si="0"/>
        <v>73</v>
      </c>
      <c r="J19" s="85">
        <v>1564340</v>
      </c>
      <c r="K19" s="85">
        <v>496615</v>
      </c>
      <c r="L19" s="85">
        <v>20786</v>
      </c>
      <c r="M19" s="195">
        <f>I19/(HLOOKUP(F19,Team_Composition_23[[#All],[Yellow]:[Red]],10,FALSE)+HLOOKUP(F19,Team_Composition_23[[#All],[Yellow]:[Red]],11,FALSE))</f>
        <v>1.8245438640339916E-2</v>
      </c>
      <c r="N19" s="195">
        <f>J19/HLOOKUP(F19,Team_Composition_23[[#All],[Yellow]:[Red]],6,FALSE)</f>
        <v>3.5261798351715938E-2</v>
      </c>
      <c r="O19" s="195">
        <f>K19/HLOOKUP(F19,Team_Composition_23[[#All],[Yellow]:[Red]],8,FALSE)</f>
        <v>2.8347606506235627E-2</v>
      </c>
      <c r="P19" s="195">
        <f>L19/HLOOKUP(F19,Team_Composition_23[[#All],[Yellow]:[Red]],7,FALSE)</f>
        <v>1.6057445267101613E-3</v>
      </c>
      <c r="R19" s="201" t="s">
        <v>470</v>
      </c>
      <c r="S19" s="202">
        <f>SUMIFS(Scoreboard_27[Amount Healed],Scoreboard_27[Role],"Melee DPS",Scoreboard_27[Team],"Yellow")</f>
        <v>113746</v>
      </c>
      <c r="T19" s="203">
        <f>SUMIFS(Scoreboard_27[Amount Healed],Scoreboard_27[Role],"Melee DPS",Scoreboard_27[Team],"Red")</f>
        <v>288868</v>
      </c>
      <c r="V19" s="204" t="str">
        <f ca="1">IFERROR(__xludf.DUMMYFUNCTION("""COMPUTED_VALUE"""),"RayPeat")</f>
        <v>RayPeat</v>
      </c>
      <c r="W19" s="116">
        <f ca="1">IFERROR(__xludf.DUMMYFUNCTION("""COMPUTED_VALUE"""),1312934)</f>
        <v>1312934</v>
      </c>
      <c r="Y19" s="204" t="str">
        <f ca="1">IFERROR(__xludf.DUMMYFUNCTION("""COMPUTED_VALUE"""),"foxgloves")</f>
        <v>foxgloves</v>
      </c>
      <c r="Z19" s="116">
        <f ca="1">IFERROR(__xludf.DUMMYFUNCTION("""COMPUTED_VALUE"""),1811371)</f>
        <v>1811371</v>
      </c>
      <c r="AB19" s="201" t="s">
        <v>470</v>
      </c>
      <c r="AC19" s="205">
        <f>SUMIFS(Scoreboard_27[Amount Healed],Scoreboard_27[Role],"Melee DPS",Scoreboard_27[Guild],"FTP")</f>
        <v>113746</v>
      </c>
      <c r="AD19" s="206">
        <f>SUMIFS(Scoreboard_27[Amount Healed],Scoreboard_27[Role],"Melee DPS",Scoreboard_27[Guild],"Undercooked")</f>
        <v>0</v>
      </c>
    </row>
    <row r="20" spans="1:30" ht="22.5" customHeight="1">
      <c r="A20" s="82">
        <v>27</v>
      </c>
      <c r="B20" s="115" t="str">
        <f>VLOOKUP(C20,Lists!I:J,2,FALSE)</f>
        <v>Ranged DPS</v>
      </c>
      <c r="C20" s="115" t="s">
        <v>32</v>
      </c>
      <c r="D20" s="13" t="s">
        <v>536</v>
      </c>
      <c r="E20" s="83" t="s">
        <v>172</v>
      </c>
      <c r="F20" s="13" t="s">
        <v>476</v>
      </c>
      <c r="G20" s="82">
        <v>12</v>
      </c>
      <c r="H20" s="82">
        <v>61</v>
      </c>
      <c r="I20" s="194">
        <f t="shared" si="0"/>
        <v>73</v>
      </c>
      <c r="J20" s="85">
        <v>1334504</v>
      </c>
      <c r="K20" s="85">
        <v>684018</v>
      </c>
      <c r="L20" s="85">
        <v>0</v>
      </c>
      <c r="M20" s="195">
        <f>I20/(HLOOKUP(F20,Team_Composition_23[[#All],[Yellow]:[Red]],10,FALSE)+HLOOKUP(F20,Team_Composition_23[[#All],[Yellow]:[Red]],11,FALSE))</f>
        <v>1.8245438640339916E-2</v>
      </c>
      <c r="N20" s="195">
        <f>J20/HLOOKUP(F20,Team_Composition_23[[#All],[Yellow]:[Red]],6,FALSE)</f>
        <v>3.0081063546005551E-2</v>
      </c>
      <c r="O20" s="195">
        <f>K20/HLOOKUP(F20,Team_Composition_23[[#All],[Yellow]:[Red]],8,FALSE)</f>
        <v>3.9044880052318764E-2</v>
      </c>
      <c r="P20" s="195">
        <f>L20/HLOOKUP(F20,Team_Composition_23[[#All],[Yellow]:[Red]],7,FALSE)</f>
        <v>0</v>
      </c>
      <c r="R20" s="201" t="s">
        <v>465</v>
      </c>
      <c r="S20" s="202">
        <f>SUMIFS(Scoreboard_27[Kills],Scoreboard_27[Role],"Melee DPS",Scoreboard_27[Team],"Yellow")</f>
        <v>143</v>
      </c>
      <c r="T20" s="203">
        <f>SUMIFS(Scoreboard_27[Kills],Scoreboard_27[Role],"Melee DPS",Scoreboard_27[Team],"Red")</f>
        <v>32</v>
      </c>
      <c r="V20" s="204" t="str">
        <f ca="1">IFERROR(__xludf.DUMMYFUNCTION("""COMPUTED_VALUE"""),"⚔ypher")</f>
        <v>⚔ypher</v>
      </c>
      <c r="W20" s="116">
        <f ca="1">IFERROR(__xludf.DUMMYFUNCTION("""COMPUTED_VALUE"""),1127596)</f>
        <v>1127596</v>
      </c>
      <c r="Y20" s="204" t="str">
        <f ca="1">IFERROR(__xludf.DUMMYFUNCTION("""COMPUTED_VALUE"""),"Zanax")</f>
        <v>Zanax</v>
      </c>
      <c r="Z20" s="116">
        <f ca="1">IFERROR(__xludf.DUMMYFUNCTION("""COMPUTED_VALUE"""),1671174)</f>
        <v>1671174</v>
      </c>
      <c r="AB20" s="201" t="s">
        <v>465</v>
      </c>
      <c r="AC20" s="205">
        <f>SUMIFS(Scoreboard_27[Kills],Scoreboard_27[Role],"Melee DPS",Scoreboard_27[Guild],"FTP")</f>
        <v>143</v>
      </c>
      <c r="AD20" s="206">
        <f>SUMIFS(Scoreboard_27[Kills],Scoreboard_27[Role],"Melee DPS",Scoreboard_27[Guild],"Undercooked")</f>
        <v>0</v>
      </c>
    </row>
    <row r="21" spans="1:30" ht="22.5" customHeight="1">
      <c r="A21" s="82">
        <v>11</v>
      </c>
      <c r="B21" s="115" t="str">
        <f>VLOOKUP(C21,Lists!I:J,2,FALSE)</f>
        <v>KS</v>
      </c>
      <c r="C21" s="115" t="s">
        <v>54</v>
      </c>
      <c r="D21" s="13" t="s">
        <v>525</v>
      </c>
      <c r="E21" s="83" t="s">
        <v>537</v>
      </c>
      <c r="F21" s="13" t="s">
        <v>483</v>
      </c>
      <c r="G21" s="82">
        <v>33</v>
      </c>
      <c r="H21" s="82">
        <v>35</v>
      </c>
      <c r="I21" s="194">
        <f t="shared" si="0"/>
        <v>68</v>
      </c>
      <c r="J21" s="85">
        <v>1768714</v>
      </c>
      <c r="K21" s="85">
        <v>544072</v>
      </c>
      <c r="L21" s="85">
        <v>4584</v>
      </c>
      <c r="M21" s="195">
        <f>I21/(HLOOKUP(F21,Team_Composition_23[[#All],[Yellow]:[Red]],10,FALSE)+HLOOKUP(F21,Team_Composition_23[[#All],[Yellow]:[Red]],11,FALSE))</f>
        <v>8.2825822168087704E-2</v>
      </c>
      <c r="N21" s="195">
        <f>J21/HLOOKUP(F21,Team_Composition_23[[#All],[Yellow]:[Red]],6,FALSE)</f>
        <v>0.10023652049924613</v>
      </c>
      <c r="O21" s="195">
        <f>K21/HLOOKUP(F21,Team_Composition_23[[#All],[Yellow]:[Red]],8,FALSE)</f>
        <v>1.236079531009881E-2</v>
      </c>
      <c r="P21" s="195">
        <f>L21/HLOOKUP(F21,Team_Composition_23[[#All],[Yellow]:[Red]],7,FALSE)</f>
        <v>1.888875368797353E-4</v>
      </c>
      <c r="R21" s="201" t="s">
        <v>466</v>
      </c>
      <c r="S21" s="202">
        <f>SUMIFS(Scoreboard_27[Assists],Scoreboard_27[Role],"Melee DPS",Scoreboard_27[Team],"Yellow")</f>
        <v>297</v>
      </c>
      <c r="T21" s="203">
        <f>SUMIFS(Scoreboard_27[Assists],Scoreboard_27[Role],"Melee DPS",Scoreboard_27[Team],"Red")</f>
        <v>105</v>
      </c>
      <c r="V21" s="204" t="str">
        <f ca="1">IFERROR(__xludf.DUMMYFUNCTION("""COMPUTED_VALUE"""),"QueenSkin")</f>
        <v>QueenSkin</v>
      </c>
      <c r="W21" s="116">
        <f ca="1">IFERROR(__xludf.DUMMYFUNCTION("""COMPUTED_VALUE"""),1110878)</f>
        <v>1110878</v>
      </c>
      <c r="Y21" s="204" t="str">
        <f ca="1">IFERROR(__xludf.DUMMYFUNCTION("""COMPUTED_VALUE"""),"Teensy")</f>
        <v>Teensy</v>
      </c>
      <c r="Z21" s="116">
        <f ca="1">IFERROR(__xludf.DUMMYFUNCTION("""COMPUTED_VALUE"""),1657084)</f>
        <v>1657084</v>
      </c>
      <c r="AB21" s="201" t="s">
        <v>466</v>
      </c>
      <c r="AC21" s="205">
        <f>SUMIFS(Scoreboard_27[Assists],Scoreboard_27[Role],"Melee DPS",Scoreboard_27[Guild],"FTP")</f>
        <v>297</v>
      </c>
      <c r="AD21" s="206">
        <f>SUMIFS(Scoreboard_27[Assists],Scoreboard_27[Role],"Melee DPS",Scoreboard_27[Guild],"Undercooked")</f>
        <v>0</v>
      </c>
    </row>
    <row r="22" spans="1:30" ht="22.5" customHeight="1">
      <c r="A22" s="82">
        <v>14</v>
      </c>
      <c r="B22" s="115" t="str">
        <f>VLOOKUP(C22,Lists!I:J,2,FALSE)</f>
        <v>Ranged DPS</v>
      </c>
      <c r="C22" s="115" t="str">
        <f>VLOOKUP(E22,Lists!D:E,2,FALSE)</f>
        <v>Crossbow/SnS</v>
      </c>
      <c r="D22" s="13" t="s">
        <v>36</v>
      </c>
      <c r="E22" s="83" t="s">
        <v>244</v>
      </c>
      <c r="F22" s="13" t="s">
        <v>483</v>
      </c>
      <c r="G22" s="82">
        <v>26</v>
      </c>
      <c r="H22" s="82">
        <v>41</v>
      </c>
      <c r="I22" s="194">
        <f t="shared" si="0"/>
        <v>67</v>
      </c>
      <c r="J22" s="85">
        <v>2414639</v>
      </c>
      <c r="K22" s="85">
        <v>833064</v>
      </c>
      <c r="L22" s="85">
        <v>32235</v>
      </c>
      <c r="M22" s="195">
        <f>I22/(HLOOKUP(F22,Team_Composition_23[[#All],[Yellow]:[Red]],10,FALSE)+HLOOKUP(F22,Team_Composition_23[[#All],[Yellow]:[Red]],11,FALSE))</f>
        <v>8.1607795371498176E-2</v>
      </c>
      <c r="N22" s="195">
        <f>J22/HLOOKUP(F22,Team_Composition_23[[#All],[Yellow]:[Red]],6,FALSE)</f>
        <v>0.13684236774389708</v>
      </c>
      <c r="O22" s="195">
        <f>K22/HLOOKUP(F22,Team_Composition_23[[#All],[Yellow]:[Red]],8,FALSE)</f>
        <v>1.8926417062837556E-2</v>
      </c>
      <c r="P22" s="195">
        <f>L22/HLOOKUP(F22,Team_Composition_23[[#All],[Yellow]:[Red]],7,FALSE)</f>
        <v>1.3282700155580862E-3</v>
      </c>
      <c r="R22" s="201" t="s">
        <v>24</v>
      </c>
      <c r="S22" s="202">
        <f t="shared" ref="S22:S25" si="2">COUNTIFS(C:C,R22,F:F,"Yellow")</f>
        <v>1</v>
      </c>
      <c r="T22" s="203">
        <f t="shared" ref="T22:T25" si="3">COUNTIFS(C:C,R22,F:F,"Red")</f>
        <v>1</v>
      </c>
      <c r="V22" s="204" t="str">
        <f ca="1">IFERROR(__xludf.DUMMYFUNCTION("""COMPUTED_VALUE"""),"TomateSama")</f>
        <v>TomateSama</v>
      </c>
      <c r="W22" s="116">
        <f ca="1">IFERROR(__xludf.DUMMYFUNCTION("""COMPUTED_VALUE"""),1098553)</f>
        <v>1098553</v>
      </c>
      <c r="Y22" s="204" t="str">
        <f ca="1">IFERROR(__xludf.DUMMYFUNCTION("""COMPUTED_VALUE"""),"QueenSkin")</f>
        <v>QueenSkin</v>
      </c>
      <c r="Z22" s="116">
        <f ca="1">IFERROR(__xludf.DUMMYFUNCTION("""COMPUTED_VALUE"""),1648872)</f>
        <v>1648872</v>
      </c>
      <c r="AB22" s="201" t="s">
        <v>24</v>
      </c>
      <c r="AC22" s="205">
        <f t="shared" ref="AC22:AC25" si="4">COUNTIFS(C:C,AB22,D:D,"FTP")</f>
        <v>1</v>
      </c>
      <c r="AD22" s="206">
        <f t="shared" ref="AD22:AD25" si="5">COUNTIFS(C:C,AB22,D:D,"Undercooked")</f>
        <v>0</v>
      </c>
    </row>
    <row r="23" spans="1:30" ht="22.5" customHeight="1">
      <c r="A23" s="82">
        <v>15</v>
      </c>
      <c r="B23" s="115" t="str">
        <f>VLOOKUP(C23,Lists!I:J,2,FALSE)</f>
        <v>Ranged DPS</v>
      </c>
      <c r="C23" s="115" t="str">
        <f>VLOOKUP(E23,Lists!D:E,2,FALSE)</f>
        <v>Crossbow/SnS</v>
      </c>
      <c r="D23" s="13" t="s">
        <v>7</v>
      </c>
      <c r="E23" s="83" t="s">
        <v>83</v>
      </c>
      <c r="F23" s="13" t="s">
        <v>476</v>
      </c>
      <c r="G23" s="82">
        <v>22</v>
      </c>
      <c r="H23" s="82">
        <v>41</v>
      </c>
      <c r="I23" s="194">
        <f t="shared" si="0"/>
        <v>63</v>
      </c>
      <c r="J23" s="85">
        <v>1339421</v>
      </c>
      <c r="K23" s="85">
        <v>329586</v>
      </c>
      <c r="L23" s="85">
        <v>32351</v>
      </c>
      <c r="M23" s="195">
        <f>I23/(HLOOKUP(F23,Team_Composition_23[[#All],[Yellow]:[Red]],10,FALSE)+HLOOKUP(F23,Team_Composition_23[[#All],[Yellow]:[Red]],11,FALSE))</f>
        <v>1.5746063484128967E-2</v>
      </c>
      <c r="N23" s="195">
        <f>J23/HLOOKUP(F23,Team_Composition_23[[#All],[Yellow]:[Red]],6,FALSE)</f>
        <v>3.0191897675731435E-2</v>
      </c>
      <c r="O23" s="195">
        <f>K23/HLOOKUP(F23,Team_Composition_23[[#All],[Yellow]:[Red]],8,FALSE)</f>
        <v>1.8813314615877846E-2</v>
      </c>
      <c r="P23" s="195">
        <f>L23/HLOOKUP(F23,Team_Composition_23[[#All],[Yellow]:[Red]],7,FALSE)</f>
        <v>2.4991552575579922E-3</v>
      </c>
      <c r="R23" s="201" t="s">
        <v>69</v>
      </c>
      <c r="S23" s="202">
        <f t="shared" si="2"/>
        <v>2</v>
      </c>
      <c r="T23" s="203">
        <f t="shared" si="3"/>
        <v>6</v>
      </c>
      <c r="V23" s="204" t="str">
        <f ca="1">IFERROR(__xludf.DUMMYFUNCTION("""COMPUTED_VALUE"""),"Willan")</f>
        <v>Willan</v>
      </c>
      <c r="W23" s="116">
        <f ca="1">IFERROR(__xludf.DUMMYFUNCTION("""COMPUTED_VALUE"""),1035166)</f>
        <v>1035166</v>
      </c>
      <c r="Y23" s="204" t="str">
        <f ca="1">IFERROR(__xludf.DUMMYFUNCTION("""COMPUTED_VALUE"""),"Skilletos")</f>
        <v>Skilletos</v>
      </c>
      <c r="Z23" s="116">
        <f ca="1">IFERROR(__xludf.DUMMYFUNCTION("""COMPUTED_VALUE"""),1537965)</f>
        <v>1537965</v>
      </c>
      <c r="AB23" s="201" t="s">
        <v>69</v>
      </c>
      <c r="AC23" s="205">
        <f t="shared" si="4"/>
        <v>2</v>
      </c>
      <c r="AD23" s="206">
        <f t="shared" si="5"/>
        <v>0</v>
      </c>
    </row>
    <row r="24" spans="1:30" ht="22.5" customHeight="1">
      <c r="A24" s="82">
        <v>18</v>
      </c>
      <c r="B24" s="115" t="str">
        <f>VLOOKUP(C24,Lists!I:J,2,FALSE)</f>
        <v>KS</v>
      </c>
      <c r="C24" s="115" t="s">
        <v>54</v>
      </c>
      <c r="D24" s="13" t="s">
        <v>36</v>
      </c>
      <c r="E24" s="83" t="s">
        <v>538</v>
      </c>
      <c r="F24" s="13" t="s">
        <v>483</v>
      </c>
      <c r="G24" s="82">
        <v>21</v>
      </c>
      <c r="H24" s="82">
        <v>42</v>
      </c>
      <c r="I24" s="194">
        <f t="shared" si="0"/>
        <v>63</v>
      </c>
      <c r="J24" s="85">
        <v>1013765</v>
      </c>
      <c r="K24" s="85">
        <v>534220</v>
      </c>
      <c r="L24" s="85">
        <v>14598</v>
      </c>
      <c r="M24" s="195">
        <f>I24/(HLOOKUP(F24,Team_Composition_23[[#All],[Yellow]:[Red]],10,FALSE)+HLOOKUP(F24,Team_Composition_23[[#All],[Yellow]:[Red]],11,FALSE))</f>
        <v>7.6735688185140066E-2</v>
      </c>
      <c r="N24" s="195">
        <f>J24/HLOOKUP(F24,Team_Composition_23[[#All],[Yellow]:[Red]],6,FALSE)</f>
        <v>5.745206754959719E-2</v>
      </c>
      <c r="O24" s="195">
        <f>K24/HLOOKUP(F24,Team_Composition_23[[#All],[Yellow]:[Red]],8,FALSE)</f>
        <v>1.2136967295800898E-2</v>
      </c>
      <c r="P24" s="195">
        <f>L24/HLOOKUP(F24,Team_Composition_23[[#All],[Yellow]:[Red]],7,FALSE)</f>
        <v>6.015227450633455E-4</v>
      </c>
      <c r="R24" s="201" t="s">
        <v>23</v>
      </c>
      <c r="S24" s="202">
        <f t="shared" si="2"/>
        <v>3</v>
      </c>
      <c r="T24" s="203">
        <f t="shared" si="3"/>
        <v>3</v>
      </c>
      <c r="V24" s="204" t="str">
        <f ca="1">IFERROR(__xludf.DUMMYFUNCTION("""COMPUTED_VALUE"""),"Realix")</f>
        <v>Realix</v>
      </c>
      <c r="W24" s="116">
        <f ca="1">IFERROR(__xludf.DUMMYFUNCTION("""COMPUTED_VALUE"""),966427)</f>
        <v>966427</v>
      </c>
      <c r="Y24" s="204" t="str">
        <f ca="1">IFERROR(__xludf.DUMMYFUNCTION("""COMPUTED_VALUE"""),"Ruby·")</f>
        <v>Ruby·</v>
      </c>
      <c r="Z24" s="116">
        <f ca="1">IFERROR(__xludf.DUMMYFUNCTION("""COMPUTED_VALUE"""),1379081)</f>
        <v>1379081</v>
      </c>
      <c r="AB24" s="201" t="s">
        <v>23</v>
      </c>
      <c r="AC24" s="205">
        <f t="shared" si="4"/>
        <v>3</v>
      </c>
      <c r="AD24" s="206">
        <f t="shared" si="5"/>
        <v>0</v>
      </c>
    </row>
    <row r="25" spans="1:30" ht="22.5" customHeight="1">
      <c r="A25" s="82">
        <v>23</v>
      </c>
      <c r="B25" s="115" t="str">
        <f>VLOOKUP(C25,Lists!I:J,2,FALSE)</f>
        <v>Melee DPS</v>
      </c>
      <c r="C25" s="115" t="str">
        <f>VLOOKUP(E25,Lists!D:E,2,FALSE)</f>
        <v>Greatsword/Spear</v>
      </c>
      <c r="D25" s="13" t="s">
        <v>36</v>
      </c>
      <c r="E25" s="83" t="s">
        <v>235</v>
      </c>
      <c r="F25" s="13" t="s">
        <v>483</v>
      </c>
      <c r="G25" s="82">
        <v>14</v>
      </c>
      <c r="H25" s="82">
        <v>47</v>
      </c>
      <c r="I25" s="194">
        <f t="shared" si="0"/>
        <v>61</v>
      </c>
      <c r="J25" s="85">
        <v>900696</v>
      </c>
      <c r="K25" s="85">
        <v>930301</v>
      </c>
      <c r="L25" s="85">
        <v>17182</v>
      </c>
      <c r="M25" s="195">
        <f>I25/(HLOOKUP(F25,Team_Composition_23[[#All],[Yellow]:[Red]],10,FALSE)+HLOOKUP(F25,Team_Composition_23[[#All],[Yellow]:[Red]],11,FALSE))</f>
        <v>7.4299634591961025E-2</v>
      </c>
      <c r="N25" s="195">
        <f>J25/HLOOKUP(F25,Team_Composition_23[[#All],[Yellow]:[Red]],6,FALSE)</f>
        <v>5.1044223694497237E-2</v>
      </c>
      <c r="O25" s="195">
        <f>K25/HLOOKUP(F25,Team_Composition_23[[#All],[Yellow]:[Red]],8,FALSE)</f>
        <v>2.113554867330102E-2</v>
      </c>
      <c r="P25" s="195">
        <f>L25/HLOOKUP(F25,Team_Composition_23[[#All],[Yellow]:[Red]],7,FALSE)</f>
        <v>7.0799861663778624E-4</v>
      </c>
      <c r="R25" s="201" t="s">
        <v>33</v>
      </c>
      <c r="S25" s="202">
        <f t="shared" si="2"/>
        <v>0</v>
      </c>
      <c r="T25" s="203">
        <f t="shared" si="3"/>
        <v>0</v>
      </c>
      <c r="V25" s="204" t="str">
        <f ca="1">IFERROR(__xludf.DUMMYFUNCTION("""COMPUTED_VALUE"""),"unu")</f>
        <v>unu</v>
      </c>
      <c r="W25" s="116">
        <f ca="1">IFERROR(__xludf.DUMMYFUNCTION("""COMPUTED_VALUE"""),947400)</f>
        <v>947400</v>
      </c>
      <c r="Y25" s="204" t="str">
        <f ca="1">IFERROR(__xludf.DUMMYFUNCTION("""COMPUTED_VALUE"""),"AJexa")</f>
        <v>AJexa</v>
      </c>
      <c r="Z25" s="116">
        <f ca="1">IFERROR(__xludf.DUMMYFUNCTION("""COMPUTED_VALUE"""),1357328)</f>
        <v>1357328</v>
      </c>
      <c r="AB25" s="201" t="s">
        <v>33</v>
      </c>
      <c r="AC25" s="205">
        <f t="shared" si="4"/>
        <v>0</v>
      </c>
      <c r="AD25" s="206">
        <f t="shared" si="5"/>
        <v>0</v>
      </c>
    </row>
    <row r="26" spans="1:30" ht="22.5" customHeight="1">
      <c r="A26" s="82">
        <v>19</v>
      </c>
      <c r="B26" s="115" t="str">
        <f>VLOOKUP(C26,Lists!I:J,2,FALSE)</f>
        <v>KS</v>
      </c>
      <c r="C26" s="115" t="s">
        <v>69</v>
      </c>
      <c r="D26" s="13" t="s">
        <v>36</v>
      </c>
      <c r="E26" s="83" t="s">
        <v>539</v>
      </c>
      <c r="F26" s="13" t="s">
        <v>483</v>
      </c>
      <c r="G26" s="82">
        <v>21</v>
      </c>
      <c r="H26" s="82">
        <v>35</v>
      </c>
      <c r="I26" s="194">
        <f t="shared" si="0"/>
        <v>56</v>
      </c>
      <c r="J26" s="85">
        <v>976283</v>
      </c>
      <c r="K26" s="85">
        <v>318679</v>
      </c>
      <c r="L26" s="85">
        <v>1499</v>
      </c>
      <c r="M26" s="195">
        <f>I26/(HLOOKUP(F26,Team_Composition_23[[#All],[Yellow]:[Red]],10,FALSE)+HLOOKUP(F26,Team_Composition_23[[#All],[Yellow]:[Red]],11,FALSE))</f>
        <v>6.8209500609013402E-2</v>
      </c>
      <c r="N26" s="195">
        <f>J26/HLOOKUP(F26,Team_Composition_23[[#All],[Yellow]:[Red]],6,FALSE)</f>
        <v>5.5327888478615257E-2</v>
      </c>
      <c r="O26" s="195">
        <f>K26/HLOOKUP(F26,Team_Composition_23[[#All],[Yellow]:[Red]],8,FALSE)</f>
        <v>7.2400819903008767E-3</v>
      </c>
      <c r="P26" s="195">
        <f>L26/HLOOKUP(F26,Team_Composition_23[[#All],[Yellow]:[Red]],7,FALSE)</f>
        <v>6.1767543146318333E-5</v>
      </c>
      <c r="R26" s="204"/>
      <c r="S26" s="208"/>
      <c r="T26" s="208"/>
      <c r="V26" s="204" t="str">
        <f ca="1">IFERROR(__xludf.DUMMYFUNCTION("""COMPUTED_VALUE"""),"Pukei")</f>
        <v>Pukei</v>
      </c>
      <c r="W26" s="116">
        <f ca="1">IFERROR(__xludf.DUMMYFUNCTION("""COMPUTED_VALUE"""),939089)</f>
        <v>939089</v>
      </c>
      <c r="Y26" s="204" t="str">
        <f ca="1">IFERROR(__xludf.DUMMYFUNCTION("""COMPUTED_VALUE"""),"Duskstorm")</f>
        <v>Duskstorm</v>
      </c>
      <c r="Z26" s="116">
        <f ca="1">IFERROR(__xludf.DUMMYFUNCTION("""COMPUTED_VALUE"""),1320291)</f>
        <v>1320291</v>
      </c>
      <c r="AB26" s="204"/>
      <c r="AC26" s="208"/>
      <c r="AD26" s="208"/>
    </row>
    <row r="27" spans="1:30" ht="22.5" customHeight="1">
      <c r="A27" s="82">
        <v>9</v>
      </c>
      <c r="B27" s="115" t="str">
        <f>VLOOKUP(C27,Lists!I:J,2,FALSE)</f>
        <v>KS</v>
      </c>
      <c r="C27" s="115" t="str">
        <f>VLOOKUP(E27,Lists!D:E,2,FALSE)</f>
        <v>Crossbow/Dagger</v>
      </c>
      <c r="D27" s="13" t="s">
        <v>7</v>
      </c>
      <c r="E27" s="83" t="s">
        <v>131</v>
      </c>
      <c r="F27" s="13" t="s">
        <v>476</v>
      </c>
      <c r="G27" s="82">
        <v>35</v>
      </c>
      <c r="H27" s="82">
        <v>19</v>
      </c>
      <c r="I27" s="194">
        <f t="shared" si="0"/>
        <v>54</v>
      </c>
      <c r="J27" s="85">
        <v>1335425</v>
      </c>
      <c r="K27" s="85">
        <v>947400</v>
      </c>
      <c r="L27" s="85">
        <v>0</v>
      </c>
      <c r="M27" s="195">
        <f>I27/(HLOOKUP(F27,Team_Composition_23[[#All],[Yellow]:[Red]],10,FALSE)+HLOOKUP(F27,Team_Composition_23[[#All],[Yellow]:[Red]],11,FALSE))</f>
        <v>1.3496625843539115E-2</v>
      </c>
      <c r="N27" s="195">
        <f>J27/HLOOKUP(F27,Team_Composition_23[[#All],[Yellow]:[Red]],6,FALSE)</f>
        <v>3.0101823813135416E-2</v>
      </c>
      <c r="O27" s="195">
        <f>K27/HLOOKUP(F27,Team_Composition_23[[#All],[Yellow]:[Red]],8,FALSE)</f>
        <v>5.4079160726131177E-2</v>
      </c>
      <c r="P27" s="195">
        <f>L27/HLOOKUP(F27,Team_Composition_23[[#All],[Yellow]:[Red]],7,FALSE)</f>
        <v>0</v>
      </c>
      <c r="R27" s="6"/>
      <c r="S27" s="209"/>
      <c r="T27" s="209"/>
      <c r="AB27" s="6"/>
      <c r="AC27" s="209"/>
      <c r="AD27" s="209"/>
    </row>
    <row r="28" spans="1:30" ht="22.5" customHeight="1">
      <c r="A28" s="82">
        <v>62</v>
      </c>
      <c r="B28" s="115" t="str">
        <f>VLOOKUP(C28,Lists!I:J,2,FALSE)</f>
        <v>Healer</v>
      </c>
      <c r="C28" s="115" t="str">
        <f>VLOOKUP(E28,Lists!D:E,2,FALSE)</f>
        <v>Wand/Orb</v>
      </c>
      <c r="D28" s="13" t="s">
        <v>7</v>
      </c>
      <c r="E28" s="83" t="s">
        <v>144</v>
      </c>
      <c r="F28" s="13" t="s">
        <v>476</v>
      </c>
      <c r="G28" s="82">
        <v>0</v>
      </c>
      <c r="H28" s="82">
        <v>54</v>
      </c>
      <c r="I28" s="194">
        <f t="shared" si="0"/>
        <v>54</v>
      </c>
      <c r="J28" s="85">
        <v>2060</v>
      </c>
      <c r="K28" s="85">
        <v>186229</v>
      </c>
      <c r="L28" s="85">
        <v>675875</v>
      </c>
      <c r="M28" s="195">
        <f>I28/(HLOOKUP(F28,Team_Composition_23[[#All],[Yellow]:[Red]],10,FALSE)+HLOOKUP(F28,Team_Composition_23[[#All],[Yellow]:[Red]],11,FALSE))</f>
        <v>1.3496625843539115E-2</v>
      </c>
      <c r="N28" s="195">
        <f>J28/HLOOKUP(F28,Team_Composition_23[[#All],[Yellow]:[Red]],6,FALSE)</f>
        <v>4.6434473710660619E-5</v>
      </c>
      <c r="O28" s="195">
        <f>K28/HLOOKUP(F28,Team_Composition_23[[#All],[Yellow]:[Red]],8,FALSE)</f>
        <v>1.0630259682147649E-2</v>
      </c>
      <c r="P28" s="195">
        <f>L28/HLOOKUP(F28,Team_Composition_23[[#All],[Yellow]:[Red]],7,FALSE)</f>
        <v>5.2212190031282121E-2</v>
      </c>
      <c r="R28" s="232" t="s">
        <v>39</v>
      </c>
      <c r="S28" s="228"/>
      <c r="T28" s="228"/>
      <c r="AB28" s="232" t="s">
        <v>39</v>
      </c>
      <c r="AC28" s="228"/>
      <c r="AD28" s="228"/>
    </row>
    <row r="29" spans="1:30" ht="22.5" customHeight="1">
      <c r="A29" s="82">
        <v>63</v>
      </c>
      <c r="B29" s="115" t="str">
        <f>VLOOKUP(C29,Lists!I:J,2,FALSE)</f>
        <v>Healer</v>
      </c>
      <c r="C29" s="115" t="s">
        <v>9</v>
      </c>
      <c r="D29" s="13" t="s">
        <v>36</v>
      </c>
      <c r="E29" s="83" t="s">
        <v>304</v>
      </c>
      <c r="F29" s="13" t="s">
        <v>483</v>
      </c>
      <c r="G29" s="82">
        <v>0</v>
      </c>
      <c r="H29" s="82">
        <v>51</v>
      </c>
      <c r="I29" s="194">
        <f t="shared" si="0"/>
        <v>51</v>
      </c>
      <c r="J29" s="85">
        <v>313</v>
      </c>
      <c r="K29" s="85">
        <v>137617</v>
      </c>
      <c r="L29" s="85">
        <v>335451</v>
      </c>
      <c r="M29" s="195">
        <f>I29/(HLOOKUP(F29,Team_Composition_23[[#All],[Yellow]:[Red]],10,FALSE)+HLOOKUP(F29,Team_Composition_23[[#All],[Yellow]:[Red]],11,FALSE))</f>
        <v>6.2119366626065771E-2</v>
      </c>
      <c r="N29" s="195">
        <f>J29/HLOOKUP(F29,Team_Composition_23[[#All],[Yellow]:[Red]],6,FALSE)</f>
        <v>1.7738329043736884E-5</v>
      </c>
      <c r="O29" s="195">
        <f>K29/HLOOKUP(F29,Team_Composition_23[[#All],[Yellow]:[Red]],8,FALSE)</f>
        <v>3.1265265777137364E-3</v>
      </c>
      <c r="P29" s="195">
        <f>L29/HLOOKUP(F29,Team_Composition_23[[#All],[Yellow]:[Red]],7,FALSE)</f>
        <v>1.3822537769163194E-2</v>
      </c>
      <c r="R29" s="197" t="s">
        <v>482</v>
      </c>
      <c r="S29" s="198" t="s">
        <v>476</v>
      </c>
      <c r="T29" s="198" t="s">
        <v>483</v>
      </c>
      <c r="AB29" s="197" t="s">
        <v>482</v>
      </c>
      <c r="AC29" s="198" t="s">
        <v>7</v>
      </c>
      <c r="AD29" s="198" t="s">
        <v>527</v>
      </c>
    </row>
    <row r="30" spans="1:30" ht="22.5" customHeight="1">
      <c r="A30" s="82">
        <v>20</v>
      </c>
      <c r="B30" s="115" t="str">
        <f>VLOOKUP(C30,Lists!I:J,2,FALSE)</f>
        <v>KS</v>
      </c>
      <c r="C30" s="115" t="str">
        <f>VLOOKUP(E30,Lists!D:E,2,FALSE)</f>
        <v>Greatsword/Dagger</v>
      </c>
      <c r="D30" s="13" t="s">
        <v>7</v>
      </c>
      <c r="E30" s="83" t="s">
        <v>502</v>
      </c>
      <c r="F30" s="13" t="s">
        <v>476</v>
      </c>
      <c r="G30" s="82">
        <v>21</v>
      </c>
      <c r="H30" s="82">
        <v>29</v>
      </c>
      <c r="I30" s="194">
        <f t="shared" si="0"/>
        <v>50</v>
      </c>
      <c r="J30" s="85">
        <v>718008</v>
      </c>
      <c r="K30" s="85">
        <v>1312934</v>
      </c>
      <c r="L30" s="85">
        <v>31930</v>
      </c>
      <c r="M30" s="195">
        <f>I30/(HLOOKUP(F30,Team_Composition_23[[#All],[Yellow]:[Red]],10,FALSE)+HLOOKUP(F30,Team_Composition_23[[#All],[Yellow]:[Red]],11,FALSE))</f>
        <v>1.2496875781054736E-2</v>
      </c>
      <c r="N30" s="195">
        <f>J30/HLOOKUP(F30,Team_Composition_23[[#All],[Yellow]:[Red]],6,FALSE)</f>
        <v>1.6184623106817481E-2</v>
      </c>
      <c r="O30" s="195">
        <f>K30/HLOOKUP(F30,Team_Composition_23[[#All],[Yellow]:[Red]],8,FALSE)</f>
        <v>7.4944446705512258E-2</v>
      </c>
      <c r="P30" s="195">
        <f>L30/HLOOKUP(F30,Team_Composition_23[[#All],[Yellow]:[Red]],7,FALSE)</f>
        <v>2.466632480412559E-3</v>
      </c>
      <c r="R30" s="201" t="s">
        <v>468</v>
      </c>
      <c r="S30" s="202">
        <f>SUMIFS(Scoreboard_27[Damage Dealt],Scoreboard_27[Role],"Ranged DPS",Scoreboard_27[Team],"Yellow")</f>
        <v>16533445</v>
      </c>
      <c r="T30" s="203">
        <f>SUMIFS(Scoreboard_27[Damage Dealt],Scoreboard_27[Role],"Ranged DPS",Scoreboard_27[Team],"Red")</f>
        <v>8196577</v>
      </c>
      <c r="AB30" s="201" t="s">
        <v>468</v>
      </c>
      <c r="AC30" s="205">
        <f>SUMIFS(Scoreboard_27[Damage Dealt],Scoreboard_27[Role],"Ranged DPS",Scoreboard_27[Guild],"FTP")</f>
        <v>15198941</v>
      </c>
      <c r="AD30" s="206">
        <f>SUMIFS(Scoreboard_27[Damage Dealt],Scoreboard_27[Role],"Ranged DPS",Scoreboard_27[Guild],"Undercooked")</f>
        <v>0</v>
      </c>
    </row>
    <row r="31" spans="1:30" ht="22.5" customHeight="1">
      <c r="A31" s="82">
        <v>64</v>
      </c>
      <c r="B31" s="115" t="str">
        <f>VLOOKUP(C31,Lists!I:J,2,FALSE)</f>
        <v>Healer</v>
      </c>
      <c r="C31" s="115" t="str">
        <f>VLOOKUP(E31,Lists!D:E,2,FALSE)</f>
        <v>Wand/Longbow</v>
      </c>
      <c r="D31" s="13" t="s">
        <v>7</v>
      </c>
      <c r="E31" s="83" t="s">
        <v>108</v>
      </c>
      <c r="F31" s="13" t="s">
        <v>476</v>
      </c>
      <c r="G31" s="82">
        <v>0</v>
      </c>
      <c r="H31" s="82">
        <v>50</v>
      </c>
      <c r="I31" s="194">
        <f t="shared" si="0"/>
        <v>50</v>
      </c>
      <c r="J31" s="85">
        <v>18421</v>
      </c>
      <c r="K31" s="85">
        <v>460415</v>
      </c>
      <c r="L31" s="85">
        <v>1657084</v>
      </c>
      <c r="M31" s="195">
        <f>I31/(HLOOKUP(F31,Team_Composition_23[[#All],[Yellow]:[Red]],10,FALSE)+HLOOKUP(F31,Team_Composition_23[[#All],[Yellow]:[Red]],11,FALSE))</f>
        <v>1.2496875781054736E-2</v>
      </c>
      <c r="N31" s="195">
        <f>J31/HLOOKUP(F31,Team_Composition_23[[#All],[Yellow]:[Red]],6,FALSE)</f>
        <v>4.1522788360392196E-4</v>
      </c>
      <c r="O31" s="195">
        <f>K31/HLOOKUP(F31,Team_Composition_23[[#All],[Yellow]:[Red]],8,FALSE)</f>
        <v>2.6281250565465153E-2</v>
      </c>
      <c r="P31" s="195">
        <f>L31/HLOOKUP(F31,Team_Composition_23[[#All],[Yellow]:[Red]],7,FALSE)</f>
        <v>0.12801181387948526</v>
      </c>
      <c r="R31" s="201" t="s">
        <v>469</v>
      </c>
      <c r="S31" s="202">
        <f>SUMIFS(Scoreboard_27[Damage Taken],Scoreboard_27[Role],"Ranged DPS",Scoreboard_27[Team],"Yellow")</f>
        <v>4314699</v>
      </c>
      <c r="T31" s="203">
        <f>SUMIFS(Scoreboard_27[Damage Taken],Scoreboard_27[Role],"Ranged DPS",Scoreboard_27[Team],"Red")</f>
        <v>4930481</v>
      </c>
      <c r="AB31" s="201" t="s">
        <v>469</v>
      </c>
      <c r="AC31" s="205">
        <f>SUMIFS(Scoreboard_27[Damage Taken],Scoreboard_27[Role],"Ranged DPS",Scoreboard_27[Guild],"FTP")</f>
        <v>3630681</v>
      </c>
      <c r="AD31" s="206">
        <f>SUMIFS(Scoreboard_27[Damage Taken],Scoreboard_27[Role],"Ranged DPS",Scoreboard_27[Guild],"Undercooked")</f>
        <v>0</v>
      </c>
    </row>
    <row r="32" spans="1:30" ht="22.5" customHeight="1">
      <c r="A32" s="82">
        <v>65</v>
      </c>
      <c r="B32" s="115" t="str">
        <f>VLOOKUP(C32,Lists!I:J,2,FALSE)</f>
        <v>Healer</v>
      </c>
      <c r="C32" s="115" t="s">
        <v>9</v>
      </c>
      <c r="D32" s="13" t="s">
        <v>540</v>
      </c>
      <c r="E32" s="83" t="s">
        <v>541</v>
      </c>
      <c r="F32" s="13" t="s">
        <v>476</v>
      </c>
      <c r="G32" s="82">
        <v>0</v>
      </c>
      <c r="H32" s="82">
        <v>50</v>
      </c>
      <c r="I32" s="194">
        <f t="shared" si="0"/>
        <v>50</v>
      </c>
      <c r="J32" s="85">
        <v>340</v>
      </c>
      <c r="K32" s="85">
        <v>543930</v>
      </c>
      <c r="L32" s="85">
        <v>1005496</v>
      </c>
      <c r="M32" s="195">
        <f>I32/(HLOOKUP(F32,Team_Composition_23[[#All],[Yellow]:[Red]],10,FALSE)+HLOOKUP(F32,Team_Composition_23[[#All],[Yellow]:[Red]],11,FALSE))</f>
        <v>1.2496875781054736E-2</v>
      </c>
      <c r="N32" s="195">
        <f>J32/HLOOKUP(F32,Team_Composition_23[[#All],[Yellow]:[Red]],6,FALSE)</f>
        <v>7.6639422629245676E-6</v>
      </c>
      <c r="O32" s="195">
        <f>K32/HLOOKUP(F32,Team_Composition_23[[#All],[Yellow]:[Red]],8,FALSE)</f>
        <v>3.1048425051471956E-2</v>
      </c>
      <c r="P32" s="195">
        <f>L32/HLOOKUP(F32,Team_Composition_23[[#All],[Yellow]:[Red]],7,FALSE)</f>
        <v>7.7675825008609659E-2</v>
      </c>
      <c r="R32" s="201" t="s">
        <v>470</v>
      </c>
      <c r="S32" s="202">
        <f>SUMIFS(Scoreboard_27[Amount Healed],Scoreboard_27[Role],"Ranged DPS",Scoreboard_27[Team],"Yellow")</f>
        <v>253603</v>
      </c>
      <c r="T32" s="203">
        <f>SUMIFS(Scoreboard_27[Amount Healed],Scoreboard_27[Role],"Ranged DPS",Scoreboard_27[Team],"Red")</f>
        <v>121422</v>
      </c>
      <c r="AB32" s="201" t="s">
        <v>470</v>
      </c>
      <c r="AC32" s="205">
        <f>SUMIFS(Scoreboard_27[Amount Healed],Scoreboard_27[Role],"Ranged DPS",Scoreboard_27[Guild],"FTP")</f>
        <v>253603</v>
      </c>
      <c r="AD32" s="206">
        <f>SUMIFS(Scoreboard_27[Amount Healed],Scoreboard_27[Role],"Ranged DPS",Scoreboard_27[Guild],"Undercooked")</f>
        <v>0</v>
      </c>
    </row>
    <row r="33" spans="1:30" ht="22.5" customHeight="1">
      <c r="A33" s="82">
        <v>31</v>
      </c>
      <c r="B33" s="115" t="str">
        <f>VLOOKUP(C33,Lists!I:J,2,FALSE)</f>
        <v>Tank</v>
      </c>
      <c r="C33" s="115" t="s">
        <v>62</v>
      </c>
      <c r="D33" s="13" t="s">
        <v>36</v>
      </c>
      <c r="E33" s="83" t="s">
        <v>542</v>
      </c>
      <c r="F33" s="13" t="s">
        <v>483</v>
      </c>
      <c r="G33" s="82">
        <v>11</v>
      </c>
      <c r="H33" s="82">
        <v>38</v>
      </c>
      <c r="I33" s="194">
        <f t="shared" si="0"/>
        <v>49</v>
      </c>
      <c r="J33" s="85">
        <v>1044599</v>
      </c>
      <c r="K33" s="85">
        <v>464045</v>
      </c>
      <c r="L33" s="85">
        <v>14730</v>
      </c>
      <c r="M33" s="195">
        <f>I33/(HLOOKUP(F33,Team_Composition_23[[#All],[Yellow]:[Red]],10,FALSE)+HLOOKUP(F33,Team_Composition_23[[#All],[Yellow]:[Red]],11,FALSE))</f>
        <v>5.9683313032886723E-2</v>
      </c>
      <c r="N33" s="195">
        <f>J33/HLOOKUP(F33,Team_Composition_23[[#All],[Yellow]:[Red]],6,FALSE)</f>
        <v>5.919949131232749E-2</v>
      </c>
      <c r="O33" s="195">
        <f>K33/HLOOKUP(F33,Team_Composition_23[[#All],[Yellow]:[Red]],8,FALSE)</f>
        <v>1.0542658434315316E-2</v>
      </c>
      <c r="P33" s="195">
        <f>L33/HLOOKUP(F33,Team_Composition_23[[#All],[Yellow]:[Red]],7,FALSE)</f>
        <v>6.0696191497349502E-4</v>
      </c>
      <c r="R33" s="201" t="s">
        <v>465</v>
      </c>
      <c r="S33" s="202">
        <f>SUMIFS(Scoreboard_27[Kills],Scoreboard_27[Role],"Ranged DPS",Scoreboard_27[Team],"Yellow")</f>
        <v>232</v>
      </c>
      <c r="T33" s="203">
        <f>SUMIFS(Scoreboard_27[Kills],Scoreboard_27[Role],"Ranged DPS",Scoreboard_27[Team],"Red")</f>
        <v>64</v>
      </c>
      <c r="AB33" s="201" t="s">
        <v>465</v>
      </c>
      <c r="AC33" s="205">
        <f>SUMIFS(Scoreboard_27[Kills],Scoreboard_27[Role],"Ranged DPS",Scoreboard_27[Guild],"FTP")</f>
        <v>220</v>
      </c>
      <c r="AD33" s="206">
        <f>SUMIFS(Scoreboard_27[Kills],Scoreboard_27[Role],"Ranged DPS",Scoreboard_27[Guild],"Undercooked")</f>
        <v>0</v>
      </c>
    </row>
    <row r="34" spans="1:30" ht="22.5" customHeight="1">
      <c r="A34" s="82">
        <v>16</v>
      </c>
      <c r="B34" s="115" t="str">
        <f>VLOOKUP(C34,Lists!I:J,2,FALSE)</f>
        <v>KS</v>
      </c>
      <c r="C34" s="115" t="s">
        <v>54</v>
      </c>
      <c r="D34" s="13" t="s">
        <v>7</v>
      </c>
      <c r="E34" s="83" t="s">
        <v>159</v>
      </c>
      <c r="F34" s="13" t="s">
        <v>476</v>
      </c>
      <c r="G34" s="82">
        <v>22</v>
      </c>
      <c r="H34" s="82">
        <v>26</v>
      </c>
      <c r="I34" s="194">
        <f t="shared" si="0"/>
        <v>48</v>
      </c>
      <c r="J34" s="85">
        <v>1042737</v>
      </c>
      <c r="K34" s="85">
        <v>702119</v>
      </c>
      <c r="L34" s="85">
        <v>0</v>
      </c>
      <c r="M34" s="195">
        <f>I34/(HLOOKUP(F34,Team_Composition_23[[#All],[Yellow]:[Red]],10,FALSE)+HLOOKUP(F34,Team_Composition_23[[#All],[Yellow]:[Red]],11,FALSE))</f>
        <v>1.1997000749812546E-2</v>
      </c>
      <c r="N34" s="195">
        <f>J34/HLOOKUP(F34,Team_Composition_23[[#All],[Yellow]:[Red]],6,FALSE)</f>
        <v>2.3504341657103456E-2</v>
      </c>
      <c r="O34" s="195">
        <f>K34/HLOOKUP(F34,Team_Composition_23[[#All],[Yellow]:[Red]],8,FALSE)</f>
        <v>4.0078115104359824E-2</v>
      </c>
      <c r="P34" s="195">
        <f>L34/HLOOKUP(F34,Team_Composition_23[[#All],[Yellow]:[Red]],7,FALSE)</f>
        <v>0</v>
      </c>
      <c r="R34" s="201" t="s">
        <v>466</v>
      </c>
      <c r="S34" s="202">
        <f>SUMIFS(Scoreboard_27[Assists],Scoreboard_27[Role],"Ranged DPS",Scoreboard_27[Team],"Yellow")</f>
        <v>515</v>
      </c>
      <c r="T34" s="203">
        <f>SUMIFS(Scoreboard_27[Assists],Scoreboard_27[Role],"Ranged DPS",Scoreboard_27[Team],"Red")</f>
        <v>167</v>
      </c>
      <c r="AB34" s="201" t="s">
        <v>466</v>
      </c>
      <c r="AC34" s="205">
        <f>SUMIFS(Scoreboard_27[Assists],Scoreboard_27[Role],"Ranged DPS",Scoreboard_27[Guild],"FTP")</f>
        <v>454</v>
      </c>
      <c r="AD34" s="206">
        <f>SUMIFS(Scoreboard_27[Assists],Scoreboard_27[Role],"Ranged DPS",Scoreboard_27[Team],"Red")</f>
        <v>167</v>
      </c>
    </row>
    <row r="35" spans="1:30" ht="22.5" customHeight="1">
      <c r="A35" s="82">
        <v>50</v>
      </c>
      <c r="B35" s="115" t="str">
        <f>VLOOKUP(C35,Lists!I:J,2,FALSE)</f>
        <v>Healer</v>
      </c>
      <c r="C35" s="115" t="s">
        <v>9</v>
      </c>
      <c r="D35" s="13" t="s">
        <v>36</v>
      </c>
      <c r="E35" s="83" t="s">
        <v>543</v>
      </c>
      <c r="F35" s="13" t="s">
        <v>483</v>
      </c>
      <c r="G35" s="82">
        <v>1</v>
      </c>
      <c r="H35" s="82">
        <v>47</v>
      </c>
      <c r="I35" s="194">
        <f t="shared" si="0"/>
        <v>48</v>
      </c>
      <c r="J35" s="85">
        <v>19564</v>
      </c>
      <c r="K35" s="85">
        <v>497587</v>
      </c>
      <c r="L35" s="85">
        <v>1007748</v>
      </c>
      <c r="M35" s="195">
        <f>I35/(HLOOKUP(F35,Team_Composition_23[[#All],[Yellow]:[Red]],10,FALSE)+HLOOKUP(F35,Team_Composition_23[[#All],[Yellow]:[Red]],11,FALSE))</f>
        <v>5.8465286236297195E-2</v>
      </c>
      <c r="N35" s="195">
        <f>J35/HLOOKUP(F35,Team_Composition_23[[#All],[Yellow]:[Red]],6,FALSE)</f>
        <v>1.1087305732002185E-3</v>
      </c>
      <c r="O35" s="195">
        <f>K35/HLOOKUP(F35,Team_Composition_23[[#All],[Yellow]:[Red]],8,FALSE)</f>
        <v>1.1304700583684029E-2</v>
      </c>
      <c r="P35" s="195">
        <f>L35/HLOOKUP(F35,Team_Composition_23[[#All],[Yellow]:[Red]],7,FALSE)</f>
        <v>4.1525095444040025E-2</v>
      </c>
      <c r="R35" s="201" t="s">
        <v>54</v>
      </c>
      <c r="S35" s="202">
        <f t="shared" ref="S35:S46" si="6">COUNTIFS(C:C,R35,F:F,"Yellow")</f>
        <v>3</v>
      </c>
      <c r="T35" s="203">
        <f t="shared" ref="T35:T46" si="7">COUNTIFS(C:C,R35,F:F,"Red")</f>
        <v>3</v>
      </c>
      <c r="AB35" s="201" t="s">
        <v>54</v>
      </c>
      <c r="AC35" s="205">
        <f t="shared" ref="AC35:AC46" si="8">COUNTIFS(C:C,AB35,D:D,"FTP")</f>
        <v>3</v>
      </c>
      <c r="AD35" s="206">
        <f t="shared" ref="AD35:AD46" si="9">COUNTIFS(C:C,AB35,D:D,"Undercooked")</f>
        <v>0</v>
      </c>
    </row>
    <row r="36" spans="1:30" ht="22.5" customHeight="1">
      <c r="A36" s="82">
        <v>66</v>
      </c>
      <c r="B36" s="115" t="str">
        <f>VLOOKUP(C36,Lists!I:J,2,FALSE)</f>
        <v>Healer</v>
      </c>
      <c r="C36" s="115" t="str">
        <f>VLOOKUP(E36,Lists!D:E,2,FALSE)</f>
        <v>Wand/Longbow</v>
      </c>
      <c r="D36" s="13" t="s">
        <v>7</v>
      </c>
      <c r="E36" s="83" t="s">
        <v>44</v>
      </c>
      <c r="F36" s="13" t="s">
        <v>476</v>
      </c>
      <c r="G36" s="82">
        <v>0</v>
      </c>
      <c r="H36" s="82">
        <v>48</v>
      </c>
      <c r="I36" s="194">
        <f t="shared" si="0"/>
        <v>48</v>
      </c>
      <c r="J36" s="85">
        <v>71489</v>
      </c>
      <c r="K36" s="85">
        <v>610604</v>
      </c>
      <c r="L36" s="85">
        <v>2328656</v>
      </c>
      <c r="M36" s="195">
        <f>I36/(HLOOKUP(F36,Team_Composition_23[[#All],[Yellow]:[Red]],10,FALSE)+HLOOKUP(F36,Team_Composition_23[[#All],[Yellow]:[Red]],11,FALSE))</f>
        <v>1.1997000749812546E-2</v>
      </c>
      <c r="N36" s="195">
        <f>J36/HLOOKUP(F36,Team_Composition_23[[#All],[Yellow]:[Red]],6,FALSE)</f>
        <v>1.6114340248065131E-3</v>
      </c>
      <c r="O36" s="195">
        <f>K36/HLOOKUP(F36,Team_Composition_23[[#All],[Yellow]:[Red]],8,FALSE)</f>
        <v>3.4854287371773908E-2</v>
      </c>
      <c r="P36" s="195">
        <f>L36/HLOOKUP(F36,Team_Composition_23[[#All],[Yellow]:[Red]],7,FALSE)</f>
        <v>0.17989159177286526</v>
      </c>
      <c r="R36" s="201" t="s">
        <v>43</v>
      </c>
      <c r="S36" s="202">
        <f t="shared" si="6"/>
        <v>1</v>
      </c>
      <c r="T36" s="203">
        <f t="shared" si="7"/>
        <v>1</v>
      </c>
      <c r="AB36" s="201" t="s">
        <v>43</v>
      </c>
      <c r="AC36" s="205">
        <f t="shared" si="8"/>
        <v>1</v>
      </c>
      <c r="AD36" s="206">
        <f t="shared" si="9"/>
        <v>0</v>
      </c>
    </row>
    <row r="37" spans="1:30" ht="22.5" customHeight="1">
      <c r="A37" s="82">
        <v>22</v>
      </c>
      <c r="B37" s="115" t="str">
        <f>VLOOKUP(C37,Lists!I:J,2,FALSE)</f>
        <v>Ranged DPS</v>
      </c>
      <c r="C37" s="115" t="s">
        <v>43</v>
      </c>
      <c r="D37" s="13" t="s">
        <v>36</v>
      </c>
      <c r="E37" s="83" t="s">
        <v>544</v>
      </c>
      <c r="F37" s="13" t="s">
        <v>483</v>
      </c>
      <c r="G37" s="82">
        <v>15</v>
      </c>
      <c r="H37" s="82">
        <v>31</v>
      </c>
      <c r="I37" s="194">
        <f t="shared" si="0"/>
        <v>46</v>
      </c>
      <c r="J37" s="85">
        <v>1077187</v>
      </c>
      <c r="K37" s="85">
        <v>796556</v>
      </c>
      <c r="L37" s="85">
        <v>28068</v>
      </c>
      <c r="M37" s="195">
        <f>I37/(HLOOKUP(F37,Team_Composition_23[[#All],[Yellow]:[Red]],10,FALSE)+HLOOKUP(F37,Team_Composition_23[[#All],[Yellow]:[Red]],11,FALSE))</f>
        <v>5.6029232643118147E-2</v>
      </c>
      <c r="N37" s="195">
        <f>J37/HLOOKUP(F37,Team_Composition_23[[#All],[Yellow]:[Red]],6,FALSE)</f>
        <v>6.1046317724076038E-2</v>
      </c>
      <c r="O37" s="195">
        <f>K37/HLOOKUP(F37,Team_Composition_23[[#All],[Yellow]:[Red]],8,FALSE)</f>
        <v>1.809699023112946E-2</v>
      </c>
      <c r="P37" s="195">
        <f>L37/HLOOKUP(F37,Team_Composition_23[[#All],[Yellow]:[Red]],7,FALSE)</f>
        <v>1.1565653108945048E-3</v>
      </c>
      <c r="R37" s="201" t="s">
        <v>45</v>
      </c>
      <c r="S37" s="202">
        <f t="shared" si="6"/>
        <v>2</v>
      </c>
      <c r="T37" s="203">
        <f t="shared" si="7"/>
        <v>1</v>
      </c>
      <c r="AB37" s="201" t="s">
        <v>45</v>
      </c>
      <c r="AC37" s="205">
        <f t="shared" si="8"/>
        <v>2</v>
      </c>
      <c r="AD37" s="206">
        <f t="shared" si="9"/>
        <v>0</v>
      </c>
    </row>
    <row r="38" spans="1:30" ht="22.5" customHeight="1">
      <c r="A38" s="82">
        <v>67</v>
      </c>
      <c r="B38" s="115" t="str">
        <f>VLOOKUP(C38,Lists!I:J,2,FALSE)</f>
        <v>Healer</v>
      </c>
      <c r="C38" s="115" t="str">
        <f>VLOOKUP(E38,Lists!D:E,2,FALSE)</f>
        <v>Wand/Longbow</v>
      </c>
      <c r="D38" s="13" t="s">
        <v>36</v>
      </c>
      <c r="E38" s="83" t="s">
        <v>128</v>
      </c>
      <c r="F38" s="13" t="s">
        <v>483</v>
      </c>
      <c r="G38" s="82">
        <v>0</v>
      </c>
      <c r="H38" s="82">
        <v>46</v>
      </c>
      <c r="I38" s="194">
        <f t="shared" si="0"/>
        <v>46</v>
      </c>
      <c r="J38" s="85">
        <v>25733</v>
      </c>
      <c r="K38" s="85">
        <v>501457</v>
      </c>
      <c r="L38" s="85">
        <v>564981</v>
      </c>
      <c r="M38" s="195">
        <f>I38/(HLOOKUP(F38,Team_Composition_23[[#All],[Yellow]:[Red]],10,FALSE)+HLOOKUP(F38,Team_Composition_23[[#All],[Yellow]:[Red]],11,FALSE))</f>
        <v>5.6029232643118147E-2</v>
      </c>
      <c r="N38" s="195">
        <f>J38/HLOOKUP(F38,Team_Composition_23[[#All],[Yellow]:[Red]],6,FALSE)</f>
        <v>1.4583400040973839E-3</v>
      </c>
      <c r="O38" s="195">
        <f>K38/HLOOKUP(F38,Team_Composition_23[[#All],[Yellow]:[Red]],8,FALSE)</f>
        <v>1.1392623281139663E-2</v>
      </c>
      <c r="P38" s="195">
        <f>L38/HLOOKUP(F38,Team_Composition_23[[#All],[Yellow]:[Red]],7,FALSE)</f>
        <v>2.3280512537925332E-2</v>
      </c>
      <c r="R38" s="201" t="s">
        <v>81</v>
      </c>
      <c r="S38" s="202">
        <f t="shared" si="6"/>
        <v>0</v>
      </c>
      <c r="T38" s="203">
        <f t="shared" si="7"/>
        <v>1</v>
      </c>
      <c r="AB38" s="201" t="s">
        <v>81</v>
      </c>
      <c r="AC38" s="205">
        <f t="shared" si="8"/>
        <v>0</v>
      </c>
      <c r="AD38" s="206">
        <f t="shared" si="9"/>
        <v>0</v>
      </c>
    </row>
    <row r="39" spans="1:30" ht="22.5" customHeight="1">
      <c r="A39" s="82">
        <v>68</v>
      </c>
      <c r="B39" s="115" t="str">
        <f>VLOOKUP(C39,Lists!I:J,2,FALSE)</f>
        <v>Healer</v>
      </c>
      <c r="C39" s="115" t="str">
        <f>VLOOKUP(E39,Lists!D:E,2,FALSE)</f>
        <v>Wand/Longbow</v>
      </c>
      <c r="D39" s="13" t="s">
        <v>7</v>
      </c>
      <c r="E39" s="83" t="s">
        <v>134</v>
      </c>
      <c r="F39" s="13" t="s">
        <v>476</v>
      </c>
      <c r="G39" s="82">
        <v>0</v>
      </c>
      <c r="H39" s="82">
        <v>46</v>
      </c>
      <c r="I39" s="194">
        <f t="shared" si="0"/>
        <v>46</v>
      </c>
      <c r="J39" s="85">
        <v>402</v>
      </c>
      <c r="K39" s="85">
        <v>297834</v>
      </c>
      <c r="L39" s="85">
        <v>811892</v>
      </c>
      <c r="M39" s="195">
        <f>I39/(HLOOKUP(F39,Team_Composition_23[[#All],[Yellow]:[Red]],10,FALSE)+HLOOKUP(F39,Team_Composition_23[[#All],[Yellow]:[Red]],11,FALSE))</f>
        <v>1.1497125718570358E-2</v>
      </c>
      <c r="N39" s="195">
        <f>J39/HLOOKUP(F39,Team_Composition_23[[#All],[Yellow]:[Red]],6,FALSE)</f>
        <v>9.0614846755755191E-6</v>
      </c>
      <c r="O39" s="195">
        <f>K39/HLOOKUP(F39,Team_Composition_23[[#All],[Yellow]:[Red]],8,FALSE)</f>
        <v>1.7000857880205354E-2</v>
      </c>
      <c r="P39" s="195">
        <f>L39/HLOOKUP(F39,Team_Composition_23[[#All],[Yellow]:[Red]],7,FALSE)</f>
        <v>6.2719673591829408E-2</v>
      </c>
      <c r="R39" s="201" t="s">
        <v>48</v>
      </c>
      <c r="S39" s="202">
        <f t="shared" si="6"/>
        <v>0</v>
      </c>
      <c r="T39" s="203">
        <f t="shared" si="7"/>
        <v>0</v>
      </c>
      <c r="AB39" s="201" t="s">
        <v>48</v>
      </c>
      <c r="AC39" s="205">
        <f t="shared" si="8"/>
        <v>0</v>
      </c>
      <c r="AD39" s="206">
        <f t="shared" si="9"/>
        <v>0</v>
      </c>
    </row>
    <row r="40" spans="1:30" ht="22.5" customHeight="1">
      <c r="A40" s="82">
        <v>69</v>
      </c>
      <c r="B40" s="115" t="str">
        <f>VLOOKUP(C40,Lists!I:J,2,FALSE)</f>
        <v>Healer</v>
      </c>
      <c r="C40" s="115" t="str">
        <f>VLOOKUP(E40,Lists!D:E,2,FALSE)</f>
        <v>Wand/Orb</v>
      </c>
      <c r="D40" s="13" t="s">
        <v>7</v>
      </c>
      <c r="E40" s="83" t="s">
        <v>96</v>
      </c>
      <c r="F40" s="13" t="s">
        <v>476</v>
      </c>
      <c r="G40" s="82">
        <v>0</v>
      </c>
      <c r="H40" s="82">
        <v>44</v>
      </c>
      <c r="I40" s="194">
        <f t="shared" si="0"/>
        <v>44</v>
      </c>
      <c r="J40" s="85">
        <v>3365</v>
      </c>
      <c r="K40" s="85">
        <v>204500</v>
      </c>
      <c r="L40" s="85">
        <v>669984</v>
      </c>
      <c r="M40" s="195">
        <f>I40/(HLOOKUP(F40,Team_Composition_23[[#All],[Yellow]:[Red]],10,FALSE)+HLOOKUP(F40,Team_Composition_23[[#All],[Yellow]:[Red]],11,FALSE))</f>
        <v>1.0997250687328168E-2</v>
      </c>
      <c r="N40" s="195">
        <f>J40/HLOOKUP(F40,Team_Composition_23[[#All],[Yellow]:[Red]],6,FALSE)</f>
        <v>7.5850487396297557E-5</v>
      </c>
      <c r="O40" s="195">
        <f>K40/HLOOKUP(F40,Team_Composition_23[[#All],[Yellow]:[Red]],8,FALSE)</f>
        <v>1.1673198615678516E-2</v>
      </c>
      <c r="P40" s="195">
        <f>L40/HLOOKUP(F40,Team_Composition_23[[#All],[Yellow]:[Red]],7,FALSE)</f>
        <v>5.1757102905002433E-2</v>
      </c>
      <c r="R40" s="201" t="s">
        <v>50</v>
      </c>
      <c r="S40" s="202">
        <f t="shared" si="6"/>
        <v>1</v>
      </c>
      <c r="T40" s="203">
        <f t="shared" si="7"/>
        <v>0</v>
      </c>
      <c r="AB40" s="201" t="s">
        <v>50</v>
      </c>
      <c r="AC40" s="205">
        <f t="shared" si="8"/>
        <v>1</v>
      </c>
      <c r="AD40" s="206">
        <f t="shared" si="9"/>
        <v>0</v>
      </c>
    </row>
    <row r="41" spans="1:30" ht="22.5" customHeight="1">
      <c r="A41" s="82">
        <v>28</v>
      </c>
      <c r="B41" s="115" t="str">
        <f>VLOOKUP(C41,Lists!I:J,2,FALSE)</f>
        <v>Tank</v>
      </c>
      <c r="C41" s="115" t="s">
        <v>62</v>
      </c>
      <c r="D41" s="13" t="s">
        <v>36</v>
      </c>
      <c r="E41" s="83" t="s">
        <v>289</v>
      </c>
      <c r="F41" s="13" t="s">
        <v>483</v>
      </c>
      <c r="G41" s="82">
        <v>12</v>
      </c>
      <c r="H41" s="82">
        <v>31</v>
      </c>
      <c r="I41" s="194">
        <f t="shared" si="0"/>
        <v>43</v>
      </c>
      <c r="J41" s="85">
        <v>884807</v>
      </c>
      <c r="K41" s="85">
        <v>524664</v>
      </c>
      <c r="L41" s="85">
        <v>35478</v>
      </c>
      <c r="M41" s="195">
        <f>I41/(HLOOKUP(F41,Team_Composition_23[[#All],[Yellow]:[Red]],10,FALSE)+HLOOKUP(F41,Team_Composition_23[[#All],[Yellow]:[Red]],11,FALSE))</f>
        <v>5.2375152253349572E-2</v>
      </c>
      <c r="N41" s="195">
        <f>J41/HLOOKUP(F41,Team_Composition_23[[#All],[Yellow]:[Red]],6,FALSE)</f>
        <v>5.0143762639622044E-2</v>
      </c>
      <c r="O41" s="195">
        <f>K41/HLOOKUP(F41,Team_Composition_23[[#All],[Yellow]:[Red]],8,FALSE)</f>
        <v>1.1919864118310962E-2</v>
      </c>
      <c r="P41" s="195">
        <f>L41/HLOOKUP(F41,Team_Composition_23[[#All],[Yellow]:[Red]],7,FALSE)</f>
        <v>1.4619005308506214E-3</v>
      </c>
      <c r="R41" s="201" t="s">
        <v>52</v>
      </c>
      <c r="S41" s="202">
        <f t="shared" si="6"/>
        <v>1</v>
      </c>
      <c r="T41" s="203">
        <f t="shared" si="7"/>
        <v>0</v>
      </c>
      <c r="AB41" s="201" t="s">
        <v>52</v>
      </c>
      <c r="AC41" s="205">
        <f t="shared" si="8"/>
        <v>1</v>
      </c>
      <c r="AD41" s="206">
        <f t="shared" si="9"/>
        <v>0</v>
      </c>
    </row>
    <row r="42" spans="1:30" ht="22.5" customHeight="1">
      <c r="A42" s="82">
        <v>29</v>
      </c>
      <c r="B42" s="115" t="str">
        <f>VLOOKUP(C42,Lists!I:J,2,FALSE)</f>
        <v>KS</v>
      </c>
      <c r="C42" s="115" t="str">
        <f>VLOOKUP(E42,Lists!D:E,2,FALSE)</f>
        <v>Longbow/Dagger</v>
      </c>
      <c r="D42" s="13" t="s">
        <v>36</v>
      </c>
      <c r="E42" s="83" t="s">
        <v>239</v>
      </c>
      <c r="F42" s="13" t="s">
        <v>483</v>
      </c>
      <c r="G42" s="82">
        <v>12</v>
      </c>
      <c r="H42" s="82">
        <v>30</v>
      </c>
      <c r="I42" s="194">
        <f t="shared" si="0"/>
        <v>42</v>
      </c>
      <c r="J42" s="85">
        <v>562256</v>
      </c>
      <c r="K42" s="85">
        <v>568600</v>
      </c>
      <c r="L42" s="85">
        <v>0</v>
      </c>
      <c r="M42" s="195">
        <f>I42/(HLOOKUP(F42,Team_Composition_23[[#All],[Yellow]:[Red]],10,FALSE)+HLOOKUP(F42,Team_Composition_23[[#All],[Yellow]:[Red]],11,FALSE))</f>
        <v>5.1157125456760051E-2</v>
      </c>
      <c r="N42" s="195">
        <f>J42/HLOOKUP(F42,Team_Composition_23[[#All],[Yellow]:[Red]],6,FALSE)</f>
        <v>3.1864159536151196E-2</v>
      </c>
      <c r="O42" s="195">
        <f>K42/HLOOKUP(F42,Team_Composition_23[[#All],[Yellow]:[Red]],8,FALSE)</f>
        <v>1.291804800343003E-2</v>
      </c>
      <c r="P42" s="195">
        <f>L42/HLOOKUP(F42,Team_Composition_23[[#All],[Yellow]:[Red]],7,FALSE)</f>
        <v>0</v>
      </c>
      <c r="R42" s="201" t="s">
        <v>32</v>
      </c>
      <c r="S42" s="202">
        <f t="shared" si="6"/>
        <v>3</v>
      </c>
      <c r="T42" s="203">
        <f t="shared" si="7"/>
        <v>2</v>
      </c>
      <c r="AB42" s="201" t="s">
        <v>32</v>
      </c>
      <c r="AC42" s="205">
        <f t="shared" si="8"/>
        <v>2</v>
      </c>
      <c r="AD42" s="206">
        <f t="shared" si="9"/>
        <v>0</v>
      </c>
    </row>
    <row r="43" spans="1:30" ht="22.5" customHeight="1">
      <c r="A43" s="82">
        <v>70</v>
      </c>
      <c r="B43" s="115" t="str">
        <f>VLOOKUP(C43,Lists!I:J,2,FALSE)</f>
        <v>Healer</v>
      </c>
      <c r="C43" s="115" t="s">
        <v>10</v>
      </c>
      <c r="D43" s="13" t="s">
        <v>36</v>
      </c>
      <c r="E43" s="83" t="s">
        <v>545</v>
      </c>
      <c r="F43" s="13" t="s">
        <v>483</v>
      </c>
      <c r="G43" s="82">
        <v>0</v>
      </c>
      <c r="H43" s="82">
        <v>42</v>
      </c>
      <c r="I43" s="194">
        <f t="shared" si="0"/>
        <v>42</v>
      </c>
      <c r="J43" s="85">
        <v>26097</v>
      </c>
      <c r="K43" s="85">
        <v>217010</v>
      </c>
      <c r="L43" s="85">
        <v>1379081</v>
      </c>
      <c r="M43" s="195">
        <f>I43/(HLOOKUP(F43,Team_Composition_23[[#All],[Yellow]:[Red]],10,FALSE)+HLOOKUP(F43,Team_Composition_23[[#All],[Yellow]:[Red]],11,FALSE))</f>
        <v>5.1157125456760051E-2</v>
      </c>
      <c r="N43" s="195">
        <f>J43/HLOOKUP(F43,Team_Composition_23[[#All],[Yellow]:[Red]],6,FALSE)</f>
        <v>1.4789686040076722E-3</v>
      </c>
      <c r="O43" s="195">
        <f>K43/HLOOKUP(F43,Team_Composition_23[[#All],[Yellow]:[Red]],8,FALSE)</f>
        <v>4.9302595800639303E-3</v>
      </c>
      <c r="P43" s="195">
        <f>L43/HLOOKUP(F43,Team_Composition_23[[#All],[Yellow]:[Red]],7,FALSE)</f>
        <v>5.6826180900445514E-2</v>
      </c>
      <c r="R43" s="201" t="s">
        <v>56</v>
      </c>
      <c r="S43" s="202">
        <f t="shared" si="6"/>
        <v>0</v>
      </c>
      <c r="T43" s="203">
        <f t="shared" si="7"/>
        <v>0</v>
      </c>
      <c r="AB43" s="201" t="s">
        <v>56</v>
      </c>
      <c r="AC43" s="205">
        <f t="shared" si="8"/>
        <v>0</v>
      </c>
      <c r="AD43" s="206">
        <f t="shared" si="9"/>
        <v>0</v>
      </c>
    </row>
    <row r="44" spans="1:30" ht="22.5" customHeight="1">
      <c r="A44" s="82">
        <v>71</v>
      </c>
      <c r="B44" s="115" t="str">
        <f>VLOOKUP(C44,Lists!I:J,2,FALSE)</f>
        <v>Healer</v>
      </c>
      <c r="C44" s="115" t="s">
        <v>9</v>
      </c>
      <c r="D44" s="13" t="s">
        <v>36</v>
      </c>
      <c r="E44" s="83" t="s">
        <v>546</v>
      </c>
      <c r="F44" s="13" t="s">
        <v>483</v>
      </c>
      <c r="G44" s="82">
        <v>0</v>
      </c>
      <c r="H44" s="82">
        <v>42</v>
      </c>
      <c r="I44" s="194">
        <f t="shared" si="0"/>
        <v>42</v>
      </c>
      <c r="J44" s="85">
        <v>1858</v>
      </c>
      <c r="K44" s="85">
        <v>269721</v>
      </c>
      <c r="L44" s="85">
        <v>265711</v>
      </c>
      <c r="M44" s="195">
        <f>I44/(HLOOKUP(F44,Team_Composition_23[[#All],[Yellow]:[Red]],10,FALSE)+HLOOKUP(F44,Team_Composition_23[[#All],[Yellow]:[Red]],11,FALSE))</f>
        <v>5.1157125456760051E-2</v>
      </c>
      <c r="N44" s="195">
        <f>J44/HLOOKUP(F44,Team_Composition_23[[#All],[Yellow]:[Red]],6,FALSE)</f>
        <v>1.0529653470691095E-4</v>
      </c>
      <c r="O44" s="195">
        <f>K44/HLOOKUP(F44,Team_Composition_23[[#All],[Yellow]:[Red]],8,FALSE)</f>
        <v>6.1278030698789154E-3</v>
      </c>
      <c r="P44" s="195">
        <f>L44/HLOOKUP(F44,Team_Composition_23[[#All],[Yellow]:[Red]],7,FALSE)</f>
        <v>1.0948842999967571E-2</v>
      </c>
      <c r="R44" s="201" t="s">
        <v>58</v>
      </c>
      <c r="S44" s="202">
        <f t="shared" si="6"/>
        <v>0</v>
      </c>
      <c r="T44" s="203">
        <f t="shared" si="7"/>
        <v>1</v>
      </c>
      <c r="AB44" s="201" t="s">
        <v>58</v>
      </c>
      <c r="AC44" s="205">
        <f t="shared" si="8"/>
        <v>0</v>
      </c>
      <c r="AD44" s="206">
        <f t="shared" si="9"/>
        <v>0</v>
      </c>
    </row>
    <row r="45" spans="1:30" ht="22.5" customHeight="1">
      <c r="A45" s="82">
        <v>45</v>
      </c>
      <c r="B45" s="115" t="str">
        <f>VLOOKUP(C45,Lists!I:J,2,FALSE)</f>
        <v>Tank</v>
      </c>
      <c r="C45" s="115" t="s">
        <v>14</v>
      </c>
      <c r="D45" s="13" t="s">
        <v>36</v>
      </c>
      <c r="E45" s="83" t="s">
        <v>293</v>
      </c>
      <c r="F45" s="13" t="s">
        <v>483</v>
      </c>
      <c r="G45" s="82">
        <v>2</v>
      </c>
      <c r="H45" s="82">
        <v>39</v>
      </c>
      <c r="I45" s="194">
        <f t="shared" si="0"/>
        <v>41</v>
      </c>
      <c r="J45" s="85">
        <v>490671</v>
      </c>
      <c r="K45" s="85">
        <v>854527</v>
      </c>
      <c r="L45" s="85">
        <v>141699</v>
      </c>
      <c r="M45" s="195">
        <f>I45/(HLOOKUP(F45,Team_Composition_23[[#All],[Yellow]:[Red]],10,FALSE)+HLOOKUP(F45,Team_Composition_23[[#All],[Yellow]:[Red]],11,FALSE))</f>
        <v>4.9939098660170524E-2</v>
      </c>
      <c r="N45" s="195">
        <f>J45/HLOOKUP(F45,Team_Composition_23[[#All],[Yellow]:[Red]],6,FALSE)</f>
        <v>2.7807296007090799E-2</v>
      </c>
      <c r="O45" s="195">
        <f>K45/HLOOKUP(F45,Team_Composition_23[[#All],[Yellow]:[Red]],8,FALSE)</f>
        <v>1.9414035888545643E-2</v>
      </c>
      <c r="P45" s="195">
        <f>L45/HLOOKUP(F45,Team_Composition_23[[#All],[Yellow]:[Red]],7,FALSE)</f>
        <v>5.8388252810474724E-3</v>
      </c>
      <c r="R45" s="201" t="s">
        <v>60</v>
      </c>
      <c r="S45" s="202">
        <f t="shared" si="6"/>
        <v>0</v>
      </c>
      <c r="T45" s="203">
        <f t="shared" si="7"/>
        <v>0</v>
      </c>
      <c r="AB45" s="201" t="s">
        <v>60</v>
      </c>
      <c r="AC45" s="205">
        <f t="shared" si="8"/>
        <v>0</v>
      </c>
      <c r="AD45" s="206">
        <f t="shared" si="9"/>
        <v>0</v>
      </c>
    </row>
    <row r="46" spans="1:30" ht="22.5" customHeight="1">
      <c r="A46" s="82">
        <v>72</v>
      </c>
      <c r="B46" s="115" t="str">
        <f>VLOOKUP(C46,Lists!I:J,2,FALSE)</f>
        <v>Healer</v>
      </c>
      <c r="C46" s="115" t="str">
        <f>VLOOKUP(E46,Lists!D:E,2,FALSE)</f>
        <v>Wand/Longbow</v>
      </c>
      <c r="D46" s="13" t="s">
        <v>7</v>
      </c>
      <c r="E46" s="83" t="s">
        <v>17</v>
      </c>
      <c r="F46" s="13" t="s">
        <v>476</v>
      </c>
      <c r="G46" s="82">
        <v>0</v>
      </c>
      <c r="H46" s="82">
        <v>41</v>
      </c>
      <c r="I46" s="194">
        <f t="shared" si="0"/>
        <v>41</v>
      </c>
      <c r="J46" s="85">
        <v>64343</v>
      </c>
      <c r="K46" s="85">
        <v>478133</v>
      </c>
      <c r="L46" s="85">
        <v>1879493</v>
      </c>
      <c r="M46" s="195">
        <f>I46/(HLOOKUP(F46,Team_Composition_23[[#All],[Yellow]:[Red]],10,FALSE)+HLOOKUP(F46,Team_Composition_23[[#All],[Yellow]:[Red]],11,FALSE))</f>
        <v>1.0247438140464884E-2</v>
      </c>
      <c r="N46" s="195">
        <f>J46/HLOOKUP(F46,Team_Composition_23[[#All],[Yellow]:[Red]],6,FALSE)</f>
        <v>1.4503559912451632E-3</v>
      </c>
      <c r="O46" s="195">
        <f>K46/HLOOKUP(F46,Team_Composition_23[[#All],[Yellow]:[Red]],8,FALSE)</f>
        <v>2.7292623343326237E-2</v>
      </c>
      <c r="P46" s="195">
        <f>L46/HLOOKUP(F46,Team_Composition_23[[#All],[Yellow]:[Red]],7,FALSE)</f>
        <v>0.14519318761378144</v>
      </c>
      <c r="R46" s="201" t="s">
        <v>63</v>
      </c>
      <c r="S46" s="202">
        <f t="shared" si="6"/>
        <v>0</v>
      </c>
      <c r="T46" s="203">
        <f t="shared" si="7"/>
        <v>0</v>
      </c>
      <c r="AB46" s="201" t="s">
        <v>63</v>
      </c>
      <c r="AC46" s="205">
        <f t="shared" si="8"/>
        <v>0</v>
      </c>
      <c r="AD46" s="206">
        <f t="shared" si="9"/>
        <v>0</v>
      </c>
    </row>
    <row r="47" spans="1:30" ht="22.5" customHeight="1">
      <c r="A47" s="82">
        <v>73</v>
      </c>
      <c r="B47" s="115" t="str">
        <f>VLOOKUP(C47,Lists!I:J,2,FALSE)</f>
        <v>Healer</v>
      </c>
      <c r="C47" s="115" t="str">
        <f>VLOOKUP(E47,Lists!D:E,2,FALSE)</f>
        <v>Wand/Orb</v>
      </c>
      <c r="D47" s="13" t="s">
        <v>7</v>
      </c>
      <c r="E47" s="83" t="s">
        <v>121</v>
      </c>
      <c r="F47" s="13" t="s">
        <v>476</v>
      </c>
      <c r="G47" s="82">
        <v>0</v>
      </c>
      <c r="H47" s="82">
        <v>40</v>
      </c>
      <c r="I47" s="194">
        <f t="shared" si="0"/>
        <v>40</v>
      </c>
      <c r="J47" s="85">
        <v>19080</v>
      </c>
      <c r="K47" s="85">
        <v>477081</v>
      </c>
      <c r="L47" s="85">
        <v>546854</v>
      </c>
      <c r="M47" s="195">
        <f>I47/(HLOOKUP(F47,Team_Composition_23[[#All],[Yellow]:[Red]],10,FALSE)+HLOOKUP(F47,Team_Composition_23[[#All],[Yellow]:[Red]],11,FALSE))</f>
        <v>9.997500624843789E-3</v>
      </c>
      <c r="N47" s="195">
        <f>J47/HLOOKUP(F47,Team_Composition_23[[#All],[Yellow]:[Red]],6,FALSE)</f>
        <v>4.3008240699000223E-4</v>
      </c>
      <c r="O47" s="195">
        <f>K47/HLOOKUP(F47,Team_Composition_23[[#All],[Yellow]:[Red]],8,FALSE)</f>
        <v>2.7232573441401085E-2</v>
      </c>
      <c r="P47" s="195">
        <f>L47/HLOOKUP(F47,Team_Composition_23[[#All],[Yellow]:[Red]],7,FALSE)</f>
        <v>4.2245156230614762E-2</v>
      </c>
      <c r="R47" s="204"/>
      <c r="S47" s="208"/>
      <c r="T47" s="208"/>
      <c r="AB47" s="204"/>
      <c r="AC47" s="208"/>
      <c r="AD47" s="208"/>
    </row>
    <row r="48" spans="1:30" ht="22.5" customHeight="1">
      <c r="A48" s="82">
        <v>36</v>
      </c>
      <c r="B48" s="115" t="str">
        <f>VLOOKUP(C48,Lists!I:J,2,FALSE)</f>
        <v>Healer</v>
      </c>
      <c r="C48" s="115" t="s">
        <v>10</v>
      </c>
      <c r="D48" s="13" t="s">
        <v>36</v>
      </c>
      <c r="E48" s="83" t="s">
        <v>245</v>
      </c>
      <c r="F48" s="13" t="s">
        <v>483</v>
      </c>
      <c r="G48" s="82">
        <v>6</v>
      </c>
      <c r="H48" s="82">
        <v>33</v>
      </c>
      <c r="I48" s="194">
        <f t="shared" si="0"/>
        <v>39</v>
      </c>
      <c r="J48" s="85">
        <v>785337</v>
      </c>
      <c r="K48" s="85">
        <v>822784</v>
      </c>
      <c r="L48" s="85">
        <v>0</v>
      </c>
      <c r="M48" s="195">
        <f>I48/(HLOOKUP(F48,Team_Composition_23[[#All],[Yellow]:[Red]],10,FALSE)+HLOOKUP(F48,Team_Composition_23[[#All],[Yellow]:[Red]],11,FALSE))</f>
        <v>4.7503045066991476E-2</v>
      </c>
      <c r="N48" s="195">
        <f>J48/HLOOKUP(F48,Team_Composition_23[[#All],[Yellow]:[Red]],6,FALSE)</f>
        <v>4.4506601010291351E-2</v>
      </c>
      <c r="O48" s="195">
        <f>K48/HLOOKUP(F48,Team_Composition_23[[#All],[Yellow]:[Red]],8,FALSE)</f>
        <v>1.8692865298020004E-2</v>
      </c>
      <c r="P48" s="195">
        <f>L48/HLOOKUP(F48,Team_Composition_23[[#All],[Yellow]:[Red]],7,FALSE)</f>
        <v>0</v>
      </c>
      <c r="R48" s="6"/>
      <c r="S48" s="209"/>
      <c r="T48" s="209"/>
      <c r="AB48" s="6"/>
      <c r="AC48" s="209"/>
      <c r="AD48" s="209"/>
    </row>
    <row r="49" spans="1:30" ht="22.5" customHeight="1">
      <c r="A49" s="82">
        <v>51</v>
      </c>
      <c r="B49" s="115" t="str">
        <f>VLOOKUP(C49,Lists!I:J,2,FALSE)</f>
        <v>Healer</v>
      </c>
      <c r="C49" s="115" t="str">
        <f>VLOOKUP(E49,Lists!D:E,2,FALSE)</f>
        <v>Wand/Longbow</v>
      </c>
      <c r="D49" s="13" t="s">
        <v>7</v>
      </c>
      <c r="E49" s="83" t="s">
        <v>29</v>
      </c>
      <c r="F49" s="13" t="s">
        <v>476</v>
      </c>
      <c r="G49" s="82">
        <v>1</v>
      </c>
      <c r="H49" s="82">
        <v>38</v>
      </c>
      <c r="I49" s="194">
        <f t="shared" si="0"/>
        <v>39</v>
      </c>
      <c r="J49" s="85">
        <v>72889</v>
      </c>
      <c r="K49" s="85">
        <v>271859</v>
      </c>
      <c r="L49" s="85">
        <v>1289391</v>
      </c>
      <c r="M49" s="195">
        <f>I49/(HLOOKUP(F49,Team_Composition_23[[#All],[Yellow]:[Red]],10,FALSE)+HLOOKUP(F49,Team_Composition_23[[#All],[Yellow]:[Red]],11,FALSE))</f>
        <v>9.7475631092226941E-3</v>
      </c>
      <c r="N49" s="195">
        <f>J49/HLOOKUP(F49,Team_Composition_23[[#All],[Yellow]:[Red]],6,FALSE)</f>
        <v>1.6429914341244377E-3</v>
      </c>
      <c r="O49" s="195">
        <f>K49/HLOOKUP(F49,Team_Composition_23[[#All],[Yellow]:[Red]],8,FALSE)</f>
        <v>1.5518161870218804E-2</v>
      </c>
      <c r="P49" s="195">
        <f>L49/HLOOKUP(F49,Team_Composition_23[[#All],[Yellow]:[Red]],7,FALSE)</f>
        <v>9.9607069231181636E-2</v>
      </c>
      <c r="R49" s="232" t="s">
        <v>67</v>
      </c>
      <c r="S49" s="228"/>
      <c r="T49" s="228"/>
      <c r="AB49" s="232" t="s">
        <v>67</v>
      </c>
      <c r="AC49" s="228"/>
      <c r="AD49" s="228"/>
    </row>
    <row r="50" spans="1:30" ht="22.5" customHeight="1">
      <c r="A50" s="82">
        <v>74</v>
      </c>
      <c r="B50" s="115" t="str">
        <f>VLOOKUP(C50,Lists!I:J,2,FALSE)</f>
        <v>Tank</v>
      </c>
      <c r="C50" s="115" t="str">
        <f>VLOOKUP(E50,Lists!D:E,2,FALSE)</f>
        <v>SnS/Spear</v>
      </c>
      <c r="D50" s="13" t="s">
        <v>7</v>
      </c>
      <c r="E50" s="83" t="s">
        <v>61</v>
      </c>
      <c r="F50" s="13" t="s">
        <v>476</v>
      </c>
      <c r="G50" s="82">
        <v>0</v>
      </c>
      <c r="H50" s="82">
        <v>35</v>
      </c>
      <c r="I50" s="194">
        <f t="shared" si="0"/>
        <v>35</v>
      </c>
      <c r="J50" s="85">
        <v>195296</v>
      </c>
      <c r="K50" s="85">
        <v>382039</v>
      </c>
      <c r="L50" s="85">
        <v>29620</v>
      </c>
      <c r="M50" s="195">
        <f>I50/(HLOOKUP(F50,Team_Composition_23[[#All],[Yellow]:[Red]],10,FALSE)+HLOOKUP(F50,Team_Composition_23[[#All],[Yellow]:[Red]],11,FALSE))</f>
        <v>8.7478130467383147E-3</v>
      </c>
      <c r="N50" s="195">
        <f>J50/HLOOKUP(F50,Team_Composition_23[[#All],[Yellow]:[Red]],6,FALSE)</f>
        <v>4.4021684358238715E-3</v>
      </c>
      <c r="O50" s="195">
        <f>K50/HLOOKUP(F50,Team_Composition_23[[#All],[Yellow]:[Red]],8,FALSE)</f>
        <v>2.1807418708729605E-2</v>
      </c>
      <c r="P50" s="195">
        <f>L50/HLOOKUP(F50,Team_Composition_23[[#All],[Yellow]:[Red]],7,FALSE)</f>
        <v>2.2881820879993731E-3</v>
      </c>
      <c r="R50" s="197" t="s">
        <v>482</v>
      </c>
      <c r="S50" s="198" t="s">
        <v>476</v>
      </c>
      <c r="T50" s="198" t="s">
        <v>483</v>
      </c>
      <c r="AB50" s="197" t="s">
        <v>482</v>
      </c>
      <c r="AC50" s="198" t="s">
        <v>7</v>
      </c>
      <c r="AD50" s="198" t="s">
        <v>527</v>
      </c>
    </row>
    <row r="51" spans="1:30" ht="22.5" customHeight="1">
      <c r="A51" s="82">
        <v>38</v>
      </c>
      <c r="B51" s="115" t="str">
        <f>VLOOKUP(C51,Lists!I:J,2,FALSE)</f>
        <v>Ranged DPS</v>
      </c>
      <c r="C51" s="115" t="str">
        <f>VLOOKUP(E51,Lists!D:E,2,FALSE)</f>
        <v>Staff/Dagger</v>
      </c>
      <c r="D51" s="13" t="s">
        <v>36</v>
      </c>
      <c r="E51" s="83" t="s">
        <v>250</v>
      </c>
      <c r="F51" s="13" t="s">
        <v>483</v>
      </c>
      <c r="G51" s="82">
        <v>4</v>
      </c>
      <c r="H51" s="82">
        <v>30</v>
      </c>
      <c r="I51" s="194">
        <f t="shared" si="0"/>
        <v>34</v>
      </c>
      <c r="J51" s="85">
        <v>1325831</v>
      </c>
      <c r="K51" s="85">
        <v>558310</v>
      </c>
      <c r="L51" s="85">
        <v>0</v>
      </c>
      <c r="M51" s="195">
        <f>I51/(HLOOKUP(F51,Team_Composition_23[[#All],[Yellow]:[Red]],10,FALSE)+HLOOKUP(F51,Team_Composition_23[[#All],[Yellow]:[Red]],11,FALSE))</f>
        <v>4.1412911084043852E-2</v>
      </c>
      <c r="N51" s="195">
        <f>J51/HLOOKUP(F51,Team_Composition_23[[#All],[Yellow]:[Red]],6,FALSE)</f>
        <v>7.5137464966091735E-2</v>
      </c>
      <c r="O51" s="195">
        <f>K51/HLOOKUP(F51,Team_Composition_23[[#All],[Yellow]:[Red]],8,FALSE)</f>
        <v>1.2684269048179776E-2</v>
      </c>
      <c r="P51" s="195">
        <f>L51/HLOOKUP(F51,Team_Composition_23[[#All],[Yellow]:[Red]],7,FALSE)</f>
        <v>0</v>
      </c>
      <c r="R51" s="201" t="s">
        <v>468</v>
      </c>
      <c r="S51" s="202">
        <f>SUMIFS(Scoreboard_27[Damage Dealt],Scoreboard_27[Role],"Tank",Scoreboard_27[Team],"Yellow")</f>
        <v>1322656</v>
      </c>
      <c r="T51" s="203">
        <f>SUMIFS(Scoreboard_27[Damage Dealt],Scoreboard_27[Role],"Tank",Scoreboard_27[Team],"Red")</f>
        <v>4639186</v>
      </c>
      <c r="AB51" s="201" t="s">
        <v>468</v>
      </c>
      <c r="AC51" s="205">
        <f>SUMIFS(Scoreboard_27[Damage Dealt],Scoreboard_27[Role],"Tank",Scoreboard_27[Guild],"FTP")</f>
        <v>1322656</v>
      </c>
      <c r="AD51" s="206">
        <f>SUMIFS(Scoreboard_27[Damage Dealt],Scoreboard_27[Role],"Tank",Scoreboard_27[Guild],"Undercooked")</f>
        <v>0</v>
      </c>
    </row>
    <row r="52" spans="1:30" ht="22.5" customHeight="1">
      <c r="A52" s="82">
        <v>75</v>
      </c>
      <c r="B52" s="115" t="str">
        <f>VLOOKUP(C52,Lists!I:J,2,FALSE)</f>
        <v>Tank</v>
      </c>
      <c r="C52" s="115" t="s">
        <v>14</v>
      </c>
      <c r="D52" s="13" t="s">
        <v>7</v>
      </c>
      <c r="E52" s="83" t="s">
        <v>547</v>
      </c>
      <c r="F52" s="13" t="s">
        <v>476</v>
      </c>
      <c r="G52" s="82">
        <v>0</v>
      </c>
      <c r="H52" s="82">
        <v>34</v>
      </c>
      <c r="I52" s="194">
        <f t="shared" si="0"/>
        <v>34</v>
      </c>
      <c r="J52" s="85">
        <v>37235</v>
      </c>
      <c r="K52" s="85">
        <v>269342</v>
      </c>
      <c r="L52" s="85">
        <v>30118</v>
      </c>
      <c r="M52" s="195">
        <f>I52/(HLOOKUP(F52,Team_Composition_23[[#All],[Yellow]:[Red]],10,FALSE)+HLOOKUP(F52,Team_Composition_23[[#All],[Yellow]:[Red]],11,FALSE))</f>
        <v>8.4978755311172199E-3</v>
      </c>
      <c r="N52" s="195">
        <f>J52/HLOOKUP(F52,Team_Composition_23[[#All],[Yellow]:[Red]],6,FALSE)</f>
        <v>8.3931438282351851E-4</v>
      </c>
      <c r="O52" s="195">
        <f>K52/HLOOKUP(F52,Team_Composition_23[[#All],[Yellow]:[Red]],8,FALSE)</f>
        <v>1.5374487342513852E-2</v>
      </c>
      <c r="P52" s="195">
        <f>L52/HLOOKUP(F52,Team_Composition_23[[#All],[Yellow]:[Red]],7,FALSE)</f>
        <v>2.3266532115585794E-3</v>
      </c>
      <c r="R52" s="201" t="s">
        <v>469</v>
      </c>
      <c r="S52" s="202">
        <f>SUMIFS(Scoreboard_27[Damage Taken],Scoreboard_27[Role],"Tank",Scoreboard_27[Team],"Yellow")</f>
        <v>6709593</v>
      </c>
      <c r="T52" s="203">
        <f>SUMIFS(Scoreboard_27[Damage Taken],Scoreboard_27[Role],"Tank",Scoreboard_27[Team],"Red")</f>
        <v>9628207</v>
      </c>
      <c r="AB52" s="201" t="s">
        <v>469</v>
      </c>
      <c r="AC52" s="205">
        <f>SUMIFS(Scoreboard_27[Damage Taken],Scoreboard_27[Role],"Tank",Scoreboard_27[Guild],"FTP")</f>
        <v>6709593</v>
      </c>
      <c r="AD52" s="206">
        <f>SUMIFS(Scoreboard_27[Damage Taken],Scoreboard_27[Role],"Tank",Scoreboard_27[Guild],"Undercooked")</f>
        <v>0</v>
      </c>
    </row>
    <row r="53" spans="1:30" ht="22.5" customHeight="1">
      <c r="A53" s="82">
        <v>76</v>
      </c>
      <c r="B53" s="115" t="str">
        <f>VLOOKUP(C53,Lists!I:J,2,FALSE)</f>
        <v>Tank</v>
      </c>
      <c r="C53" s="115" t="s">
        <v>14</v>
      </c>
      <c r="D53" s="13" t="s">
        <v>36</v>
      </c>
      <c r="E53" s="83" t="s">
        <v>269</v>
      </c>
      <c r="F53" s="13" t="s">
        <v>483</v>
      </c>
      <c r="G53" s="82">
        <v>0</v>
      </c>
      <c r="H53" s="82">
        <v>34</v>
      </c>
      <c r="I53" s="194">
        <f t="shared" si="0"/>
        <v>34</v>
      </c>
      <c r="J53" s="85">
        <v>13195</v>
      </c>
      <c r="K53" s="85">
        <v>580126</v>
      </c>
      <c r="L53" s="85">
        <v>1168979</v>
      </c>
      <c r="M53" s="195">
        <f>I53/(HLOOKUP(F53,Team_Composition_23[[#All],[Yellow]:[Red]],10,FALSE)+HLOOKUP(F53,Team_Composition_23[[#All],[Yellow]:[Red]],11,FALSE))</f>
        <v>4.1412911084043852E-2</v>
      </c>
      <c r="N53" s="195">
        <f>J53/HLOOKUP(F53,Team_Composition_23[[#All],[Yellow]:[Red]],6,FALSE)</f>
        <v>7.4778674674794935E-4</v>
      </c>
      <c r="O53" s="195">
        <f>K53/HLOOKUP(F53,Team_Composition_23[[#All],[Yellow]:[Red]],8,FALSE)</f>
        <v>1.317990769616224E-2</v>
      </c>
      <c r="P53" s="195">
        <f>L53/HLOOKUP(F53,Team_Composition_23[[#All],[Yellow]:[Red]],7,FALSE)</f>
        <v>4.8168753048459009E-2</v>
      </c>
      <c r="R53" s="201" t="s">
        <v>470</v>
      </c>
      <c r="S53" s="202">
        <f>SUMIFS(Scoreboard_27[Amount Healed],Scoreboard_27[Role],"Tank",Scoreboard_27[Team],"Yellow")</f>
        <v>570955</v>
      </c>
      <c r="T53" s="203">
        <f>SUMIFS(Scoreboard_27[Amount Healed],Scoreboard_27[Role],"Tank",Scoreboard_27[Team],"Red")</f>
        <v>2170636</v>
      </c>
      <c r="AB53" s="201" t="s">
        <v>470</v>
      </c>
      <c r="AC53" s="205">
        <f>SUMIFS(Scoreboard_27[Amount Healed],Scoreboard_27[Role],"Tank",Scoreboard_27[Guild],"FTP")</f>
        <v>570955</v>
      </c>
      <c r="AD53" s="206">
        <f>SUMIFS(Scoreboard_27[Amount Healed],Scoreboard_27[Role],"Tank",Scoreboard_27[Guild],"Undercooked")</f>
        <v>0</v>
      </c>
    </row>
    <row r="54" spans="1:30" ht="22.5" customHeight="1">
      <c r="A54" s="82">
        <v>33</v>
      </c>
      <c r="B54" s="115" t="str">
        <f>VLOOKUP(C54,Lists!I:J,2,FALSE)</f>
        <v>Ranged DPS</v>
      </c>
      <c r="C54" s="115" t="s">
        <v>38</v>
      </c>
      <c r="D54" s="13" t="s">
        <v>36</v>
      </c>
      <c r="E54" s="83" t="s">
        <v>548</v>
      </c>
      <c r="F54" s="13" t="s">
        <v>483</v>
      </c>
      <c r="G54" s="82">
        <v>8</v>
      </c>
      <c r="H54" s="82">
        <v>25</v>
      </c>
      <c r="I54" s="194">
        <f t="shared" si="0"/>
        <v>33</v>
      </c>
      <c r="J54" s="85">
        <v>1154713</v>
      </c>
      <c r="K54" s="85">
        <v>1127596</v>
      </c>
      <c r="L54" s="85">
        <v>9081</v>
      </c>
      <c r="M54" s="195">
        <f>I54/(HLOOKUP(F54,Team_Composition_23[[#All],[Yellow]:[Red]],10,FALSE)+HLOOKUP(F54,Team_Composition_23[[#All],[Yellow]:[Red]],11,FALSE))</f>
        <v>4.0194884287454324E-2</v>
      </c>
      <c r="N54" s="195">
        <f>J54/HLOOKUP(F54,Team_Composition_23[[#All],[Yellow]:[Red]],6,FALSE)</f>
        <v>6.5439869473100792E-2</v>
      </c>
      <c r="O54" s="195">
        <f>K54/HLOOKUP(F54,Team_Composition_23[[#All],[Yellow]:[Red]],8,FALSE)</f>
        <v>2.5617902315293158E-2</v>
      </c>
      <c r="P54" s="195">
        <f>L54/HLOOKUP(F54,Team_Composition_23[[#All],[Yellow]:[Red]],7,FALSE)</f>
        <v>3.7419016631869026E-4</v>
      </c>
      <c r="R54" s="201" t="s">
        <v>465</v>
      </c>
      <c r="S54" s="202">
        <f>SUMIFS(Scoreboard_27[Kills],Scoreboard_27[Role],"Tank",Scoreboard_27[Team],"Yellow")</f>
        <v>16</v>
      </c>
      <c r="T54" s="203">
        <f>SUMIFS(Scoreboard_27[Kills],Scoreboard_27[Role],"Tank",Scoreboard_27[Team],"Red")</f>
        <v>41</v>
      </c>
      <c r="AB54" s="201" t="s">
        <v>465</v>
      </c>
      <c r="AC54" s="205">
        <f>SUMIFS(Scoreboard_27[Kills],Scoreboard_27[Role],"Tank",Scoreboard_27[Guild],"FTP")</f>
        <v>16</v>
      </c>
      <c r="AD54" s="206">
        <f>SUMIFS(Scoreboard_27[Kills],Scoreboard_27[Role],"Tank",Scoreboard_27[Guild],"Undercooked")</f>
        <v>0</v>
      </c>
    </row>
    <row r="55" spans="1:30" ht="22.5" customHeight="1">
      <c r="A55" s="82">
        <v>77</v>
      </c>
      <c r="B55" s="115" t="str">
        <f>VLOOKUP(C55,Lists!I:J,2,FALSE)</f>
        <v>Healer</v>
      </c>
      <c r="C55" s="115" t="str">
        <f>VLOOKUP(E55,Lists!D:E,2,FALSE)</f>
        <v>Wand/Longbow</v>
      </c>
      <c r="D55" s="13" t="s">
        <v>36</v>
      </c>
      <c r="E55" s="83" t="s">
        <v>271</v>
      </c>
      <c r="F55" s="13" t="s">
        <v>483</v>
      </c>
      <c r="G55" s="82">
        <v>0</v>
      </c>
      <c r="H55" s="82">
        <v>33</v>
      </c>
      <c r="I55" s="194">
        <f t="shared" si="0"/>
        <v>33</v>
      </c>
      <c r="J55" s="85">
        <v>33876</v>
      </c>
      <c r="K55" s="85">
        <v>452843</v>
      </c>
      <c r="L55" s="85">
        <v>1537965</v>
      </c>
      <c r="M55" s="195">
        <f>I55/(HLOOKUP(F55,Team_Composition_23[[#All],[Yellow]:[Red]],10,FALSE)+HLOOKUP(F55,Team_Composition_23[[#All],[Yellow]:[Red]],11,FALSE))</f>
        <v>4.0194884287454324E-2</v>
      </c>
      <c r="N55" s="195">
        <f>J55/HLOOKUP(F55,Team_Composition_23[[#All],[Yellow]:[Red]],6,FALSE)</f>
        <v>1.9198199191234205E-3</v>
      </c>
      <c r="O55" s="195">
        <f>K55/HLOOKUP(F55,Team_Composition_23[[#All],[Yellow]:[Red]],8,FALSE)</f>
        <v>1.0288159711602646E-2</v>
      </c>
      <c r="P55" s="195">
        <f>L55/HLOOKUP(F55,Team_Composition_23[[#All],[Yellow]:[Red]],7,FALSE)</f>
        <v>6.3373128415628727E-2</v>
      </c>
      <c r="R55" s="201" t="s">
        <v>466</v>
      </c>
      <c r="S55" s="202">
        <f>SUMIFS(Scoreboard_27[Assists],Scoreboard_27[Role],"Tank",Scoreboard_27[Team],"Yellow")</f>
        <v>276</v>
      </c>
      <c r="T55" s="203">
        <f>SUMIFS(Scoreboard_27[Assists],Scoreboard_27[Role],"Tank",Scoreboard_27[Team],"Red")</f>
        <v>300</v>
      </c>
      <c r="AB55" s="201" t="s">
        <v>466</v>
      </c>
      <c r="AC55" s="205">
        <f>SUMIFS(Scoreboard_27[Assists],Scoreboard_27[Role],"Tank",Scoreboard_27[Guild],"FTP")</f>
        <v>276</v>
      </c>
      <c r="AD55" s="206">
        <f>SUMIFS(Scoreboard_27[Assists],Scoreboard_27[Role],"Tank",Scoreboard_27[Guild],"Undercooked")</f>
        <v>0</v>
      </c>
    </row>
    <row r="56" spans="1:30" ht="22.5" customHeight="1">
      <c r="A56" s="82">
        <v>78</v>
      </c>
      <c r="B56" s="115" t="str">
        <f>VLOOKUP(C56,Lists!I:J,2,FALSE)</f>
        <v>Healer</v>
      </c>
      <c r="C56" s="115" t="s">
        <v>18</v>
      </c>
      <c r="D56" s="13" t="s">
        <v>7</v>
      </c>
      <c r="E56" s="83" t="s">
        <v>164</v>
      </c>
      <c r="F56" s="13" t="s">
        <v>476</v>
      </c>
      <c r="G56" s="82">
        <v>0</v>
      </c>
      <c r="H56" s="82">
        <v>32</v>
      </c>
      <c r="I56" s="194">
        <f t="shared" si="0"/>
        <v>32</v>
      </c>
      <c r="J56" s="85">
        <v>98</v>
      </c>
      <c r="K56" s="85">
        <v>199382</v>
      </c>
      <c r="L56" s="85">
        <v>569582</v>
      </c>
      <c r="M56" s="195">
        <f>I56/(HLOOKUP(F56,Team_Composition_23[[#All],[Yellow]:[Red]],10,FALSE)+HLOOKUP(F56,Team_Composition_23[[#All],[Yellow]:[Red]],11,FALSE))</f>
        <v>7.9980004998750319E-3</v>
      </c>
      <c r="N56" s="195">
        <f>J56/HLOOKUP(F56,Team_Composition_23[[#All],[Yellow]:[Red]],6,FALSE)</f>
        <v>2.2090186522547285E-6</v>
      </c>
      <c r="O56" s="195">
        <f>K56/HLOOKUP(F56,Team_Composition_23[[#All],[Yellow]:[Red]],8,FALSE)</f>
        <v>1.1381054701179529E-2</v>
      </c>
      <c r="P56" s="195">
        <f>L56/HLOOKUP(F56,Team_Composition_23[[#All],[Yellow]:[Red]],7,FALSE)</f>
        <v>4.4000922688955404E-2</v>
      </c>
      <c r="R56" s="201" t="s">
        <v>62</v>
      </c>
      <c r="S56" s="202">
        <f t="shared" ref="S56:S60" si="10">COUNTIFS(C:C,R56,F:F,"Yellow")</f>
        <v>3</v>
      </c>
      <c r="T56" s="203">
        <f t="shared" ref="T56:T60" si="11">COUNTIFS(C:C,R56,F:F,"Red")</f>
        <v>5</v>
      </c>
      <c r="AB56" s="201" t="s">
        <v>62</v>
      </c>
      <c r="AC56" s="205">
        <f t="shared" ref="AC56:AC60" si="12">COUNTIFS(C:C,AB56,D:D,"FTP")</f>
        <v>3</v>
      </c>
      <c r="AD56" s="206">
        <f t="shared" ref="AD56:AD60" si="13">COUNTIFS(C:C,AB56,D:D,"Undercooked")</f>
        <v>0</v>
      </c>
    </row>
    <row r="57" spans="1:30" ht="22.5" customHeight="1">
      <c r="A57" s="82">
        <v>24</v>
      </c>
      <c r="B57" s="115" t="str">
        <f>VLOOKUP(C57,Lists!I:J,2,FALSE)</f>
        <v>KS</v>
      </c>
      <c r="C57" s="115" t="s">
        <v>54</v>
      </c>
      <c r="D57" s="13" t="s">
        <v>36</v>
      </c>
      <c r="E57" s="83" t="s">
        <v>549</v>
      </c>
      <c r="F57" s="13" t="s">
        <v>483</v>
      </c>
      <c r="G57" s="82">
        <v>14</v>
      </c>
      <c r="H57" s="82">
        <v>17</v>
      </c>
      <c r="I57" s="194">
        <f t="shared" si="0"/>
        <v>31</v>
      </c>
      <c r="J57" s="85">
        <v>851317</v>
      </c>
      <c r="K57" s="85">
        <v>755284</v>
      </c>
      <c r="L57" s="85">
        <v>25997</v>
      </c>
      <c r="M57" s="195">
        <f>I57/(HLOOKUP(F57,Team_Composition_23[[#All],[Yellow]:[Red]],10,FALSE)+HLOOKUP(F57,Team_Composition_23[[#All],[Yellow]:[Red]],11,FALSE))</f>
        <v>3.7758830694275276E-2</v>
      </c>
      <c r="N57" s="195">
        <f>J57/HLOOKUP(F57,Team_Composition_23[[#All],[Yellow]:[Red]],6,FALSE)</f>
        <v>4.8245818103919973E-2</v>
      </c>
      <c r="O57" s="195">
        <f>K57/HLOOKUP(F57,Team_Composition_23[[#All],[Yellow]:[Red]],8,FALSE)</f>
        <v>1.7159329877282178E-2</v>
      </c>
      <c r="P57" s="195">
        <f>L57/HLOOKUP(F57,Team_Composition_23[[#All],[Yellow]:[Red]],7,FALSE)</f>
        <v>1.0712280314708724E-3</v>
      </c>
      <c r="R57" s="201" t="s">
        <v>70</v>
      </c>
      <c r="S57" s="202">
        <f t="shared" si="10"/>
        <v>0</v>
      </c>
      <c r="T57" s="203">
        <f t="shared" si="11"/>
        <v>0</v>
      </c>
      <c r="AB57" s="201" t="s">
        <v>70</v>
      </c>
      <c r="AC57" s="205">
        <f t="shared" si="12"/>
        <v>0</v>
      </c>
      <c r="AD57" s="206">
        <f t="shared" si="13"/>
        <v>0</v>
      </c>
    </row>
    <row r="58" spans="1:30" ht="22.5" customHeight="1">
      <c r="A58" s="82">
        <v>39</v>
      </c>
      <c r="B58" s="115" t="str">
        <f>VLOOKUP(C58,Lists!I:J,2,FALSE)</f>
        <v>Tank</v>
      </c>
      <c r="C58" s="115" t="str">
        <f>VLOOKUP(E58,Lists!D:E,2,FALSE)</f>
        <v>SnS/Greatsword</v>
      </c>
      <c r="D58" s="13" t="s">
        <v>7</v>
      </c>
      <c r="E58" s="83" t="s">
        <v>93</v>
      </c>
      <c r="F58" s="13" t="s">
        <v>476</v>
      </c>
      <c r="G58" s="82">
        <v>4</v>
      </c>
      <c r="H58" s="82">
        <v>27</v>
      </c>
      <c r="I58" s="194">
        <f t="shared" si="0"/>
        <v>31</v>
      </c>
      <c r="J58" s="85">
        <v>97477</v>
      </c>
      <c r="K58" s="85">
        <v>476019</v>
      </c>
      <c r="L58" s="85">
        <v>19646</v>
      </c>
      <c r="M58" s="195">
        <f>I58/(HLOOKUP(F58,Team_Composition_23[[#All],[Yellow]:[Red]],10,FALSE)+HLOOKUP(F58,Team_Composition_23[[#All],[Yellow]:[Red]],11,FALSE))</f>
        <v>7.7480629842539362E-3</v>
      </c>
      <c r="N58" s="195">
        <f>J58/HLOOKUP(F58,Team_Composition_23[[#All],[Yellow]:[Red]],6,FALSE)</f>
        <v>2.1972297057738181E-3</v>
      </c>
      <c r="O58" s="195">
        <f>K58/HLOOKUP(F58,Team_Composition_23[[#All],[Yellow]:[Red]],8,FALSE)</f>
        <v>2.7171952722917708E-2</v>
      </c>
      <c r="P58" s="195">
        <f>L58/HLOOKUP(F58,Team_Composition_23[[#All],[Yellow]:[Red]],7,FALSE)</f>
        <v>1.5176780992854724E-3</v>
      </c>
      <c r="R58" s="201" t="s">
        <v>14</v>
      </c>
      <c r="S58" s="202">
        <f t="shared" si="10"/>
        <v>10</v>
      </c>
      <c r="T58" s="203">
        <f t="shared" si="11"/>
        <v>11</v>
      </c>
      <c r="AB58" s="201" t="s">
        <v>14</v>
      </c>
      <c r="AC58" s="205">
        <f t="shared" si="12"/>
        <v>10</v>
      </c>
      <c r="AD58" s="206">
        <f t="shared" si="13"/>
        <v>0</v>
      </c>
    </row>
    <row r="59" spans="1:30" ht="22.5" customHeight="1">
      <c r="A59" s="82">
        <v>79</v>
      </c>
      <c r="B59" s="115" t="str">
        <f>VLOOKUP(C59,Lists!I:J,2,FALSE)</f>
        <v>Tank</v>
      </c>
      <c r="C59" s="115" t="s">
        <v>14</v>
      </c>
      <c r="D59" s="13" t="s">
        <v>36</v>
      </c>
      <c r="E59" s="83" t="s">
        <v>266</v>
      </c>
      <c r="F59" s="13" t="s">
        <v>483</v>
      </c>
      <c r="G59" s="82">
        <v>0</v>
      </c>
      <c r="H59" s="82">
        <v>31</v>
      </c>
      <c r="I59" s="194">
        <f t="shared" si="0"/>
        <v>31</v>
      </c>
      <c r="J59" s="85">
        <v>184</v>
      </c>
      <c r="K59" s="85">
        <v>195116</v>
      </c>
      <c r="L59" s="85">
        <v>414422</v>
      </c>
      <c r="M59" s="195">
        <f>I59/(HLOOKUP(F59,Team_Composition_23[[#All],[Yellow]:[Red]],10,FALSE)+HLOOKUP(F59,Team_Composition_23[[#All],[Yellow]:[Red]],11,FALSE))</f>
        <v>3.7758830694275276E-2</v>
      </c>
      <c r="N59" s="195">
        <f>J59/HLOOKUP(F59,Team_Composition_23[[#All],[Yellow]:[Red]],6,FALSE)</f>
        <v>1.0427643910695163E-5</v>
      </c>
      <c r="O59" s="195">
        <f>K59/HLOOKUP(F59,Team_Composition_23[[#All],[Yellow]:[Red]],8,FALSE)</f>
        <v>4.4328488467063904E-3</v>
      </c>
      <c r="P59" s="195">
        <f>L59/HLOOKUP(F59,Team_Composition_23[[#All],[Yellow]:[Red]],7,FALSE)</f>
        <v>1.7076603579575408E-2</v>
      </c>
      <c r="R59" s="201" t="s">
        <v>73</v>
      </c>
      <c r="S59" s="202">
        <f t="shared" si="10"/>
        <v>1</v>
      </c>
      <c r="T59" s="203">
        <f t="shared" si="11"/>
        <v>1</v>
      </c>
      <c r="AB59" s="201" t="s">
        <v>73</v>
      </c>
      <c r="AC59" s="205">
        <f t="shared" si="12"/>
        <v>1</v>
      </c>
      <c r="AD59" s="206">
        <f t="shared" si="13"/>
        <v>0</v>
      </c>
    </row>
    <row r="60" spans="1:30" ht="22.5" customHeight="1">
      <c r="A60" s="82">
        <v>26</v>
      </c>
      <c r="B60" s="115" t="str">
        <f>VLOOKUP(C60,Lists!I:J,2,FALSE)</f>
        <v>KS</v>
      </c>
      <c r="C60" s="115" t="s">
        <v>69</v>
      </c>
      <c r="D60" s="13" t="s">
        <v>36</v>
      </c>
      <c r="E60" s="83" t="s">
        <v>297</v>
      </c>
      <c r="F60" s="13" t="s">
        <v>483</v>
      </c>
      <c r="G60" s="82">
        <v>13</v>
      </c>
      <c r="H60" s="82">
        <v>17</v>
      </c>
      <c r="I60" s="194">
        <f t="shared" si="0"/>
        <v>30</v>
      </c>
      <c r="J60" s="85">
        <v>649513</v>
      </c>
      <c r="K60" s="85">
        <v>688615</v>
      </c>
      <c r="L60" s="85">
        <v>59236</v>
      </c>
      <c r="M60" s="195">
        <f>I60/(HLOOKUP(F60,Team_Composition_23[[#All],[Yellow]:[Red]],10,FALSE)+HLOOKUP(F60,Team_Composition_23[[#All],[Yellow]:[Red]],11,FALSE))</f>
        <v>3.6540803897685749E-2</v>
      </c>
      <c r="N60" s="195">
        <f>J60/HLOOKUP(F60,Team_Composition_23[[#All],[Yellow]:[Red]],6,FALSE)</f>
        <v>3.6809186300909499E-2</v>
      </c>
      <c r="O60" s="195">
        <f>K60/HLOOKUP(F60,Team_Composition_23[[#All],[Yellow]:[Red]],8,FALSE)</f>
        <v>1.5644673981501881E-2</v>
      </c>
      <c r="P60" s="195">
        <f>L60/HLOOKUP(F60,Team_Composition_23[[#All],[Yellow]:[Red]],7,FALSE)</f>
        <v>2.4408687030122163E-3</v>
      </c>
      <c r="R60" s="201" t="s">
        <v>75</v>
      </c>
      <c r="S60" s="202">
        <f t="shared" si="10"/>
        <v>0</v>
      </c>
      <c r="T60" s="203">
        <f t="shared" si="11"/>
        <v>0</v>
      </c>
      <c r="AB60" s="201" t="s">
        <v>75</v>
      </c>
      <c r="AC60" s="205">
        <f t="shared" si="12"/>
        <v>0</v>
      </c>
      <c r="AD60" s="206">
        <f t="shared" si="13"/>
        <v>0</v>
      </c>
    </row>
    <row r="61" spans="1:30" ht="22.5" customHeight="1">
      <c r="A61" s="82">
        <v>34</v>
      </c>
      <c r="B61" s="115" t="str">
        <f>VLOOKUP(C61,Lists!I:J,2,FALSE)</f>
        <v>KS</v>
      </c>
      <c r="C61" s="115" t="s">
        <v>69</v>
      </c>
      <c r="D61" s="13" t="s">
        <v>36</v>
      </c>
      <c r="E61" s="83" t="s">
        <v>550</v>
      </c>
      <c r="F61" s="13" t="s">
        <v>483</v>
      </c>
      <c r="G61" s="82">
        <v>8</v>
      </c>
      <c r="H61" s="82">
        <v>22</v>
      </c>
      <c r="I61" s="194">
        <f t="shared" si="0"/>
        <v>30</v>
      </c>
      <c r="J61" s="85">
        <v>682078</v>
      </c>
      <c r="K61" s="85">
        <v>774749</v>
      </c>
      <c r="L61" s="85">
        <v>105614</v>
      </c>
      <c r="M61" s="195">
        <f>I61/(HLOOKUP(F61,Team_Composition_23[[#All],[Yellow]:[Red]],10,FALSE)+HLOOKUP(F61,Team_Composition_23[[#All],[Yellow]:[Red]],11,FALSE))</f>
        <v>3.6540803897685749E-2</v>
      </c>
      <c r="N61" s="195">
        <f>J61/HLOOKUP(F61,Team_Composition_23[[#All],[Yellow]:[Red]],6,FALSE)</f>
        <v>3.8654709257169219E-2</v>
      </c>
      <c r="O61" s="195">
        <f>K61/HLOOKUP(F61,Team_Composition_23[[#All],[Yellow]:[Red]],8,FALSE)</f>
        <v>1.7601556054536428E-2</v>
      </c>
      <c r="P61" s="195">
        <f>L61/HLOOKUP(F61,Team_Composition_23[[#All],[Yellow]:[Red]],7,FALSE)</f>
        <v>4.3519128097766939E-3</v>
      </c>
      <c r="R61" s="204"/>
      <c r="S61" s="208"/>
      <c r="T61" s="208"/>
      <c r="AB61" s="204"/>
      <c r="AC61" s="208"/>
      <c r="AD61" s="208"/>
    </row>
    <row r="62" spans="1:30" ht="22.5" customHeight="1">
      <c r="A62" s="82">
        <v>52</v>
      </c>
      <c r="B62" s="115" t="str">
        <f>VLOOKUP(C62,Lists!I:J,2,FALSE)</f>
        <v>Tank</v>
      </c>
      <c r="C62" s="115" t="s">
        <v>14</v>
      </c>
      <c r="D62" s="13" t="s">
        <v>36</v>
      </c>
      <c r="E62" s="83" t="s">
        <v>551</v>
      </c>
      <c r="F62" s="13" t="s">
        <v>483</v>
      </c>
      <c r="G62" s="82">
        <v>1</v>
      </c>
      <c r="H62" s="82">
        <v>29</v>
      </c>
      <c r="I62" s="194">
        <f t="shared" si="0"/>
        <v>30</v>
      </c>
      <c r="J62" s="85">
        <v>116014</v>
      </c>
      <c r="K62" s="85">
        <v>109071</v>
      </c>
      <c r="L62" s="85">
        <v>2157</v>
      </c>
      <c r="M62" s="195">
        <f>I62/(HLOOKUP(F62,Team_Composition_23[[#All],[Yellow]:[Red]],10,FALSE)+HLOOKUP(F62,Team_Composition_23[[#All],[Yellow]:[Red]],11,FALSE))</f>
        <v>3.6540803897685749E-2</v>
      </c>
      <c r="N62" s="195">
        <f>J62/HLOOKUP(F62,Team_Composition_23[[#All],[Yellow]:[Red]],6,FALSE)</f>
        <v>6.574742829648852E-3</v>
      </c>
      <c r="O62" s="195">
        <f>K62/HLOOKUP(F62,Team_Composition_23[[#All],[Yellow]:[Red]],8,FALSE)</f>
        <v>2.4779887685228929E-3</v>
      </c>
      <c r="P62" s="195">
        <f>L62/HLOOKUP(F62,Team_Composition_23[[#All],[Yellow]:[Red]],7,FALSE)</f>
        <v>8.8880981031760266E-5</v>
      </c>
      <c r="R62" s="6"/>
      <c r="S62" s="209"/>
      <c r="T62" s="209"/>
      <c r="AB62" s="6"/>
      <c r="AC62" s="209"/>
      <c r="AD62" s="209"/>
    </row>
    <row r="63" spans="1:30" ht="22.5" customHeight="1">
      <c r="A63" s="82">
        <v>46</v>
      </c>
      <c r="B63" s="115" t="str">
        <f>VLOOKUP(C63,Lists!I:J,2,FALSE)</f>
        <v>Tank</v>
      </c>
      <c r="C63" s="115" t="str">
        <f>VLOOKUP(E63,Lists!D:E,2,FALSE)</f>
        <v>SnS/Greatsword</v>
      </c>
      <c r="D63" s="13" t="s">
        <v>7</v>
      </c>
      <c r="E63" s="83" t="s">
        <v>55</v>
      </c>
      <c r="F63" s="13" t="s">
        <v>476</v>
      </c>
      <c r="G63" s="82">
        <v>2</v>
      </c>
      <c r="H63" s="82">
        <v>27</v>
      </c>
      <c r="I63" s="194">
        <f t="shared" si="0"/>
        <v>29</v>
      </c>
      <c r="J63" s="85">
        <v>217330</v>
      </c>
      <c r="K63" s="85">
        <v>701610</v>
      </c>
      <c r="L63" s="85">
        <v>22185</v>
      </c>
      <c r="M63" s="195">
        <f>I63/(HLOOKUP(F63,Team_Composition_23[[#All],[Yellow]:[Red]],10,FALSE)+HLOOKUP(F63,Team_Composition_23[[#All],[Yellow]:[Red]],11,FALSE))</f>
        <v>7.2481879530117473E-3</v>
      </c>
      <c r="N63" s="195">
        <f>J63/HLOOKUP(F63,Team_Composition_23[[#All],[Yellow]:[Red]],6,FALSE)</f>
        <v>4.8988369764746955E-3</v>
      </c>
      <c r="O63" s="195">
        <f>K63/HLOOKUP(F63,Team_Composition_23[[#All],[Yellow]:[Red]],8,FALSE)</f>
        <v>4.0049060541546229E-2</v>
      </c>
      <c r="P63" s="195">
        <f>L63/HLOOKUP(F63,Team_Composition_23[[#All],[Yellow]:[Red]],7,FALSE)</f>
        <v>1.7138190284357224E-3</v>
      </c>
      <c r="R63" s="232" t="s">
        <v>11</v>
      </c>
      <c r="S63" s="228"/>
      <c r="T63" s="228"/>
      <c r="AB63" s="232" t="s">
        <v>11</v>
      </c>
      <c r="AC63" s="228"/>
      <c r="AD63" s="228"/>
    </row>
    <row r="64" spans="1:30" ht="22.5" customHeight="1">
      <c r="A64" s="82">
        <v>32</v>
      </c>
      <c r="B64" s="115" t="str">
        <f>VLOOKUP(C64,Lists!I:J,2,FALSE)</f>
        <v>Tank</v>
      </c>
      <c r="C64" s="115" t="s">
        <v>14</v>
      </c>
      <c r="D64" s="13" t="s">
        <v>36</v>
      </c>
      <c r="E64" s="83" t="s">
        <v>259</v>
      </c>
      <c r="F64" s="13" t="s">
        <v>483</v>
      </c>
      <c r="G64" s="82">
        <v>9</v>
      </c>
      <c r="H64" s="82">
        <v>19</v>
      </c>
      <c r="I64" s="194">
        <f t="shared" si="0"/>
        <v>28</v>
      </c>
      <c r="J64" s="85">
        <v>1010558</v>
      </c>
      <c r="K64" s="85">
        <v>894527</v>
      </c>
      <c r="L64" s="85">
        <v>0</v>
      </c>
      <c r="M64" s="195">
        <f>I64/(HLOOKUP(F64,Team_Composition_23[[#All],[Yellow]:[Red]],10,FALSE)+HLOOKUP(F64,Team_Composition_23[[#All],[Yellow]:[Red]],11,FALSE))</f>
        <v>3.4104750304506701E-2</v>
      </c>
      <c r="N64" s="195">
        <f>J64/HLOOKUP(F64,Team_Composition_23[[#All],[Yellow]:[Red]],6,FALSE)</f>
        <v>5.7270320516871108E-2</v>
      </c>
      <c r="O64" s="195">
        <f>K64/HLOOKUP(F64,Team_Composition_23[[#All],[Yellow]:[Red]],8,FALSE)</f>
        <v>2.0322797619353246E-2</v>
      </c>
      <c r="P64" s="195">
        <f>L64/HLOOKUP(F64,Team_Composition_23[[#All],[Yellow]:[Red]],7,FALSE)</f>
        <v>0</v>
      </c>
      <c r="R64" s="197" t="s">
        <v>482</v>
      </c>
      <c r="S64" s="198" t="s">
        <v>476</v>
      </c>
      <c r="T64" s="198" t="s">
        <v>483</v>
      </c>
      <c r="AB64" s="197" t="s">
        <v>482</v>
      </c>
      <c r="AC64" s="198" t="s">
        <v>7</v>
      </c>
      <c r="AD64" s="198" t="s">
        <v>527</v>
      </c>
    </row>
    <row r="65" spans="1:30" ht="22.5" customHeight="1">
      <c r="A65" s="82">
        <v>80</v>
      </c>
      <c r="B65" s="115" t="str">
        <f>VLOOKUP(C65,Lists!I:J,2,FALSE)</f>
        <v>Healer</v>
      </c>
      <c r="C65" s="115" t="s">
        <v>10</v>
      </c>
      <c r="D65" s="13" t="s">
        <v>36</v>
      </c>
      <c r="E65" s="83" t="s">
        <v>309</v>
      </c>
      <c r="F65" s="13" t="s">
        <v>483</v>
      </c>
      <c r="G65" s="82">
        <v>0</v>
      </c>
      <c r="H65" s="82">
        <v>28</v>
      </c>
      <c r="I65" s="194">
        <f t="shared" si="0"/>
        <v>28</v>
      </c>
      <c r="J65" s="85">
        <v>19319</v>
      </c>
      <c r="K65" s="85">
        <v>181017</v>
      </c>
      <c r="L65" s="85">
        <v>397182</v>
      </c>
      <c r="M65" s="195">
        <f>I65/(HLOOKUP(F65,Team_Composition_23[[#All],[Yellow]:[Red]],10,FALSE)+HLOOKUP(F65,Team_Composition_23[[#All],[Yellow]:[Red]],11,FALSE))</f>
        <v>3.4104750304506701E-2</v>
      </c>
      <c r="N65" s="195">
        <f>J65/HLOOKUP(F65,Team_Composition_23[[#All],[Yellow]:[Red]],6,FALSE)</f>
        <v>1.0948459386452168E-3</v>
      </c>
      <c r="O65" s="195">
        <f>K65/HLOOKUP(F65,Team_Composition_23[[#All],[Yellow]:[Red]],8,FALSE)</f>
        <v>4.112533055639982E-3</v>
      </c>
      <c r="P65" s="195">
        <f>L65/HLOOKUP(F65,Team_Composition_23[[#All],[Yellow]:[Red]],7,FALSE)</f>
        <v>1.6366215024643766E-2</v>
      </c>
      <c r="R65" s="201" t="s">
        <v>468</v>
      </c>
      <c r="S65" s="202">
        <f>SUMIFS(Scoreboard_27[Damage Dealt],Scoreboard_27[Role],"Healer",Scoreboard_27[Team],"Yellow")</f>
        <v>577141</v>
      </c>
      <c r="T65" s="203">
        <f>SUMIFS(Scoreboard_27[Damage Dealt],Scoreboard_27[Role],"Healer",Scoreboard_27[Team],"Red")</f>
        <v>1385378</v>
      </c>
      <c r="AB65" s="201" t="s">
        <v>468</v>
      </c>
      <c r="AC65" s="205">
        <f>SUMIFS(Scoreboard_27[Damage Dealt],Scoreboard_27[Role],"Healer",Scoreboard_27[Guild],"FTP")</f>
        <v>576801</v>
      </c>
      <c r="AD65" s="206">
        <f>SUMIFS(Scoreboard_27[Damage Dealt],Scoreboard_27[Role],"Healer",Scoreboard_27[Guild],"Undercooked")</f>
        <v>0</v>
      </c>
    </row>
    <row r="66" spans="1:30" ht="22.5" customHeight="1">
      <c r="A66" s="82">
        <v>35</v>
      </c>
      <c r="B66" s="115" t="str">
        <f>VLOOKUP(C66,Lists!I:J,2,FALSE)</f>
        <v>Ranged DPS</v>
      </c>
      <c r="C66" s="115" t="s">
        <v>58</v>
      </c>
      <c r="D66" s="13" t="s">
        <v>525</v>
      </c>
      <c r="E66" s="83" t="s">
        <v>327</v>
      </c>
      <c r="F66" s="13" t="s">
        <v>483</v>
      </c>
      <c r="G66" s="82">
        <v>7</v>
      </c>
      <c r="H66" s="82">
        <v>20</v>
      </c>
      <c r="I66" s="194">
        <f t="shared" si="0"/>
        <v>27</v>
      </c>
      <c r="J66" s="85">
        <v>1296041</v>
      </c>
      <c r="K66" s="85">
        <v>966427</v>
      </c>
      <c r="L66" s="85">
        <v>42877</v>
      </c>
      <c r="M66" s="195">
        <f>I66/(HLOOKUP(F66,Team_Composition_23[[#All],[Yellow]:[Red]],10,FALSE)+HLOOKUP(F66,Team_Composition_23[[#All],[Yellow]:[Red]],11,FALSE))</f>
        <v>3.2886723507917173E-2</v>
      </c>
      <c r="N66" s="195">
        <f>J66/HLOOKUP(F66,Team_Composition_23[[#All],[Yellow]:[Red]],6,FALSE)</f>
        <v>7.3449206748159079E-2</v>
      </c>
      <c r="O66" s="195">
        <f>K66/HLOOKUP(F66,Team_Composition_23[[#All],[Yellow]:[Red]],8,FALSE)</f>
        <v>2.1956296830479904E-2</v>
      </c>
      <c r="P66" s="195">
        <f>L66/HLOOKUP(F66,Team_Composition_23[[#All],[Yellow]:[Red]],7,FALSE)</f>
        <v>1.766782486647559E-3</v>
      </c>
      <c r="R66" s="201" t="s">
        <v>469</v>
      </c>
      <c r="S66" s="202">
        <f>SUMIFS(Scoreboard_27[Damage Taken],Scoreboard_27[Role],"Healer",Scoreboard_27[Team],"Yellow")</f>
        <v>7140937</v>
      </c>
      <c r="T66" s="203">
        <f>SUMIFS(Scoreboard_27[Damage Taken],Scoreboard_27[Role],"Healer",Scoreboard_27[Team],"Red")</f>
        <v>10640480</v>
      </c>
      <c r="AB66" s="201" t="s">
        <v>469</v>
      </c>
      <c r="AC66" s="205">
        <f>SUMIFS(Scoreboard_27[Damage Taken],Scoreboard_27[Role],"Healer",Scoreboard_27[Guild],"FTP")</f>
        <v>6597007</v>
      </c>
      <c r="AD66" s="206">
        <f>SUMIFS(Scoreboard_27[Damage Taken],Scoreboard_27[Role],"Healer",Scoreboard_27[Guild],"Undercooked")</f>
        <v>0</v>
      </c>
    </row>
    <row r="67" spans="1:30" ht="22.5" customHeight="1">
      <c r="A67" s="82">
        <v>47</v>
      </c>
      <c r="B67" s="115" t="str">
        <f>VLOOKUP(C67,Lists!I:J,2,FALSE)</f>
        <v>Tank</v>
      </c>
      <c r="C67" s="115" t="s">
        <v>62</v>
      </c>
      <c r="D67" s="13" t="s">
        <v>7</v>
      </c>
      <c r="E67" s="83" t="s">
        <v>155</v>
      </c>
      <c r="F67" s="13" t="s">
        <v>476</v>
      </c>
      <c r="G67" s="82">
        <v>2</v>
      </c>
      <c r="H67" s="82">
        <v>25</v>
      </c>
      <c r="I67" s="194">
        <f t="shared" si="0"/>
        <v>27</v>
      </c>
      <c r="J67" s="85">
        <v>124075</v>
      </c>
      <c r="K67" s="85">
        <v>429304</v>
      </c>
      <c r="L67" s="85">
        <v>60943</v>
      </c>
      <c r="M67" s="195">
        <f>I67/(HLOOKUP(F67,Team_Composition_23[[#All],[Yellow]:[Red]],10,FALSE)+HLOOKUP(F67,Team_Composition_23[[#All],[Yellow]:[Red]],11,FALSE))</f>
        <v>6.7483129217695576E-3</v>
      </c>
      <c r="N67" s="195">
        <f>J67/HLOOKUP(F67,Team_Composition_23[[#All],[Yellow]:[Red]],6,FALSE)</f>
        <v>2.796775400801076E-3</v>
      </c>
      <c r="O67" s="195">
        <f>K67/HLOOKUP(F67,Team_Composition_23[[#All],[Yellow]:[Red]],8,FALSE)</f>
        <v>2.4505383171174813E-2</v>
      </c>
      <c r="P67" s="195">
        <f>L67/HLOOKUP(F67,Team_Composition_23[[#All],[Yellow]:[Red]],7,FALSE)</f>
        <v>4.7079230583708916E-3</v>
      </c>
      <c r="R67" s="201" t="s">
        <v>470</v>
      </c>
      <c r="S67" s="202">
        <f>SUMIFS(Scoreboard_27[Amount Healed],Scoreboard_27[Role],"Healer",Scoreboard_27[Team],"Yellow")</f>
        <v>17999717</v>
      </c>
      <c r="T67" s="203">
        <f>SUMIFS(Scoreboard_27[Amount Healed],Scoreboard_27[Role],"Healer",Scoreboard_27[Team],"Red")</f>
        <v>17960715</v>
      </c>
      <c r="AB67" s="201" t="s">
        <v>470</v>
      </c>
      <c r="AC67" s="205">
        <f>SUMIFS(Scoreboard_27[Amount Healed],Scoreboard_27[Role],"Healer",Scoreboard_27[Guild],"FTP")</f>
        <v>16994221</v>
      </c>
      <c r="AD67" s="206">
        <f>SUMIFS(Scoreboard_27[Amount Healed],Scoreboard_27[Role],"Healer",Scoreboard_27[Guild],"Undercooked")</f>
        <v>0</v>
      </c>
    </row>
    <row r="68" spans="1:30" ht="22.5" customHeight="1">
      <c r="A68" s="82">
        <v>37</v>
      </c>
      <c r="B68" s="115" t="str">
        <f>VLOOKUP(C68,Lists!I:J,2,FALSE)</f>
        <v>Melee DPS</v>
      </c>
      <c r="C68" s="115" t="str">
        <f>VLOOKUP(E68,Lists!D:E,2,FALSE)</f>
        <v>Greatsword/Spear</v>
      </c>
      <c r="D68" s="13" t="s">
        <v>36</v>
      </c>
      <c r="E68" s="83" t="s">
        <v>249</v>
      </c>
      <c r="F68" s="13" t="s">
        <v>483</v>
      </c>
      <c r="G68" s="82">
        <v>5</v>
      </c>
      <c r="H68" s="82">
        <v>21</v>
      </c>
      <c r="I68" s="194">
        <f t="shared" si="0"/>
        <v>26</v>
      </c>
      <c r="J68" s="85">
        <v>670392</v>
      </c>
      <c r="K68" s="85">
        <v>1098553</v>
      </c>
      <c r="L68" s="85">
        <v>85486</v>
      </c>
      <c r="M68" s="195">
        <f>I68/(HLOOKUP(F68,Team_Composition_23[[#All],[Yellow]:[Red]],10,FALSE)+HLOOKUP(F68,Team_Composition_23[[#All],[Yellow]:[Red]],11,FALSE))</f>
        <v>3.1668696711327646E-2</v>
      </c>
      <c r="N68" s="195">
        <f>J68/HLOOKUP(F68,Team_Composition_23[[#All],[Yellow]:[Red]],6,FALSE)</f>
        <v>3.7992440524884527E-2</v>
      </c>
      <c r="O68" s="195">
        <f>K68/HLOOKUP(F68,Team_Composition_23[[#All],[Yellow]:[Red]],8,FALSE)</f>
        <v>2.4958073141597027E-2</v>
      </c>
      <c r="P68" s="195">
        <f>L68/HLOOKUP(F68,Team_Composition_23[[#All],[Yellow]:[Red]],7,FALSE)</f>
        <v>3.5225218101442085E-3</v>
      </c>
      <c r="R68" s="201" t="s">
        <v>465</v>
      </c>
      <c r="S68" s="202">
        <f>SUMIFS(Scoreboard_27[Kills],Scoreboard_27[Role],"Healer",Scoreboard_27[Team],"Yellow")</f>
        <v>7</v>
      </c>
      <c r="T68" s="203">
        <f>SUMIFS(Scoreboard_27[Kills],Scoreboard_27[Role],"Healer",Scoreboard_27[Team],"Red")</f>
        <v>8</v>
      </c>
      <c r="AB68" s="201" t="s">
        <v>465</v>
      </c>
      <c r="AC68" s="205">
        <f>SUMIFS(Scoreboard_27[Kills],Scoreboard_27[Role],"Healer",Scoreboard_27[Guild],"FTP")</f>
        <v>7</v>
      </c>
      <c r="AD68" s="206">
        <f>SUMIFS(Scoreboard_27[Kills],Scoreboard_27[Role],"Healer",Scoreboard_27[Guild],"Undercooked")</f>
        <v>0</v>
      </c>
    </row>
    <row r="69" spans="1:30" ht="22.5" customHeight="1">
      <c r="A69" s="82">
        <v>53</v>
      </c>
      <c r="B69" s="115" t="str">
        <f>VLOOKUP(C69,Lists!I:J,2,FALSE)</f>
        <v>Tank</v>
      </c>
      <c r="C69" s="115" t="s">
        <v>14</v>
      </c>
      <c r="D69" s="13" t="s">
        <v>36</v>
      </c>
      <c r="E69" s="83" t="s">
        <v>302</v>
      </c>
      <c r="F69" s="13" t="s">
        <v>483</v>
      </c>
      <c r="G69" s="82">
        <v>1</v>
      </c>
      <c r="H69" s="82">
        <v>25</v>
      </c>
      <c r="I69" s="194">
        <f t="shared" si="0"/>
        <v>26</v>
      </c>
      <c r="J69" s="85">
        <v>115721</v>
      </c>
      <c r="K69" s="85">
        <v>147461</v>
      </c>
      <c r="L69" s="85">
        <v>9650</v>
      </c>
      <c r="M69" s="195">
        <f>I69/(HLOOKUP(F69,Team_Composition_23[[#All],[Yellow]:[Red]],10,FALSE)+HLOOKUP(F69,Team_Composition_23[[#All],[Yellow]:[Red]],11,FALSE))</f>
        <v>3.1668696711327646E-2</v>
      </c>
      <c r="N69" s="195">
        <f>J69/HLOOKUP(F69,Team_Composition_23[[#All],[Yellow]:[Red]],6,FALSE)</f>
        <v>6.558137940160625E-3</v>
      </c>
      <c r="O69" s="195">
        <f>K69/HLOOKUP(F69,Team_Composition_23[[#All],[Yellow]:[Red]],8,FALSE)</f>
        <v>3.3501728396654867E-3</v>
      </c>
      <c r="P69" s="195">
        <f>L69/HLOOKUP(F69,Team_Composition_23[[#All],[Yellow]:[Red]],7,FALSE)</f>
        <v>3.9763628509804661E-4</v>
      </c>
      <c r="R69" s="201" t="s">
        <v>466</v>
      </c>
      <c r="S69" s="202">
        <f>SUMIFS(Scoreboard_27[Assists],Scoreboard_27[Role],"Healer",Scoreboard_27[Team],"Yellow")</f>
        <v>820</v>
      </c>
      <c r="T69" s="203">
        <f>SUMIFS(Scoreboard_27[Assists],Scoreboard_27[Role],"Healer",Scoreboard_27[Team],"Red")</f>
        <v>508</v>
      </c>
      <c r="AB69" s="201" t="s">
        <v>466</v>
      </c>
      <c r="AC69" s="205">
        <f>SUMIFS(Scoreboard_27[Assists],Scoreboard_27[Role],"Healer",Scoreboard_27[Guild],"FTP")</f>
        <v>770</v>
      </c>
      <c r="AD69" s="206">
        <f>SUMIFS(Scoreboard_27[Assists],Scoreboard_27[Role],"Healer",Scoreboard_27[Guild],"Undercooked")</f>
        <v>0</v>
      </c>
    </row>
    <row r="70" spans="1:30" ht="22.5" customHeight="1">
      <c r="A70" s="82">
        <v>30</v>
      </c>
      <c r="B70" s="115" t="str">
        <f>VLOOKUP(C70,Lists!I:J,2,FALSE)</f>
        <v>Melee DPS</v>
      </c>
      <c r="C70" s="115" t="s">
        <v>24</v>
      </c>
      <c r="D70" s="13" t="s">
        <v>36</v>
      </c>
      <c r="E70" s="83" t="s">
        <v>552</v>
      </c>
      <c r="F70" s="13" t="s">
        <v>483</v>
      </c>
      <c r="G70" s="82">
        <v>12</v>
      </c>
      <c r="H70" s="82">
        <v>13</v>
      </c>
      <c r="I70" s="194">
        <f t="shared" si="0"/>
        <v>25</v>
      </c>
      <c r="J70" s="85">
        <v>914698</v>
      </c>
      <c r="K70" s="85">
        <v>781241</v>
      </c>
      <c r="L70" s="85">
        <v>0</v>
      </c>
      <c r="M70" s="195">
        <f>I70/(HLOOKUP(F70,Team_Composition_23[[#All],[Yellow]:[Red]],10,FALSE)+HLOOKUP(F70,Team_Composition_23[[#All],[Yellow]:[Red]],11,FALSE))</f>
        <v>3.0450669914738125E-2</v>
      </c>
      <c r="N70" s="195">
        <f>J70/HLOOKUP(F70,Team_Composition_23[[#All],[Yellow]:[Red]],6,FALSE)</f>
        <v>5.183774472731003E-2</v>
      </c>
      <c r="O70" s="195">
        <f>K70/HLOOKUP(F70,Team_Composition_23[[#All],[Yellow]:[Red]],8,FALSE)</f>
        <v>1.77490480834465E-2</v>
      </c>
      <c r="P70" s="195">
        <f>L70/HLOOKUP(F70,Team_Composition_23[[#All],[Yellow]:[Red]],7,FALSE)</f>
        <v>0</v>
      </c>
      <c r="R70" s="201" t="s">
        <v>10</v>
      </c>
      <c r="S70" s="202">
        <f t="shared" ref="S70:S72" si="14">COUNTIFS(C:C,R70,F:F,"Yellow")</f>
        <v>9</v>
      </c>
      <c r="T70" s="203">
        <f t="shared" ref="T70:T72" si="15">COUNTIFS(C:C,R70,F:F,"Red")</f>
        <v>9</v>
      </c>
      <c r="AB70" s="201" t="s">
        <v>10</v>
      </c>
      <c r="AC70" s="205">
        <f t="shared" ref="AC70:AC72" si="16">COUNTIFS(C:C,AB70,D:D,"FTP")</f>
        <v>9</v>
      </c>
      <c r="AD70" s="206">
        <f t="shared" ref="AD70:AD72" si="17">COUNTIFS(C:C,AB70,D:D,"Undercooked")</f>
        <v>0</v>
      </c>
    </row>
    <row r="71" spans="1:30" ht="22.5" customHeight="1">
      <c r="A71" s="82">
        <v>54</v>
      </c>
      <c r="B71" s="115" t="str">
        <f>VLOOKUP(C71,Lists!I:J,2,FALSE)</f>
        <v>Melee DPS</v>
      </c>
      <c r="C71" s="115" t="str">
        <f>VLOOKUP(E71,Lists!D:E,2,FALSE)</f>
        <v>Greatsword/Spear</v>
      </c>
      <c r="D71" s="13" t="s">
        <v>36</v>
      </c>
      <c r="E71" s="83" t="s">
        <v>247</v>
      </c>
      <c r="F71" s="13" t="s">
        <v>483</v>
      </c>
      <c r="G71" s="82">
        <v>1</v>
      </c>
      <c r="H71" s="82">
        <v>24</v>
      </c>
      <c r="I71" s="194">
        <f t="shared" si="0"/>
        <v>25</v>
      </c>
      <c r="J71" s="85">
        <v>414528</v>
      </c>
      <c r="K71" s="85">
        <v>529998</v>
      </c>
      <c r="L71" s="85">
        <v>186200</v>
      </c>
      <c r="M71" s="195">
        <f>I71/(HLOOKUP(F71,Team_Composition_23[[#All],[Yellow]:[Red]],10,FALSE)+HLOOKUP(F71,Team_Composition_23[[#All],[Yellow]:[Red]],11,FALSE))</f>
        <v>3.0450669914738125E-2</v>
      </c>
      <c r="N71" s="195">
        <f>J71/HLOOKUP(F71,Team_Composition_23[[#All],[Yellow]:[Red]],6,FALSE)</f>
        <v>2.3492121603329592E-2</v>
      </c>
      <c r="O71" s="195">
        <f>K71/HLOOKUP(F71,Team_Composition_23[[#All],[Yellow]:[Red]],8,FALSE)</f>
        <v>1.2041047495114155E-2</v>
      </c>
      <c r="P71" s="195">
        <f>L71/HLOOKUP(F71,Team_Composition_23[[#All],[Yellow]:[Red]],7,FALSE)</f>
        <v>7.6725260399229302E-3</v>
      </c>
      <c r="R71" s="201" t="s">
        <v>9</v>
      </c>
      <c r="S71" s="202">
        <f t="shared" si="14"/>
        <v>9</v>
      </c>
      <c r="T71" s="203">
        <f t="shared" si="15"/>
        <v>13</v>
      </c>
      <c r="AB71" s="201" t="s">
        <v>9</v>
      </c>
      <c r="AC71" s="205">
        <f t="shared" si="16"/>
        <v>8</v>
      </c>
      <c r="AD71" s="206">
        <f t="shared" si="17"/>
        <v>0</v>
      </c>
    </row>
    <row r="72" spans="1:30" ht="22.5" customHeight="1">
      <c r="A72" s="82">
        <v>40</v>
      </c>
      <c r="B72" s="115" t="str">
        <f>VLOOKUP(C72,Lists!I:J,2,FALSE)</f>
        <v>Ranged DPS</v>
      </c>
      <c r="C72" s="115" t="s">
        <v>32</v>
      </c>
      <c r="D72" s="13" t="s">
        <v>36</v>
      </c>
      <c r="E72" s="83" t="s">
        <v>294</v>
      </c>
      <c r="F72" s="13" t="s">
        <v>483</v>
      </c>
      <c r="G72" s="82">
        <v>4</v>
      </c>
      <c r="H72" s="82">
        <v>20</v>
      </c>
      <c r="I72" s="194">
        <f t="shared" si="0"/>
        <v>24</v>
      </c>
      <c r="J72" s="85">
        <v>928166</v>
      </c>
      <c r="K72" s="85">
        <v>648528</v>
      </c>
      <c r="L72" s="85">
        <v>9161</v>
      </c>
      <c r="M72" s="195">
        <f>I72/(HLOOKUP(F72,Team_Composition_23[[#All],[Yellow]:[Red]],10,FALSE)+HLOOKUP(F72,Team_Composition_23[[#All],[Yellow]:[Red]],11,FALSE))</f>
        <v>2.9232643118148598E-2</v>
      </c>
      <c r="N72" s="195">
        <f>J72/HLOOKUP(F72,Team_Composition_23[[#All],[Yellow]:[Red]],6,FALSE)</f>
        <v>5.260100292399069E-2</v>
      </c>
      <c r="O72" s="195">
        <f>K72/HLOOKUP(F72,Team_Composition_23[[#All],[Yellow]:[Red]],8,FALSE)</f>
        <v>1.4733935693929777E-2</v>
      </c>
      <c r="P72" s="195">
        <f>L72/HLOOKUP(F72,Team_Composition_23[[#All],[Yellow]:[Red]],7,FALSE)</f>
        <v>3.7748663293090204E-4</v>
      </c>
      <c r="R72" s="201" t="s">
        <v>18</v>
      </c>
      <c r="S72" s="202">
        <f t="shared" si="14"/>
        <v>1</v>
      </c>
      <c r="T72" s="203">
        <f t="shared" si="15"/>
        <v>0</v>
      </c>
      <c r="AB72" s="201" t="s">
        <v>18</v>
      </c>
      <c r="AC72" s="205">
        <f t="shared" si="16"/>
        <v>1</v>
      </c>
      <c r="AD72" s="206">
        <f t="shared" si="17"/>
        <v>0</v>
      </c>
    </row>
    <row r="73" spans="1:30" ht="22.5" customHeight="1">
      <c r="A73" s="82">
        <v>48</v>
      </c>
      <c r="B73" s="115" t="str">
        <f>VLOOKUP(C73,Lists!I:J,2,FALSE)</f>
        <v>Tank</v>
      </c>
      <c r="C73" s="115" t="str">
        <f>VLOOKUP(E73,Lists!D:E,2,FALSE)</f>
        <v>SnS/Greatsword</v>
      </c>
      <c r="D73" s="13" t="s">
        <v>7</v>
      </c>
      <c r="E73" s="83" t="s">
        <v>85</v>
      </c>
      <c r="F73" s="13" t="s">
        <v>476</v>
      </c>
      <c r="G73" s="82">
        <v>2</v>
      </c>
      <c r="H73" s="82">
        <v>22</v>
      </c>
      <c r="I73" s="194">
        <f t="shared" si="0"/>
        <v>24</v>
      </c>
      <c r="J73" s="85">
        <v>285863</v>
      </c>
      <c r="K73" s="85">
        <v>663749</v>
      </c>
      <c r="L73" s="85">
        <v>25088</v>
      </c>
      <c r="M73" s="195">
        <f>I73/(HLOOKUP(F73,Team_Composition_23[[#All],[Yellow]:[Red]],10,FALSE)+HLOOKUP(F73,Team_Composition_23[[#All],[Yellow]:[Red]],11,FALSE))</f>
        <v>5.9985003749062731E-3</v>
      </c>
      <c r="N73" s="195">
        <f>J73/HLOOKUP(F73,Team_Composition_23[[#All],[Yellow]:[Red]],6,FALSE)</f>
        <v>6.4436397856070761E-3</v>
      </c>
      <c r="O73" s="195">
        <f>K73/HLOOKUP(F73,Team_Composition_23[[#All],[Yellow]:[Red]],8,FALSE)</f>
        <v>3.7887891970454765E-2</v>
      </c>
      <c r="P73" s="195">
        <f>L73/HLOOKUP(F73,Team_Composition_23[[#All],[Yellow]:[Red]],7,FALSE)</f>
        <v>1.9380794133601715E-3</v>
      </c>
    </row>
    <row r="74" spans="1:30" ht="22.5" customHeight="1">
      <c r="A74" s="82">
        <v>42</v>
      </c>
      <c r="B74" s="115" t="str">
        <f>VLOOKUP(C74,Lists!I:J,2,FALSE)</f>
        <v>Tank</v>
      </c>
      <c r="C74" s="115" t="str">
        <f>VLOOKUP(E74,Lists!D:E,2,FALSE)</f>
        <v>SnS/Greatsword</v>
      </c>
      <c r="D74" s="13" t="s">
        <v>7</v>
      </c>
      <c r="E74" s="83" t="s">
        <v>82</v>
      </c>
      <c r="F74" s="13" t="s">
        <v>476</v>
      </c>
      <c r="G74" s="82">
        <v>3</v>
      </c>
      <c r="H74" s="82">
        <v>20</v>
      </c>
      <c r="I74" s="194">
        <f t="shared" si="0"/>
        <v>23</v>
      </c>
      <c r="J74" s="85">
        <v>61628</v>
      </c>
      <c r="K74" s="85">
        <v>655667</v>
      </c>
      <c r="L74" s="85">
        <v>14511</v>
      </c>
      <c r="M74" s="195">
        <f>I74/(HLOOKUP(F74,Team_Composition_23[[#All],[Yellow]:[Red]],10,FALSE)+HLOOKUP(F74,Team_Composition_23[[#All],[Yellow]:[Red]],11,FALSE))</f>
        <v>5.7485628592851791E-3</v>
      </c>
      <c r="N74" s="195">
        <f>J74/HLOOKUP(F74,Team_Composition_23[[#All],[Yellow]:[Red]],6,FALSE)</f>
        <v>1.3891571581750449E-3</v>
      </c>
      <c r="O74" s="195">
        <f>K74/HLOOKUP(F74,Team_Composition_23[[#All],[Yellow]:[Red]],8,FALSE)</f>
        <v>3.7426558028098217E-2</v>
      </c>
      <c r="P74" s="195">
        <f>L74/HLOOKUP(F74,Team_Composition_23[[#All],[Yellow]:[Red]],7,FALSE)</f>
        <v>1.1209929196137375E-3</v>
      </c>
    </row>
    <row r="75" spans="1:30" ht="22.5" customHeight="1">
      <c r="A75" s="82">
        <v>81</v>
      </c>
      <c r="B75" s="115" t="str">
        <f>VLOOKUP(C75,Lists!I:J,2,FALSE)</f>
        <v>Healer</v>
      </c>
      <c r="C75" s="115" t="s">
        <v>9</v>
      </c>
      <c r="D75" s="13" t="s">
        <v>36</v>
      </c>
      <c r="E75" s="83" t="s">
        <v>315</v>
      </c>
      <c r="F75" s="13" t="s">
        <v>483</v>
      </c>
      <c r="G75" s="82">
        <v>0</v>
      </c>
      <c r="H75" s="82">
        <v>22</v>
      </c>
      <c r="I75" s="194">
        <f t="shared" si="0"/>
        <v>22</v>
      </c>
      <c r="J75" s="85">
        <v>3134</v>
      </c>
      <c r="K75" s="85">
        <v>421361</v>
      </c>
      <c r="L75" s="85">
        <v>833552</v>
      </c>
      <c r="M75" s="195">
        <f>I75/(HLOOKUP(F75,Team_Composition_23[[#All],[Yellow]:[Red]],10,FALSE)+HLOOKUP(F75,Team_Composition_23[[#All],[Yellow]:[Red]],11,FALSE))</f>
        <v>2.679658952496955E-2</v>
      </c>
      <c r="N75" s="195">
        <f>J75/HLOOKUP(F75,Team_Composition_23[[#All],[Yellow]:[Red]],6,FALSE)</f>
        <v>1.7760997834847088E-4</v>
      </c>
      <c r="O75" s="195">
        <f>K75/HLOOKUP(F75,Team_Composition_23[[#All],[Yellow]:[Red]],8,FALSE)</f>
        <v>9.5729187913705261E-3</v>
      </c>
      <c r="P75" s="195">
        <f>L75/HLOOKUP(F75,Team_Composition_23[[#All],[Yellow]:[Red]],7,FALSE)</f>
        <v>3.4347204219279476E-2</v>
      </c>
    </row>
    <row r="76" spans="1:30" ht="22.5" customHeight="1">
      <c r="A76" s="82">
        <v>82</v>
      </c>
      <c r="B76" s="115" t="str">
        <f>VLOOKUP(C76,Lists!I:J,2,FALSE)</f>
        <v>Tank</v>
      </c>
      <c r="C76" s="115" t="str">
        <f>VLOOKUP(E76,Lists!D:E,2,FALSE)</f>
        <v>SnS/Spear</v>
      </c>
      <c r="D76" s="13" t="s">
        <v>7</v>
      </c>
      <c r="E76" s="83" t="s">
        <v>79</v>
      </c>
      <c r="F76" s="13" t="s">
        <v>476</v>
      </c>
      <c r="G76" s="82">
        <v>0</v>
      </c>
      <c r="H76" s="82">
        <v>21</v>
      </c>
      <c r="I76" s="194">
        <f t="shared" si="0"/>
        <v>21</v>
      </c>
      <c r="J76" s="85">
        <v>73631</v>
      </c>
      <c r="K76" s="85">
        <v>290343</v>
      </c>
      <c r="L76" s="85">
        <v>21334</v>
      </c>
      <c r="M76" s="195">
        <f>I76/(HLOOKUP(F76,Team_Composition_23[[#All],[Yellow]:[Red]],10,FALSE)+HLOOKUP(F76,Team_Composition_23[[#All],[Yellow]:[Red]],11,FALSE))</f>
        <v>5.2486878280429894E-3</v>
      </c>
      <c r="N76" s="195">
        <f>J76/HLOOKUP(F76,Team_Composition_23[[#All],[Yellow]:[Red]],6,FALSE)</f>
        <v>1.6597168610629378E-3</v>
      </c>
      <c r="O76" s="195">
        <f>K76/HLOOKUP(F76,Team_Composition_23[[#All],[Yellow]:[Red]],8,FALSE)</f>
        <v>1.657325919643984E-2</v>
      </c>
      <c r="P76" s="195">
        <f>L76/HLOOKUP(F76,Team_Composition_23[[#All],[Yellow]:[Red]],7,FALSE)</f>
        <v>1.6480782128757135E-3</v>
      </c>
    </row>
    <row r="77" spans="1:30" ht="22.5" customHeight="1">
      <c r="A77" s="82">
        <v>83</v>
      </c>
      <c r="B77" s="115" t="str">
        <f>VLOOKUP(C77,Lists!I:J,2,FALSE)</f>
        <v>Healer</v>
      </c>
      <c r="C77" s="115" t="s">
        <v>10</v>
      </c>
      <c r="D77" s="13" t="s">
        <v>36</v>
      </c>
      <c r="E77" s="83" t="s">
        <v>301</v>
      </c>
      <c r="F77" s="13" t="s">
        <v>483</v>
      </c>
      <c r="G77" s="82">
        <v>0</v>
      </c>
      <c r="H77" s="82">
        <v>20</v>
      </c>
      <c r="I77" s="194">
        <f t="shared" si="0"/>
        <v>20</v>
      </c>
      <c r="J77" s="85">
        <v>36163</v>
      </c>
      <c r="K77" s="85">
        <v>1110878</v>
      </c>
      <c r="L77" s="85">
        <v>1648872</v>
      </c>
      <c r="M77" s="195">
        <f>I77/(HLOOKUP(F77,Team_Composition_23[[#All],[Yellow]:[Red]],10,FALSE)+HLOOKUP(F77,Team_Composition_23[[#All],[Yellow]:[Red]],11,FALSE))</f>
        <v>2.4360535931790498E-2</v>
      </c>
      <c r="N77" s="195">
        <f>J77/HLOOKUP(F77,Team_Composition_23[[#All],[Yellow]:[Red]],6,FALSE)</f>
        <v>2.0494287322960283E-3</v>
      </c>
      <c r="O77" s="195">
        <f>K77/HLOOKUP(F77,Team_Composition_23[[#All],[Yellow]:[Red]],8,FALSE)</f>
        <v>2.5238085349902118E-2</v>
      </c>
      <c r="P77" s="195">
        <f>L77/HLOOKUP(F77,Team_Composition_23[[#All],[Yellow]:[Red]],7,FALSE)</f>
        <v>6.7943143697635891E-2</v>
      </c>
    </row>
    <row r="78" spans="1:30" ht="22.5" customHeight="1">
      <c r="A78" s="82">
        <v>84</v>
      </c>
      <c r="B78" s="115" t="str">
        <f>VLOOKUP(C78,Lists!I:J,2,FALSE)</f>
        <v>Healer</v>
      </c>
      <c r="C78" s="115" t="s">
        <v>9</v>
      </c>
      <c r="D78" s="13" t="s">
        <v>36</v>
      </c>
      <c r="E78" s="83" t="s">
        <v>553</v>
      </c>
      <c r="F78" s="13" t="s">
        <v>483</v>
      </c>
      <c r="G78" s="82">
        <v>0</v>
      </c>
      <c r="H78" s="82">
        <v>19</v>
      </c>
      <c r="I78" s="194">
        <f t="shared" si="0"/>
        <v>19</v>
      </c>
      <c r="J78" s="85">
        <v>8476</v>
      </c>
      <c r="K78" s="85">
        <v>340512</v>
      </c>
      <c r="L78" s="85">
        <v>516495</v>
      </c>
      <c r="M78" s="195">
        <f>I78/(HLOOKUP(F78,Team_Composition_23[[#All],[Yellow]:[Red]],10,FALSE)+HLOOKUP(F78,Team_Composition_23[[#All],[Yellow]:[Red]],11,FALSE))</f>
        <v>2.3142509135200974E-2</v>
      </c>
      <c r="N78" s="195">
        <f>J78/HLOOKUP(F78,Team_Composition_23[[#All],[Yellow]:[Red]],6,FALSE)</f>
        <v>4.8035168362528372E-4</v>
      </c>
      <c r="O78" s="195">
        <f>K78/HLOOKUP(F78,Team_Composition_23[[#All],[Yellow]:[Red]],8,FALSE)</f>
        <v>7.7361068620189349E-3</v>
      </c>
      <c r="P78" s="195">
        <f>L78/HLOOKUP(F78,Team_Composition_23[[#All],[Yellow]:[Red]],7,FALSE)</f>
        <v>2.1282606535929074E-2</v>
      </c>
    </row>
    <row r="79" spans="1:30" ht="22.5" customHeight="1">
      <c r="A79" s="82">
        <v>85</v>
      </c>
      <c r="B79" s="115" t="str">
        <f>VLOOKUP(C79,Lists!I:J,2,FALSE)</f>
        <v>Tank</v>
      </c>
      <c r="C79" s="115" t="s">
        <v>14</v>
      </c>
      <c r="D79" s="13" t="s">
        <v>7</v>
      </c>
      <c r="E79" s="83" t="s">
        <v>554</v>
      </c>
      <c r="F79" s="13" t="s">
        <v>476</v>
      </c>
      <c r="G79" s="82">
        <v>0</v>
      </c>
      <c r="H79" s="82">
        <v>17</v>
      </c>
      <c r="I79" s="194">
        <f t="shared" si="0"/>
        <v>17</v>
      </c>
      <c r="J79" s="85">
        <v>34683</v>
      </c>
      <c r="K79" s="85">
        <v>523717</v>
      </c>
      <c r="L79" s="85">
        <v>25073</v>
      </c>
      <c r="M79" s="195">
        <f>I79/(HLOOKUP(F79,Team_Composition_23[[#All],[Yellow]:[Red]],10,FALSE)+HLOOKUP(F79,Team_Composition_23[[#All],[Yellow]:[Red]],11,FALSE))</f>
        <v>4.2489377655586099E-3</v>
      </c>
      <c r="N79" s="195">
        <f>J79/HLOOKUP(F79,Team_Composition_23[[#All],[Yellow]:[Red]],6,FALSE)</f>
        <v>7.8178973383827288E-4</v>
      </c>
      <c r="O79" s="195">
        <f>K79/HLOOKUP(F79,Team_Composition_23[[#All],[Yellow]:[Red]],8,FALSE)</f>
        <v>2.9894633542334011E-2</v>
      </c>
      <c r="P79" s="195">
        <f>L79/HLOOKUP(F79,Team_Composition_23[[#All],[Yellow]:[Red]],7,FALSE)</f>
        <v>1.9369206445782677E-3</v>
      </c>
    </row>
    <row r="80" spans="1:30" ht="22.5" customHeight="1">
      <c r="A80" s="82">
        <v>86</v>
      </c>
      <c r="B80" s="115" t="str">
        <f>VLOOKUP(C80,Lists!I:J,2,FALSE)</f>
        <v>Healer</v>
      </c>
      <c r="C80" s="115" t="s">
        <v>9</v>
      </c>
      <c r="D80" s="13" t="s">
        <v>36</v>
      </c>
      <c r="E80" s="83" t="s">
        <v>555</v>
      </c>
      <c r="F80" s="13" t="s">
        <v>483</v>
      </c>
      <c r="G80" s="82">
        <v>0</v>
      </c>
      <c r="H80" s="82">
        <v>17</v>
      </c>
      <c r="I80" s="194">
        <f t="shared" si="0"/>
        <v>17</v>
      </c>
      <c r="J80" s="85">
        <v>8782</v>
      </c>
      <c r="K80" s="85">
        <v>714145</v>
      </c>
      <c r="L80" s="85">
        <v>807430</v>
      </c>
      <c r="M80" s="195">
        <f>I80/(HLOOKUP(F80,Team_Composition_23[[#All],[Yellow]:[Red]],10,FALSE)+HLOOKUP(F80,Team_Composition_23[[#All],[Yellow]:[Red]],11,FALSE))</f>
        <v>2.0706455542021926E-2</v>
      </c>
      <c r="N80" s="195">
        <f>J80/HLOOKUP(F80,Team_Composition_23[[#All],[Yellow]:[Red]],6,FALSE)</f>
        <v>4.9769330882459199E-4</v>
      </c>
      <c r="O80" s="195">
        <f>K80/HLOOKUP(F80,Team_Composition_23[[#All],[Yellow]:[Red]],8,FALSE)</f>
        <v>1.6224691156189831E-2</v>
      </c>
      <c r="P80" s="195">
        <f>L80/HLOOKUP(F80,Team_Composition_23[[#All],[Yellow]:[Red]],7,FALSE)</f>
        <v>3.3270825458727026E-2</v>
      </c>
    </row>
    <row r="81" spans="1:16" ht="22.5" customHeight="1">
      <c r="A81" s="82">
        <v>87</v>
      </c>
      <c r="B81" s="115" t="str">
        <f>VLOOKUP(C81,Lists!I:J,2,FALSE)</f>
        <v>Healer</v>
      </c>
      <c r="C81" s="115" t="s">
        <v>9</v>
      </c>
      <c r="D81" s="13" t="s">
        <v>36</v>
      </c>
      <c r="E81" s="83" t="s">
        <v>303</v>
      </c>
      <c r="F81" s="13" t="s">
        <v>483</v>
      </c>
      <c r="G81" s="82">
        <v>0</v>
      </c>
      <c r="H81" s="82">
        <v>16</v>
      </c>
      <c r="I81" s="194">
        <f t="shared" si="0"/>
        <v>16</v>
      </c>
      <c r="J81" s="85">
        <v>1908</v>
      </c>
      <c r="K81" s="85">
        <v>437354</v>
      </c>
      <c r="L81" s="85">
        <v>842199</v>
      </c>
      <c r="M81" s="195">
        <f>I81/(HLOOKUP(F81,Team_Composition_23[[#All],[Yellow]:[Red]],10,FALSE)+HLOOKUP(F81,Team_Composition_23[[#All],[Yellow]:[Red]],11,FALSE))</f>
        <v>1.9488428745432398E-2</v>
      </c>
      <c r="N81" s="195">
        <f>J81/HLOOKUP(F81,Team_Composition_23[[#All],[Yellow]:[Red]],6,FALSE)</f>
        <v>1.0813013359568681E-4</v>
      </c>
      <c r="O81" s="195">
        <f>K81/HLOOKUP(F81,Team_Composition_23[[#All],[Yellow]:[Red]],8,FALSE)</f>
        <v>9.9362644503906746E-3</v>
      </c>
      <c r="P81" s="195">
        <f>L81/HLOOKUP(F81,Team_Composition_23[[#All],[Yellow]:[Red]],7,FALSE)</f>
        <v>3.4703511054226914E-2</v>
      </c>
    </row>
    <row r="82" spans="1:16" ht="22.5" customHeight="1">
      <c r="A82" s="82">
        <v>88</v>
      </c>
      <c r="B82" s="115" t="str">
        <f>VLOOKUP(C82,Lists!I:J,2,FALSE)</f>
        <v>Healer</v>
      </c>
      <c r="C82" s="115" t="s">
        <v>9</v>
      </c>
      <c r="D82" s="13" t="s">
        <v>36</v>
      </c>
      <c r="E82" s="83" t="s">
        <v>556</v>
      </c>
      <c r="F82" s="13" t="s">
        <v>483</v>
      </c>
      <c r="G82" s="82">
        <v>0</v>
      </c>
      <c r="H82" s="82">
        <v>16</v>
      </c>
      <c r="I82" s="194">
        <f t="shared" si="0"/>
        <v>16</v>
      </c>
      <c r="J82" s="85">
        <v>1318</v>
      </c>
      <c r="K82" s="85">
        <v>378580</v>
      </c>
      <c r="L82" s="85">
        <v>639938</v>
      </c>
      <c r="M82" s="195">
        <f>I82/(HLOOKUP(F82,Team_Composition_23[[#All],[Yellow]:[Red]],10,FALSE)+HLOOKUP(F82,Team_Composition_23[[#All],[Yellow]:[Red]],11,FALSE))</f>
        <v>1.9488428745432398E-2</v>
      </c>
      <c r="N82" s="195">
        <f>J82/HLOOKUP(F82,Team_Composition_23[[#All],[Yellow]:[Red]],6,FALSE)</f>
        <v>7.4693666708131666E-5</v>
      </c>
      <c r="O82" s="195">
        <f>K82/HLOOKUP(F82,Team_Composition_23[[#All],[Yellow]:[Red]],8,FALSE)</f>
        <v>8.6009754012285281E-3</v>
      </c>
      <c r="P82" s="195">
        <f>L82/HLOOKUP(F82,Team_Composition_23[[#All],[Yellow]:[Red]],7,FALSE)</f>
        <v>2.6369178136069819E-2</v>
      </c>
    </row>
    <row r="83" spans="1:16" ht="22.5" customHeight="1">
      <c r="A83" s="82">
        <v>89</v>
      </c>
      <c r="B83" s="115" t="str">
        <f>VLOOKUP(C83,Lists!I:J,2,FALSE)</f>
        <v>Healer</v>
      </c>
      <c r="C83" s="115" t="s">
        <v>9</v>
      </c>
      <c r="D83" s="13" t="s">
        <v>7</v>
      </c>
      <c r="E83" s="83" t="s">
        <v>163</v>
      </c>
      <c r="F83" s="13" t="s">
        <v>476</v>
      </c>
      <c r="G83" s="82">
        <v>0</v>
      </c>
      <c r="H83" s="82">
        <v>15</v>
      </c>
      <c r="I83" s="194">
        <f t="shared" si="0"/>
        <v>15</v>
      </c>
      <c r="J83" s="85">
        <v>43967</v>
      </c>
      <c r="K83" s="85">
        <v>543313</v>
      </c>
      <c r="L83" s="85">
        <v>49841</v>
      </c>
      <c r="M83" s="195">
        <f>I83/(HLOOKUP(F83,Team_Composition_23[[#All],[Yellow]:[Red]],10,FALSE)+HLOOKUP(F83,Team_Composition_23[[#All],[Yellow]:[Red]],11,FALSE))</f>
        <v>3.7490627343164211E-3</v>
      </c>
      <c r="N83" s="195">
        <f>J83/HLOOKUP(F83,Team_Composition_23[[#All],[Yellow]:[Red]],6,FALSE)</f>
        <v>9.9106043962942487E-4</v>
      </c>
      <c r="O83" s="195">
        <f>K83/HLOOKUP(F83,Team_Composition_23[[#All],[Yellow]:[Red]],8,FALSE)</f>
        <v>3.1013205669829541E-2</v>
      </c>
      <c r="P83" s="195">
        <f>L83/HLOOKUP(F83,Team_Composition_23[[#All],[Yellow]:[Red]],7,FALSE)</f>
        <v>3.8502796572578248E-3</v>
      </c>
    </row>
    <row r="84" spans="1:16" ht="22.5" customHeight="1">
      <c r="A84" s="82">
        <v>41</v>
      </c>
      <c r="B84" s="115" t="str">
        <f>VLOOKUP(C84,Lists!I:J,2,FALSE)</f>
        <v>Healer</v>
      </c>
      <c r="C84" s="115" t="str">
        <f>VLOOKUP(E84,Lists!D:E,2,FALSE)</f>
        <v>Wand/Orb</v>
      </c>
      <c r="D84" s="13" t="s">
        <v>7</v>
      </c>
      <c r="E84" s="83" t="s">
        <v>74</v>
      </c>
      <c r="F84" s="13" t="s">
        <v>476</v>
      </c>
      <c r="G84" s="82">
        <v>4</v>
      </c>
      <c r="H84" s="82">
        <v>10</v>
      </c>
      <c r="I84" s="194">
        <f t="shared" si="0"/>
        <v>14</v>
      </c>
      <c r="J84" s="85">
        <v>152339</v>
      </c>
      <c r="K84" s="85">
        <v>471493</v>
      </c>
      <c r="L84" s="85">
        <v>79725</v>
      </c>
      <c r="M84" s="195">
        <f>I84/(HLOOKUP(F84,Team_Composition_23[[#All],[Yellow]:[Red]],10,FALSE)+HLOOKUP(F84,Team_Composition_23[[#All],[Yellow]:[Red]],11,FALSE))</f>
        <v>3.4991252186953262E-3</v>
      </c>
      <c r="N84" s="195">
        <f>J84/HLOOKUP(F84,Team_Composition_23[[#All],[Yellow]:[Red]],6,FALSE)</f>
        <v>3.4338744129166639E-3</v>
      </c>
      <c r="O84" s="195">
        <f>K84/HLOOKUP(F84,Team_Composition_23[[#All],[Yellow]:[Red]],8,FALSE)</f>
        <v>2.6913601148665575E-2</v>
      </c>
      <c r="P84" s="195">
        <f>L84/HLOOKUP(F84,Team_Composition_23[[#All],[Yellow]:[Red]],7,FALSE)</f>
        <v>6.1588560758187045E-3</v>
      </c>
    </row>
    <row r="85" spans="1:16" ht="22.5" customHeight="1">
      <c r="A85" s="82">
        <v>49</v>
      </c>
      <c r="B85" s="115" t="str">
        <f>VLOOKUP(C85,Lists!I:J,2,FALSE)</f>
        <v>Tank</v>
      </c>
      <c r="C85" s="115" t="s">
        <v>14</v>
      </c>
      <c r="D85" s="13" t="s">
        <v>36</v>
      </c>
      <c r="E85" s="83" t="s">
        <v>298</v>
      </c>
      <c r="F85" s="13" t="s">
        <v>483</v>
      </c>
      <c r="G85" s="82">
        <v>2</v>
      </c>
      <c r="H85" s="82">
        <v>12</v>
      </c>
      <c r="I85" s="194">
        <f t="shared" si="0"/>
        <v>14</v>
      </c>
      <c r="J85" s="85">
        <v>272656</v>
      </c>
      <c r="K85" s="85">
        <v>581433</v>
      </c>
      <c r="L85" s="85">
        <v>50027</v>
      </c>
      <c r="M85" s="195">
        <f>I85/(HLOOKUP(F85,Team_Composition_23[[#All],[Yellow]:[Red]],10,FALSE)+HLOOKUP(F85,Team_Composition_23[[#All],[Yellow]:[Red]],11,FALSE))</f>
        <v>1.705237515225335E-2</v>
      </c>
      <c r="N85" s="195">
        <f>J85/HLOOKUP(F85,Team_Composition_23[[#All],[Yellow]:[Red]],6,FALSE)</f>
        <v>1.5451954772361417E-2</v>
      </c>
      <c r="O85" s="195">
        <f>K85/HLOOKUP(F85,Team_Composition_23[[#All],[Yellow]:[Red]],8,FALSE)</f>
        <v>1.3209601485716378E-2</v>
      </c>
      <c r="P85" s="195">
        <f>L85/HLOOKUP(F85,Team_Composition_23[[#All],[Yellow]:[Red]],7,FALSE)</f>
        <v>2.0614041901139872E-3</v>
      </c>
    </row>
    <row r="86" spans="1:16" ht="22.5" customHeight="1">
      <c r="A86" s="82">
        <v>55</v>
      </c>
      <c r="B86" s="115" t="str">
        <f>VLOOKUP(C86,Lists!I:J,2,FALSE)</f>
        <v>Tank</v>
      </c>
      <c r="C86" s="115" t="str">
        <f>VLOOKUP(E86,Lists!D:E,2,FALSE)</f>
        <v>SnS/Greatsword</v>
      </c>
      <c r="D86" s="13" t="s">
        <v>7</v>
      </c>
      <c r="E86" s="83" t="s">
        <v>123</v>
      </c>
      <c r="F86" s="13" t="s">
        <v>476</v>
      </c>
      <c r="G86" s="82">
        <v>1</v>
      </c>
      <c r="H86" s="82">
        <v>13</v>
      </c>
      <c r="I86" s="194">
        <f t="shared" si="0"/>
        <v>14</v>
      </c>
      <c r="J86" s="85">
        <v>82526</v>
      </c>
      <c r="K86" s="85">
        <v>779973</v>
      </c>
      <c r="L86" s="85">
        <v>58963</v>
      </c>
      <c r="M86" s="195">
        <f>I86/(HLOOKUP(F86,Team_Composition_23[[#All],[Yellow]:[Red]],10,FALSE)+HLOOKUP(F86,Team_Composition_23[[#All],[Yellow]:[Red]],11,FALSE))</f>
        <v>3.4991252186953262E-3</v>
      </c>
      <c r="N86" s="195">
        <f>J86/HLOOKUP(F86,Team_Composition_23[[#All],[Yellow]:[Red]],6,FALSE)</f>
        <v>1.8602191152650379E-3</v>
      </c>
      <c r="O86" s="195">
        <f>K86/HLOOKUP(F86,Team_Composition_23[[#All],[Yellow]:[Red]],8,FALSE)</f>
        <v>4.4522150336756085E-2</v>
      </c>
      <c r="P86" s="195">
        <f>L86/HLOOKUP(F86,Team_Composition_23[[#All],[Yellow]:[Red]],7,FALSE)</f>
        <v>4.5549655791595894E-3</v>
      </c>
    </row>
    <row r="87" spans="1:16" ht="22.5" customHeight="1">
      <c r="A87" s="82">
        <v>90</v>
      </c>
      <c r="B87" s="115" t="str">
        <f>VLOOKUP(C87,Lists!I:J,2,FALSE)</f>
        <v>Healer</v>
      </c>
      <c r="C87" s="115" t="s">
        <v>9</v>
      </c>
      <c r="D87" s="13" t="s">
        <v>36</v>
      </c>
      <c r="E87" s="83" t="s">
        <v>305</v>
      </c>
      <c r="F87" s="13" t="s">
        <v>483</v>
      </c>
      <c r="G87" s="82">
        <v>0</v>
      </c>
      <c r="H87" s="82">
        <v>14</v>
      </c>
      <c r="I87" s="194">
        <f t="shared" si="0"/>
        <v>14</v>
      </c>
      <c r="J87" s="85">
        <v>16910</v>
      </c>
      <c r="K87" s="85">
        <v>307653</v>
      </c>
      <c r="L87" s="85">
        <v>298249</v>
      </c>
      <c r="M87" s="195">
        <f>I87/(HLOOKUP(F87,Team_Composition_23[[#All],[Yellow]:[Red]],10,FALSE)+HLOOKUP(F87,Team_Composition_23[[#All],[Yellow]:[Red]],11,FALSE))</f>
        <v>1.705237515225335E-2</v>
      </c>
      <c r="N87" s="195">
        <f>J87/HLOOKUP(F87,Team_Composition_23[[#All],[Yellow]:[Red]],6,FALSE)</f>
        <v>9.5832314418399576E-4</v>
      </c>
      <c r="O87" s="195">
        <f>K87/HLOOKUP(F87,Team_Composition_23[[#All],[Yellow]:[Red]],8,FALSE)</f>
        <v>6.989581819203762E-3</v>
      </c>
      <c r="P87" s="195">
        <f>L87/HLOOKUP(F87,Team_Composition_23[[#All],[Yellow]:[Red]],7,FALSE)</f>
        <v>1.2289598382819409E-2</v>
      </c>
    </row>
    <row r="88" spans="1:16" ht="22.5" customHeight="1">
      <c r="A88" s="82">
        <v>43</v>
      </c>
      <c r="B88" s="115" t="str">
        <f>VLOOKUP(C88,Lists!I:J,2,FALSE)</f>
        <v>Tank</v>
      </c>
      <c r="C88" s="115" t="str">
        <f>VLOOKUP(E88,Lists!D:E,2,FALSE)</f>
        <v>SnS/Greatsword</v>
      </c>
      <c r="D88" s="13" t="s">
        <v>36</v>
      </c>
      <c r="E88" s="83" t="s">
        <v>257</v>
      </c>
      <c r="F88" s="13" t="s">
        <v>483</v>
      </c>
      <c r="G88" s="82">
        <v>3</v>
      </c>
      <c r="H88" s="82">
        <v>10</v>
      </c>
      <c r="I88" s="194">
        <f t="shared" si="0"/>
        <v>13</v>
      </c>
      <c r="J88" s="85">
        <v>235500</v>
      </c>
      <c r="K88" s="85">
        <v>671363</v>
      </c>
      <c r="L88" s="85">
        <v>75222</v>
      </c>
      <c r="M88" s="195">
        <f>I88/(HLOOKUP(F88,Team_Composition_23[[#All],[Yellow]:[Red]],10,FALSE)+HLOOKUP(F88,Team_Composition_23[[#All],[Yellow]:[Red]],11,FALSE))</f>
        <v>1.5834348355663823E-2</v>
      </c>
      <c r="N88" s="195">
        <f>J88/HLOOKUP(F88,Team_Composition_23[[#All],[Yellow]:[Red]],6,FALSE)</f>
        <v>1.3346250766134299E-2</v>
      </c>
      <c r="O88" s="195">
        <f>K88/HLOOKUP(F88,Team_Composition_23[[#All],[Yellow]:[Red]],8,FALSE)</f>
        <v>1.5252725047004565E-2</v>
      </c>
      <c r="P88" s="195">
        <f>L88/HLOOKUP(F88,Team_Composition_23[[#All],[Yellow]:[Red]],7,FALSE)</f>
        <v>3.0995851437974364E-3</v>
      </c>
    </row>
    <row r="89" spans="1:16" ht="22.5" customHeight="1">
      <c r="A89" s="82">
        <v>91</v>
      </c>
      <c r="B89" s="115" t="str">
        <f>VLOOKUP(C89,Lists!I:J,2,FALSE)</f>
        <v>Tank</v>
      </c>
      <c r="C89" s="115" t="str">
        <f>VLOOKUP(E89,Lists!D:E,2,FALSE)</f>
        <v>SnS/Longbow</v>
      </c>
      <c r="D89" s="13" t="s">
        <v>7</v>
      </c>
      <c r="E89" s="83" t="s">
        <v>114</v>
      </c>
      <c r="F89" s="13" t="s">
        <v>476</v>
      </c>
      <c r="G89" s="82">
        <v>0</v>
      </c>
      <c r="H89" s="82">
        <v>13</v>
      </c>
      <c r="I89" s="194">
        <f t="shared" si="0"/>
        <v>13</v>
      </c>
      <c r="J89" s="85">
        <v>40518</v>
      </c>
      <c r="K89" s="85">
        <v>200948</v>
      </c>
      <c r="L89" s="85">
        <v>199019</v>
      </c>
      <c r="M89" s="195">
        <f>I89/(HLOOKUP(F89,Team_Composition_23[[#All],[Yellow]:[Red]],10,FALSE)+HLOOKUP(F89,Team_Composition_23[[#All],[Yellow]:[Red]],11,FALSE))</f>
        <v>3.2491877030742314E-3</v>
      </c>
      <c r="N89" s="195">
        <f>J89/HLOOKUP(F89,Team_Composition_23[[#All],[Yellow]:[Red]],6,FALSE)</f>
        <v>9.1331650767405195E-4</v>
      </c>
      <c r="O89" s="195">
        <f>K89/HLOOKUP(F89,Team_Composition_23[[#All],[Yellow]:[Red]],8,FALSE)</f>
        <v>1.1470444574197391E-2</v>
      </c>
      <c r="P89" s="195">
        <f>L89/HLOOKUP(F89,Team_Composition_23[[#All],[Yellow]:[Red]],7,FALSE)</f>
        <v>1.5374466947047511E-2</v>
      </c>
    </row>
    <row r="90" spans="1:16" ht="22.5" customHeight="1">
      <c r="A90" s="82">
        <v>92</v>
      </c>
      <c r="B90" s="115" t="str">
        <f>VLOOKUP(C90,Lists!I:J,2,FALSE)</f>
        <v>Healer</v>
      </c>
      <c r="C90" s="115" t="s">
        <v>10</v>
      </c>
      <c r="D90" s="13" t="s">
        <v>36</v>
      </c>
      <c r="E90" s="83" t="s">
        <v>557</v>
      </c>
      <c r="F90" s="13" t="s">
        <v>483</v>
      </c>
      <c r="G90" s="82">
        <v>0</v>
      </c>
      <c r="H90" s="82">
        <v>13</v>
      </c>
      <c r="I90" s="194">
        <f t="shared" si="0"/>
        <v>13</v>
      </c>
      <c r="J90" s="85">
        <v>40410</v>
      </c>
      <c r="K90" s="85">
        <v>813104</v>
      </c>
      <c r="L90" s="85">
        <v>1357328</v>
      </c>
      <c r="M90" s="195">
        <f>I90/(HLOOKUP(F90,Team_Composition_23[[#All],[Yellow]:[Red]],10,FALSE)+HLOOKUP(F90,Team_Composition_23[[#All],[Yellow]:[Red]],11,FALSE))</f>
        <v>1.5834348355663823E-2</v>
      </c>
      <c r="N90" s="195">
        <f>J90/HLOOKUP(F90,Team_Composition_23[[#All],[Yellow]:[Red]],6,FALSE)</f>
        <v>2.2901146219086498E-3</v>
      </c>
      <c r="O90" s="195">
        <f>K90/HLOOKUP(F90,Team_Composition_23[[#All],[Yellow]:[Red]],8,FALSE)</f>
        <v>1.8472944959164565E-2</v>
      </c>
      <c r="P90" s="195">
        <f>L90/HLOOKUP(F90,Team_Composition_23[[#All],[Yellow]:[Red]],7,FALSE)</f>
        <v>5.5929830422752479E-2</v>
      </c>
    </row>
    <row r="91" spans="1:16" ht="22.5" customHeight="1">
      <c r="A91" s="82">
        <v>93</v>
      </c>
      <c r="B91" s="115" t="str">
        <f>VLOOKUP(C91,Lists!I:J,2,FALSE)</f>
        <v>Healer</v>
      </c>
      <c r="C91" s="115" t="str">
        <f>VLOOKUP(E91,Lists!D:E,2,FALSE)</f>
        <v>Wand/Longbow</v>
      </c>
      <c r="D91" s="13" t="s">
        <v>36</v>
      </c>
      <c r="E91" s="83" t="s">
        <v>273</v>
      </c>
      <c r="F91" s="13" t="s">
        <v>483</v>
      </c>
      <c r="G91" s="82">
        <v>0</v>
      </c>
      <c r="H91" s="82">
        <v>13</v>
      </c>
      <c r="I91" s="194">
        <f t="shared" si="0"/>
        <v>13</v>
      </c>
      <c r="J91" s="85">
        <v>25004</v>
      </c>
      <c r="K91" s="85">
        <v>422704</v>
      </c>
      <c r="L91" s="85">
        <v>1811371</v>
      </c>
      <c r="M91" s="195">
        <f>I91/(HLOOKUP(F91,Team_Composition_23[[#All],[Yellow]:[Red]],10,FALSE)+HLOOKUP(F91,Team_Composition_23[[#All],[Yellow]:[Red]],11,FALSE))</f>
        <v>1.5834348355663823E-2</v>
      </c>
      <c r="N91" s="195">
        <f>J91/HLOOKUP(F91,Team_Composition_23[[#All],[Yellow]:[Red]],6,FALSE)</f>
        <v>1.417026132299032E-3</v>
      </c>
      <c r="O91" s="195">
        <f>K91/HLOOKUP(F91,Team_Composition_23[[#All],[Yellow]:[Red]],8,FALSE)</f>
        <v>9.6034304664823905E-3</v>
      </c>
      <c r="P91" s="195">
        <f>L91/HLOOKUP(F91,Team_Composition_23[[#All],[Yellow]:[Red]],7,FALSE)</f>
        <v>7.4639050297858417E-2</v>
      </c>
    </row>
    <row r="92" spans="1:16" ht="22.5" customHeight="1">
      <c r="A92" s="82">
        <v>94</v>
      </c>
      <c r="B92" s="115" t="str">
        <f>VLOOKUP(C92,Lists!I:J,2,FALSE)</f>
        <v>Healer</v>
      </c>
      <c r="C92" s="115" t="s">
        <v>9</v>
      </c>
      <c r="D92" s="13" t="s">
        <v>36</v>
      </c>
      <c r="E92" s="83" t="s">
        <v>314</v>
      </c>
      <c r="F92" s="13" t="s">
        <v>483</v>
      </c>
      <c r="G92" s="82">
        <v>0</v>
      </c>
      <c r="H92" s="82">
        <v>13</v>
      </c>
      <c r="I92" s="194">
        <f t="shared" si="0"/>
        <v>13</v>
      </c>
      <c r="J92" s="85">
        <v>394</v>
      </c>
      <c r="K92" s="85">
        <v>303995</v>
      </c>
      <c r="L92" s="85">
        <v>935308</v>
      </c>
      <c r="M92" s="195">
        <f>I92/(HLOOKUP(F92,Team_Composition_23[[#All],[Yellow]:[Red]],10,FALSE)+HLOOKUP(F92,Team_Composition_23[[#All],[Yellow]:[Red]],11,FALSE))</f>
        <v>1.5834348355663823E-2</v>
      </c>
      <c r="N92" s="195">
        <f>J92/HLOOKUP(F92,Team_Composition_23[[#All],[Yellow]:[Red]],6,FALSE)</f>
        <v>2.2328759243553777E-5</v>
      </c>
      <c r="O92" s="195">
        <f>K92/HLOOKUP(F92,Team_Composition_23[[#All],[Yellow]:[Red]],8,FALSE)</f>
        <v>6.906475558921407E-3</v>
      </c>
      <c r="P92" s="195">
        <f>L92/HLOOKUP(F92,Team_Composition_23[[#All],[Yellow]:[Red]],7,FALSE)</f>
        <v>3.8540144926682257E-2</v>
      </c>
    </row>
    <row r="93" spans="1:16" ht="22.5" customHeight="1">
      <c r="A93" s="82">
        <v>56</v>
      </c>
      <c r="B93" s="115" t="str">
        <f>VLOOKUP(C93,Lists!I:J,2,FALSE)</f>
        <v>Healer</v>
      </c>
      <c r="C93" s="115" t="s">
        <v>9</v>
      </c>
      <c r="D93" s="13" t="s">
        <v>36</v>
      </c>
      <c r="E93" s="83" t="s">
        <v>252</v>
      </c>
      <c r="F93" s="13" t="s">
        <v>483</v>
      </c>
      <c r="G93" s="82">
        <v>1</v>
      </c>
      <c r="H93" s="82">
        <v>10</v>
      </c>
      <c r="I93" s="194">
        <f t="shared" si="0"/>
        <v>11</v>
      </c>
      <c r="J93" s="85">
        <v>295842</v>
      </c>
      <c r="K93" s="85">
        <v>871773</v>
      </c>
      <c r="L93" s="85">
        <v>51020</v>
      </c>
      <c r="M93" s="195">
        <f>I93/(HLOOKUP(F93,Team_Composition_23[[#All],[Yellow]:[Red]],10,FALSE)+HLOOKUP(F93,Team_Composition_23[[#All],[Yellow]:[Red]],11,FALSE))</f>
        <v>1.3398294762484775E-2</v>
      </c>
      <c r="N93" s="195">
        <f>J93/HLOOKUP(F93,Team_Composition_23[[#All],[Yellow]:[Red]],6,FALSE)</f>
        <v>1.6765951249064558E-2</v>
      </c>
      <c r="O93" s="195">
        <f>K93/HLOOKUP(F93,Team_Composition_23[[#All],[Yellow]:[Red]],8,FALSE)</f>
        <v>1.9805848508783343E-2</v>
      </c>
      <c r="P93" s="195">
        <f>L93/HLOOKUP(F93,Team_Composition_23[[#All],[Yellow]:[Red]],7,FALSE)</f>
        <v>2.1023215819380662E-3</v>
      </c>
    </row>
    <row r="94" spans="1:16" ht="22.5" customHeight="1">
      <c r="A94" s="82">
        <v>57</v>
      </c>
      <c r="B94" s="115" t="str">
        <f>VLOOKUP(C94,Lists!I:J,2,FALSE)</f>
        <v>Tank</v>
      </c>
      <c r="C94" s="115" t="str">
        <f>VLOOKUP(E94,Lists!D:E,2,FALSE)</f>
        <v>SnS/Greatsword</v>
      </c>
      <c r="D94" s="13" t="s">
        <v>7</v>
      </c>
      <c r="E94" s="83" t="s">
        <v>109</v>
      </c>
      <c r="F94" s="13" t="s">
        <v>476</v>
      </c>
      <c r="G94" s="82">
        <v>1</v>
      </c>
      <c r="H94" s="82">
        <v>10</v>
      </c>
      <c r="I94" s="194">
        <f t="shared" si="0"/>
        <v>11</v>
      </c>
      <c r="J94" s="85">
        <v>26326</v>
      </c>
      <c r="K94" s="85">
        <v>482826</v>
      </c>
      <c r="L94" s="85">
        <v>20257</v>
      </c>
      <c r="M94" s="195">
        <f>I94/(HLOOKUP(F94,Team_Composition_23[[#All],[Yellow]:[Red]],10,FALSE)+HLOOKUP(F94,Team_Composition_23[[#All],[Yellow]:[Red]],11,FALSE))</f>
        <v>2.7493126718320421E-3</v>
      </c>
      <c r="N94" s="195">
        <f>J94/HLOOKUP(F94,Team_Composition_23[[#All],[Yellow]:[Red]],6,FALSE)</f>
        <v>5.9341454121691819E-4</v>
      </c>
      <c r="O94" s="195">
        <f>K94/HLOOKUP(F94,Team_Composition_23[[#All],[Yellow]:[Red]],8,FALSE)</f>
        <v>2.7560507554100708E-2</v>
      </c>
      <c r="P94" s="195">
        <f>L94/HLOOKUP(F94,Team_Composition_23[[#All],[Yellow]:[Red]],7,FALSE)</f>
        <v>1.5648786143350204E-3</v>
      </c>
    </row>
    <row r="95" spans="1:16" ht="22.5" customHeight="1">
      <c r="A95" s="82">
        <v>95</v>
      </c>
      <c r="B95" s="115" t="str">
        <f>VLOOKUP(C95,Lists!I:J,2,FALSE)</f>
        <v>Healer</v>
      </c>
      <c r="C95" s="115" t="str">
        <f>VLOOKUP(E95,Lists!D:E,2,FALSE)</f>
        <v>Wand/Longbow</v>
      </c>
      <c r="D95" s="13" t="s">
        <v>7</v>
      </c>
      <c r="E95" s="83" t="s">
        <v>136</v>
      </c>
      <c r="F95" s="13" t="s">
        <v>476</v>
      </c>
      <c r="G95" s="82">
        <v>0</v>
      </c>
      <c r="H95" s="82">
        <v>11</v>
      </c>
      <c r="I95" s="194">
        <f t="shared" si="0"/>
        <v>11</v>
      </c>
      <c r="J95" s="85">
        <v>40153</v>
      </c>
      <c r="K95" s="85">
        <v>455410</v>
      </c>
      <c r="L95" s="85">
        <v>964115</v>
      </c>
      <c r="M95" s="195">
        <f>I95/(HLOOKUP(F95,Team_Composition_23[[#All],[Yellow]:[Red]],10,FALSE)+HLOOKUP(F95,Team_Composition_23[[#All],[Yellow]:[Red]],11,FALSE))</f>
        <v>2.7493126718320421E-3</v>
      </c>
      <c r="N95" s="195">
        <f>J95/HLOOKUP(F95,Team_Composition_23[[#All],[Yellow]:[Red]],6,FALSE)</f>
        <v>9.050890402447358E-4</v>
      </c>
      <c r="O95" s="195">
        <f>K95/HLOOKUP(F95,Team_Composition_23[[#All],[Yellow]:[Red]],8,FALSE)</f>
        <v>2.5995556878074096E-2</v>
      </c>
      <c r="P95" s="195">
        <f>L95/HLOOKUP(F95,Team_Composition_23[[#All],[Yellow]:[Red]],7,FALSE)</f>
        <v>7.4479090944345572E-2</v>
      </c>
    </row>
    <row r="96" spans="1:16" ht="22.5" customHeight="1">
      <c r="A96" s="82">
        <v>58</v>
      </c>
      <c r="B96" s="115" t="str">
        <f>VLOOKUP(C96,Lists!I:J,2,FALSE)</f>
        <v>Tank</v>
      </c>
      <c r="C96" s="115" t="str">
        <f>VLOOKUP(E96,Lists!D:E,2,FALSE)</f>
        <v>SnS/Greatsword</v>
      </c>
      <c r="D96" s="13" t="s">
        <v>7</v>
      </c>
      <c r="E96" s="83" t="s">
        <v>57</v>
      </c>
      <c r="F96" s="13" t="s">
        <v>476</v>
      </c>
      <c r="G96" s="82">
        <v>1</v>
      </c>
      <c r="H96" s="82">
        <v>9</v>
      </c>
      <c r="I96" s="194">
        <f t="shared" si="0"/>
        <v>10</v>
      </c>
      <c r="J96" s="85">
        <v>30450</v>
      </c>
      <c r="K96" s="85">
        <v>376725</v>
      </c>
      <c r="L96" s="85">
        <v>21869</v>
      </c>
      <c r="M96" s="195">
        <f>I96/(HLOOKUP(F96,Team_Composition_23[[#All],[Yellow]:[Red]],10,FALSE)+HLOOKUP(F96,Team_Composition_23[[#All],[Yellow]:[Red]],11,FALSE))</f>
        <v>2.4993751562109472E-3</v>
      </c>
      <c r="N96" s="195">
        <f>J96/HLOOKUP(F96,Team_Composition_23[[#All],[Yellow]:[Red]],6,FALSE)</f>
        <v>6.8637365266486204E-4</v>
      </c>
      <c r="O96" s="195">
        <f>K96/HLOOKUP(F96,Team_Composition_23[[#All],[Yellow]:[Red]],8,FALSE)</f>
        <v>2.1504086789689431E-2</v>
      </c>
      <c r="P96" s="195">
        <f>L96/HLOOKUP(F96,Team_Composition_23[[#All],[Yellow]:[Red]],7,FALSE)</f>
        <v>1.6894076327636156E-3</v>
      </c>
    </row>
    <row r="97" spans="1:16" ht="22.5" customHeight="1">
      <c r="A97" s="82">
        <v>96</v>
      </c>
      <c r="B97" s="115" t="str">
        <f>VLOOKUP(C97,Lists!I:J,2,FALSE)</f>
        <v>Healer</v>
      </c>
      <c r="C97" s="115" t="s">
        <v>9</v>
      </c>
      <c r="D97" s="13" t="s">
        <v>36</v>
      </c>
      <c r="E97" s="83" t="s">
        <v>300</v>
      </c>
      <c r="F97" s="13" t="s">
        <v>483</v>
      </c>
      <c r="G97" s="82">
        <v>0</v>
      </c>
      <c r="H97" s="82">
        <v>9</v>
      </c>
      <c r="I97" s="194">
        <f t="shared" si="0"/>
        <v>9</v>
      </c>
      <c r="J97" s="85">
        <v>3398</v>
      </c>
      <c r="K97" s="85">
        <v>538564</v>
      </c>
      <c r="L97" s="85">
        <v>797654</v>
      </c>
      <c r="M97" s="195">
        <f>I97/(HLOOKUP(F97,Team_Composition_23[[#All],[Yellow]:[Red]],10,FALSE)+HLOOKUP(F97,Team_Composition_23[[#All],[Yellow]:[Red]],11,FALSE))</f>
        <v>1.0962241169305725E-2</v>
      </c>
      <c r="N97" s="195">
        <f>J97/HLOOKUP(F97,Team_Composition_23[[#All],[Yellow]:[Red]],6,FALSE)</f>
        <v>1.9257138048120744E-4</v>
      </c>
      <c r="O97" s="195">
        <f>K97/HLOOKUP(F97,Team_Composition_23[[#All],[Yellow]:[Red]],8,FALSE)</f>
        <v>1.2235658819766604E-2</v>
      </c>
      <c r="P97" s="195">
        <f>L97/HLOOKUP(F97,Team_Composition_23[[#All],[Yellow]:[Red]],7,FALSE)</f>
        <v>3.2867997238714745E-2</v>
      </c>
    </row>
    <row r="98" spans="1:16" ht="22.5" customHeight="1">
      <c r="A98" s="82">
        <v>97</v>
      </c>
      <c r="B98" s="115" t="str">
        <f>VLOOKUP(C98,Lists!I:J,2,FALSE)</f>
        <v>Tank</v>
      </c>
      <c r="C98" s="115" t="s">
        <v>14</v>
      </c>
      <c r="D98" s="13" t="s">
        <v>36</v>
      </c>
      <c r="E98" s="83" t="s">
        <v>558</v>
      </c>
      <c r="F98" s="13" t="s">
        <v>483</v>
      </c>
      <c r="G98" s="82">
        <v>0</v>
      </c>
      <c r="H98" s="82">
        <v>7</v>
      </c>
      <c r="I98" s="194">
        <f t="shared" si="0"/>
        <v>7</v>
      </c>
      <c r="J98" s="85">
        <v>156223</v>
      </c>
      <c r="K98" s="85">
        <v>674832</v>
      </c>
      <c r="L98" s="85">
        <v>17521</v>
      </c>
      <c r="M98" s="195">
        <f>I98/(HLOOKUP(F98,Team_Composition_23[[#All],[Yellow]:[Red]],10,FALSE)+HLOOKUP(F98,Team_Composition_23[[#All],[Yellow]:[Red]],11,FALSE))</f>
        <v>8.5261875761266752E-3</v>
      </c>
      <c r="N98" s="195">
        <f>J98/HLOOKUP(F98,Team_Composition_23[[#All],[Yellow]:[Red]],6,FALSE)</f>
        <v>8.8534663840246237E-3</v>
      </c>
      <c r="O98" s="195">
        <f>K98/HLOOKUP(F98,Team_Composition_23[[#All],[Yellow]:[Red]],8,FALSE)</f>
        <v>1.5331537408108853E-2</v>
      </c>
      <c r="P98" s="195">
        <f>L98/HLOOKUP(F98,Team_Composition_23[[#All],[Yellow]:[Red]],7,FALSE)</f>
        <v>7.2196739390703363E-4</v>
      </c>
    </row>
    <row r="99" spans="1:16" ht="22.5" customHeight="1">
      <c r="A99" s="82">
        <v>98</v>
      </c>
      <c r="B99" s="115" t="str">
        <f>VLOOKUP(C99,Lists!I:J,2,FALSE)</f>
        <v>Tank</v>
      </c>
      <c r="C99" s="115" t="str">
        <f>VLOOKUP(E99,Lists!D:E,2,FALSE)</f>
        <v>SnS/Spear</v>
      </c>
      <c r="D99" s="13" t="s">
        <v>36</v>
      </c>
      <c r="E99" s="83" t="s">
        <v>263</v>
      </c>
      <c r="F99" s="13" t="s">
        <v>483</v>
      </c>
      <c r="G99" s="82">
        <v>0</v>
      </c>
      <c r="H99" s="82">
        <v>7</v>
      </c>
      <c r="I99" s="194">
        <f t="shared" si="0"/>
        <v>7</v>
      </c>
      <c r="J99" s="85">
        <v>108894</v>
      </c>
      <c r="K99" s="85">
        <v>939089</v>
      </c>
      <c r="L99" s="85">
        <v>24460</v>
      </c>
      <c r="M99" s="195">
        <f>I99/(HLOOKUP(F99,Team_Composition_23[[#All],[Yellow]:[Red]],10,FALSE)+HLOOKUP(F99,Team_Composition_23[[#All],[Yellow]:[Red]],11,FALSE))</f>
        <v>8.5261875761266752E-3</v>
      </c>
      <c r="N99" s="195">
        <f>J99/HLOOKUP(F99,Team_Composition_23[[#All],[Yellow]:[Red]],6,FALSE)</f>
        <v>6.1712383478871695E-3</v>
      </c>
      <c r="O99" s="195">
        <f>K99/HLOOKUP(F99,Team_Composition_23[[#All],[Yellow]:[Red]],8,FALSE)</f>
        <v>2.1335203625559452E-2</v>
      </c>
      <c r="P99" s="195">
        <f>L99/HLOOKUP(F99,Team_Composition_23[[#All],[Yellow]:[Red]],7,FALSE)</f>
        <v>1.0078946666837534E-3</v>
      </c>
    </row>
    <row r="100" spans="1:16" ht="22.5" customHeight="1">
      <c r="A100" s="82">
        <v>99</v>
      </c>
      <c r="B100" s="115" t="str">
        <f>VLOOKUP(C100,Lists!I:J,2,FALSE)</f>
        <v>Tank</v>
      </c>
      <c r="C100" s="115" t="str">
        <f>VLOOKUP(E100,Lists!D:E,2,FALSE)</f>
        <v>SnS/Greatsword</v>
      </c>
      <c r="D100" s="13" t="s">
        <v>36</v>
      </c>
      <c r="E100" s="83" t="s">
        <v>282</v>
      </c>
      <c r="F100" s="13" t="s">
        <v>483</v>
      </c>
      <c r="G100" s="82">
        <v>0</v>
      </c>
      <c r="H100" s="82">
        <v>6</v>
      </c>
      <c r="I100" s="194">
        <f t="shared" si="0"/>
        <v>6</v>
      </c>
      <c r="J100" s="85">
        <v>13835</v>
      </c>
      <c r="K100" s="85">
        <v>444986</v>
      </c>
      <c r="L100" s="85">
        <v>26464</v>
      </c>
      <c r="M100" s="195">
        <f>I100/(HLOOKUP(F100,Team_Composition_23[[#All],[Yellow]:[Red]],10,FALSE)+HLOOKUP(F100,Team_Composition_23[[#All],[Yellow]:[Red]],11,FALSE))</f>
        <v>7.3081607795371494E-3</v>
      </c>
      <c r="N100" s="195">
        <f>J100/HLOOKUP(F100,Team_Composition_23[[#All],[Yellow]:[Red]],6,FALSE)</f>
        <v>7.8405681252428038E-4</v>
      </c>
      <c r="O100" s="195">
        <f>K100/HLOOKUP(F100,Team_Composition_23[[#All],[Yellow]:[Red]],8,FALSE)</f>
        <v>1.0109656188628765E-2</v>
      </c>
      <c r="P100" s="195">
        <f>L100/HLOOKUP(F100,Team_Composition_23[[#All],[Yellow]:[Red]],7,FALSE)</f>
        <v>1.0904711553196586E-3</v>
      </c>
    </row>
    <row r="101" spans="1:16" ht="22.5" customHeight="1">
      <c r="A101" s="82">
        <v>100</v>
      </c>
      <c r="B101" s="115" t="str">
        <f>VLOOKUP(C101,Lists!I:J,2,FALSE)</f>
        <v>Tank</v>
      </c>
      <c r="C101" s="115" t="str">
        <f>VLOOKUP(E101,Lists!D:E,2,FALSE)</f>
        <v>SnS/Longbow</v>
      </c>
      <c r="D101" s="13" t="s">
        <v>36</v>
      </c>
      <c r="E101" s="83" t="s">
        <v>284</v>
      </c>
      <c r="F101" s="13" t="s">
        <v>483</v>
      </c>
      <c r="G101" s="82">
        <v>0</v>
      </c>
      <c r="H101" s="82">
        <v>5</v>
      </c>
      <c r="I101" s="194">
        <f t="shared" si="0"/>
        <v>5</v>
      </c>
      <c r="J101" s="85">
        <v>14816</v>
      </c>
      <c r="K101" s="85">
        <v>469949</v>
      </c>
      <c r="L101" s="85">
        <v>89099</v>
      </c>
      <c r="M101" s="195">
        <f>I101/(HLOOKUP(F101,Team_Composition_23[[#All],[Yellow]:[Red]],10,FALSE)+HLOOKUP(F101,Team_Composition_23[[#All],[Yellow]:[Red]],11,FALSE))</f>
        <v>6.0901339829476245E-3</v>
      </c>
      <c r="N101" s="195">
        <f>J101/HLOOKUP(F101,Team_Composition_23[[#All],[Yellow]:[Red]],6,FALSE)</f>
        <v>8.3965202272206281E-4</v>
      </c>
      <c r="O101" s="195">
        <f>K101/HLOOKUP(F101,Team_Composition_23[[#All],[Yellow]:[Red]],8,FALSE)</f>
        <v>1.0676791665782517E-2</v>
      </c>
      <c r="P101" s="195">
        <f>L101/HLOOKUP(F101,Team_Composition_23[[#All],[Yellow]:[Red]],7,FALSE)</f>
        <v>3.6713984835182231E-3</v>
      </c>
    </row>
    <row r="102" spans="1:16" ht="22.5" customHeight="1">
      <c r="A102" s="82">
        <v>101</v>
      </c>
      <c r="B102" s="115" t="str">
        <f>VLOOKUP(C102,Lists!I:J,2,FALSE)</f>
        <v>Tank</v>
      </c>
      <c r="C102" s="115" t="s">
        <v>62</v>
      </c>
      <c r="D102" s="13" t="s">
        <v>36</v>
      </c>
      <c r="E102" s="83" t="s">
        <v>559</v>
      </c>
      <c r="F102" s="13" t="s">
        <v>483</v>
      </c>
      <c r="G102" s="82">
        <v>0</v>
      </c>
      <c r="H102" s="82">
        <v>4</v>
      </c>
      <c r="I102" s="194">
        <f t="shared" si="0"/>
        <v>4</v>
      </c>
      <c r="J102" s="85">
        <v>51053</v>
      </c>
      <c r="K102" s="85">
        <v>675689</v>
      </c>
      <c r="L102" s="85">
        <v>36799</v>
      </c>
      <c r="M102" s="195">
        <f>I102/(HLOOKUP(F102,Team_Composition_23[[#All],[Yellow]:[Red]],10,FALSE)+HLOOKUP(F102,Team_Composition_23[[#All],[Yellow]:[Red]],11,FALSE))</f>
        <v>4.8721071863580996E-3</v>
      </c>
      <c r="N102" s="195">
        <f>J102/HLOOKUP(F102,Team_Composition_23[[#All],[Yellow]:[Red]],6,FALSE)</f>
        <v>2.8932744813734792E-3</v>
      </c>
      <c r="O102" s="195">
        <f>K102/HLOOKUP(F102,Team_Composition_23[[#All],[Yellow]:[Red]],8,FALSE)</f>
        <v>1.5351007628191407E-2</v>
      </c>
      <c r="P102" s="195">
        <f>L102/HLOOKUP(F102,Team_Composition_23[[#All],[Yellow]:[Red]],7,FALSE)</f>
        <v>1.5163334357847686E-3</v>
      </c>
    </row>
    <row r="103" spans="1:16" ht="22.5" customHeight="1">
      <c r="A103" s="82">
        <v>102</v>
      </c>
      <c r="B103" s="115" t="str">
        <f>VLOOKUP(C103,Lists!I:J,2,FALSE)</f>
        <v>Healer</v>
      </c>
      <c r="C103" s="115" t="str">
        <f>VLOOKUP(E103,Lists!D:E,2,FALSE)</f>
        <v>Wand/Longbow</v>
      </c>
      <c r="D103" s="13" t="s">
        <v>7</v>
      </c>
      <c r="E103" s="83" t="s">
        <v>106</v>
      </c>
      <c r="F103" s="13" t="s">
        <v>476</v>
      </c>
      <c r="G103" s="82">
        <v>0</v>
      </c>
      <c r="H103" s="82">
        <v>4</v>
      </c>
      <c r="I103" s="194">
        <f t="shared" si="0"/>
        <v>4</v>
      </c>
      <c r="J103" s="85">
        <v>5076</v>
      </c>
      <c r="K103" s="85">
        <v>526265</v>
      </c>
      <c r="L103" s="85">
        <v>527017</v>
      </c>
      <c r="M103" s="195">
        <f>I103/(HLOOKUP(F103,Team_Composition_23[[#All],[Yellow]:[Red]],10,FALSE)+HLOOKUP(F103,Team_Composition_23[[#All],[Yellow]:[Red]],11,FALSE))</f>
        <v>9.9975006248437899E-4</v>
      </c>
      <c r="N103" s="195">
        <f>J103/HLOOKUP(F103,Team_Composition_23[[#All],[Yellow]:[Red]],6,FALSE)</f>
        <v>1.1441814978413266E-4</v>
      </c>
      <c r="O103" s="195">
        <f>K103/HLOOKUP(F103,Team_Composition_23[[#All],[Yellow]:[Red]],8,FALSE)</f>
        <v>3.0040077601369456E-2</v>
      </c>
      <c r="P103" s="195">
        <f>L103/HLOOKUP(F103,Team_Composition_23[[#All],[Yellow]:[Red]],7,FALSE)</f>
        <v>4.071272314217305E-2</v>
      </c>
    </row>
    <row r="104" spans="1:16" ht="22.5" customHeight="1">
      <c r="A104" s="82">
        <v>103</v>
      </c>
      <c r="B104" s="115" t="str">
        <f>VLOOKUP(C104,Lists!I:J,2,FALSE)</f>
        <v>Tank</v>
      </c>
      <c r="C104" s="115" t="s">
        <v>62</v>
      </c>
      <c r="D104" s="13" t="s">
        <v>525</v>
      </c>
      <c r="E104" s="83" t="s">
        <v>560</v>
      </c>
      <c r="F104" s="13" t="s">
        <v>483</v>
      </c>
      <c r="G104" s="82">
        <v>0</v>
      </c>
      <c r="H104" s="82">
        <v>3</v>
      </c>
      <c r="I104" s="194">
        <f t="shared" si="0"/>
        <v>3</v>
      </c>
      <c r="J104" s="85">
        <v>91566</v>
      </c>
      <c r="K104" s="85">
        <v>519233</v>
      </c>
      <c r="L104" s="85">
        <v>22523</v>
      </c>
      <c r="M104" s="195">
        <f>I104/(HLOOKUP(F104,Team_Composition_23[[#All],[Yellow]:[Red]],10,FALSE)+HLOOKUP(F104,Team_Composition_23[[#All],[Yellow]:[Red]],11,FALSE))</f>
        <v>3.6540803897685747E-3</v>
      </c>
      <c r="N104" s="195">
        <f>J104/HLOOKUP(F104,Team_Composition_23[[#All],[Yellow]:[Red]],6,FALSE)</f>
        <v>5.1892263169930073E-3</v>
      </c>
      <c r="O104" s="195">
        <f>K104/HLOOKUP(F104,Team_Composition_23[[#All],[Yellow]:[Red]],8,FALSE)</f>
        <v>1.1796476994310561E-2</v>
      </c>
      <c r="P104" s="195">
        <f>L104/HLOOKUP(F104,Team_Composition_23[[#All],[Yellow]:[Red]],7,FALSE)</f>
        <v>9.280789688355755E-4</v>
      </c>
    </row>
    <row r="105" spans="1:16" ht="22.5" customHeight="1">
      <c r="A105" s="82">
        <v>104</v>
      </c>
      <c r="B105" s="115" t="str">
        <f>VLOOKUP(C105,Lists!I:J,2,FALSE)</f>
        <v>Tank</v>
      </c>
      <c r="C105" s="115" t="s">
        <v>14</v>
      </c>
      <c r="D105" s="13" t="s">
        <v>7</v>
      </c>
      <c r="E105" s="83" t="s">
        <v>118</v>
      </c>
      <c r="F105" s="13" t="s">
        <v>476</v>
      </c>
      <c r="G105" s="82">
        <v>0</v>
      </c>
      <c r="H105" s="82">
        <v>3</v>
      </c>
      <c r="I105" s="194">
        <f t="shared" si="0"/>
        <v>3</v>
      </c>
      <c r="J105" s="85">
        <v>15618</v>
      </c>
      <c r="K105" s="85">
        <v>477331</v>
      </c>
      <c r="L105" s="85">
        <v>22329</v>
      </c>
      <c r="M105" s="195">
        <f>I105/(HLOOKUP(F105,Team_Composition_23[[#All],[Yellow]:[Red]],10,FALSE)+HLOOKUP(F105,Team_Composition_23[[#All],[Yellow]:[Red]],11,FALSE))</f>
        <v>7.4981254686328413E-4</v>
      </c>
      <c r="N105" s="195">
        <f>J105/HLOOKUP(F105,Team_Composition_23[[#All],[Yellow]:[Red]],6,FALSE)</f>
        <v>3.520454419481056E-4</v>
      </c>
      <c r="O105" s="195">
        <f>K105/HLOOKUP(F105,Team_Composition_23[[#All],[Yellow]:[Red]],8,FALSE)</f>
        <v>2.7246843855356681E-2</v>
      </c>
      <c r="P105" s="195">
        <f>L105/HLOOKUP(F105,Team_Composition_23[[#All],[Yellow]:[Red]],7,FALSE)</f>
        <v>1.724943208741999E-3</v>
      </c>
    </row>
    <row r="106" spans="1:16" ht="22.5" customHeight="1">
      <c r="A106" s="82">
        <v>105</v>
      </c>
      <c r="B106" s="115" t="str">
        <f>VLOOKUP(C106,Lists!I:J,2,FALSE)</f>
        <v>Healer</v>
      </c>
      <c r="C106" s="115" t="s">
        <v>10</v>
      </c>
      <c r="D106" s="13" t="s">
        <v>36</v>
      </c>
      <c r="E106" s="83" t="s">
        <v>307</v>
      </c>
      <c r="F106" s="13" t="s">
        <v>483</v>
      </c>
      <c r="G106" s="82">
        <v>0</v>
      </c>
      <c r="H106" s="82">
        <v>2</v>
      </c>
      <c r="I106" s="194">
        <f t="shared" si="0"/>
        <v>2</v>
      </c>
      <c r="J106" s="85">
        <v>26493</v>
      </c>
      <c r="K106" s="85">
        <v>478787</v>
      </c>
      <c r="L106" s="85">
        <v>1229955</v>
      </c>
      <c r="M106" s="195">
        <f>I106/(HLOOKUP(F106,Team_Composition_23[[#All],[Yellow]:[Red]],10,FALSE)+HLOOKUP(F106,Team_Composition_23[[#All],[Yellow]:[Red]],11,FALSE))</f>
        <v>2.4360535931790498E-3</v>
      </c>
      <c r="N106" s="195">
        <f>J106/HLOOKUP(F106,Team_Composition_23[[#All],[Yellow]:[Red]],6,FALSE)</f>
        <v>1.501410707206777E-3</v>
      </c>
      <c r="O106" s="195">
        <f>K106/HLOOKUP(F106,Team_Composition_23[[#All],[Yellow]:[Red]],8,FALSE)</f>
        <v>1.0877582570204457E-2</v>
      </c>
      <c r="P106" s="195">
        <f>L106/HLOOKUP(F106,Team_Composition_23[[#All],[Yellow]:[Red]],7,FALSE)</f>
        <v>5.0681319900286827E-2</v>
      </c>
    </row>
    <row r="107" spans="1:16" ht="22.5" customHeight="1">
      <c r="A107" s="82">
        <v>106</v>
      </c>
      <c r="B107" s="115" t="str">
        <f>VLOOKUP(C107,Lists!I:J,2,FALSE)</f>
        <v>Healer</v>
      </c>
      <c r="C107" s="115" t="s">
        <v>9</v>
      </c>
      <c r="D107" s="13" t="s">
        <v>36</v>
      </c>
      <c r="E107" s="83" t="s">
        <v>308</v>
      </c>
      <c r="F107" s="13" t="s">
        <v>483</v>
      </c>
      <c r="G107" s="82">
        <v>0</v>
      </c>
      <c r="H107" s="82">
        <v>2</v>
      </c>
      <c r="I107" s="194">
        <f t="shared" si="0"/>
        <v>2</v>
      </c>
      <c r="J107" s="85">
        <v>5049</v>
      </c>
      <c r="K107" s="85">
        <v>421034</v>
      </c>
      <c r="L107" s="85">
        <v>703225</v>
      </c>
      <c r="M107" s="195">
        <f>I107/(HLOOKUP(F107,Team_Composition_23[[#All],[Yellow]:[Red]],10,FALSE)+HLOOKUP(F107,Team_Composition_23[[#All],[Yellow]:[Red]],11,FALSE))</f>
        <v>2.4360535931790498E-3</v>
      </c>
      <c r="N107" s="195">
        <f>J107/HLOOKUP(F107,Team_Composition_23[[#All],[Yellow]:[Red]],6,FALSE)</f>
        <v>2.861368157885863E-4</v>
      </c>
      <c r="O107" s="195">
        <f>K107/HLOOKUP(F107,Team_Composition_23[[#All],[Yellow]:[Red]],8,FALSE)</f>
        <v>9.5654896642211745E-3</v>
      </c>
      <c r="P107" s="195">
        <f>L107/HLOOKUP(F107,Team_Composition_23[[#All],[Yellow]:[Red]],7,FALSE)</f>
        <v>2.8976971667157909E-2</v>
      </c>
    </row>
    <row r="108" spans="1:16" ht="22.5" customHeight="1">
      <c r="A108" s="82">
        <v>107</v>
      </c>
      <c r="B108" s="115" t="str">
        <f>VLOOKUP(C108,Lists!I:J,2,FALSE)</f>
        <v>Tank</v>
      </c>
      <c r="C108" s="115" t="s">
        <v>14</v>
      </c>
      <c r="D108" s="13" t="s">
        <v>36</v>
      </c>
      <c r="E108" s="83" t="s">
        <v>561</v>
      </c>
      <c r="F108" s="13" t="s">
        <v>483</v>
      </c>
      <c r="G108" s="82">
        <v>0</v>
      </c>
      <c r="H108" s="82">
        <v>0</v>
      </c>
      <c r="I108" s="194">
        <f t="shared" si="0"/>
        <v>0</v>
      </c>
      <c r="J108" s="85">
        <v>18894</v>
      </c>
      <c r="K108" s="85">
        <v>882096</v>
      </c>
      <c r="L108" s="85">
        <v>41406</v>
      </c>
      <c r="M108" s="195">
        <f>I108/(HLOOKUP(F108,Team_Composition_23[[#All],[Yellow]:[Red]],10,FALSE)+HLOOKUP(F108,Team_Composition_23[[#All],[Yellow]:[Red]],11,FALSE))</f>
        <v>0</v>
      </c>
      <c r="N108" s="195">
        <f>J108/HLOOKUP(F108,Team_Composition_23[[#All],[Yellow]:[Red]],6,FALSE)</f>
        <v>1.0707603480906219E-3</v>
      </c>
      <c r="O108" s="195">
        <f>K108/HLOOKUP(F108,Team_Composition_23[[#All],[Yellow]:[Red]],8,FALSE)</f>
        <v>2.0040377192461514E-2</v>
      </c>
      <c r="P108" s="195">
        <f>L108/HLOOKUP(F108,Team_Composition_23[[#All],[Yellow]:[Red]],7,FALSE)</f>
        <v>1.7061687068155148E-3</v>
      </c>
    </row>
    <row r="109" spans="1:16" ht="22.5" customHeight="1">
      <c r="A109" s="82">
        <v>108</v>
      </c>
      <c r="B109" s="115" t="str">
        <f>VLOOKUP(C109,Lists!I:J,2,FALSE)</f>
        <v>Healer</v>
      </c>
      <c r="C109" s="115" t="s">
        <v>9</v>
      </c>
      <c r="D109" s="13" t="s">
        <v>7</v>
      </c>
      <c r="E109" s="83" t="s">
        <v>135</v>
      </c>
      <c r="F109" s="13" t="s">
        <v>476</v>
      </c>
      <c r="G109" s="82">
        <v>0</v>
      </c>
      <c r="H109" s="82">
        <v>0</v>
      </c>
      <c r="I109" s="194">
        <f t="shared" si="0"/>
        <v>0</v>
      </c>
      <c r="J109" s="85">
        <v>1832</v>
      </c>
      <c r="K109" s="85">
        <v>305813</v>
      </c>
      <c r="L109" s="85">
        <v>404917</v>
      </c>
      <c r="M109" s="195">
        <f>I109/(HLOOKUP(F109,Team_Composition_23[[#All],[Yellow]:[Red]],10,FALSE)+HLOOKUP(F109,Team_Composition_23[[#All],[Yellow]:[Red]],11,FALSE))</f>
        <v>0</v>
      </c>
      <c r="N109" s="195">
        <f>J109/HLOOKUP(F109,Team_Composition_23[[#All],[Yellow]:[Red]],6,FALSE)</f>
        <v>4.1295124193170027E-5</v>
      </c>
      <c r="O109" s="195">
        <f>K109/HLOOKUP(F109,Team_Composition_23[[#All],[Yellow]:[Red]],8,FALSE)</f>
        <v>1.7456312412012197E-2</v>
      </c>
      <c r="P109" s="195">
        <f>L109/HLOOKUP(F109,Team_Composition_23[[#All],[Yellow]:[Red]],7,FALSE)</f>
        <v>3.1280345257476104E-2</v>
      </c>
    </row>
    <row r="110" spans="1:16" ht="22.5" customHeight="1">
      <c r="A110" s="82">
        <v>109</v>
      </c>
      <c r="B110" s="115" t="str">
        <f>VLOOKUP(C110,Lists!I:J,2,FALSE)</f>
        <v>KS</v>
      </c>
      <c r="C110" s="115" t="s">
        <v>69</v>
      </c>
      <c r="D110" s="13" t="s">
        <v>36</v>
      </c>
      <c r="E110" s="83" t="s">
        <v>290</v>
      </c>
      <c r="F110" s="13" t="s">
        <v>483</v>
      </c>
      <c r="G110" s="82">
        <v>0</v>
      </c>
      <c r="H110" s="82">
        <v>0</v>
      </c>
      <c r="I110" s="194">
        <f t="shared" si="0"/>
        <v>0</v>
      </c>
      <c r="J110" s="85">
        <v>0</v>
      </c>
      <c r="K110" s="85">
        <v>205</v>
      </c>
      <c r="L110" s="85">
        <v>0</v>
      </c>
      <c r="M110" s="195">
        <f>I110/(HLOOKUP(F110,Team_Composition_23[[#All],[Yellow]:[Red]],10,FALSE)+HLOOKUP(F110,Team_Composition_23[[#All],[Yellow]:[Red]],11,FALSE))</f>
        <v>0</v>
      </c>
      <c r="N110" s="195">
        <f>J110/HLOOKUP(F110,Team_Composition_23[[#All],[Yellow]:[Red]],6,FALSE)</f>
        <v>0</v>
      </c>
      <c r="O110" s="195">
        <f>K110/HLOOKUP(F110,Team_Composition_23[[#All],[Yellow]:[Red]],8,FALSE)</f>
        <v>4.6574038703889486E-6</v>
      </c>
      <c r="P110" s="195">
        <f>L110/HLOOKUP(F110,Team_Composition_23[[#All],[Yellow]:[Red]],7,FALSE)</f>
        <v>0</v>
      </c>
    </row>
    <row r="111" spans="1:16" ht="22.5" customHeight="1">
      <c r="A111" s="210"/>
      <c r="B111" s="115" t="e">
        <f>VLOOKUP(C111,Lists!I:J,2,FALSE)</f>
        <v>#N/A</v>
      </c>
      <c r="C111" s="115"/>
      <c r="D111" s="17"/>
      <c r="E111" s="211"/>
      <c r="F111" s="17"/>
      <c r="G111" s="212"/>
      <c r="H111" s="212"/>
      <c r="I111" s="116"/>
      <c r="J111" s="213"/>
      <c r="K111" s="213"/>
      <c r="L111" s="213"/>
    </row>
    <row r="112" spans="1:16" ht="22.5" customHeight="1">
      <c r="A112" s="210"/>
      <c r="B112" s="115" t="e">
        <f>VLOOKUP(C112,Lists!I:J,2,FALSE)</f>
        <v>#N/A</v>
      </c>
      <c r="C112" s="115"/>
      <c r="D112" s="17"/>
      <c r="E112" s="211"/>
      <c r="F112" s="17"/>
      <c r="G112" s="212"/>
      <c r="H112" s="212"/>
      <c r="I112" s="116"/>
      <c r="J112" s="213"/>
      <c r="K112" s="213"/>
      <c r="L112" s="213"/>
    </row>
    <row r="113" spans="1:12" ht="22.5" customHeight="1">
      <c r="A113" s="210"/>
      <c r="B113" s="115" t="e">
        <f>VLOOKUP(C113,Lists!I:J,2,FALSE)</f>
        <v>#N/A</v>
      </c>
      <c r="C113" s="115"/>
      <c r="D113" s="17"/>
      <c r="E113" s="211"/>
      <c r="F113" s="17"/>
      <c r="G113" s="212"/>
      <c r="H113" s="212"/>
      <c r="I113" s="116"/>
      <c r="J113" s="213"/>
      <c r="K113" s="213"/>
      <c r="L113" s="213"/>
    </row>
    <row r="114" spans="1:12" ht="22.5" customHeight="1">
      <c r="A114" s="210"/>
      <c r="B114" s="115" t="e">
        <f>VLOOKUP(C114,Lists!I:J,2,FALSE)</f>
        <v>#N/A</v>
      </c>
      <c r="C114" s="115"/>
      <c r="D114" s="17"/>
      <c r="E114" s="211"/>
      <c r="F114" s="17"/>
      <c r="G114" s="212"/>
      <c r="H114" s="212"/>
      <c r="I114" s="116"/>
      <c r="J114" s="213"/>
      <c r="K114" s="213"/>
      <c r="L114" s="213"/>
    </row>
    <row r="115" spans="1:12" ht="22.5" customHeight="1">
      <c r="A115" s="210"/>
      <c r="B115" s="115" t="e">
        <f>VLOOKUP(C115,Lists!I:J,2,FALSE)</f>
        <v>#N/A</v>
      </c>
      <c r="C115" s="115"/>
      <c r="D115" s="17"/>
      <c r="E115" s="211"/>
      <c r="F115" s="17"/>
      <c r="G115" s="212"/>
      <c r="H115" s="212"/>
      <c r="I115" s="116"/>
      <c r="J115" s="213"/>
      <c r="K115" s="213"/>
      <c r="L115" s="213"/>
    </row>
    <row r="116" spans="1:12" ht="22.5" customHeight="1">
      <c r="A116" s="210"/>
      <c r="B116" s="115" t="e">
        <f>VLOOKUP(C116,Lists!I:J,2,FALSE)</f>
        <v>#N/A</v>
      </c>
      <c r="C116" s="115"/>
      <c r="D116" s="17"/>
      <c r="E116" s="211"/>
      <c r="F116" s="17"/>
      <c r="G116" s="212"/>
      <c r="H116" s="212"/>
      <c r="I116" s="116"/>
      <c r="J116" s="213"/>
      <c r="K116" s="213"/>
      <c r="L116" s="213"/>
    </row>
    <row r="117" spans="1:12" ht="22.5" customHeight="1">
      <c r="A117" s="210"/>
      <c r="B117" s="115" t="e">
        <f>VLOOKUP(C117,Lists!I:J,2,FALSE)</f>
        <v>#N/A</v>
      </c>
      <c r="C117" s="115"/>
      <c r="D117" s="17"/>
      <c r="E117" s="211"/>
      <c r="F117" s="17"/>
      <c r="G117" s="212"/>
      <c r="H117" s="212"/>
      <c r="I117" s="116"/>
      <c r="J117" s="213"/>
      <c r="K117" s="213"/>
      <c r="L117" s="213"/>
    </row>
    <row r="118" spans="1:12" ht="22.5" customHeight="1">
      <c r="A118" s="210"/>
      <c r="B118" s="115" t="e">
        <f>VLOOKUP(C118,Lists!I:J,2,FALSE)</f>
        <v>#N/A</v>
      </c>
      <c r="C118" s="115"/>
      <c r="D118" s="17"/>
      <c r="E118" s="211"/>
      <c r="F118" s="17"/>
      <c r="G118" s="212"/>
      <c r="H118" s="212"/>
      <c r="I118" s="116"/>
      <c r="J118" s="213"/>
      <c r="K118" s="213"/>
      <c r="L118" s="213"/>
    </row>
    <row r="119" spans="1:12" ht="22.5" customHeight="1">
      <c r="A119" s="210"/>
      <c r="B119" s="115" t="e">
        <f>VLOOKUP(C119,Lists!I:J,2,FALSE)</f>
        <v>#N/A</v>
      </c>
      <c r="C119" s="115"/>
      <c r="D119" s="17"/>
      <c r="E119" s="211"/>
      <c r="F119" s="17"/>
      <c r="G119" s="212"/>
      <c r="H119" s="212"/>
      <c r="I119" s="116"/>
      <c r="J119" s="213"/>
      <c r="K119" s="213"/>
      <c r="L119" s="213"/>
    </row>
    <row r="120" spans="1:12" ht="22.5" customHeight="1">
      <c r="A120" s="210"/>
      <c r="B120" s="115" t="e">
        <f>VLOOKUP(C120,Lists!I:J,2,FALSE)</f>
        <v>#N/A</v>
      </c>
      <c r="C120" s="115"/>
      <c r="D120" s="17"/>
      <c r="E120" s="211"/>
      <c r="F120" s="17"/>
      <c r="G120" s="212"/>
      <c r="H120" s="212"/>
      <c r="I120" s="116"/>
      <c r="J120" s="213"/>
      <c r="K120" s="213"/>
      <c r="L120" s="213"/>
    </row>
    <row r="121" spans="1:12" ht="22.5" customHeight="1">
      <c r="A121" s="210"/>
      <c r="B121" s="115" t="e">
        <f>VLOOKUP(C121,Lists!I:J,2,FALSE)</f>
        <v>#N/A</v>
      </c>
      <c r="C121" s="115"/>
      <c r="D121" s="17"/>
      <c r="E121" s="211"/>
      <c r="F121" s="17"/>
      <c r="G121" s="212"/>
      <c r="H121" s="212"/>
      <c r="I121" s="116"/>
      <c r="J121" s="213"/>
      <c r="K121" s="213"/>
      <c r="L121" s="213"/>
    </row>
    <row r="122" spans="1:12" ht="22.5" customHeight="1">
      <c r="A122" s="210"/>
      <c r="B122" s="115" t="e">
        <f>VLOOKUP(C122,Lists!I:J,2,FALSE)</f>
        <v>#N/A</v>
      </c>
      <c r="C122" s="115"/>
      <c r="D122" s="17"/>
      <c r="E122" s="211"/>
      <c r="F122" s="17"/>
      <c r="G122" s="212"/>
      <c r="H122" s="212"/>
      <c r="I122" s="116"/>
      <c r="J122" s="213"/>
      <c r="K122" s="213"/>
      <c r="L122" s="213"/>
    </row>
    <row r="123" spans="1:12" ht="22.5" customHeight="1">
      <c r="A123" s="210"/>
      <c r="B123" s="115" t="e">
        <f>VLOOKUP(C123,Lists!I:J,2,FALSE)</f>
        <v>#N/A</v>
      </c>
      <c r="C123" s="115"/>
      <c r="D123" s="17"/>
      <c r="E123" s="211"/>
      <c r="F123" s="17"/>
      <c r="G123" s="212"/>
      <c r="H123" s="212"/>
      <c r="I123" s="116"/>
      <c r="J123" s="213"/>
      <c r="K123" s="213"/>
      <c r="L123" s="213"/>
    </row>
    <row r="124" spans="1:12" ht="22.5" customHeight="1">
      <c r="A124" s="210"/>
      <c r="B124" s="115" t="e">
        <f>VLOOKUP(C124,Lists!I:J,2,FALSE)</f>
        <v>#N/A</v>
      </c>
      <c r="C124" s="115"/>
      <c r="D124" s="17"/>
      <c r="E124" s="211"/>
      <c r="F124" s="17"/>
      <c r="G124" s="212"/>
      <c r="H124" s="212"/>
      <c r="I124" s="116"/>
      <c r="J124" s="213"/>
      <c r="K124" s="213"/>
      <c r="L124" s="213"/>
    </row>
    <row r="125" spans="1:12" ht="22.5" customHeight="1">
      <c r="A125" s="210"/>
      <c r="B125" s="115" t="e">
        <f>VLOOKUP(C125,Lists!I:J,2,FALSE)</f>
        <v>#N/A</v>
      </c>
      <c r="C125" s="115"/>
      <c r="D125" s="17"/>
      <c r="E125" s="211"/>
      <c r="F125" s="17"/>
      <c r="G125" s="212"/>
      <c r="H125" s="212"/>
      <c r="I125" s="116"/>
      <c r="J125" s="213"/>
      <c r="K125" s="213"/>
      <c r="L125" s="213"/>
    </row>
    <row r="126" spans="1:12" ht="22.5" customHeight="1">
      <c r="A126" s="210"/>
      <c r="B126" s="115" t="e">
        <f>VLOOKUP(C126,Lists!I:J,2,FALSE)</f>
        <v>#N/A</v>
      </c>
      <c r="C126" s="115"/>
      <c r="D126" s="17"/>
      <c r="E126" s="211"/>
      <c r="F126" s="17"/>
      <c r="G126" s="212"/>
      <c r="H126" s="212"/>
      <c r="I126" s="116"/>
      <c r="J126" s="213"/>
      <c r="K126" s="213"/>
      <c r="L126" s="213"/>
    </row>
    <row r="127" spans="1:12" ht="22.5" customHeight="1">
      <c r="A127" s="210"/>
      <c r="B127" s="115" t="e">
        <f>VLOOKUP(C127,Lists!I:J,2,FALSE)</f>
        <v>#N/A</v>
      </c>
      <c r="C127" s="115"/>
      <c r="D127" s="17"/>
      <c r="E127" s="211"/>
      <c r="F127" s="17"/>
      <c r="G127" s="212"/>
      <c r="H127" s="212"/>
      <c r="I127" s="116"/>
      <c r="J127" s="213"/>
      <c r="K127" s="213"/>
      <c r="L127" s="213"/>
    </row>
    <row r="128" spans="1:12" ht="22.5" customHeight="1">
      <c r="A128" s="210"/>
      <c r="B128" s="115" t="e">
        <f>VLOOKUP(C128,Lists!I:J,2,FALSE)</f>
        <v>#N/A</v>
      </c>
      <c r="C128" s="115"/>
      <c r="D128" s="17"/>
      <c r="E128" s="211"/>
      <c r="F128" s="17"/>
      <c r="G128" s="212"/>
      <c r="H128" s="212"/>
      <c r="I128" s="116"/>
      <c r="J128" s="213"/>
      <c r="K128" s="213"/>
      <c r="L128" s="213"/>
    </row>
    <row r="129" spans="1:12" ht="22.5" customHeight="1">
      <c r="A129" s="210"/>
      <c r="B129" s="115" t="e">
        <f>VLOOKUP(C129,Lists!I:J,2,FALSE)</f>
        <v>#N/A</v>
      </c>
      <c r="C129" s="115"/>
      <c r="D129" s="17"/>
      <c r="E129" s="211"/>
      <c r="F129" s="17"/>
      <c r="G129" s="212"/>
      <c r="H129" s="212"/>
      <c r="I129" s="116"/>
      <c r="J129" s="213"/>
      <c r="K129" s="213"/>
      <c r="L129" s="213"/>
    </row>
    <row r="130" spans="1:12" ht="22.5" customHeight="1">
      <c r="A130" s="210"/>
      <c r="B130" s="115" t="e">
        <f>VLOOKUP(C130,Lists!I:J,2,FALSE)</f>
        <v>#N/A</v>
      </c>
      <c r="C130" s="115"/>
      <c r="D130" s="17"/>
      <c r="E130" s="211"/>
      <c r="F130" s="17"/>
      <c r="G130" s="212"/>
      <c r="H130" s="212"/>
      <c r="I130" s="116"/>
      <c r="J130" s="213"/>
      <c r="K130" s="213"/>
      <c r="L130" s="213"/>
    </row>
    <row r="131" spans="1:12" ht="22.5" customHeight="1">
      <c r="A131" s="210"/>
      <c r="B131" s="115" t="e">
        <f>VLOOKUP(C131,Lists!I:J,2,FALSE)</f>
        <v>#N/A</v>
      </c>
      <c r="C131" s="115"/>
      <c r="D131" s="17"/>
      <c r="E131" s="211"/>
      <c r="F131" s="17"/>
      <c r="G131" s="212"/>
      <c r="H131" s="212"/>
      <c r="I131" s="116"/>
      <c r="J131" s="213"/>
      <c r="K131" s="213"/>
      <c r="L131" s="213"/>
    </row>
    <row r="132" spans="1:12" ht="22.5" customHeight="1">
      <c r="A132" s="210"/>
      <c r="B132" s="115" t="e">
        <f>VLOOKUP(C132,Lists!I:J,2,FALSE)</f>
        <v>#N/A</v>
      </c>
      <c r="C132" s="115"/>
      <c r="D132" s="17"/>
      <c r="E132" s="211"/>
      <c r="F132" s="17"/>
      <c r="G132" s="212"/>
      <c r="H132" s="212"/>
      <c r="I132" s="116"/>
      <c r="J132" s="213"/>
      <c r="K132" s="213"/>
      <c r="L132" s="213"/>
    </row>
    <row r="133" spans="1:12" ht="22.5" customHeight="1">
      <c r="A133" s="210"/>
      <c r="B133" s="115" t="e">
        <f>VLOOKUP(C133,Lists!I:J,2,FALSE)</f>
        <v>#N/A</v>
      </c>
      <c r="C133" s="115"/>
      <c r="D133" s="17"/>
      <c r="E133" s="211"/>
      <c r="F133" s="17"/>
      <c r="G133" s="212"/>
      <c r="H133" s="212"/>
      <c r="I133" s="116"/>
      <c r="J133" s="213"/>
      <c r="K133" s="213"/>
      <c r="L133" s="213"/>
    </row>
    <row r="134" spans="1:12" ht="22.5" customHeight="1">
      <c r="A134" s="210"/>
      <c r="B134" s="115" t="e">
        <f>VLOOKUP(C134,Lists!I:J,2,FALSE)</f>
        <v>#N/A</v>
      </c>
      <c r="C134" s="115"/>
      <c r="D134" s="17"/>
      <c r="E134" s="211"/>
      <c r="F134" s="17"/>
      <c r="G134" s="212"/>
      <c r="H134" s="212"/>
      <c r="I134" s="116"/>
      <c r="J134" s="213"/>
      <c r="K134" s="213"/>
      <c r="L134" s="213"/>
    </row>
    <row r="135" spans="1:12" ht="22.5" customHeight="1">
      <c r="A135" s="210"/>
      <c r="B135" s="115" t="e">
        <f>VLOOKUP(C135,Lists!I:J,2,FALSE)</f>
        <v>#N/A</v>
      </c>
      <c r="C135" s="115"/>
      <c r="D135" s="17"/>
      <c r="E135" s="211"/>
      <c r="F135" s="17"/>
      <c r="G135" s="212"/>
      <c r="H135" s="212"/>
      <c r="I135" s="116"/>
      <c r="J135" s="213"/>
      <c r="K135" s="213"/>
      <c r="L135" s="213"/>
    </row>
    <row r="136" spans="1:12" ht="22.5" customHeight="1">
      <c r="A136" s="210"/>
      <c r="B136" s="115" t="e">
        <f>VLOOKUP(C136,Lists!I:J,2,FALSE)</f>
        <v>#N/A</v>
      </c>
      <c r="C136" s="115"/>
      <c r="D136" s="17"/>
      <c r="E136" s="211"/>
      <c r="F136" s="17"/>
      <c r="G136" s="212"/>
      <c r="H136" s="212"/>
      <c r="I136" s="116"/>
      <c r="J136" s="213"/>
      <c r="K136" s="213"/>
      <c r="L136" s="213"/>
    </row>
    <row r="137" spans="1:12" ht="22.5" customHeight="1">
      <c r="A137" s="210"/>
      <c r="B137" s="115" t="e">
        <f>VLOOKUP(C137,Lists!I:J,2,FALSE)</f>
        <v>#N/A</v>
      </c>
      <c r="C137" s="115"/>
      <c r="D137" s="17"/>
      <c r="E137" s="211"/>
      <c r="F137" s="17"/>
      <c r="G137" s="212"/>
      <c r="H137" s="212"/>
      <c r="I137" s="116"/>
      <c r="J137" s="213"/>
      <c r="K137" s="213"/>
      <c r="L137" s="213"/>
    </row>
    <row r="138" spans="1:12" ht="22.5" customHeight="1">
      <c r="A138" s="210"/>
      <c r="B138" s="115" t="e">
        <f>VLOOKUP(C138,Lists!I:J,2,FALSE)</f>
        <v>#N/A</v>
      </c>
      <c r="C138" s="115"/>
      <c r="D138" s="17"/>
      <c r="E138" s="211"/>
      <c r="F138" s="17"/>
      <c r="G138" s="212"/>
      <c r="H138" s="212"/>
      <c r="I138" s="116"/>
      <c r="J138" s="213"/>
      <c r="K138" s="213"/>
      <c r="L138" s="213"/>
    </row>
    <row r="139" spans="1:12" ht="22.5" customHeight="1">
      <c r="A139" s="210"/>
      <c r="B139" s="115" t="e">
        <f>VLOOKUP(C139,Lists!I:J,2,FALSE)</f>
        <v>#N/A</v>
      </c>
      <c r="C139" s="115"/>
      <c r="D139" s="17"/>
      <c r="E139" s="211"/>
      <c r="F139" s="17"/>
      <c r="G139" s="212"/>
      <c r="H139" s="212"/>
      <c r="I139" s="116"/>
      <c r="J139" s="213"/>
      <c r="K139" s="213"/>
      <c r="L139" s="213"/>
    </row>
    <row r="140" spans="1:12" ht="22.5" customHeight="1">
      <c r="A140" s="210"/>
      <c r="B140" s="115" t="e">
        <f>VLOOKUP(C140,Lists!I:J,2,FALSE)</f>
        <v>#N/A</v>
      </c>
      <c r="C140" s="115"/>
      <c r="D140" s="17"/>
      <c r="E140" s="211"/>
      <c r="F140" s="17"/>
      <c r="G140" s="212"/>
      <c r="H140" s="212"/>
      <c r="I140" s="116"/>
      <c r="J140" s="213"/>
      <c r="K140" s="213"/>
      <c r="L140" s="213"/>
    </row>
    <row r="141" spans="1:12" ht="22.5" customHeight="1">
      <c r="A141" s="210"/>
      <c r="B141" s="115" t="e">
        <f>VLOOKUP(C141,Lists!I:J,2,FALSE)</f>
        <v>#N/A</v>
      </c>
      <c r="C141" s="115"/>
      <c r="D141" s="17"/>
      <c r="E141" s="211"/>
      <c r="F141" s="17"/>
      <c r="G141" s="212"/>
      <c r="H141" s="212"/>
      <c r="I141" s="116"/>
      <c r="J141" s="213"/>
      <c r="K141" s="213"/>
      <c r="L141" s="213"/>
    </row>
    <row r="142" spans="1:12" ht="22.5" customHeight="1">
      <c r="A142" s="210"/>
      <c r="B142" s="115" t="e">
        <f>VLOOKUP(C142,Lists!I:J,2,FALSE)</f>
        <v>#N/A</v>
      </c>
      <c r="C142" s="115"/>
      <c r="D142" s="17"/>
      <c r="E142" s="211"/>
      <c r="F142" s="17"/>
      <c r="G142" s="212"/>
      <c r="H142" s="212"/>
      <c r="I142" s="116"/>
      <c r="J142" s="213"/>
      <c r="K142" s="213"/>
      <c r="L142" s="213"/>
    </row>
    <row r="143" spans="1:12" ht="22.5" customHeight="1">
      <c r="A143" s="210"/>
      <c r="B143" s="115" t="e">
        <f>VLOOKUP(C143,Lists!I:J,2,FALSE)</f>
        <v>#N/A</v>
      </c>
      <c r="C143" s="115"/>
      <c r="D143" s="17"/>
      <c r="E143" s="211"/>
      <c r="F143" s="17"/>
      <c r="G143" s="212"/>
      <c r="H143" s="212"/>
      <c r="I143" s="116"/>
      <c r="J143" s="213"/>
      <c r="K143" s="213"/>
      <c r="L143" s="213"/>
    </row>
    <row r="144" spans="1:12" ht="22.5" customHeight="1">
      <c r="A144" s="210"/>
      <c r="B144" s="115" t="e">
        <f>VLOOKUP(C144,Lists!I:J,2,FALSE)</f>
        <v>#N/A</v>
      </c>
      <c r="C144" s="115"/>
      <c r="D144" s="17"/>
      <c r="E144" s="211"/>
      <c r="F144" s="17"/>
      <c r="G144" s="212"/>
      <c r="H144" s="212"/>
      <c r="I144" s="116"/>
      <c r="J144" s="213"/>
      <c r="K144" s="213"/>
      <c r="L144" s="213"/>
    </row>
    <row r="145" spans="1:12" ht="22.5" customHeight="1">
      <c r="A145" s="210"/>
      <c r="B145" s="115" t="e">
        <f>VLOOKUP(C145,Lists!I:J,2,FALSE)</f>
        <v>#N/A</v>
      </c>
      <c r="C145" s="115"/>
      <c r="D145" s="17"/>
      <c r="E145" s="211"/>
      <c r="F145" s="17"/>
      <c r="G145" s="212"/>
      <c r="H145" s="212"/>
      <c r="I145" s="116"/>
      <c r="J145" s="213"/>
      <c r="K145" s="213"/>
      <c r="L145" s="213"/>
    </row>
    <row r="146" spans="1:12" ht="22.5" customHeight="1">
      <c r="A146" s="210"/>
      <c r="B146" s="115" t="e">
        <f>VLOOKUP(C146,Lists!I:J,2,FALSE)</f>
        <v>#N/A</v>
      </c>
      <c r="C146" s="115"/>
      <c r="D146" s="17"/>
      <c r="E146" s="211"/>
      <c r="F146" s="17"/>
      <c r="G146" s="212"/>
      <c r="H146" s="212"/>
      <c r="I146" s="116"/>
      <c r="J146" s="213"/>
      <c r="K146" s="213"/>
      <c r="L146" s="213"/>
    </row>
    <row r="147" spans="1:12" ht="22.5" customHeight="1">
      <c r="A147" s="210"/>
      <c r="B147" s="115" t="e">
        <f>VLOOKUP(C147,Lists!I:J,2,FALSE)</f>
        <v>#N/A</v>
      </c>
      <c r="C147" s="115"/>
      <c r="D147" s="17"/>
      <c r="E147" s="211"/>
      <c r="F147" s="17"/>
      <c r="G147" s="212"/>
      <c r="H147" s="212"/>
      <c r="I147" s="116"/>
      <c r="J147" s="213"/>
      <c r="K147" s="213"/>
      <c r="L147" s="213"/>
    </row>
    <row r="148" spans="1:12" ht="22.5" customHeight="1">
      <c r="A148" s="210"/>
      <c r="B148" s="115" t="e">
        <f>VLOOKUP(C148,Lists!I:J,2,FALSE)</f>
        <v>#N/A</v>
      </c>
      <c r="C148" s="115"/>
      <c r="D148" s="17"/>
      <c r="E148" s="211"/>
      <c r="F148" s="17"/>
      <c r="G148" s="212"/>
      <c r="H148" s="212"/>
      <c r="I148" s="116"/>
      <c r="J148" s="213"/>
      <c r="K148" s="213"/>
      <c r="L148" s="213"/>
    </row>
    <row r="149" spans="1:12" ht="22.5" customHeight="1">
      <c r="A149" s="210"/>
      <c r="B149" s="115" t="e">
        <f>VLOOKUP(C149,Lists!I:J,2,FALSE)</f>
        <v>#N/A</v>
      </c>
      <c r="C149" s="115"/>
      <c r="D149" s="17"/>
      <c r="E149" s="211"/>
      <c r="F149" s="17"/>
      <c r="G149" s="212"/>
      <c r="H149" s="212"/>
      <c r="I149" s="116"/>
      <c r="J149" s="213"/>
      <c r="K149" s="213"/>
      <c r="L149" s="213"/>
    </row>
    <row r="150" spans="1:12" ht="22.5" customHeight="1">
      <c r="A150" s="210"/>
      <c r="B150" s="115" t="e">
        <f>VLOOKUP(C150,Lists!I:J,2,FALSE)</f>
        <v>#N/A</v>
      </c>
      <c r="C150" s="115"/>
      <c r="D150" s="17"/>
      <c r="E150" s="211"/>
      <c r="F150" s="17"/>
      <c r="G150" s="212"/>
      <c r="H150" s="212"/>
      <c r="I150" s="116"/>
      <c r="J150" s="213"/>
      <c r="K150" s="213"/>
      <c r="L150" s="213"/>
    </row>
    <row r="151" spans="1:12" ht="22.5" customHeight="1">
      <c r="A151" s="210"/>
      <c r="B151" s="115" t="e">
        <f>VLOOKUP(C151,Lists!I:J,2,FALSE)</f>
        <v>#N/A</v>
      </c>
      <c r="C151" s="115"/>
      <c r="D151" s="17"/>
      <c r="E151" s="211"/>
      <c r="F151" s="17"/>
      <c r="G151" s="212"/>
      <c r="H151" s="212"/>
      <c r="I151" s="116"/>
      <c r="J151" s="213"/>
      <c r="K151" s="213"/>
      <c r="L151" s="213"/>
    </row>
    <row r="152" spans="1:12" ht="22.5" customHeight="1">
      <c r="A152" s="210"/>
      <c r="B152" s="115" t="e">
        <f>VLOOKUP(C152,Lists!I:J,2,FALSE)</f>
        <v>#N/A</v>
      </c>
      <c r="C152" s="115"/>
      <c r="D152" s="17"/>
      <c r="E152" s="211"/>
      <c r="F152" s="17"/>
      <c r="G152" s="212"/>
      <c r="H152" s="212"/>
      <c r="I152" s="116"/>
      <c r="J152" s="213"/>
      <c r="K152" s="213"/>
      <c r="L152" s="213"/>
    </row>
    <row r="153" spans="1:12" ht="22.5" customHeight="1">
      <c r="A153" s="210"/>
      <c r="B153" s="115" t="e">
        <f>VLOOKUP(C153,Lists!I:J,2,FALSE)</f>
        <v>#N/A</v>
      </c>
      <c r="C153" s="115"/>
      <c r="D153" s="17"/>
      <c r="E153" s="211"/>
      <c r="F153" s="17"/>
      <c r="G153" s="212"/>
      <c r="H153" s="212"/>
      <c r="I153" s="116"/>
      <c r="J153" s="213"/>
      <c r="K153" s="213"/>
      <c r="L153" s="213"/>
    </row>
    <row r="154" spans="1:12" ht="22.5" customHeight="1">
      <c r="A154" s="210"/>
      <c r="B154" s="115" t="e">
        <f>VLOOKUP(C154,Lists!I:J,2,FALSE)</f>
        <v>#N/A</v>
      </c>
      <c r="C154" s="115"/>
      <c r="D154" s="17"/>
      <c r="E154" s="211"/>
      <c r="F154" s="17"/>
      <c r="G154" s="212"/>
      <c r="H154" s="212"/>
      <c r="I154" s="116"/>
      <c r="J154" s="213"/>
      <c r="K154" s="213"/>
      <c r="L154" s="213"/>
    </row>
    <row r="155" spans="1:12" ht="22.5" customHeight="1">
      <c r="A155" s="210"/>
      <c r="B155" s="115" t="e">
        <f>VLOOKUP(C155,Lists!I:J,2,FALSE)</f>
        <v>#N/A</v>
      </c>
      <c r="C155" s="115"/>
      <c r="D155" s="17"/>
      <c r="E155" s="211"/>
      <c r="F155" s="17"/>
      <c r="G155" s="212"/>
      <c r="H155" s="212"/>
      <c r="I155" s="116"/>
      <c r="J155" s="213"/>
      <c r="K155" s="213"/>
      <c r="L155" s="213"/>
    </row>
    <row r="156" spans="1:12" ht="22.5" customHeight="1">
      <c r="A156" s="210"/>
      <c r="B156" s="115" t="e">
        <f>VLOOKUP(C156,Lists!I:J,2,FALSE)</f>
        <v>#N/A</v>
      </c>
      <c r="C156" s="115"/>
      <c r="D156" s="17"/>
      <c r="E156" s="211"/>
      <c r="F156" s="17"/>
      <c r="G156" s="212"/>
      <c r="H156" s="212"/>
      <c r="I156" s="116"/>
      <c r="J156" s="213"/>
      <c r="K156" s="213"/>
      <c r="L156" s="213"/>
    </row>
    <row r="157" spans="1:12" ht="22.5" customHeight="1">
      <c r="A157" s="210"/>
      <c r="B157" s="115" t="e">
        <f>VLOOKUP(C157,Lists!I:J,2,FALSE)</f>
        <v>#N/A</v>
      </c>
      <c r="C157" s="115"/>
      <c r="D157" s="17"/>
      <c r="E157" s="211"/>
      <c r="F157" s="17"/>
      <c r="G157" s="212"/>
      <c r="H157" s="212"/>
      <c r="I157" s="116"/>
      <c r="J157" s="213"/>
      <c r="K157" s="213"/>
      <c r="L157" s="213"/>
    </row>
    <row r="158" spans="1:12" ht="22.5" customHeight="1">
      <c r="A158" s="210"/>
      <c r="B158" s="115" t="e">
        <f>VLOOKUP(C158,Lists!I:J,2,FALSE)</f>
        <v>#N/A</v>
      </c>
      <c r="C158" s="115"/>
      <c r="D158" s="17"/>
      <c r="E158" s="211"/>
      <c r="F158" s="17"/>
      <c r="G158" s="212"/>
      <c r="H158" s="212"/>
      <c r="I158" s="116"/>
      <c r="J158" s="213"/>
      <c r="K158" s="213"/>
      <c r="L158" s="213"/>
    </row>
    <row r="159" spans="1:12" ht="22.5" customHeight="1">
      <c r="A159" s="210"/>
      <c r="B159" s="115" t="e">
        <f>VLOOKUP(C159,Lists!I:J,2,FALSE)</f>
        <v>#N/A</v>
      </c>
      <c r="C159" s="115"/>
      <c r="D159" s="17"/>
      <c r="E159" s="211"/>
      <c r="F159" s="17"/>
      <c r="G159" s="212"/>
      <c r="H159" s="212"/>
      <c r="I159" s="116"/>
      <c r="J159" s="213"/>
      <c r="K159" s="213"/>
      <c r="L159" s="213"/>
    </row>
    <row r="160" spans="1:12" ht="22.5" customHeight="1">
      <c r="A160" s="210"/>
      <c r="B160" s="115" t="e">
        <f>VLOOKUP(C160,Lists!I:J,2,FALSE)</f>
        <v>#N/A</v>
      </c>
      <c r="C160" s="115"/>
      <c r="D160" s="17"/>
      <c r="E160" s="211"/>
      <c r="F160" s="17"/>
      <c r="G160" s="212"/>
      <c r="H160" s="212"/>
      <c r="I160" s="116"/>
      <c r="J160" s="213"/>
      <c r="K160" s="213"/>
      <c r="L160" s="213"/>
    </row>
    <row r="161" spans="1:12" ht="22.5" customHeight="1">
      <c r="A161" s="210"/>
      <c r="B161" s="115" t="e">
        <f>VLOOKUP(C161,Lists!I:J,2,FALSE)</f>
        <v>#N/A</v>
      </c>
      <c r="C161" s="115"/>
      <c r="D161" s="17"/>
      <c r="E161" s="211"/>
      <c r="F161" s="17"/>
      <c r="G161" s="212"/>
      <c r="H161" s="212"/>
      <c r="I161" s="116"/>
      <c r="J161" s="213"/>
      <c r="K161" s="213"/>
      <c r="L161" s="213"/>
    </row>
    <row r="162" spans="1:12" ht="22.5" customHeight="1">
      <c r="A162" s="210"/>
      <c r="B162" s="115" t="e">
        <f>VLOOKUP(C162,Lists!I:J,2,FALSE)</f>
        <v>#N/A</v>
      </c>
      <c r="C162" s="115"/>
      <c r="D162" s="17"/>
      <c r="E162" s="211"/>
      <c r="F162" s="17"/>
      <c r="G162" s="212"/>
      <c r="H162" s="212"/>
      <c r="I162" s="116"/>
      <c r="J162" s="213"/>
      <c r="K162" s="213"/>
      <c r="L162" s="213"/>
    </row>
    <row r="163" spans="1:12" ht="22.5" customHeight="1">
      <c r="A163" s="210"/>
      <c r="B163" s="115" t="e">
        <f>VLOOKUP(C163,Lists!I:J,2,FALSE)</f>
        <v>#N/A</v>
      </c>
      <c r="C163" s="115"/>
      <c r="D163" s="17"/>
      <c r="E163" s="211"/>
      <c r="F163" s="17"/>
      <c r="G163" s="212"/>
      <c r="H163" s="212"/>
      <c r="I163" s="116"/>
      <c r="J163" s="213"/>
      <c r="K163" s="213"/>
      <c r="L163" s="213"/>
    </row>
  </sheetData>
  <mergeCells count="14">
    <mergeCell ref="R63:T63"/>
    <mergeCell ref="AB63:AD63"/>
    <mergeCell ref="R2:T2"/>
    <mergeCell ref="V2:W2"/>
    <mergeCell ref="Y2:Z2"/>
    <mergeCell ref="AB2:AD2"/>
    <mergeCell ref="V15:W15"/>
    <mergeCell ref="Y15:Z15"/>
    <mergeCell ref="AB15:AD15"/>
    <mergeCell ref="R15:T15"/>
    <mergeCell ref="R28:T28"/>
    <mergeCell ref="AB28:AD28"/>
    <mergeCell ref="R49:T49"/>
    <mergeCell ref="AB49:AD49"/>
  </mergeCells>
  <dataValidations count="4">
    <dataValidation type="list" allowBlank="1" sqref="B2:D163" xr:uid="{00000000-0002-0000-1200-000000000000}">
      <formula1>#REF!</formula1>
    </dataValidation>
    <dataValidation type="list" allowBlank="1" sqref="F2:F163" xr:uid="{00000000-0002-0000-1200-000002000000}">
      <formula1>"Yellow,Red"</formula1>
    </dataValidation>
    <dataValidation type="custom" allowBlank="1" showDropDown="1" sqref="S4:T14 AC4:AD14 S17:T25 AC17:AD25 AC30:AD46 S30:T46 AC51:AD60 S51:T60 S65:T72 AC65:AD72 A2:A163 G2:L163" xr:uid="{00000000-0002-0000-1200-000003000000}">
      <formula1>AND(ISNUMBER(A2),(NOT(OR(NOT(ISERROR(DATEVALUE(A2))), AND(ISNUMBER(A2), LEFT(CELL("format", A2))="D")))))</formula1>
    </dataValidation>
    <dataValidation allowBlank="1" showDropDown="1" sqref="E2:E163" xr:uid="{00000000-0002-0000-1200-000004000000}"/>
  </dataValidations>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30" ht="22.5" customHeight="1">
      <c r="A2" s="173">
        <v>2</v>
      </c>
      <c r="B2" s="115" t="str">
        <f>VLOOKUP(C2,Lists!I:J,2,FALSE)</f>
        <v>Ranged DPS</v>
      </c>
      <c r="C2" s="115" t="str">
        <f>VLOOKUP(E2,Lists!D:E,2,FALSE)</f>
        <v>Staff/Dagger</v>
      </c>
      <c r="D2" s="175" t="s">
        <v>7</v>
      </c>
      <c r="E2" s="176" t="s">
        <v>42</v>
      </c>
      <c r="F2" s="175" t="s">
        <v>476</v>
      </c>
      <c r="G2" s="173">
        <v>38</v>
      </c>
      <c r="H2" s="173">
        <v>67</v>
      </c>
      <c r="I2" s="194">
        <f t="shared" ref="I2:I92" si="0">SUM(G2:H2)</f>
        <v>105</v>
      </c>
      <c r="J2" s="177">
        <v>4709362</v>
      </c>
      <c r="K2" s="177">
        <v>895514</v>
      </c>
      <c r="L2" s="177">
        <v>9032</v>
      </c>
      <c r="M2" s="195">
        <f>I2/(HLOOKUP(F2,Team_Composition_23[[#All],[Yellow]:[Red]],10,FALSE)+HLOOKUP(F2,Team_Composition_23[[#All],[Yellow]:[Red]],11,FALSE))</f>
        <v>2.6243439140214948E-2</v>
      </c>
      <c r="N2" s="195">
        <f>J2/HLOOKUP(F2,Team_Composition_23[[#All],[Yellow]:[Red]],6,FALSE)</f>
        <v>0.10615376018591462</v>
      </c>
      <c r="O2" s="195">
        <f>K2/HLOOKUP(F2,Team_Composition_23[[#All],[Yellow]:[Red]],8,FALSE)</f>
        <v>5.1117421932130709E-2</v>
      </c>
      <c r="P2" s="195">
        <f>L2/HLOOKUP(F2,Team_Composition_23[[#All],[Yellow]:[Red]],7,FALSE)</f>
        <v>6.977333092103423E-4</v>
      </c>
      <c r="R2" s="232" t="s">
        <v>477</v>
      </c>
      <c r="S2" s="228"/>
      <c r="T2" s="228"/>
      <c r="V2" s="233" t="s">
        <v>478</v>
      </c>
      <c r="W2" s="228"/>
      <c r="X2" s="196"/>
      <c r="Y2" s="233" t="s">
        <v>479</v>
      </c>
      <c r="Z2" s="228"/>
      <c r="AB2" s="232" t="s">
        <v>480</v>
      </c>
      <c r="AC2" s="228"/>
      <c r="AD2" s="228"/>
    </row>
    <row r="3" spans="1:30" ht="22.5" customHeight="1">
      <c r="A3" s="173">
        <v>12</v>
      </c>
      <c r="B3" s="115" t="str">
        <f>VLOOKUP(C3,Lists!I:J,2,FALSE)</f>
        <v>Melee DPS</v>
      </c>
      <c r="C3" s="115" t="str">
        <f>VLOOKUP(E3,Lists!D:E,2,FALSE)</f>
        <v>Spear/Dagger</v>
      </c>
      <c r="D3" s="175" t="s">
        <v>7</v>
      </c>
      <c r="E3" s="176" t="s">
        <v>130</v>
      </c>
      <c r="F3" s="175" t="s">
        <v>476</v>
      </c>
      <c r="G3" s="173">
        <v>21</v>
      </c>
      <c r="H3" s="173">
        <v>71</v>
      </c>
      <c r="I3" s="194">
        <f t="shared" si="0"/>
        <v>92</v>
      </c>
      <c r="J3" s="177">
        <v>1883443</v>
      </c>
      <c r="K3" s="177">
        <v>1033743</v>
      </c>
      <c r="L3" s="177">
        <v>23319</v>
      </c>
      <c r="M3" s="195">
        <f>I3/(HLOOKUP(F3,Team_Composition_23[[#All],[Yellow]:[Red]],10,FALSE)+HLOOKUP(F3,Team_Composition_23[[#All],[Yellow]:[Red]],11,FALSE))</f>
        <v>2.2994251437140716E-2</v>
      </c>
      <c r="N3" s="195">
        <f>J3/HLOOKUP(F3,Team_Composition_23[[#All],[Yellow]:[Red]],6,FALSE)</f>
        <v>4.2454701198557168E-2</v>
      </c>
      <c r="O3" s="195">
        <f>K3/HLOOKUP(F3,Team_Composition_23[[#All],[Yellow]:[Red]],8,FALSE)</f>
        <v>5.9007762134803694E-2</v>
      </c>
      <c r="P3" s="195">
        <f>L3/HLOOKUP(F3,Team_Composition_23[[#All],[Yellow]:[Red]],7,FALSE)</f>
        <v>1.8014219483476499E-3</v>
      </c>
      <c r="R3" s="197" t="s">
        <v>482</v>
      </c>
      <c r="S3" s="198" t="s">
        <v>476</v>
      </c>
      <c r="T3" s="198" t="s">
        <v>483</v>
      </c>
      <c r="V3" s="199" t="s">
        <v>1</v>
      </c>
      <c r="W3" s="200" t="s">
        <v>467</v>
      </c>
      <c r="Y3" s="199" t="s">
        <v>1</v>
      </c>
      <c r="Z3" s="200" t="s">
        <v>484</v>
      </c>
      <c r="AB3" s="197" t="s">
        <v>482</v>
      </c>
      <c r="AC3" s="198" t="s">
        <v>7</v>
      </c>
      <c r="AD3" s="198" t="s">
        <v>527</v>
      </c>
    </row>
    <row r="4" spans="1:30" ht="22.5" customHeight="1">
      <c r="A4" s="173">
        <v>4</v>
      </c>
      <c r="B4" s="115" t="str">
        <f>VLOOKUP(C4,Lists!I:J,2,FALSE)</f>
        <v>Melee DPS</v>
      </c>
      <c r="C4" s="115" t="str">
        <f>VLOOKUP(E4,Lists!D:E,2,FALSE)</f>
        <v>Greatsword/Spear</v>
      </c>
      <c r="D4" s="175" t="s">
        <v>7</v>
      </c>
      <c r="E4" s="176" t="s">
        <v>77</v>
      </c>
      <c r="F4" s="175" t="s">
        <v>476</v>
      </c>
      <c r="G4" s="173">
        <v>33</v>
      </c>
      <c r="H4" s="173">
        <v>58</v>
      </c>
      <c r="I4" s="194">
        <f t="shared" si="0"/>
        <v>91</v>
      </c>
      <c r="J4" s="177">
        <v>2532546</v>
      </c>
      <c r="K4" s="177">
        <v>1174106</v>
      </c>
      <c r="L4" s="177">
        <v>33715</v>
      </c>
      <c r="M4" s="195">
        <f>I4/(HLOOKUP(F4,Team_Composition_23[[#All],[Yellow]:[Red]],10,FALSE)+HLOOKUP(F4,Team_Composition_23[[#All],[Yellow]:[Red]],11,FALSE))</f>
        <v>2.274431392151962E-2</v>
      </c>
      <c r="N4" s="195">
        <f>J4/HLOOKUP(F4,Team_Composition_23[[#All],[Yellow]:[Red]],6,FALSE)</f>
        <v>5.708613624176636E-2</v>
      </c>
      <c r="O4" s="195">
        <f>K4/HLOOKUP(F4,Team_Composition_23[[#All],[Yellow]:[Red]],8,FALSE)</f>
        <v>6.7019914591001664E-2</v>
      </c>
      <c r="P4" s="195">
        <f>L4/HLOOKUP(F4,Team_Composition_23[[#All],[Yellow]:[Red]],7,FALSE)</f>
        <v>2.604525965459111E-3</v>
      </c>
      <c r="R4" s="201" t="s">
        <v>25</v>
      </c>
      <c r="S4" s="202">
        <f>COUNTIFS(Scoreboard_24[Role],R4,Scoreboard_24[Team],"Yellow")</f>
        <v>4</v>
      </c>
      <c r="T4" s="203">
        <f>COUNTIFS(Scoreboard_24[Role],R4,Scoreboard_24[Team],"Red")</f>
        <v>5</v>
      </c>
      <c r="V4" s="204" t="str">
        <f ca="1">IFERROR(__xludf.DUMMYFUNCTION("query(A1:P238, ""Select E,I where B!='Healer' Order by I Desc Limit 10"", 0)"),"edmun")</f>
        <v>edmun</v>
      </c>
      <c r="W4" s="116">
        <f ca="1">IFERROR(__xludf.DUMMYFUNCTION("""COMPUTED_VALUE"""),105)</f>
        <v>105</v>
      </c>
      <c r="Y4" s="204" t="str">
        <f ca="1">IFERROR(__xludf.DUMMYFUNCTION("query(A1:P238, ""Select E,J Order by J Desc Limit 10"", 0)"),"edmun")</f>
        <v>edmun</v>
      </c>
      <c r="Z4" s="116">
        <f ca="1">IFERROR(__xludf.DUMMYFUNCTION("""COMPUTED_VALUE"""),4709362)</f>
        <v>4709362</v>
      </c>
      <c r="AB4" s="201" t="s">
        <v>25</v>
      </c>
      <c r="AC4" s="205">
        <f>COUNTIFS(Scoreboard_24[Role],AB4,Scoreboard_24[Guild],"FTP")</f>
        <v>4</v>
      </c>
      <c r="AD4" s="206">
        <f>COUNTIFS(Scoreboard_24[Role],AB4,Scoreboard_24[Guild],"Undercooked")</f>
        <v>5</v>
      </c>
    </row>
    <row r="5" spans="1:30" ht="22.5" customHeight="1">
      <c r="A5" s="173">
        <v>1</v>
      </c>
      <c r="B5" s="115" t="str">
        <f>VLOOKUP(C5,Lists!I:J,2,FALSE)</f>
        <v>Ranged DPS</v>
      </c>
      <c r="C5" s="115" t="str">
        <f>VLOOKUP(E5,Lists!D:E,2,FALSE)</f>
        <v>Staff/Orb</v>
      </c>
      <c r="D5" s="175" t="s">
        <v>28</v>
      </c>
      <c r="E5" s="176" t="s">
        <v>332</v>
      </c>
      <c r="F5" s="175" t="s">
        <v>483</v>
      </c>
      <c r="G5" s="173">
        <v>40</v>
      </c>
      <c r="H5" s="173">
        <v>49</v>
      </c>
      <c r="I5" s="194">
        <f t="shared" si="0"/>
        <v>89</v>
      </c>
      <c r="J5" s="177">
        <v>3153616</v>
      </c>
      <c r="K5" s="177">
        <v>732052</v>
      </c>
      <c r="L5" s="177">
        <v>3573</v>
      </c>
      <c r="M5" s="195">
        <f>I5/(HLOOKUP(F5,Team_Composition_23[[#All],[Yellow]:[Red]],10,FALSE)+HLOOKUP(F5,Team_Composition_23[[#All],[Yellow]:[Red]],11,FALSE))</f>
        <v>0.10840438489646773</v>
      </c>
      <c r="N5" s="195">
        <f>J5/HLOOKUP(F5,Team_Composition_23[[#All],[Yellow]:[Red]],6,FALSE)</f>
        <v>0.17872165586451544</v>
      </c>
      <c r="O5" s="195">
        <f>K5/HLOOKUP(F5,Team_Composition_23[[#All],[Yellow]:[Red]],8,FALSE)</f>
        <v>1.6631521064029126E-2</v>
      </c>
      <c r="P5" s="195">
        <f>L5/HLOOKUP(F5,Team_Composition_23[[#All],[Yellow]:[Red]],7,FALSE)</f>
        <v>1.4722844006790885E-4</v>
      </c>
      <c r="R5" s="201" t="s">
        <v>39</v>
      </c>
      <c r="S5" s="202">
        <f>COUNTIFS(Scoreboard_24[Role],R5,Scoreboard_24[Team],"Yellow")</f>
        <v>6</v>
      </c>
      <c r="T5" s="203">
        <f>COUNTIFS(Scoreboard_24[Role],R5,Scoreboard_24[Team],"Red")</f>
        <v>5</v>
      </c>
      <c r="V5" s="204" t="str">
        <f ca="1">IFERROR(__xludf.DUMMYFUNCTION("""COMPUTED_VALUE"""),"cba")</f>
        <v>cba</v>
      </c>
      <c r="W5" s="116">
        <f ca="1">IFERROR(__xludf.DUMMYFUNCTION("""COMPUTED_VALUE"""),92)</f>
        <v>92</v>
      </c>
      <c r="Y5" s="204" t="str">
        <f ca="1">IFERROR(__xludf.DUMMYFUNCTION("""COMPUTED_VALUE"""),"Crumpet")</f>
        <v>Crumpet</v>
      </c>
      <c r="Z5" s="116">
        <f ca="1">IFERROR(__xludf.DUMMYFUNCTION("""COMPUTED_VALUE"""),3153616)</f>
        <v>3153616</v>
      </c>
      <c r="AB5" s="201" t="s">
        <v>39</v>
      </c>
      <c r="AC5" s="205">
        <f>COUNTIFS(Scoreboard_24[Role],AB5,Scoreboard_24[Guild],"FTP")</f>
        <v>5</v>
      </c>
      <c r="AD5" s="206">
        <f>COUNTIFS(Scoreboard_24[Role],AB5,Scoreboard_24[Guild],"Undercooked")</f>
        <v>6</v>
      </c>
    </row>
    <row r="6" spans="1:30" ht="22.5" customHeight="1">
      <c r="A6" s="173">
        <v>7</v>
      </c>
      <c r="B6" s="115" t="str">
        <f>VLOOKUP(C6,Lists!I:J,2,FALSE)</f>
        <v>Ranged DPS</v>
      </c>
      <c r="C6" s="115" t="str">
        <f>VLOOKUP(E6,Lists!D:E,2,FALSE)</f>
        <v>Staff/Dagger</v>
      </c>
      <c r="D6" s="175" t="s">
        <v>28</v>
      </c>
      <c r="E6" s="176" t="s">
        <v>351</v>
      </c>
      <c r="F6" s="175" t="s">
        <v>476</v>
      </c>
      <c r="G6" s="173">
        <v>23</v>
      </c>
      <c r="H6" s="173">
        <v>60</v>
      </c>
      <c r="I6" s="194">
        <f t="shared" si="0"/>
        <v>83</v>
      </c>
      <c r="J6" s="177">
        <v>1989503</v>
      </c>
      <c r="K6" s="177">
        <v>354623</v>
      </c>
      <c r="L6" s="177">
        <v>0</v>
      </c>
      <c r="M6" s="195">
        <f>I6/(HLOOKUP(F6,Team_Composition_23[[#All],[Yellow]:[Red]],10,FALSE)+HLOOKUP(F6,Team_Composition_23[[#All],[Yellow]:[Red]],11,FALSE))</f>
        <v>2.0744813796550861E-2</v>
      </c>
      <c r="N6" s="195">
        <f>J6/HLOOKUP(F6,Team_Composition_23[[#All],[Yellow]:[Red]],6,FALSE)</f>
        <v>4.4845400364456521E-2</v>
      </c>
      <c r="O6" s="195">
        <f>K6/HLOOKUP(F6,Team_Composition_23[[#All],[Yellow]:[Red]],8,FALSE)</f>
        <v>2.0242468032702993E-2</v>
      </c>
      <c r="P6" s="195">
        <f>L6/HLOOKUP(F6,Team_Composition_23[[#All],[Yellow]:[Red]],7,FALSE)</f>
        <v>0</v>
      </c>
      <c r="R6" s="201" t="s">
        <v>67</v>
      </c>
      <c r="S6" s="202">
        <f>COUNTIFS(Scoreboard_24[Role],R6,Scoreboard_24[Team],"Yellow")</f>
        <v>14</v>
      </c>
      <c r="T6" s="203">
        <f>COUNTIFS(Scoreboard_24[Role],R6,Scoreboard_24[Team],"Red")</f>
        <v>12</v>
      </c>
      <c r="V6" s="204" t="str">
        <f ca="1">IFERROR(__xludf.DUMMYFUNCTION("""COMPUTED_VALUE"""),"Kyu")</f>
        <v>Kyu</v>
      </c>
      <c r="W6" s="116">
        <f ca="1">IFERROR(__xludf.DUMMYFUNCTION("""COMPUTED_VALUE"""),91)</f>
        <v>91</v>
      </c>
      <c r="Y6" s="204" t="str">
        <f ca="1">IFERROR(__xludf.DUMMYFUNCTION("""COMPUTED_VALUE"""),"Kyu")</f>
        <v>Kyu</v>
      </c>
      <c r="Z6" s="116">
        <f ca="1">IFERROR(__xludf.DUMMYFUNCTION("""COMPUTED_VALUE"""),2532546)</f>
        <v>2532546</v>
      </c>
      <c r="AB6" s="201" t="s">
        <v>67</v>
      </c>
      <c r="AC6" s="205">
        <f>COUNTIFS(Scoreboard_24[Role],AB6,Scoreboard_24[Guild],"FTP")</f>
        <v>18</v>
      </c>
      <c r="AD6" s="206">
        <f>COUNTIFS(Scoreboard_24[Role],AB6,Scoreboard_24[Guild],"Undercooked")</f>
        <v>8</v>
      </c>
    </row>
    <row r="7" spans="1:30" ht="22.5" customHeight="1">
      <c r="A7" s="173">
        <v>5</v>
      </c>
      <c r="B7" s="115" t="str">
        <f>VLOOKUP(C7,Lists!I:J,2,FALSE)</f>
        <v>Melee DPS</v>
      </c>
      <c r="C7" s="115" t="str">
        <f>VLOOKUP(E7,Lists!D:E,2,FALSE)</f>
        <v>Greatsword/Spear</v>
      </c>
      <c r="D7" s="175" t="s">
        <v>7</v>
      </c>
      <c r="E7" s="176" t="s">
        <v>27</v>
      </c>
      <c r="F7" s="175" t="s">
        <v>476</v>
      </c>
      <c r="G7" s="173">
        <v>30</v>
      </c>
      <c r="H7" s="173">
        <v>49</v>
      </c>
      <c r="I7" s="194">
        <f t="shared" si="0"/>
        <v>79</v>
      </c>
      <c r="J7" s="177">
        <v>2269961</v>
      </c>
      <c r="K7" s="177">
        <v>1597398</v>
      </c>
      <c r="L7" s="177">
        <v>19162</v>
      </c>
      <c r="M7" s="195">
        <f>I7/(HLOOKUP(F7,Team_Composition_23[[#All],[Yellow]:[Red]],10,FALSE)+HLOOKUP(F7,Team_Composition_23[[#All],[Yellow]:[Red]],11,FALSE))</f>
        <v>1.9745063734066485E-2</v>
      </c>
      <c r="N7" s="195">
        <f>J7/HLOOKUP(F7,Team_Composition_23[[#All],[Yellow]:[Red]],6,FALSE)</f>
        <v>5.116720600908975E-2</v>
      </c>
      <c r="O7" s="195">
        <f>K7/HLOOKUP(F7,Team_Composition_23[[#All],[Yellow]:[Red]],8,FALSE)</f>
        <v>9.1182122847372274E-2</v>
      </c>
      <c r="P7" s="195">
        <f>L7/HLOOKUP(F7,Team_Composition_23[[#All],[Yellow]:[Red]],7,FALSE)</f>
        <v>1.480288493256043E-3</v>
      </c>
      <c r="R7" s="201" t="s">
        <v>11</v>
      </c>
      <c r="S7" s="202">
        <f>COUNTIFS(Scoreboard_24[Role],R7,Scoreboard_24[Team],"Yellow")</f>
        <v>14</v>
      </c>
      <c r="T7" s="203">
        <f>COUNTIFS(Scoreboard_24[Role],R7,Scoreboard_24[Team],"Red")</f>
        <v>15</v>
      </c>
      <c r="V7" s="204" t="str">
        <f ca="1">IFERROR(__xludf.DUMMYFUNCTION("""COMPUTED_VALUE"""),"Crumpet")</f>
        <v>Crumpet</v>
      </c>
      <c r="W7" s="116">
        <f ca="1">IFERROR(__xludf.DUMMYFUNCTION("""COMPUTED_VALUE"""),89)</f>
        <v>89</v>
      </c>
      <c r="Y7" s="204" t="str">
        <f ca="1">IFERROR(__xludf.DUMMYFUNCTION("""COMPUTED_VALUE"""),"Frappuccino")</f>
        <v>Frappuccino</v>
      </c>
      <c r="Z7" s="116">
        <f ca="1">IFERROR(__xludf.DUMMYFUNCTION("""COMPUTED_VALUE"""),2463274)</f>
        <v>2463274</v>
      </c>
      <c r="AB7" s="201" t="s">
        <v>11</v>
      </c>
      <c r="AC7" s="205">
        <f>COUNTIFS(Scoreboard_24[Role],AB7,Scoreboard_24[Guild],"FTP")</f>
        <v>17</v>
      </c>
      <c r="AD7" s="206">
        <f>COUNTIFS(Scoreboard_24[Role],AB7,Scoreboard_24[Guild],"Undercooked")</f>
        <v>11</v>
      </c>
    </row>
    <row r="8" spans="1:30" ht="22.5" customHeight="1">
      <c r="A8" s="173">
        <v>8</v>
      </c>
      <c r="B8" s="115" t="str">
        <f>VLOOKUP(C8,Lists!I:J,2,FALSE)</f>
        <v>Melee DPS</v>
      </c>
      <c r="C8" s="115" t="str">
        <f>VLOOKUP(E8,Lists!D:E,2,FALSE)</f>
        <v>Greatsword/Spear</v>
      </c>
      <c r="D8" s="175" t="s">
        <v>28</v>
      </c>
      <c r="E8" s="176" t="s">
        <v>347</v>
      </c>
      <c r="F8" s="77" t="s">
        <v>483</v>
      </c>
      <c r="G8" s="173">
        <v>23</v>
      </c>
      <c r="H8" s="173">
        <v>51</v>
      </c>
      <c r="I8" s="194">
        <f t="shared" si="0"/>
        <v>74</v>
      </c>
      <c r="J8" s="177">
        <v>1745700</v>
      </c>
      <c r="K8" s="177">
        <v>1693186</v>
      </c>
      <c r="L8" s="177">
        <v>25121</v>
      </c>
      <c r="M8" s="195">
        <f>I8/(HLOOKUP(F8,Team_Composition_23[[#All],[Yellow]:[Red]],10,FALSE)+HLOOKUP(F8,Team_Composition_23[[#All],[Yellow]:[Red]],11,FALSE))</f>
        <v>9.0133982947624841E-2</v>
      </c>
      <c r="N8" s="195">
        <f>J8/HLOOKUP(F8,Team_Composition_23[[#All],[Yellow]:[Red]],6,FALSE)</f>
        <v>9.8932271602720362E-2</v>
      </c>
      <c r="O8" s="195">
        <f>K8/HLOOKUP(F8,Team_Composition_23[[#All],[Yellow]:[Red]],8,FALSE)</f>
        <v>3.8467565998479912E-2</v>
      </c>
      <c r="P8" s="195">
        <f>L8/HLOOKUP(F8,Team_Composition_23[[#All],[Yellow]:[Red]],7,FALSE)</f>
        <v>1.0351317220671531E-3</v>
      </c>
      <c r="R8" s="201" t="s">
        <v>468</v>
      </c>
      <c r="S8" s="202">
        <f>SUMIFS(Scoreboard_24[Damage Dealt],Scoreboard_24[Team],"Yellow")</f>
        <v>29312308</v>
      </c>
      <c r="T8" s="203">
        <f>SUMIFS(Scoreboard_24[Damage Dealt],Scoreboard_24[Team],"Red")</f>
        <v>22165192</v>
      </c>
      <c r="V8" s="204" t="str">
        <f ca="1">IFERROR(__xludf.DUMMYFUNCTION("""COMPUTED_VALUE"""),"Gelato")</f>
        <v>Gelato</v>
      </c>
      <c r="W8" s="116">
        <f ca="1">IFERROR(__xludf.DUMMYFUNCTION("""COMPUTED_VALUE"""),83)</f>
        <v>83</v>
      </c>
      <c r="Y8" s="204" t="str">
        <f ca="1">IFERROR(__xludf.DUMMYFUNCTION("""COMPUTED_VALUE"""),"Blee")</f>
        <v>Blee</v>
      </c>
      <c r="Z8" s="116">
        <f ca="1">IFERROR(__xludf.DUMMYFUNCTION("""COMPUTED_VALUE"""),2269961)</f>
        <v>2269961</v>
      </c>
      <c r="AB8" s="201" t="s">
        <v>468</v>
      </c>
      <c r="AC8" s="205">
        <f>SUMIFS(Scoreboard_24[Damage Dealt],Scoreboard_24[Guild],"FTP")</f>
        <v>26994461</v>
      </c>
      <c r="AD8" s="206">
        <f>SUMIFS(Scoreboard_24[Damage Dealt],Scoreboard_24[Guild],"Undercooked")</f>
        <v>24418872</v>
      </c>
    </row>
    <row r="9" spans="1:30" ht="22.5" customHeight="1">
      <c r="A9" s="173">
        <v>10</v>
      </c>
      <c r="B9" s="115" t="str">
        <f>VLOOKUP(C9,Lists!I:J,2,FALSE)</f>
        <v>Ranged DPS</v>
      </c>
      <c r="C9" s="115" t="str">
        <f>VLOOKUP(E9,Lists!D:E,2,FALSE)</f>
        <v>Crossbow/Longbow</v>
      </c>
      <c r="D9" s="175" t="s">
        <v>28</v>
      </c>
      <c r="E9" s="176" t="s">
        <v>367</v>
      </c>
      <c r="F9" s="175" t="s">
        <v>476</v>
      </c>
      <c r="G9" s="173">
        <v>22</v>
      </c>
      <c r="H9" s="173">
        <v>50</v>
      </c>
      <c r="I9" s="194">
        <f t="shared" si="0"/>
        <v>72</v>
      </c>
      <c r="J9" s="177">
        <v>1384757</v>
      </c>
      <c r="K9" s="177">
        <v>570278</v>
      </c>
      <c r="L9" s="177">
        <v>17706</v>
      </c>
      <c r="M9" s="195">
        <f>I9/(HLOOKUP(F9,Team_Composition_23[[#All],[Yellow]:[Red]],10,FALSE)+HLOOKUP(F9,Team_Composition_23[[#All],[Yellow]:[Red]],11,FALSE))</f>
        <v>1.7995501124718819E-2</v>
      </c>
      <c r="N9" s="195">
        <f>J9/HLOOKUP(F9,Team_Composition_23[[#All],[Yellow]:[Red]],6,FALSE)</f>
        <v>3.121381675347246E-2</v>
      </c>
      <c r="O9" s="195">
        <f>K9/HLOOKUP(F9,Team_Composition_23[[#All],[Yellow]:[Red]],8,FALSE)</f>
        <v>3.2552412519080254E-2</v>
      </c>
      <c r="P9" s="195">
        <f>L9/HLOOKUP(F9,Team_Composition_23[[#All],[Yellow]:[Red]],7,FALSE)</f>
        <v>1.3678106701592472E-3</v>
      </c>
      <c r="R9" s="201" t="s">
        <v>470</v>
      </c>
      <c r="S9" s="202">
        <f>SUMIFS(Scoreboard_24[Amount Healed],Scoreboard_24[Team],"Yellow")</f>
        <v>12378861</v>
      </c>
      <c r="T9" s="203">
        <f>SUMIFS(Scoreboard_24[Amount Healed],Scoreboard_24[Team],"Red")</f>
        <v>14881805</v>
      </c>
      <c r="V9" s="204" t="str">
        <f ca="1">IFERROR(__xludf.DUMMYFUNCTION("""COMPUTED_VALUE"""),"Blee")</f>
        <v>Blee</v>
      </c>
      <c r="W9" s="116">
        <f ca="1">IFERROR(__xludf.DUMMYFUNCTION("""COMPUTED_VALUE"""),79)</f>
        <v>79</v>
      </c>
      <c r="Y9" s="204" t="str">
        <f ca="1">IFERROR(__xludf.DUMMYFUNCTION("""COMPUTED_VALUE"""),"Gelato")</f>
        <v>Gelato</v>
      </c>
      <c r="Z9" s="116">
        <f ca="1">IFERROR(__xludf.DUMMYFUNCTION("""COMPUTED_VALUE"""),1989503)</f>
        <v>1989503</v>
      </c>
      <c r="AB9" s="201" t="s">
        <v>470</v>
      </c>
      <c r="AC9" s="205">
        <f>SUMIFS(Scoreboard_24[Amount Healed],Scoreboard_24[Guild],"FTP")</f>
        <v>17386123</v>
      </c>
      <c r="AD9" s="206">
        <f>SUMIFS(Scoreboard_25[Amount Healed],Scoreboard_25[Guild],"Undercooked")</f>
        <v>16888010</v>
      </c>
    </row>
    <row r="10" spans="1:30" ht="22.5" customHeight="1">
      <c r="A10" s="173">
        <v>26</v>
      </c>
      <c r="B10" s="115" t="str">
        <f>VLOOKUP(C10,Lists!I:J,2,FALSE)</f>
        <v>Ranged DPS</v>
      </c>
      <c r="C10" s="115" t="str">
        <f>VLOOKUP(E10,Lists!D:E,2,FALSE)</f>
        <v>Staff/Dagger</v>
      </c>
      <c r="D10" s="175" t="s">
        <v>7</v>
      </c>
      <c r="E10" s="176" t="s">
        <v>133</v>
      </c>
      <c r="F10" s="175" t="s">
        <v>476</v>
      </c>
      <c r="G10" s="173">
        <v>9</v>
      </c>
      <c r="H10" s="173">
        <v>62</v>
      </c>
      <c r="I10" s="194">
        <f t="shared" si="0"/>
        <v>71</v>
      </c>
      <c r="J10" s="177">
        <v>1787109</v>
      </c>
      <c r="K10" s="177">
        <v>952357</v>
      </c>
      <c r="L10" s="177">
        <v>21623</v>
      </c>
      <c r="M10" s="195">
        <f>I10/(HLOOKUP(F10,Team_Composition_23[[#All],[Yellow]:[Red]],10,FALSE)+HLOOKUP(F10,Team_Composition_23[[#All],[Yellow]:[Red]],11,FALSE))</f>
        <v>1.7745563609097726E-2</v>
      </c>
      <c r="N10" s="195">
        <f>J10/HLOOKUP(F10,Team_Composition_23[[#All],[Yellow]:[Red]],6,FALSE)</f>
        <v>4.0283235863390769E-2</v>
      </c>
      <c r="O10" s="195">
        <f>K10/HLOOKUP(F10,Team_Composition_23[[#All],[Yellow]:[Red]],8,FALSE)</f>
        <v>5.4362114494042761E-2</v>
      </c>
      <c r="P10" s="195">
        <f>L10/HLOOKUP(F10,Team_Composition_23[[#All],[Yellow]:[Red]],7,FALSE)</f>
        <v>1.6704038247403934E-3</v>
      </c>
      <c r="R10" s="201" t="s">
        <v>469</v>
      </c>
      <c r="S10" s="202">
        <f>SUMIFS(Scoreboard_24[Damage Taken],Scoreboard_24[Team],"Yellow")</f>
        <v>22118071</v>
      </c>
      <c r="T10" s="203">
        <f>SUMIFS(Scoreboard_24[Damage Taken],Scoreboard_24[Team],"Red")</f>
        <v>29024830</v>
      </c>
      <c r="V10" s="204" t="str">
        <f ca="1">IFERROR(__xludf.DUMMYFUNCTION("""COMPUTED_VALUE"""),"Margheritaa")</f>
        <v>Margheritaa</v>
      </c>
      <c r="W10" s="116">
        <f ca="1">IFERROR(__xludf.DUMMYFUNCTION("""COMPUTED_VALUE"""),74)</f>
        <v>74</v>
      </c>
      <c r="Y10" s="204" t="str">
        <f ca="1">IFERROR(__xludf.DUMMYFUNCTION("""COMPUTED_VALUE"""),"cba")</f>
        <v>cba</v>
      </c>
      <c r="Z10" s="116">
        <f ca="1">IFERROR(__xludf.DUMMYFUNCTION("""COMPUTED_VALUE"""),1883443)</f>
        <v>1883443</v>
      </c>
      <c r="AB10" s="201" t="s">
        <v>469</v>
      </c>
      <c r="AC10" s="205">
        <f>SUMIFS(Scoreboard_24[Damage Taken],Scoreboard_24[Guild],"FTP")</f>
        <v>29113402</v>
      </c>
      <c r="AD10" s="206">
        <f>SUMIFS(Scoreboard_24[Damage Taken],Scoreboard_24[Guild],"Undercooked")</f>
        <v>21522650</v>
      </c>
    </row>
    <row r="11" spans="1:30" ht="22.5" customHeight="1">
      <c r="A11" s="173">
        <v>6</v>
      </c>
      <c r="B11" s="115" t="str">
        <f>VLOOKUP(C11,Lists!I:J,2,FALSE)</f>
        <v>Ranged DPS</v>
      </c>
      <c r="C11" s="115" t="str">
        <f>VLOOKUP(E11,Lists!D:E,2,FALSE)</f>
        <v>Staff/Orb</v>
      </c>
      <c r="D11" s="175" t="s">
        <v>28</v>
      </c>
      <c r="E11" s="176" t="s">
        <v>352</v>
      </c>
      <c r="F11" s="175" t="s">
        <v>476</v>
      </c>
      <c r="G11" s="173">
        <v>27</v>
      </c>
      <c r="H11" s="173">
        <v>41</v>
      </c>
      <c r="I11" s="194">
        <f t="shared" si="0"/>
        <v>68</v>
      </c>
      <c r="J11" s="177">
        <v>2463274</v>
      </c>
      <c r="K11" s="177">
        <v>740375</v>
      </c>
      <c r="L11" s="177">
        <v>20292</v>
      </c>
      <c r="M11" s="195">
        <f>I11/(HLOOKUP(F11,Team_Composition_23[[#All],[Yellow]:[Red]],10,FALSE)+HLOOKUP(F11,Team_Composition_23[[#All],[Yellow]:[Red]],11,FALSE))</f>
        <v>1.699575106223444E-2</v>
      </c>
      <c r="N11" s="195">
        <f>J11/HLOOKUP(F11,Team_Composition_23[[#All],[Yellow]:[Red]],6,FALSE)</f>
        <v>5.552467562871545E-2</v>
      </c>
      <c r="O11" s="195">
        <f>K11/HLOOKUP(F11,Team_Composition_23[[#All],[Yellow]:[Red]],8,FALSE)</f>
        <v>4.2261830929501129E-2</v>
      </c>
      <c r="P11" s="195">
        <f>L11/HLOOKUP(F11,Team_Composition_23[[#All],[Yellow]:[Red]],7,FALSE)</f>
        <v>1.5675824081594627E-3</v>
      </c>
      <c r="R11" s="201" t="s">
        <v>495</v>
      </c>
      <c r="S11" s="202">
        <f ca="1">IFERROR(DIVIDE(SUMIFS(Scoreboard_24[Amount Healed],Scoreboard_24[Team],"Yellow"), SUMIFS(Scoreboard_24[Damage Taken],Scoreboard_24[Team],"Yellow"))*(100),0)</f>
        <v>0</v>
      </c>
      <c r="T11" s="203">
        <f ca="1">IFERROR(DIVIDE(SUMIFS(Scoreboard_24[Amount Healed],Scoreboard_24[Team],"Red"), SUMIFS(Scoreboard_24[Damage Taken],Scoreboard_24[Team],"Red"))*(100),0)</f>
        <v>0</v>
      </c>
      <c r="V11" s="204" t="str">
        <f ca="1">IFERROR(__xludf.DUMMYFUNCTION("""COMPUTED_VALUE"""),"huntress")</f>
        <v>huntress</v>
      </c>
      <c r="W11" s="116">
        <f ca="1">IFERROR(__xludf.DUMMYFUNCTION("""COMPUTED_VALUE"""),72)</f>
        <v>72</v>
      </c>
      <c r="Y11" s="204" t="str">
        <f ca="1">IFERROR(__xludf.DUMMYFUNCTION("""COMPUTED_VALUE"""),"Itty")</f>
        <v>Itty</v>
      </c>
      <c r="Z11" s="116">
        <f ca="1">IFERROR(__xludf.DUMMYFUNCTION("""COMPUTED_VALUE"""),1787109)</f>
        <v>1787109</v>
      </c>
      <c r="AB11" s="201" t="s">
        <v>495</v>
      </c>
      <c r="AC11" s="205">
        <f ca="1">IFERROR(DIVIDE(SUMIFS(Scoreboard_24[Amount Healed],Scoreboard_24[Guild],"FTP"), SUMIFS(Scoreboard_24[Damage Taken],Scoreboard_24[Guild],"FTP"))*(100),0)</f>
        <v>0</v>
      </c>
      <c r="AD11" s="206">
        <f ca="1">IFERROR(DIVIDE(SUMIFS(Scoreboard_24[Amount Healed],Scoreboard_24[Guild],"Undercooked"), SUMIFS(Scoreboard_24[Damage Taken],Scoreboard_24[Guild],"Undercooked"))*(100),0)</f>
        <v>0</v>
      </c>
    </row>
    <row r="12" spans="1:30" ht="22.5" customHeight="1">
      <c r="A12" s="173">
        <v>13</v>
      </c>
      <c r="B12" s="115" t="str">
        <f>VLOOKUP(C12,Lists!I:J,2,FALSE)</f>
        <v>Ranged DPS</v>
      </c>
      <c r="C12" s="115" t="str">
        <f>VLOOKUP(E12,Lists!D:E,2,FALSE)</f>
        <v>Crossbow/SnS</v>
      </c>
      <c r="D12" s="175" t="s">
        <v>7</v>
      </c>
      <c r="E12" s="176" t="s">
        <v>83</v>
      </c>
      <c r="F12" s="175" t="s">
        <v>476</v>
      </c>
      <c r="G12" s="173">
        <v>19</v>
      </c>
      <c r="H12" s="173">
        <v>45</v>
      </c>
      <c r="I12" s="194">
        <f t="shared" si="0"/>
        <v>64</v>
      </c>
      <c r="J12" s="177">
        <v>1699940</v>
      </c>
      <c r="K12" s="177">
        <v>359697</v>
      </c>
      <c r="L12" s="177">
        <v>20327</v>
      </c>
      <c r="M12" s="195">
        <f>I12/(HLOOKUP(F12,Team_Composition_23[[#All],[Yellow]:[Red]],10,FALSE)+HLOOKUP(F12,Team_Composition_23[[#All],[Yellow]:[Red]],11,FALSE))</f>
        <v>1.5996000999750064E-2</v>
      </c>
      <c r="N12" s="195">
        <f>J12/HLOOKUP(F12,Team_Composition_23[[#All],[Yellow]:[Red]],6,FALSE)</f>
        <v>3.8318358854223501E-2</v>
      </c>
      <c r="O12" s="195">
        <f>K12/HLOOKUP(F12,Team_Composition_23[[#All],[Yellow]:[Red]],8,FALSE)</f>
        <v>2.0532100354345793E-2</v>
      </c>
      <c r="P12" s="195">
        <f>L12/HLOOKUP(F12,Team_Composition_23[[#All],[Yellow]:[Red]],7,FALSE)</f>
        <v>1.5702862019839048E-3</v>
      </c>
      <c r="R12" s="201" t="s">
        <v>465</v>
      </c>
      <c r="S12" s="202">
        <f>SUMIFS(Scoreboard_24[Kills],Scoreboard_24[Team],"Yellow")</f>
        <v>345</v>
      </c>
      <c r="T12" s="203">
        <f>SUMIFS(Scoreboard_24[Kills],Scoreboard_24[Team],"Red")</f>
        <v>282</v>
      </c>
      <c r="V12" s="204" t="str">
        <f ca="1">IFERROR(__xludf.DUMMYFUNCTION("""COMPUTED_VALUE"""),"Itty")</f>
        <v>Itty</v>
      </c>
      <c r="W12" s="116">
        <f ca="1">IFERROR(__xludf.DUMMYFUNCTION("""COMPUTED_VALUE"""),71)</f>
        <v>71</v>
      </c>
      <c r="Y12" s="204" t="str">
        <f ca="1">IFERROR(__xludf.DUMMYFUNCTION("""COMPUTED_VALUE"""),"Margheritaa")</f>
        <v>Margheritaa</v>
      </c>
      <c r="Z12" s="116">
        <f ca="1">IFERROR(__xludf.DUMMYFUNCTION("""COMPUTED_VALUE"""),1745700)</f>
        <v>1745700</v>
      </c>
      <c r="AB12" s="201" t="s">
        <v>465</v>
      </c>
      <c r="AC12" s="205">
        <f>SUMIFS(Scoreboard_24[Kills],Scoreboard_24[Guild],"FTP")</f>
        <v>303</v>
      </c>
      <c r="AD12" s="206">
        <f>SUMIFS(Scoreboard_24[Kills],Scoreboard_24[Guild],"Undercooked")</f>
        <v>322</v>
      </c>
    </row>
    <row r="13" spans="1:30" ht="22.5" customHeight="1">
      <c r="A13" s="173">
        <v>47</v>
      </c>
      <c r="B13" s="115" t="str">
        <f>VLOOKUP(C13,Lists!I:J,2,FALSE)</f>
        <v>Healer</v>
      </c>
      <c r="C13" s="115" t="str">
        <f>VLOOKUP(E13,Lists!D:E,2,FALSE)</f>
        <v>Wand/Longbow</v>
      </c>
      <c r="D13" s="175" t="s">
        <v>28</v>
      </c>
      <c r="E13" s="176" t="s">
        <v>338</v>
      </c>
      <c r="F13" s="175" t="s">
        <v>483</v>
      </c>
      <c r="G13" s="173">
        <v>0</v>
      </c>
      <c r="H13" s="173">
        <v>63</v>
      </c>
      <c r="I13" s="194">
        <f t="shared" si="0"/>
        <v>63</v>
      </c>
      <c r="J13" s="177">
        <v>36029</v>
      </c>
      <c r="K13" s="177">
        <v>385074</v>
      </c>
      <c r="L13" s="177">
        <v>1448678</v>
      </c>
      <c r="M13" s="195">
        <f>I13/(HLOOKUP(F13,Team_Composition_23[[#All],[Yellow]:[Red]],10,FALSE)+HLOOKUP(F13,Team_Composition_23[[#All],[Yellow]:[Red]],11,FALSE))</f>
        <v>7.6735688185140066E-2</v>
      </c>
      <c r="N13" s="195">
        <f>J13/HLOOKUP(F13,Team_Composition_23[[#All],[Yellow]:[Red]],6,FALSE)</f>
        <v>2.0418346872741089E-3</v>
      </c>
      <c r="O13" s="195">
        <f>K13/HLOOKUP(F13,Team_Composition_23[[#All],[Yellow]:[Red]],8,FALSE)</f>
        <v>8.748512868225141E-3</v>
      </c>
      <c r="P13" s="195">
        <f>L13/HLOOKUP(F13,Team_Composition_23[[#All],[Yellow]:[Red]],7,FALSE)</f>
        <v>5.9693983235571811E-2</v>
      </c>
      <c r="R13" s="201" t="s">
        <v>466</v>
      </c>
      <c r="S13" s="202">
        <f>SUMIFS(Scoreboard_24[Assists],Scoreboard_24[Team],"Yellow")</f>
        <v>1510</v>
      </c>
      <c r="T13" s="203">
        <f>SUMIFS(Scoreboard_24[Assists],Scoreboard_24[Team],"Red")</f>
        <v>1227</v>
      </c>
      <c r="V13" s="204" t="str">
        <f ca="1">IFERROR(__xludf.DUMMYFUNCTION("""COMPUTED_VALUE"""),"Frappuccino")</f>
        <v>Frappuccino</v>
      </c>
      <c r="W13" s="116">
        <f ca="1">IFERROR(__xludf.DUMMYFUNCTION("""COMPUTED_VALUE"""),68)</f>
        <v>68</v>
      </c>
      <c r="Y13" s="204" t="str">
        <f ca="1">IFERROR(__xludf.DUMMYFUNCTION("""COMPUTED_VALUE"""),"MrCantoni")</f>
        <v>MrCantoni</v>
      </c>
      <c r="Z13" s="116">
        <f ca="1">IFERROR(__xludf.DUMMYFUNCTION("""COMPUTED_VALUE"""),1699940)</f>
        <v>1699940</v>
      </c>
      <c r="AB13" s="201" t="s">
        <v>466</v>
      </c>
      <c r="AC13" s="205">
        <f>SUMIFS(Scoreboard_24[Assists],Scoreboard_24[Guild],"FTP")</f>
        <v>1485</v>
      </c>
      <c r="AD13" s="206">
        <f>SUMIFS(Scoreboard_24[Assists],Scoreboard_24[Guild],"Undercooked")</f>
        <v>1211</v>
      </c>
    </row>
    <row r="14" spans="1:30" ht="22.5" customHeight="1">
      <c r="A14" s="173">
        <v>3</v>
      </c>
      <c r="B14" s="115" t="str">
        <f>VLOOKUP(C14,Lists!I:J,2,FALSE)</f>
        <v>KS</v>
      </c>
      <c r="C14" s="115" t="str">
        <f>VLOOKUP(E14,Lists!D:E,2,FALSE)</f>
        <v>Crossbow/Dagger</v>
      </c>
      <c r="D14" s="175" t="s">
        <v>28</v>
      </c>
      <c r="E14" s="176" t="s">
        <v>330</v>
      </c>
      <c r="F14" s="175" t="s">
        <v>483</v>
      </c>
      <c r="G14" s="173">
        <v>36</v>
      </c>
      <c r="H14" s="173">
        <v>27</v>
      </c>
      <c r="I14" s="194">
        <f t="shared" si="0"/>
        <v>63</v>
      </c>
      <c r="J14" s="177">
        <v>1321814</v>
      </c>
      <c r="K14" s="177">
        <v>877721</v>
      </c>
      <c r="L14" s="177">
        <v>0</v>
      </c>
      <c r="M14" s="195">
        <f>I14/(HLOOKUP(F14,Team_Composition_23[[#All],[Yellow]:[Red]],10,FALSE)+HLOOKUP(F14,Team_Composition_23[[#All],[Yellow]:[Red]],11,FALSE))</f>
        <v>7.6735688185140066E-2</v>
      </c>
      <c r="N14" s="195">
        <f>J14/HLOOKUP(F14,Team_Composition_23[[#All],[Yellow]:[Red]],6,FALSE)</f>
        <v>7.4909813631367492E-2</v>
      </c>
      <c r="O14" s="195">
        <f>K14/HLOOKUP(F14,Team_Composition_23[[#All],[Yellow]:[Red]],8,FALSE)</f>
        <v>1.9940981378154431E-2</v>
      </c>
      <c r="P14" s="195">
        <f>L14/HLOOKUP(F14,Team_Composition_23[[#All],[Yellow]:[Red]],7,FALSE)</f>
        <v>0</v>
      </c>
      <c r="R14" s="204"/>
      <c r="S14" s="207">
        <f t="shared" ref="S14:T14" si="1">SUM(S4:S7)</f>
        <v>38</v>
      </c>
      <c r="T14" s="207">
        <f t="shared" si="1"/>
        <v>37</v>
      </c>
      <c r="AB14" s="204"/>
      <c r="AC14" s="207"/>
      <c r="AD14" s="207"/>
    </row>
    <row r="15" spans="1:30" ht="22.5" customHeight="1">
      <c r="A15" s="173">
        <v>48</v>
      </c>
      <c r="B15" s="115" t="str">
        <f>VLOOKUP(C15,Lists!I:J,2,FALSE)</f>
        <v>Healer</v>
      </c>
      <c r="C15" s="115" t="str">
        <f>VLOOKUP(E15,Lists!D:E,2,FALSE)</f>
        <v>Wand/Longbow</v>
      </c>
      <c r="D15" s="175" t="s">
        <v>7</v>
      </c>
      <c r="E15" s="176" t="s">
        <v>126</v>
      </c>
      <c r="F15" s="175" t="s">
        <v>483</v>
      </c>
      <c r="G15" s="173">
        <v>0</v>
      </c>
      <c r="H15" s="173">
        <v>61</v>
      </c>
      <c r="I15" s="194">
        <f t="shared" si="0"/>
        <v>61</v>
      </c>
      <c r="J15" s="177">
        <v>36232</v>
      </c>
      <c r="K15" s="177">
        <v>542041</v>
      </c>
      <c r="L15" s="177">
        <v>1580869</v>
      </c>
      <c r="M15" s="195">
        <f>I15/(HLOOKUP(F15,Team_Composition_23[[#All],[Yellow]:[Red]],10,FALSE)+HLOOKUP(F15,Team_Composition_23[[#All],[Yellow]:[Red]],11,FALSE))</f>
        <v>7.4299634591961025E-2</v>
      </c>
      <c r="N15" s="195">
        <f>J15/HLOOKUP(F15,Team_Composition_23[[#All],[Yellow]:[Red]],6,FALSE)</f>
        <v>2.0533390987625389E-3</v>
      </c>
      <c r="O15" s="195">
        <f>K15/HLOOKUP(F15,Team_Composition_23[[#All],[Yellow]:[Red]],8,FALSE)</f>
        <v>1.2314652933217055E-2</v>
      </c>
      <c r="P15" s="195">
        <f>L15/HLOOKUP(F15,Team_Composition_23[[#All],[Yellow]:[Red]],7,FALSE)</f>
        <v>6.5141023459757905E-2</v>
      </c>
      <c r="R15" s="232" t="s">
        <v>25</v>
      </c>
      <c r="S15" s="228"/>
      <c r="T15" s="228"/>
      <c r="V15" s="233" t="s">
        <v>496</v>
      </c>
      <c r="W15" s="228"/>
      <c r="Y15" s="233" t="s">
        <v>497</v>
      </c>
      <c r="Z15" s="228"/>
      <c r="AB15" s="232" t="s">
        <v>25</v>
      </c>
      <c r="AC15" s="228"/>
      <c r="AD15" s="228"/>
    </row>
    <row r="16" spans="1:30" ht="22.5" customHeight="1">
      <c r="A16" s="173">
        <v>49</v>
      </c>
      <c r="B16" s="115" t="str">
        <f>VLOOKUP(C16,Lists!I:J,2,FALSE)</f>
        <v>Healer</v>
      </c>
      <c r="C16" s="115" t="str">
        <f>VLOOKUP(E16,Lists!D:E,2,FALSE)</f>
        <v>Wand/Orb</v>
      </c>
      <c r="D16" s="175" t="s">
        <v>28</v>
      </c>
      <c r="E16" s="176" t="s">
        <v>340</v>
      </c>
      <c r="F16" s="175" t="s">
        <v>483</v>
      </c>
      <c r="G16" s="173">
        <v>0</v>
      </c>
      <c r="H16" s="173">
        <v>61</v>
      </c>
      <c r="I16" s="194">
        <f t="shared" si="0"/>
        <v>61</v>
      </c>
      <c r="J16" s="177">
        <v>2878</v>
      </c>
      <c r="K16" s="177">
        <v>223943</v>
      </c>
      <c r="L16" s="177">
        <v>763837</v>
      </c>
      <c r="M16" s="195">
        <f>I16/(HLOOKUP(F16,Team_Composition_23[[#All],[Yellow]:[Red]],10,FALSE)+HLOOKUP(F16,Team_Composition_23[[#All],[Yellow]:[Red]],11,FALSE))</f>
        <v>7.4299634591961025E-2</v>
      </c>
      <c r="N16" s="195">
        <f>J16/HLOOKUP(F16,Team_Composition_23[[#All],[Yellow]:[Red]],6,FALSE)</f>
        <v>1.631019520379385E-4</v>
      </c>
      <c r="O16" s="195">
        <f>K16/HLOOKUP(F16,Team_Composition_23[[#All],[Yellow]:[Red]],8,FALSE)</f>
        <v>5.0877707070561577E-3</v>
      </c>
      <c r="P16" s="195">
        <f>L16/HLOOKUP(F16,Team_Composition_23[[#All],[Yellow]:[Red]],7,FALSE)</f>
        <v>3.1474539595900165E-2</v>
      </c>
      <c r="R16" s="197" t="s">
        <v>482</v>
      </c>
      <c r="S16" s="198" t="s">
        <v>476</v>
      </c>
      <c r="T16" s="198" t="s">
        <v>483</v>
      </c>
      <c r="V16" s="199" t="s">
        <v>1</v>
      </c>
      <c r="W16" s="200" t="s">
        <v>498</v>
      </c>
      <c r="Y16" s="199" t="s">
        <v>1</v>
      </c>
      <c r="Z16" s="200" t="s">
        <v>499</v>
      </c>
      <c r="AB16" s="197" t="s">
        <v>482</v>
      </c>
      <c r="AC16" s="198" t="s">
        <v>7</v>
      </c>
      <c r="AD16" s="198" t="s">
        <v>527</v>
      </c>
    </row>
    <row r="17" spans="1:30" ht="22.5" customHeight="1">
      <c r="A17" s="173">
        <v>9</v>
      </c>
      <c r="B17" s="115" t="str">
        <f>VLOOKUP(C17,Lists!I:J,2,FALSE)</f>
        <v>KS</v>
      </c>
      <c r="C17" s="115" t="str">
        <f>VLOOKUP(E17,Lists!D:E,2,FALSE)</f>
        <v>Greatsword/Dagger</v>
      </c>
      <c r="D17" s="175" t="s">
        <v>7</v>
      </c>
      <c r="E17" s="176" t="s">
        <v>68</v>
      </c>
      <c r="F17" s="175" t="s">
        <v>483</v>
      </c>
      <c r="G17" s="173">
        <v>23</v>
      </c>
      <c r="H17" s="173">
        <v>37</v>
      </c>
      <c r="I17" s="194">
        <f t="shared" si="0"/>
        <v>60</v>
      </c>
      <c r="J17" s="177">
        <v>1091610</v>
      </c>
      <c r="K17" s="177">
        <v>996623</v>
      </c>
      <c r="L17" s="177">
        <v>10459</v>
      </c>
      <c r="M17" s="195">
        <f>I17/(HLOOKUP(F17,Team_Composition_23[[#All],[Yellow]:[Red]],10,FALSE)+HLOOKUP(F17,Team_Composition_23[[#All],[Yellow]:[Red]],11,FALSE))</f>
        <v>7.3081607795371498E-2</v>
      </c>
      <c r="N17" s="195">
        <f>J17/HLOOKUP(F17,Team_Composition_23[[#All],[Yellow]:[Red]],6,FALSE)</f>
        <v>6.1863697659532327E-2</v>
      </c>
      <c r="O17" s="195">
        <f>K17/HLOOKUP(F17,Team_Composition_23[[#All],[Yellow]:[Red]],8,FALSE)</f>
        <v>2.2642321061066562E-2</v>
      </c>
      <c r="P17" s="195">
        <f>L17/HLOOKUP(F17,Team_Composition_23[[#All],[Yellow]:[Red]],7,FALSE)</f>
        <v>4.3097180371403829E-4</v>
      </c>
      <c r="R17" s="201" t="s">
        <v>468</v>
      </c>
      <c r="S17" s="202">
        <f>SUMIFS(Scoreboard_24[Damage Dealt],Scoreboard_24[Role],"Melee DPS",Scoreboard_24[Team],"Yellow")</f>
        <v>8084649</v>
      </c>
      <c r="T17" s="203">
        <f>SUMIFS(Scoreboard_24[Damage Dealt],Scoreboard_24[Role],"Melee DPS",Scoreboard_24[Team],"Red")</f>
        <v>6355630</v>
      </c>
      <c r="V17" s="204" t="str">
        <f ca="1">IFERROR(__xludf.DUMMYFUNCTION("query(A1:P238, ""Select E,K Order by K Desc Limit 10"", 0)"),"Margheritaa")</f>
        <v>Margheritaa</v>
      </c>
      <c r="W17" s="116">
        <f ca="1">IFERROR(__xludf.DUMMYFUNCTION("""COMPUTED_VALUE"""),1693186)</f>
        <v>1693186</v>
      </c>
      <c r="Y17" s="204" t="str">
        <f ca="1">IFERROR(__xludf.DUMMYFUNCTION("query(A1:P238, ""Select E,L Order by L Desc Limit 10"", 0)"),"apgonzo")</f>
        <v>apgonzo</v>
      </c>
      <c r="Z17" s="116">
        <f ca="1">IFERROR(__xludf.DUMMYFUNCTION("""COMPUTED_VALUE"""),2933958)</f>
        <v>2933958</v>
      </c>
      <c r="AB17" s="201" t="s">
        <v>468</v>
      </c>
      <c r="AC17" s="205">
        <f>SUMIFS(Scoreboard_24[Damage Dealt],Scoreboard_24[Role],"Melee DPS",Scoreboard_24[Guild],"FTP")</f>
        <v>8084649</v>
      </c>
      <c r="AD17" s="206">
        <f>SUMIFS(Scoreboard_24[Damage Dealt],Scoreboard_24[Role],"Melee DPS",Scoreboard_24[Guild],"Undercooked")</f>
        <v>6355630</v>
      </c>
    </row>
    <row r="18" spans="1:30" ht="22.5" customHeight="1">
      <c r="A18" s="173">
        <v>18</v>
      </c>
      <c r="B18" s="115" t="str">
        <f>VLOOKUP(C18,Lists!I:J,2,FALSE)</f>
        <v>KS</v>
      </c>
      <c r="C18" s="115" t="str">
        <f>VLOOKUP(E18,Lists!D:E,2,FALSE)</f>
        <v>Greatsword/Dagger</v>
      </c>
      <c r="D18" s="175" t="s">
        <v>28</v>
      </c>
      <c r="E18" s="176" t="s">
        <v>334</v>
      </c>
      <c r="F18" s="175" t="s">
        <v>483</v>
      </c>
      <c r="G18" s="173">
        <v>16</v>
      </c>
      <c r="H18" s="173">
        <v>44</v>
      </c>
      <c r="I18" s="194">
        <f t="shared" si="0"/>
        <v>60</v>
      </c>
      <c r="J18" s="177">
        <v>971472</v>
      </c>
      <c r="K18" s="177">
        <v>1276955</v>
      </c>
      <c r="L18" s="177">
        <v>10226</v>
      </c>
      <c r="M18" s="195">
        <f>I18/(HLOOKUP(F18,Team_Composition_23[[#All],[Yellow]:[Red]],10,FALSE)+HLOOKUP(F18,Team_Composition_23[[#All],[Yellow]:[Red]],11,FALSE))</f>
        <v>7.3081607795371498E-2</v>
      </c>
      <c r="N18" s="195">
        <f>J18/HLOOKUP(F18,Team_Composition_23[[#All],[Yellow]:[Red]],6,FALSE)</f>
        <v>5.5055239593537239E-2</v>
      </c>
      <c r="O18" s="195">
        <f>K18/HLOOKUP(F18,Team_Composition_23[[#All],[Yellow]:[Red]],8,FALSE)</f>
        <v>2.9011195899085462E-2</v>
      </c>
      <c r="P18" s="195">
        <f>L18/HLOOKUP(F18,Team_Composition_23[[#All],[Yellow]:[Red]],7,FALSE)</f>
        <v>4.2137084470597147E-4</v>
      </c>
      <c r="R18" s="201" t="s">
        <v>469</v>
      </c>
      <c r="S18" s="202">
        <f>SUMIFS(Scoreboard_24[Damage Taken],Scoreboard_24[Role],"Melee DPS",Scoreboard_24[Team],"Yellow")</f>
        <v>4599797</v>
      </c>
      <c r="T18" s="203">
        <f>SUMIFS(Scoreboard_24[Damage Taken],Scoreboard_24[Role],"Melee DPS",Scoreboard_24[Team],"Red")</f>
        <v>5411608</v>
      </c>
      <c r="V18" s="204" t="str">
        <f ca="1">IFERROR(__xludf.DUMMYFUNCTION("""COMPUTED_VALUE"""),"Blee")</f>
        <v>Blee</v>
      </c>
      <c r="W18" s="116">
        <f ca="1">IFERROR(__xludf.DUMMYFUNCTION("""COMPUTED_VALUE"""),1597398)</f>
        <v>1597398</v>
      </c>
      <c r="Y18" s="204" t="str">
        <f ca="1">IFERROR(__xludf.DUMMYFUNCTION("""COMPUTED_VALUE"""),"EgirlWaifu")</f>
        <v>EgirlWaifu</v>
      </c>
      <c r="Z18" s="116">
        <f ca="1">IFERROR(__xludf.DUMMYFUNCTION("""COMPUTED_VALUE"""),1851514)</f>
        <v>1851514</v>
      </c>
      <c r="AB18" s="201" t="s">
        <v>469</v>
      </c>
      <c r="AC18" s="205">
        <f>SUMIFS(Scoreboard_24[Damage Taken],Scoreboard_24[Role],"Melee DPS",Scoreboard_24[Guild],"FTP")</f>
        <v>4599797</v>
      </c>
      <c r="AD18" s="206">
        <f>SUMIFS(Scoreboard_24[Damage Taken],Scoreboard_24[Role],"Melee DPS",Scoreboard_24[Guild],"Undercooked")</f>
        <v>5411608</v>
      </c>
    </row>
    <row r="19" spans="1:30" ht="22.5" customHeight="1">
      <c r="A19" s="173">
        <v>19</v>
      </c>
      <c r="B19" s="115" t="str">
        <f>VLOOKUP(C19,Lists!I:J,2,FALSE)</f>
        <v>Melee DPS</v>
      </c>
      <c r="C19" s="115" t="str">
        <f>VLOOKUP(E19,Lists!D:E,2,FALSE)</f>
        <v>Greatsword/Spear</v>
      </c>
      <c r="D19" s="175" t="s">
        <v>28</v>
      </c>
      <c r="E19" s="176" t="s">
        <v>333</v>
      </c>
      <c r="F19" s="175" t="s">
        <v>483</v>
      </c>
      <c r="G19" s="173">
        <v>16</v>
      </c>
      <c r="H19" s="173">
        <v>43</v>
      </c>
      <c r="I19" s="194">
        <f t="shared" si="0"/>
        <v>59</v>
      </c>
      <c r="J19" s="177">
        <v>1548149</v>
      </c>
      <c r="K19" s="177">
        <v>1113160</v>
      </c>
      <c r="L19" s="177">
        <v>16549</v>
      </c>
      <c r="M19" s="195">
        <f>I19/(HLOOKUP(F19,Team_Composition_23[[#All],[Yellow]:[Red]],10,FALSE)+HLOOKUP(F19,Team_Composition_23[[#All],[Yellow]:[Red]],11,FALSE))</f>
        <v>7.186358099878197E-2</v>
      </c>
      <c r="N19" s="195">
        <f>J19/HLOOKUP(F19,Team_Composition_23[[#All],[Yellow]:[Red]],6,FALSE)</f>
        <v>8.7736665721189169E-2</v>
      </c>
      <c r="O19" s="195">
        <f>K19/HLOOKUP(F19,Team_Composition_23[[#All],[Yellow]:[Red]],8,FALSE)</f>
        <v>2.5289930206644693E-2</v>
      </c>
      <c r="P19" s="195">
        <f>L19/HLOOKUP(F19,Team_Composition_23[[#All],[Yellow]:[Red]],7,FALSE)</f>
        <v>6.8191532456866042E-4</v>
      </c>
      <c r="R19" s="201" t="s">
        <v>470</v>
      </c>
      <c r="S19" s="202">
        <f>SUMIFS(Scoreboard_24[Amount Healed],Scoreboard_24[Role],"Melee DPS",Scoreboard_24[Team],"Yellow")</f>
        <v>96260</v>
      </c>
      <c r="T19" s="203">
        <f>SUMIFS(Scoreboard_24[Amount Healed],Scoreboard_24[Role],"Melee DPS",Scoreboard_24[Team],"Red")</f>
        <v>124216</v>
      </c>
      <c r="V19" s="204" t="str">
        <f ca="1">IFERROR(__xludf.DUMMYFUNCTION("""COMPUTED_VALUE"""),"ALilSnakes")</f>
        <v>ALilSnakes</v>
      </c>
      <c r="W19" s="116">
        <f ca="1">IFERROR(__xludf.DUMMYFUNCTION("""COMPUTED_VALUE"""),1276955)</f>
        <v>1276955</v>
      </c>
      <c r="Y19" s="204" t="str">
        <f ca="1">IFERROR(__xludf.DUMMYFUNCTION("""COMPUTED_VALUE"""),"Boharding")</f>
        <v>Boharding</v>
      </c>
      <c r="Z19" s="116">
        <f ca="1">IFERROR(__xludf.DUMMYFUNCTION("""COMPUTED_VALUE"""),1705670)</f>
        <v>1705670</v>
      </c>
      <c r="AB19" s="201" t="s">
        <v>470</v>
      </c>
      <c r="AC19" s="205">
        <f>SUMIFS(Scoreboard_24[Amount Healed],Scoreboard_24[Role],"Melee DPS",Scoreboard_24[Guild],"FTP")</f>
        <v>96260</v>
      </c>
      <c r="AD19" s="206">
        <f>SUMIFS(Scoreboard_24[Amount Healed],Scoreboard_24[Role],"Melee DPS",Scoreboard_24[Guild],"Undercooked")</f>
        <v>124216</v>
      </c>
    </row>
    <row r="20" spans="1:30" ht="22.5" customHeight="1">
      <c r="A20" s="173">
        <v>25</v>
      </c>
      <c r="B20" s="115" t="str">
        <f>VLOOKUP(C20,Lists!I:J,2,FALSE)</f>
        <v>Melee DPS</v>
      </c>
      <c r="C20" s="115" t="str">
        <f>VLOOKUP(E20,Lists!D:E,2,FALSE)</f>
        <v>Greatsword/Spear</v>
      </c>
      <c r="D20" s="175" t="s">
        <v>28</v>
      </c>
      <c r="E20" s="176" t="s">
        <v>331</v>
      </c>
      <c r="F20" s="175" t="s">
        <v>483</v>
      </c>
      <c r="G20" s="173">
        <v>12</v>
      </c>
      <c r="H20" s="173">
        <v>46</v>
      </c>
      <c r="I20" s="194">
        <f t="shared" si="0"/>
        <v>58</v>
      </c>
      <c r="J20" s="177">
        <v>1327615</v>
      </c>
      <c r="K20" s="177">
        <v>940722</v>
      </c>
      <c r="L20" s="177">
        <v>24489</v>
      </c>
      <c r="M20" s="195">
        <f>I20/(HLOOKUP(F20,Team_Composition_23[[#All],[Yellow]:[Red]],10,FALSE)+HLOOKUP(F20,Team_Composition_23[[#All],[Yellow]:[Red]],11,FALSE))</f>
        <v>7.0645554202192443E-2</v>
      </c>
      <c r="N20" s="195">
        <f>J20/HLOOKUP(F20,Team_Composition_23[[#All],[Yellow]:[Red]],6,FALSE)</f>
        <v>7.5238567774443266E-2</v>
      </c>
      <c r="O20" s="195">
        <f>K20/HLOOKUP(F20,Team_Composition_23[[#All],[Yellow]:[Red]],8,FALSE)</f>
        <v>2.1372303823219672E-2</v>
      </c>
      <c r="P20" s="195">
        <f>L20/HLOOKUP(F20,Team_Composition_23[[#All],[Yellow]:[Red]],7,FALSE)</f>
        <v>1.0090896358306801E-3</v>
      </c>
      <c r="R20" s="201" t="s">
        <v>465</v>
      </c>
      <c r="S20" s="202">
        <f>SUMIFS(Scoreboard_24[Kills],Scoreboard_24[Role],"Melee DPS",Scoreboard_24[Team],"Yellow")</f>
        <v>93</v>
      </c>
      <c r="T20" s="203">
        <f>SUMIFS(Scoreboard_24[Kills],Scoreboard_24[Role],"Melee DPS",Scoreboard_24[Team],"Red")</f>
        <v>70</v>
      </c>
      <c r="V20" s="204" t="str">
        <f ca="1">IFERROR(__xludf.DUMMYFUNCTION("""COMPUTED_VALUE"""),"Kyu")</f>
        <v>Kyu</v>
      </c>
      <c r="W20" s="116">
        <f ca="1">IFERROR(__xludf.DUMMYFUNCTION("""COMPUTED_VALUE"""),1174106)</f>
        <v>1174106</v>
      </c>
      <c r="Y20" s="204" t="str">
        <f ca="1">IFERROR(__xludf.DUMMYFUNCTION("""COMPUTED_VALUE"""),"hamstersprevail")</f>
        <v>hamstersprevail</v>
      </c>
      <c r="Z20" s="116">
        <f ca="1">IFERROR(__xludf.DUMMYFUNCTION("""COMPUTED_VALUE"""),1580869)</f>
        <v>1580869</v>
      </c>
      <c r="AB20" s="201" t="s">
        <v>465</v>
      </c>
      <c r="AC20" s="205">
        <f>SUMIFS(Scoreboard_24[Kills],Scoreboard_24[Role],"Melee DPS",Scoreboard_24[Guild],"FTP")</f>
        <v>93</v>
      </c>
      <c r="AD20" s="206">
        <f>SUMIFS(Scoreboard_24[Kills],Scoreboard_24[Role],"Melee DPS",Scoreboard_24[Guild],"Undercooked")</f>
        <v>70</v>
      </c>
    </row>
    <row r="21" spans="1:30" ht="22.5" customHeight="1">
      <c r="A21" s="173">
        <v>50</v>
      </c>
      <c r="B21" s="115" t="str">
        <f>VLOOKUP(C21,Lists!I:J,2,FALSE)</f>
        <v>Healer</v>
      </c>
      <c r="C21" s="115" t="str">
        <f>VLOOKUP(E21,Lists!D:E,2,FALSE)</f>
        <v>Wand/Longbow</v>
      </c>
      <c r="D21" s="175" t="s">
        <v>7</v>
      </c>
      <c r="E21" s="176" t="s">
        <v>115</v>
      </c>
      <c r="F21" s="175" t="s">
        <v>476</v>
      </c>
      <c r="G21" s="173">
        <v>0</v>
      </c>
      <c r="H21" s="173">
        <v>55</v>
      </c>
      <c r="I21" s="194">
        <f t="shared" si="0"/>
        <v>55</v>
      </c>
      <c r="J21" s="177">
        <v>52964</v>
      </c>
      <c r="K21" s="177">
        <v>303790</v>
      </c>
      <c r="L21" s="177">
        <v>19320</v>
      </c>
      <c r="M21" s="195">
        <f>I21/(HLOOKUP(F21,Team_Composition_23[[#All],[Yellow]:[Red]],10,FALSE)+HLOOKUP(F21,Team_Composition_23[[#All],[Yellow]:[Red]],11,FALSE))</f>
        <v>1.374656335916021E-2</v>
      </c>
      <c r="N21" s="195">
        <f>J21/HLOOKUP(F21,Team_Composition_23[[#All],[Yellow]:[Red]],6,FALSE)</f>
        <v>1.1938618765104025E-3</v>
      </c>
      <c r="O21" s="195">
        <f>K21/HLOOKUP(F21,Team_Composition_23[[#All],[Yellow]:[Red]],8,FALSE)</f>
        <v>1.7340836222283502E-2</v>
      </c>
      <c r="P21" s="195">
        <f>L21/HLOOKUP(F21,Team_Composition_23[[#All],[Yellow]:[Red]],7,FALSE)</f>
        <v>1.4924941910920964E-3</v>
      </c>
      <c r="R21" s="201" t="s">
        <v>466</v>
      </c>
      <c r="S21" s="202">
        <f>SUMIFS(Scoreboard_24[Assists],Scoreboard_24[Role],"Melee DPS",Scoreboard_24[Team],"Yellow")</f>
        <v>218</v>
      </c>
      <c r="T21" s="203">
        <f>SUMIFS(Scoreboard_24[Assists],Scoreboard_24[Role],"Melee DPS",Scoreboard_24[Team],"Red")</f>
        <v>198</v>
      </c>
      <c r="V21" s="204" t="str">
        <f ca="1">IFERROR(__xludf.DUMMYFUNCTION("""COMPUTED_VALUE"""),"RheGGie")</f>
        <v>RheGGie</v>
      </c>
      <c r="W21" s="116">
        <f ca="1">IFERROR(__xludf.DUMMYFUNCTION("""COMPUTED_VALUE"""),1149626)</f>
        <v>1149626</v>
      </c>
      <c r="Y21" s="204" t="str">
        <f ca="1">IFERROR(__xludf.DUMMYFUNCTION("""COMPUTED_VALUE"""),"Biscuit")</f>
        <v>Biscuit</v>
      </c>
      <c r="Z21" s="116">
        <f ca="1">IFERROR(__xludf.DUMMYFUNCTION("""COMPUTED_VALUE"""),1448678)</f>
        <v>1448678</v>
      </c>
      <c r="AB21" s="201" t="s">
        <v>466</v>
      </c>
      <c r="AC21" s="205">
        <f>SUMIFS(Scoreboard_24[Assists],Scoreboard_24[Role],"Melee DPS",Scoreboard_24[Guild],"FTP")</f>
        <v>218</v>
      </c>
      <c r="AD21" s="206">
        <f>SUMIFS(Scoreboard_24[Assists],Scoreboard_24[Role],"Melee DPS",Scoreboard_24[Guild],"Undercooked")</f>
        <v>198</v>
      </c>
    </row>
    <row r="22" spans="1:30" ht="22.5" customHeight="1">
      <c r="A22" s="173">
        <v>51</v>
      </c>
      <c r="B22" s="115" t="str">
        <f>VLOOKUP(C22,Lists!I:J,2,FALSE)</f>
        <v>Healer</v>
      </c>
      <c r="C22" s="115" t="str">
        <f>VLOOKUP(E22,Lists!D:E,2,FALSE)</f>
        <v>Wand/Orb</v>
      </c>
      <c r="D22" s="175" t="s">
        <v>7</v>
      </c>
      <c r="E22" s="178" t="s">
        <v>139</v>
      </c>
      <c r="F22" s="175" t="s">
        <v>483</v>
      </c>
      <c r="G22" s="173">
        <v>0</v>
      </c>
      <c r="H22" s="173">
        <v>55</v>
      </c>
      <c r="I22" s="194">
        <f t="shared" si="0"/>
        <v>55</v>
      </c>
      <c r="J22" s="177">
        <v>250</v>
      </c>
      <c r="K22" s="177">
        <v>383924</v>
      </c>
      <c r="L22" s="177">
        <v>817232</v>
      </c>
      <c r="M22" s="195">
        <f>I22/(HLOOKUP(F22,Team_Composition_23[[#All],[Yellow]:[Red]],10,FALSE)+HLOOKUP(F22,Team_Composition_23[[#All],[Yellow]:[Red]],11,FALSE))</f>
        <v>6.6991473812423874E-2</v>
      </c>
      <c r="N22" s="195">
        <f>J22/HLOOKUP(F22,Team_Composition_23[[#All],[Yellow]:[Red]],6,FALSE)</f>
        <v>1.4167994443879299E-5</v>
      </c>
      <c r="O22" s="195">
        <f>K22/HLOOKUP(F22,Team_Composition_23[[#All],[Yellow]:[Red]],8,FALSE)</f>
        <v>8.7223859684644224E-3</v>
      </c>
      <c r="P22" s="195">
        <f>L22/HLOOKUP(F22,Team_Composition_23[[#All],[Yellow]:[Red]],7,FALSE)</f>
        <v>3.3674725030388271E-2</v>
      </c>
      <c r="R22" s="201" t="s">
        <v>24</v>
      </c>
      <c r="S22" s="202">
        <f t="shared" ref="S22:S25" si="2">COUNTIFS(C:C,R22,F:F,"Yellow")</f>
        <v>2</v>
      </c>
      <c r="T22" s="203">
        <f t="shared" ref="T22:T25" si="3">COUNTIFS(C:C,R22,F:F,"Red")</f>
        <v>1</v>
      </c>
      <c r="V22" s="204" t="str">
        <f ca="1">IFERROR(__xludf.DUMMYFUNCTION("""COMPUTED_VALUE"""),"Prosciutto")</f>
        <v>Prosciutto</v>
      </c>
      <c r="W22" s="116">
        <f ca="1">IFERROR(__xludf.DUMMYFUNCTION("""COMPUTED_VALUE"""),1113160)</f>
        <v>1113160</v>
      </c>
      <c r="Y22" s="204" t="str">
        <f ca="1">IFERROR(__xludf.DUMMYFUNCTION("""COMPUTED_VALUE"""),"Akaru")</f>
        <v>Akaru</v>
      </c>
      <c r="Z22" s="116">
        <f ca="1">IFERROR(__xludf.DUMMYFUNCTION("""COMPUTED_VALUE"""),1356037)</f>
        <v>1356037</v>
      </c>
      <c r="AB22" s="201" t="s">
        <v>24</v>
      </c>
      <c r="AC22" s="205">
        <f t="shared" ref="AC22:AC25" si="4">COUNTIFS(C:C,AB22,D:D,"FTP")</f>
        <v>2</v>
      </c>
      <c r="AD22" s="206">
        <f t="shared" ref="AD22:AD25" si="5">COUNTIFS(C:C,AB22,D:D,"Undercooked")</f>
        <v>1</v>
      </c>
    </row>
    <row r="23" spans="1:30" ht="22.5" customHeight="1">
      <c r="A23" s="173">
        <v>20</v>
      </c>
      <c r="B23" s="115" t="str">
        <f>VLOOKUP(C23,Lists!I:J,2,FALSE)</f>
        <v>Ranged DPS</v>
      </c>
      <c r="C23" s="115" t="s">
        <v>43</v>
      </c>
      <c r="D23" s="175" t="s">
        <v>7</v>
      </c>
      <c r="E23" s="176" t="s">
        <v>51</v>
      </c>
      <c r="F23" s="175" t="s">
        <v>483</v>
      </c>
      <c r="G23" s="173">
        <v>16</v>
      </c>
      <c r="H23" s="173">
        <v>39</v>
      </c>
      <c r="I23" s="194">
        <f t="shared" si="0"/>
        <v>55</v>
      </c>
      <c r="J23" s="177">
        <v>1178416</v>
      </c>
      <c r="K23" s="177">
        <v>869578</v>
      </c>
      <c r="L23" s="177">
        <v>20050</v>
      </c>
      <c r="M23" s="195">
        <f>I23/(HLOOKUP(F23,Team_Composition_23[[#All],[Yellow]:[Red]],10,FALSE)+HLOOKUP(F23,Team_Composition_23[[#All],[Yellow]:[Red]],11,FALSE))</f>
        <v>6.6991473812423874E-2</v>
      </c>
      <c r="N23" s="195">
        <f>J23/HLOOKUP(F23,Team_Composition_23[[#All],[Yellow]:[Red]],6,FALSE)</f>
        <v>6.6783165362313865E-2</v>
      </c>
      <c r="O23" s="195">
        <f>K23/HLOOKUP(F23,Team_Composition_23[[#All],[Yellow]:[Red]],8,FALSE)</f>
        <v>1.9755980208805275E-2</v>
      </c>
      <c r="P23" s="195">
        <f>L23/HLOOKUP(F23,Team_Composition_23[[#All],[Yellow]:[Red]],7,FALSE)</f>
        <v>8.2617694468557865E-4</v>
      </c>
      <c r="R23" s="201" t="s">
        <v>69</v>
      </c>
      <c r="S23" s="202">
        <f t="shared" si="2"/>
        <v>2</v>
      </c>
      <c r="T23" s="203">
        <f t="shared" si="3"/>
        <v>2</v>
      </c>
      <c r="V23" s="204" t="str">
        <f ca="1">IFERROR(__xludf.DUMMYFUNCTION("""COMPUTED_VALUE"""),"Feelix")</f>
        <v>Feelix</v>
      </c>
      <c r="W23" s="116">
        <f ca="1">IFERROR(__xludf.DUMMYFUNCTION("""COMPUTED_VALUE"""),1108905)</f>
        <v>1108905</v>
      </c>
      <c r="Y23" s="204" t="str">
        <f ca="1">IFERROR(__xludf.DUMMYFUNCTION("""COMPUTED_VALUE"""),"Duskstorm")</f>
        <v>Duskstorm</v>
      </c>
      <c r="Z23" s="116">
        <f ca="1">IFERROR(__xludf.DUMMYFUNCTION("""COMPUTED_VALUE"""),1211763)</f>
        <v>1211763</v>
      </c>
      <c r="AB23" s="201" t="s">
        <v>69</v>
      </c>
      <c r="AC23" s="205">
        <f t="shared" si="4"/>
        <v>2</v>
      </c>
      <c r="AD23" s="206">
        <f t="shared" si="5"/>
        <v>2</v>
      </c>
    </row>
    <row r="24" spans="1:30" ht="22.5" customHeight="1">
      <c r="A24" s="173">
        <v>22</v>
      </c>
      <c r="B24" s="115" t="str">
        <f>VLOOKUP(C24,Lists!I:J,2,FALSE)</f>
        <v>KS</v>
      </c>
      <c r="C24" s="115" t="str">
        <f>VLOOKUP(E24,Lists!D:E,2,FALSE)</f>
        <v>Greatsword/Dagger</v>
      </c>
      <c r="D24" s="175" t="s">
        <v>7</v>
      </c>
      <c r="E24" s="176" t="s">
        <v>137</v>
      </c>
      <c r="F24" s="175" t="s">
        <v>476</v>
      </c>
      <c r="G24" s="173">
        <v>15</v>
      </c>
      <c r="H24" s="173">
        <v>38</v>
      </c>
      <c r="I24" s="194">
        <f t="shared" si="0"/>
        <v>53</v>
      </c>
      <c r="J24" s="177">
        <v>978823</v>
      </c>
      <c r="K24" s="177">
        <v>974861</v>
      </c>
      <c r="L24" s="177">
        <v>5408</v>
      </c>
      <c r="M24" s="195">
        <f>I24/(HLOOKUP(F24,Team_Composition_23[[#All],[Yellow]:[Red]],10,FALSE)+HLOOKUP(F24,Team_Composition_23[[#All],[Yellow]:[Red]],11,FALSE))</f>
        <v>1.324668832791802E-2</v>
      </c>
      <c r="N24" s="195">
        <f>J24/HLOOKUP(F24,Team_Composition_23[[#All],[Yellow]:[Red]],6,FALSE)</f>
        <v>2.206365575771357E-2</v>
      </c>
      <c r="O24" s="195">
        <f>K24/HLOOKUP(F24,Team_Composition_23[[#All],[Yellow]:[Red]],8,FALSE)</f>
        <v>5.5646680076669799E-2</v>
      </c>
      <c r="P24" s="195">
        <f>L24/HLOOKUP(F24,Team_Composition_23[[#All],[Yellow]:[Red]],7,FALSE)</f>
        <v>4.1777477150238388E-4</v>
      </c>
      <c r="R24" s="201" t="s">
        <v>23</v>
      </c>
      <c r="S24" s="202">
        <f t="shared" si="2"/>
        <v>2</v>
      </c>
      <c r="T24" s="203">
        <f t="shared" si="3"/>
        <v>4</v>
      </c>
      <c r="V24" s="204" t="str">
        <f ca="1">IFERROR(__xludf.DUMMYFUNCTION("""COMPUTED_VALUE"""),"apgonzo")</f>
        <v>apgonzo</v>
      </c>
      <c r="W24" s="116">
        <f ca="1">IFERROR(__xludf.DUMMYFUNCTION("""COMPUTED_VALUE"""),1088486)</f>
        <v>1088486</v>
      </c>
      <c r="Y24" s="204" t="str">
        <f ca="1">IFERROR(__xludf.DUMMYFUNCTION("""COMPUTED_VALUE"""),"EspressoC")</f>
        <v>EspressoC</v>
      </c>
      <c r="Z24" s="116">
        <f ca="1">IFERROR(__xludf.DUMMYFUNCTION("""COMPUTED_VALUE"""),1136003)</f>
        <v>1136003</v>
      </c>
      <c r="AB24" s="201" t="s">
        <v>23</v>
      </c>
      <c r="AC24" s="205">
        <f t="shared" si="4"/>
        <v>2</v>
      </c>
      <c r="AD24" s="206">
        <f t="shared" si="5"/>
        <v>4</v>
      </c>
    </row>
    <row r="25" spans="1:30" ht="22.5" customHeight="1">
      <c r="A25" s="173">
        <v>52</v>
      </c>
      <c r="B25" s="115" t="str">
        <f>VLOOKUP(C25,Lists!I:J,2,FALSE)</f>
        <v>Healer</v>
      </c>
      <c r="C25" s="115" t="str">
        <f>VLOOKUP(E25,Lists!D:E,2,FALSE)</f>
        <v>Wand/Orb</v>
      </c>
      <c r="D25" s="175" t="s">
        <v>28</v>
      </c>
      <c r="E25" s="176" t="s">
        <v>357</v>
      </c>
      <c r="F25" s="175" t="s">
        <v>476</v>
      </c>
      <c r="G25" s="173">
        <v>0</v>
      </c>
      <c r="H25" s="173">
        <v>51</v>
      </c>
      <c r="I25" s="194">
        <f t="shared" si="0"/>
        <v>51</v>
      </c>
      <c r="J25" s="177">
        <v>417</v>
      </c>
      <c r="K25" s="177">
        <v>366581</v>
      </c>
      <c r="L25" s="177">
        <v>745268</v>
      </c>
      <c r="M25" s="195">
        <f>I25/(HLOOKUP(F25,Team_Composition_23[[#All],[Yellow]:[Red]],10,FALSE)+HLOOKUP(F25,Team_Composition_23[[#All],[Yellow]:[Red]],11,FALSE))</f>
        <v>1.2746813296675831E-2</v>
      </c>
      <c r="N25" s="195">
        <f>J25/HLOOKUP(F25,Team_Composition_23[[#All],[Yellow]:[Red]],6,FALSE)</f>
        <v>9.3995997754104259E-6</v>
      </c>
      <c r="O25" s="195">
        <f>K25/HLOOKUP(F25,Team_Composition_23[[#All],[Yellow]:[Red]],8,FALSE)</f>
        <v>2.0925050473027118E-2</v>
      </c>
      <c r="P25" s="195">
        <f>L25/HLOOKUP(F25,Team_Composition_23[[#All],[Yellow]:[Red]],7,FALSE)</f>
        <v>5.7572886170125487E-2</v>
      </c>
      <c r="R25" s="201" t="s">
        <v>33</v>
      </c>
      <c r="S25" s="202">
        <f t="shared" si="2"/>
        <v>0</v>
      </c>
      <c r="T25" s="203">
        <f t="shared" si="3"/>
        <v>0</v>
      </c>
      <c r="V25" s="204" t="str">
        <f ca="1">IFERROR(__xludf.DUMMYFUNCTION("""COMPUTED_VALUE"""),"cba")</f>
        <v>cba</v>
      </c>
      <c r="W25" s="116">
        <f ca="1">IFERROR(__xludf.DUMMYFUNCTION("""COMPUTED_VALUE"""),1033743)</f>
        <v>1033743</v>
      </c>
      <c r="Y25" s="204" t="str">
        <f ca="1">IFERROR(__xludf.DUMMYFUNCTION("""COMPUTED_VALUE"""),"Danmu")</f>
        <v>Danmu</v>
      </c>
      <c r="Z25" s="116">
        <f ca="1">IFERROR(__xludf.DUMMYFUNCTION("""COMPUTED_VALUE"""),1102334)</f>
        <v>1102334</v>
      </c>
      <c r="AB25" s="201" t="s">
        <v>33</v>
      </c>
      <c r="AC25" s="205">
        <f t="shared" si="4"/>
        <v>0</v>
      </c>
      <c r="AD25" s="206">
        <f t="shared" si="5"/>
        <v>0</v>
      </c>
    </row>
    <row r="26" spans="1:30" ht="22.5" customHeight="1">
      <c r="A26" s="173">
        <v>27</v>
      </c>
      <c r="B26" s="115" t="str">
        <f>VLOOKUP(C26,Lists!I:J,2,FALSE)</f>
        <v>Ranged DPS</v>
      </c>
      <c r="C26" s="115" t="str">
        <f>VLOOKUP(E26,Lists!D:E,2,FALSE)</f>
        <v>Staff/Dagger</v>
      </c>
      <c r="D26" s="175" t="s">
        <v>28</v>
      </c>
      <c r="E26" s="176" t="s">
        <v>336</v>
      </c>
      <c r="F26" s="175" t="s">
        <v>483</v>
      </c>
      <c r="G26" s="173">
        <v>9</v>
      </c>
      <c r="H26" s="173">
        <v>42</v>
      </c>
      <c r="I26" s="194">
        <f t="shared" si="0"/>
        <v>51</v>
      </c>
      <c r="J26" s="177">
        <v>1585213</v>
      </c>
      <c r="K26" s="177">
        <v>605888</v>
      </c>
      <c r="L26" s="177">
        <v>0</v>
      </c>
      <c r="M26" s="195">
        <f>I26/(HLOOKUP(F26,Team_Composition_23[[#All],[Yellow]:[Red]],10,FALSE)+HLOOKUP(F26,Team_Composition_23[[#All],[Yellow]:[Red]],11,FALSE))</f>
        <v>6.2119366626065771E-2</v>
      </c>
      <c r="N26" s="195">
        <f>J26/HLOOKUP(F26,Team_Composition_23[[#All],[Yellow]:[Red]],6,FALSE)</f>
        <v>8.9837155905460944E-2</v>
      </c>
      <c r="O26" s="195">
        <f>K26/HLOOKUP(F26,Team_Composition_23[[#All],[Yellow]:[Red]],8,FALSE)</f>
        <v>1.3765195688888874E-2</v>
      </c>
      <c r="P26" s="195">
        <f>L26/HLOOKUP(F26,Team_Composition_23[[#All],[Yellow]:[Red]],7,FALSE)</f>
        <v>0</v>
      </c>
      <c r="R26" s="204"/>
      <c r="S26" s="208"/>
      <c r="T26" s="208"/>
      <c r="V26" s="204" t="str">
        <f ca="1">IFERROR(__xludf.DUMMYFUNCTION("""COMPUTED_VALUE"""),"Jawz")</f>
        <v>Jawz</v>
      </c>
      <c r="W26" s="116">
        <f ca="1">IFERROR(__xludf.DUMMYFUNCTION("""COMPUTED_VALUE"""),996623)</f>
        <v>996623</v>
      </c>
      <c r="Y26" s="204" t="str">
        <f ca="1">IFERROR(__xludf.DUMMYFUNCTION("""COMPUTED_VALUE"""),"Teensy")</f>
        <v>Teensy</v>
      </c>
      <c r="Z26" s="116">
        <f ca="1">IFERROR(__xludf.DUMMYFUNCTION("""COMPUTED_VALUE"""),1093127)</f>
        <v>1093127</v>
      </c>
      <c r="AB26" s="204"/>
      <c r="AC26" s="208"/>
      <c r="AD26" s="208"/>
    </row>
    <row r="27" spans="1:30" ht="22.5" customHeight="1">
      <c r="A27" s="173">
        <v>14</v>
      </c>
      <c r="B27" s="115" t="str">
        <f>VLOOKUP(C27,Lists!I:J,2,FALSE)</f>
        <v>KS</v>
      </c>
      <c r="C27" s="115" t="str">
        <f>VLOOKUP(E27,Lists!D:E,2,FALSE)</f>
        <v>Crossbow/Dagger</v>
      </c>
      <c r="D27" s="175" t="s">
        <v>7</v>
      </c>
      <c r="E27" s="176" t="s">
        <v>131</v>
      </c>
      <c r="F27" s="175" t="s">
        <v>476</v>
      </c>
      <c r="G27" s="173">
        <v>18</v>
      </c>
      <c r="H27" s="173">
        <v>32</v>
      </c>
      <c r="I27" s="194">
        <f t="shared" si="0"/>
        <v>50</v>
      </c>
      <c r="J27" s="177">
        <v>955932</v>
      </c>
      <c r="K27" s="177">
        <v>774112</v>
      </c>
      <c r="L27" s="177">
        <v>0</v>
      </c>
      <c r="M27" s="195">
        <f>I27/(HLOOKUP(F27,Team_Composition_23[[#All],[Yellow]:[Red]],10,FALSE)+HLOOKUP(F27,Team_Composition_23[[#All],[Yellow]:[Red]],11,FALSE))</f>
        <v>1.2496875781054736E-2</v>
      </c>
      <c r="N27" s="195">
        <f>J27/HLOOKUP(F27,Team_Composition_23[[#All],[Yellow]:[Red]],6,FALSE)</f>
        <v>2.1547669574358847E-2</v>
      </c>
      <c r="O27" s="195">
        <f>K27/HLOOKUP(F27,Team_Composition_23[[#All],[Yellow]:[Red]],8,FALSE)</f>
        <v>4.4187594751981064E-2</v>
      </c>
      <c r="P27" s="195">
        <f>L27/HLOOKUP(F27,Team_Composition_23[[#All],[Yellow]:[Red]],7,FALSE)</f>
        <v>0</v>
      </c>
      <c r="R27" s="6"/>
      <c r="S27" s="209"/>
      <c r="T27" s="209"/>
      <c r="AB27" s="6"/>
      <c r="AC27" s="209"/>
      <c r="AD27" s="209"/>
    </row>
    <row r="28" spans="1:30" ht="22.5" customHeight="1">
      <c r="A28" s="173">
        <v>53</v>
      </c>
      <c r="B28" s="115" t="str">
        <f>VLOOKUP(C28,Lists!I:J,2,FALSE)</f>
        <v>Healer</v>
      </c>
      <c r="C28" s="115" t="str">
        <f>VLOOKUP(E28,Lists!D:E,2,FALSE)</f>
        <v>Wand/Orb</v>
      </c>
      <c r="D28" s="175" t="s">
        <v>7</v>
      </c>
      <c r="E28" s="176" t="s">
        <v>41</v>
      </c>
      <c r="F28" s="175" t="s">
        <v>476</v>
      </c>
      <c r="G28" s="173">
        <v>0</v>
      </c>
      <c r="H28" s="173">
        <v>49</v>
      </c>
      <c r="I28" s="194">
        <f t="shared" si="0"/>
        <v>49</v>
      </c>
      <c r="J28" s="177">
        <v>298</v>
      </c>
      <c r="K28" s="177">
        <v>287162</v>
      </c>
      <c r="L28" s="177">
        <v>1211763</v>
      </c>
      <c r="M28" s="195">
        <f>I28/(HLOOKUP(F28,Team_Composition_23[[#All],[Yellow]:[Red]],10,FALSE)+HLOOKUP(F28,Team_Composition_23[[#All],[Yellow]:[Red]],11,FALSE))</f>
        <v>1.2246938265433641E-2</v>
      </c>
      <c r="N28" s="195">
        <f>J28/HLOOKUP(F28,Team_Composition_23[[#All],[Yellow]:[Red]],6,FALSE)</f>
        <v>6.7172199833868272E-6</v>
      </c>
      <c r="O28" s="195">
        <f>K28/HLOOKUP(F28,Team_Composition_23[[#All],[Yellow]:[Red]],8,FALSE)</f>
        <v>1.6391682449268821E-2</v>
      </c>
      <c r="P28" s="195">
        <f>L28/HLOOKUP(F28,Team_Composition_23[[#All],[Yellow]:[Red]],7,FALSE)</f>
        <v>9.3610209031073074E-2</v>
      </c>
      <c r="R28" s="232" t="s">
        <v>39</v>
      </c>
      <c r="S28" s="228"/>
      <c r="T28" s="228"/>
      <c r="AB28" s="232" t="s">
        <v>39</v>
      </c>
      <c r="AC28" s="228"/>
      <c r="AD28" s="228"/>
    </row>
    <row r="29" spans="1:30" ht="22.5" customHeight="1">
      <c r="A29" s="173">
        <v>28</v>
      </c>
      <c r="B29" s="115" t="str">
        <f>VLOOKUP(C29,Lists!I:J,2,FALSE)</f>
        <v>Melee DPS</v>
      </c>
      <c r="C29" s="115" t="str">
        <f>VLOOKUP(E29,Lists!D:E,2,FALSE)</f>
        <v>Spear/Dagger</v>
      </c>
      <c r="D29" s="77" t="s">
        <v>7</v>
      </c>
      <c r="E29" s="176" t="s">
        <v>349</v>
      </c>
      <c r="F29" s="175" t="s">
        <v>476</v>
      </c>
      <c r="G29" s="173">
        <v>9</v>
      </c>
      <c r="H29" s="173">
        <v>40</v>
      </c>
      <c r="I29" s="194">
        <f t="shared" si="0"/>
        <v>49</v>
      </c>
      <c r="J29" s="177">
        <v>1398699</v>
      </c>
      <c r="K29" s="177">
        <v>794550</v>
      </c>
      <c r="L29" s="177">
        <v>20064</v>
      </c>
      <c r="M29" s="195">
        <f>I29/(HLOOKUP(F29,Team_Composition_23[[#All],[Yellow]:[Red]],10,FALSE)+HLOOKUP(F29,Team_Composition_23[[#All],[Yellow]:[Red]],11,FALSE))</f>
        <v>1.2246938265433641E-2</v>
      </c>
      <c r="N29" s="195">
        <f>J29/HLOOKUP(F29,Team_Composition_23[[#All],[Yellow]:[Red]],6,FALSE)</f>
        <v>3.1528083468265675E-2</v>
      </c>
      <c r="O29" s="195">
        <f>K29/HLOOKUP(F29,Team_Composition_23[[#All],[Yellow]:[Red]],8,FALSE)</f>
        <v>4.5354229633679043E-2</v>
      </c>
      <c r="P29" s="195">
        <f>L29/HLOOKUP(F29,Team_Composition_23[[#All],[Yellow]:[Red]],7,FALSE)</f>
        <v>1.5499691226745248E-3</v>
      </c>
      <c r="R29" s="197" t="s">
        <v>482</v>
      </c>
      <c r="S29" s="198" t="s">
        <v>476</v>
      </c>
      <c r="T29" s="198" t="s">
        <v>483</v>
      </c>
      <c r="AB29" s="197" t="s">
        <v>482</v>
      </c>
      <c r="AC29" s="198" t="s">
        <v>7</v>
      </c>
      <c r="AD29" s="198" t="s">
        <v>527</v>
      </c>
    </row>
    <row r="30" spans="1:30" ht="22.5" customHeight="1">
      <c r="A30" s="173">
        <v>17</v>
      </c>
      <c r="B30" s="115" t="str">
        <f>VLOOKUP(C30,Lists!I:J,2,FALSE)</f>
        <v>KS</v>
      </c>
      <c r="C30" s="115" t="str">
        <f>VLOOKUP(E30,Lists!D:E,2,FALSE)</f>
        <v>Crossbow/Dagger</v>
      </c>
      <c r="D30" s="175" t="s">
        <v>28</v>
      </c>
      <c r="E30" s="176" t="s">
        <v>348</v>
      </c>
      <c r="F30" s="175" t="s">
        <v>476</v>
      </c>
      <c r="G30" s="173">
        <v>17</v>
      </c>
      <c r="H30" s="173">
        <v>32</v>
      </c>
      <c r="I30" s="194">
        <f t="shared" si="0"/>
        <v>49</v>
      </c>
      <c r="J30" s="177">
        <v>910637</v>
      </c>
      <c r="K30" s="177">
        <v>546464</v>
      </c>
      <c r="L30" s="177">
        <v>0</v>
      </c>
      <c r="M30" s="195">
        <f>I30/(HLOOKUP(F30,Team_Composition_23[[#All],[Yellow]:[Red]],10,FALSE)+HLOOKUP(F30,Team_Composition_23[[#All],[Yellow]:[Red]],11,FALSE))</f>
        <v>1.2246938265433641E-2</v>
      </c>
      <c r="N30" s="195">
        <f>J30/HLOOKUP(F30,Team_Composition_23[[#All],[Yellow]:[Red]],6,FALSE)</f>
        <v>2.0526674677890707E-2</v>
      </c>
      <c r="O30" s="195">
        <f>K30/HLOOKUP(F30,Team_Composition_23[[#All],[Yellow]:[Red]],8,FALSE)</f>
        <v>3.119306996732589E-2</v>
      </c>
      <c r="P30" s="195">
        <f>L30/HLOOKUP(F30,Team_Composition_23[[#All],[Yellow]:[Red]],7,FALSE)</f>
        <v>0</v>
      </c>
      <c r="R30" s="201" t="s">
        <v>468</v>
      </c>
      <c r="S30" s="202">
        <f>SUMIFS(Scoreboard_24[Damage Dealt],Scoreboard_24[Role],"Ranged DPS",Scoreboard_24[Team],"Yellow")</f>
        <v>14033945</v>
      </c>
      <c r="T30" s="203">
        <f>SUMIFS(Scoreboard_24[Damage Dealt],Scoreboard_24[Role],"Ranged DPS",Scoreboard_24[Team],"Red")</f>
        <v>7973170</v>
      </c>
      <c r="AB30" s="201" t="s">
        <v>468</v>
      </c>
      <c r="AC30" s="205">
        <f>SUMIFS(Scoreboard_24[Damage Dealt],Scoreboard_24[Role],"Ranged DPS",Scoreboard_24[Guild],"FTP")</f>
        <v>10369777</v>
      </c>
      <c r="AD30" s="206">
        <f>SUMIFS(Scoreboard_24[Damage Dealt],Scoreboard_24[Role],"Ranged DPS",Scoreboard_24[Guild],"Undercooked")</f>
        <v>11637338</v>
      </c>
    </row>
    <row r="31" spans="1:30" ht="22.5" customHeight="1">
      <c r="A31" s="173">
        <v>54</v>
      </c>
      <c r="B31" s="115" t="str">
        <f>VLOOKUP(C31,Lists!I:J,2,FALSE)</f>
        <v>Healer</v>
      </c>
      <c r="C31" s="115" t="str">
        <f>VLOOKUP(E31,Lists!D:E,2,FALSE)</f>
        <v>Wand/Orb</v>
      </c>
      <c r="D31" s="175" t="s">
        <v>7</v>
      </c>
      <c r="E31" s="176" t="s">
        <v>96</v>
      </c>
      <c r="F31" s="175" t="s">
        <v>476</v>
      </c>
      <c r="G31" s="173">
        <v>0</v>
      </c>
      <c r="H31" s="173">
        <v>48</v>
      </c>
      <c r="I31" s="194">
        <f t="shared" si="0"/>
        <v>48</v>
      </c>
      <c r="J31" s="177">
        <v>1807</v>
      </c>
      <c r="K31" s="177">
        <v>186675</v>
      </c>
      <c r="L31" s="177">
        <v>778772</v>
      </c>
      <c r="M31" s="195">
        <f>I31/(HLOOKUP(F31,Team_Composition_23[[#All],[Yellow]:[Red]],10,FALSE)+HLOOKUP(F31,Team_Composition_23[[#All],[Yellow]:[Red]],11,FALSE))</f>
        <v>1.1997000749812546E-2</v>
      </c>
      <c r="N31" s="195">
        <f>J31/HLOOKUP(F31,Team_Composition_23[[#All],[Yellow]:[Red]],6,FALSE)</f>
        <v>4.0731599026778512E-5</v>
      </c>
      <c r="O31" s="195">
        <f>K31/HLOOKUP(F31,Team_Composition_23[[#All],[Yellow]:[Red]],8,FALSE)</f>
        <v>1.0655718100644435E-2</v>
      </c>
      <c r="P31" s="195">
        <f>L31/HLOOKUP(F31,Team_Composition_23[[#All],[Yellow]:[Red]],7,FALSE)</f>
        <v>6.0161112121385821E-2</v>
      </c>
      <c r="R31" s="201" t="s">
        <v>469</v>
      </c>
      <c r="S31" s="202">
        <f>SUMIFS(Scoreboard_24[Damage Taken],Scoreboard_24[Role],"Ranged DPS",Scoreboard_24[Team],"Yellow")</f>
        <v>3872844</v>
      </c>
      <c r="T31" s="203">
        <f>SUMIFS(Scoreboard_24[Damage Taken],Scoreboard_24[Role],"Ranged DPS",Scoreboard_24[Team],"Red")</f>
        <v>3811737</v>
      </c>
      <c r="AB31" s="201" t="s">
        <v>469</v>
      </c>
      <c r="AC31" s="205">
        <f>SUMIFS(Scoreboard_24[Damage Taken],Scoreboard_24[Role],"Ranged DPS",Scoreboard_24[Guild],"FTP")</f>
        <v>3916393</v>
      </c>
      <c r="AD31" s="206">
        <f>SUMIFS(Scoreboard_24[Damage Taken],Scoreboard_24[Role],"Ranged DPS",Scoreboard_24[Guild],"Undercooked")</f>
        <v>3768188</v>
      </c>
    </row>
    <row r="32" spans="1:30" ht="22.5" customHeight="1">
      <c r="A32" s="173">
        <v>24</v>
      </c>
      <c r="B32" s="115" t="str">
        <f>VLOOKUP(C32,Lists!I:J,2,FALSE)</f>
        <v>Melee DPS</v>
      </c>
      <c r="C32" s="115" t="str">
        <f>VLOOKUP(E32,Lists!D:E,2,FALSE)</f>
        <v>Spear/Dagger</v>
      </c>
      <c r="D32" s="175" t="s">
        <v>28</v>
      </c>
      <c r="E32" s="176" t="s">
        <v>350</v>
      </c>
      <c r="F32" s="175" t="s">
        <v>483</v>
      </c>
      <c r="G32" s="173">
        <v>14</v>
      </c>
      <c r="H32" s="173">
        <v>34</v>
      </c>
      <c r="I32" s="194">
        <f t="shared" si="0"/>
        <v>48</v>
      </c>
      <c r="J32" s="177">
        <v>1218707</v>
      </c>
      <c r="K32" s="177">
        <v>806971</v>
      </c>
      <c r="L32" s="177">
        <v>8974</v>
      </c>
      <c r="M32" s="195">
        <f>I32/(HLOOKUP(F32,Team_Composition_23[[#All],[Yellow]:[Red]],10,FALSE)+HLOOKUP(F32,Team_Composition_23[[#All],[Yellow]:[Red]],11,FALSE))</f>
        <v>5.8465286236297195E-2</v>
      </c>
      <c r="N32" s="195">
        <f>J32/HLOOKUP(F32,Team_Composition_23[[#All],[Yellow]:[Red]],6,FALSE)</f>
        <v>6.9066536018867239E-2</v>
      </c>
      <c r="O32" s="195">
        <f>K32/HLOOKUP(F32,Team_Composition_23[[#All],[Yellow]:[Red]],8,FALSE)</f>
        <v>1.8333609066788489E-2</v>
      </c>
      <c r="P32" s="195">
        <f>L32/HLOOKUP(F32,Team_Composition_23[[#All],[Yellow]:[Red]],7,FALSE)</f>
        <v>3.6978114222485702E-4</v>
      </c>
      <c r="R32" s="201" t="s">
        <v>470</v>
      </c>
      <c r="S32" s="202">
        <f>SUMIFS(Scoreboard_24[Amount Healed],Scoreboard_24[Role],"Ranged DPS",Scoreboard_24[Team],"Yellow")</f>
        <v>88980</v>
      </c>
      <c r="T32" s="203">
        <f>SUMIFS(Scoreboard_24[Amount Healed],Scoreboard_24[Role],"Ranged DPS",Scoreboard_24[Team],"Red")</f>
        <v>335916</v>
      </c>
      <c r="AB32" s="201" t="s">
        <v>470</v>
      </c>
      <c r="AC32" s="205">
        <f>SUMIFS(Scoreboard_24[Amount Healed],Scoreboard_24[Role],"Ranged DPS",Scoreboard_24[Guild],"FTP")</f>
        <v>366077</v>
      </c>
      <c r="AD32" s="206">
        <f>SUMIFS(Scoreboard_24[Amount Healed],Scoreboard_24[Role],"Ranged DPS",Scoreboard_24[Guild],"Undercooked")</f>
        <v>58819</v>
      </c>
    </row>
    <row r="33" spans="1:30" ht="22.5" customHeight="1">
      <c r="A33" s="173">
        <v>15</v>
      </c>
      <c r="B33" s="115" t="str">
        <f>VLOOKUP(C33,Lists!I:J,2,FALSE)</f>
        <v>Tank</v>
      </c>
      <c r="C33" s="115" t="s">
        <v>14</v>
      </c>
      <c r="D33" s="175" t="s">
        <v>7</v>
      </c>
      <c r="E33" s="176" t="s">
        <v>143</v>
      </c>
      <c r="F33" s="175" t="s">
        <v>476</v>
      </c>
      <c r="G33" s="173">
        <v>18</v>
      </c>
      <c r="H33" s="173">
        <v>30</v>
      </c>
      <c r="I33" s="194">
        <f t="shared" si="0"/>
        <v>48</v>
      </c>
      <c r="J33" s="177">
        <v>985405</v>
      </c>
      <c r="K33" s="177">
        <v>693911</v>
      </c>
      <c r="L33" s="177">
        <v>0</v>
      </c>
      <c r="M33" s="195">
        <f>I33/(HLOOKUP(F33,Team_Composition_23[[#All],[Yellow]:[Red]],10,FALSE)+HLOOKUP(F33,Team_Composition_23[[#All],[Yellow]:[Red]],11,FALSE))</f>
        <v>1.1997000749812546E-2</v>
      </c>
      <c r="N33" s="195">
        <f>J33/HLOOKUP(F33,Team_Composition_23[[#All],[Yellow]:[Red]],6,FALSE)</f>
        <v>2.2212020663521129E-2</v>
      </c>
      <c r="O33" s="195">
        <f>K33/HLOOKUP(F33,Team_Composition_23[[#All],[Yellow]:[Red]],8,FALSE)</f>
        <v>3.9609588873369656E-2</v>
      </c>
      <c r="P33" s="195">
        <f>L33/HLOOKUP(F33,Team_Composition_23[[#All],[Yellow]:[Red]],7,FALSE)</f>
        <v>0</v>
      </c>
      <c r="R33" s="201" t="s">
        <v>465</v>
      </c>
      <c r="S33" s="202">
        <f>SUMIFS(Scoreboard_24[Kills],Scoreboard_24[Role],"Ranged DPS",Scoreboard_24[Team],"Yellow")</f>
        <v>138</v>
      </c>
      <c r="T33" s="203">
        <f>SUMIFS(Scoreboard_24[Kills],Scoreboard_24[Role],"Ranged DPS",Scoreboard_24[Team],"Red")</f>
        <v>76</v>
      </c>
      <c r="AB33" s="201" t="s">
        <v>465</v>
      </c>
      <c r="AC33" s="205">
        <f>SUMIFS(Scoreboard_24[Kills],Scoreboard_24[Role],"Ranged DPS",Scoreboard_24[Guild],"FTP")</f>
        <v>87</v>
      </c>
      <c r="AD33" s="206">
        <f>SUMIFS(Scoreboard_24[Kills],Scoreboard_24[Role],"Ranged DPS",Scoreboard_24[Guild],"Undercooked")</f>
        <v>127</v>
      </c>
    </row>
    <row r="34" spans="1:30" ht="22.5" customHeight="1">
      <c r="A34" s="173">
        <v>55</v>
      </c>
      <c r="B34" s="115" t="str">
        <f>VLOOKUP(C34,Lists!I:J,2,FALSE)</f>
        <v>Healer</v>
      </c>
      <c r="C34" s="115" t="str">
        <f>VLOOKUP(E34,Lists!D:E,2,FALSE)</f>
        <v>Wand/Longbow</v>
      </c>
      <c r="D34" s="175" t="s">
        <v>7</v>
      </c>
      <c r="E34" s="176" t="s">
        <v>132</v>
      </c>
      <c r="F34" s="175" t="s">
        <v>476</v>
      </c>
      <c r="G34" s="173">
        <v>0</v>
      </c>
      <c r="H34" s="173">
        <v>47</v>
      </c>
      <c r="I34" s="194">
        <f t="shared" si="0"/>
        <v>47</v>
      </c>
      <c r="J34" s="177">
        <v>1982</v>
      </c>
      <c r="K34" s="177">
        <v>434179</v>
      </c>
      <c r="L34" s="177">
        <v>911114</v>
      </c>
      <c r="M34" s="195">
        <f>I34/(HLOOKUP(F34,Team_Composition_23[[#All],[Yellow]:[Red]],10,FALSE)+HLOOKUP(F34,Team_Composition_23[[#All],[Yellow]:[Red]],11,FALSE))</f>
        <v>1.1747063234191453E-2</v>
      </c>
      <c r="N34" s="195">
        <f>J34/HLOOKUP(F34,Team_Composition_23[[#All],[Yellow]:[Red]],6,FALSE)</f>
        <v>4.4676275191519099E-5</v>
      </c>
      <c r="O34" s="195">
        <f>K34/HLOOKUP(F34,Team_Composition_23[[#All],[Yellow]:[Red]],8,FALSE)</f>
        <v>2.4783656243308961E-2</v>
      </c>
      <c r="P34" s="195">
        <f>L34/HLOOKUP(F34,Team_Composition_23[[#All],[Yellow]:[Red]],7,FALSE)</f>
        <v>7.0384697330366675E-2</v>
      </c>
      <c r="R34" s="201" t="s">
        <v>466</v>
      </c>
      <c r="S34" s="202">
        <f>SUMIFS(Scoreboard_24[Assists],Scoreboard_24[Role],"Ranged DPS",Scoreboard_24[Team],"Yellow")</f>
        <v>325</v>
      </c>
      <c r="T34" s="203">
        <f>SUMIFS(Scoreboard_24[Assists],Scoreboard_24[Role],"Ranged DPS",Scoreboard_24[Team],"Red")</f>
        <v>182</v>
      </c>
      <c r="AB34" s="201" t="s">
        <v>466</v>
      </c>
      <c r="AC34" s="205">
        <f>SUMIFS(Scoreboard_24[Assists],Scoreboard_24[Role],"Ranged DPS",Scoreboard_24[Guild],"FTP")</f>
        <v>235</v>
      </c>
      <c r="AD34" s="206">
        <f>SUMIFS(Scoreboard_24[Assists],Scoreboard_24[Role],"Ranged DPS",Scoreboard_24[Team],"Red")</f>
        <v>182</v>
      </c>
    </row>
    <row r="35" spans="1:30" ht="22.5" customHeight="1">
      <c r="A35" s="173">
        <v>16</v>
      </c>
      <c r="B35" s="115" t="str">
        <f>VLOOKUP(C35,Lists!I:J,2,FALSE)</f>
        <v>Tank</v>
      </c>
      <c r="C35" s="115" t="str">
        <f>VLOOKUP(E35,Lists!D:E,2,FALSE)</f>
        <v>SnS/Spear</v>
      </c>
      <c r="D35" s="175" t="s">
        <v>28</v>
      </c>
      <c r="E35" s="176" t="s">
        <v>361</v>
      </c>
      <c r="F35" s="175" t="s">
        <v>476</v>
      </c>
      <c r="G35" s="173">
        <v>18</v>
      </c>
      <c r="H35" s="173">
        <v>29</v>
      </c>
      <c r="I35" s="194">
        <f t="shared" si="0"/>
        <v>47</v>
      </c>
      <c r="J35" s="177">
        <v>957779</v>
      </c>
      <c r="K35" s="177">
        <v>956070</v>
      </c>
      <c r="L35" s="177">
        <v>17340</v>
      </c>
      <c r="M35" s="195">
        <f>I35/(HLOOKUP(F35,Team_Composition_23[[#All],[Yellow]:[Red]],10,FALSE)+HLOOKUP(F35,Team_Composition_23[[#All],[Yellow]:[Red]],11,FALSE))</f>
        <v>1.1747063234191453E-2</v>
      </c>
      <c r="N35" s="195">
        <f>J35/HLOOKUP(F35,Team_Composition_23[[#All],[Yellow]:[Red]],6,FALSE)</f>
        <v>2.1589302813651852E-2</v>
      </c>
      <c r="O35" s="195">
        <f>K35/HLOOKUP(F35,Team_Composition_23[[#All],[Yellow]:[Red]],8,FALSE)</f>
        <v>5.4574058682111286E-2</v>
      </c>
      <c r="P35" s="195">
        <f>L35/HLOOKUP(F35,Team_Composition_23[[#All],[Yellow]:[Red]],7,FALSE)</f>
        <v>1.3395367118807944E-3</v>
      </c>
      <c r="R35" s="201" t="s">
        <v>54</v>
      </c>
      <c r="S35" s="202">
        <f t="shared" ref="S35:S46" si="6">COUNTIFS(C:C,R35,F:F,"Yellow")</f>
        <v>2</v>
      </c>
      <c r="T35" s="203">
        <f t="shared" ref="T35:T46" si="7">COUNTIFS(C:C,R35,F:F,"Red")</f>
        <v>3</v>
      </c>
      <c r="AB35" s="201" t="s">
        <v>54</v>
      </c>
      <c r="AC35" s="205">
        <f t="shared" ref="AC35:AC46" si="8">COUNTIFS(C:C,AB35,D:D,"FTP")</f>
        <v>2</v>
      </c>
      <c r="AD35" s="206">
        <f t="shared" ref="AD35:AD46" si="9">COUNTIFS(C:C,AB35,D:D,"Undercooked")</f>
        <v>3</v>
      </c>
    </row>
    <row r="36" spans="1:30" ht="22.5" customHeight="1">
      <c r="A36" s="173">
        <v>21</v>
      </c>
      <c r="B36" s="115" t="str">
        <f>VLOOKUP(C36,Lists!I:J,2,FALSE)</f>
        <v>KS</v>
      </c>
      <c r="C36" s="115" t="str">
        <f>VLOOKUP(E36,Lists!D:E,2,FALSE)</f>
        <v>Crossbow/Dagger</v>
      </c>
      <c r="D36" s="175" t="s">
        <v>28</v>
      </c>
      <c r="E36" s="176" t="s">
        <v>335</v>
      </c>
      <c r="F36" s="175" t="s">
        <v>483</v>
      </c>
      <c r="G36" s="173">
        <v>16</v>
      </c>
      <c r="H36" s="173">
        <v>30</v>
      </c>
      <c r="I36" s="194">
        <f t="shared" si="0"/>
        <v>46</v>
      </c>
      <c r="J36" s="177">
        <v>704840</v>
      </c>
      <c r="K36" s="177">
        <v>632257</v>
      </c>
      <c r="L36" s="177">
        <v>0</v>
      </c>
      <c r="M36" s="195">
        <f>I36/(HLOOKUP(F36,Team_Composition_23[[#All],[Yellow]:[Red]],10,FALSE)+HLOOKUP(F36,Team_Composition_23[[#All],[Yellow]:[Red]],11,FALSE))</f>
        <v>5.6029232643118147E-2</v>
      </c>
      <c r="N36" s="195">
        <f>J36/HLOOKUP(F36,Team_Composition_23[[#All],[Yellow]:[Red]],6,FALSE)</f>
        <v>3.9944676815295538E-2</v>
      </c>
      <c r="O36" s="195">
        <f>K36/HLOOKUP(F36,Team_Composition_23[[#All],[Yellow]:[Red]],8,FALSE)</f>
        <v>1.4364274140880515E-2</v>
      </c>
      <c r="P36" s="195">
        <f>L36/HLOOKUP(F36,Team_Composition_23[[#All],[Yellow]:[Red]],7,FALSE)</f>
        <v>0</v>
      </c>
      <c r="R36" s="201" t="s">
        <v>43</v>
      </c>
      <c r="S36" s="202">
        <f t="shared" si="6"/>
        <v>1</v>
      </c>
      <c r="T36" s="203">
        <f t="shared" si="7"/>
        <v>1</v>
      </c>
      <c r="AB36" s="201" t="s">
        <v>43</v>
      </c>
      <c r="AC36" s="205">
        <f t="shared" si="8"/>
        <v>1</v>
      </c>
      <c r="AD36" s="206">
        <f t="shared" si="9"/>
        <v>1</v>
      </c>
    </row>
    <row r="37" spans="1:30" ht="22.5" customHeight="1">
      <c r="A37" s="173">
        <v>36</v>
      </c>
      <c r="B37" s="115" t="str">
        <f>VLOOKUP(C37,Lists!I:J,2,FALSE)</f>
        <v>Healer</v>
      </c>
      <c r="C37" s="115" t="s">
        <v>10</v>
      </c>
      <c r="D37" s="77" t="s">
        <v>563</v>
      </c>
      <c r="E37" s="176" t="s">
        <v>564</v>
      </c>
      <c r="F37" s="175" t="s">
        <v>483</v>
      </c>
      <c r="G37" s="173">
        <v>2</v>
      </c>
      <c r="H37" s="173">
        <v>41</v>
      </c>
      <c r="I37" s="194">
        <f t="shared" si="0"/>
        <v>43</v>
      </c>
      <c r="J37" s="177">
        <v>64167</v>
      </c>
      <c r="K37" s="177">
        <v>506849</v>
      </c>
      <c r="L37" s="177">
        <v>22663</v>
      </c>
      <c r="M37" s="195">
        <f>I37/(HLOOKUP(F37,Team_Composition_23[[#All],[Yellow]:[Red]],10,FALSE)+HLOOKUP(F37,Team_Composition_23[[#All],[Yellow]:[Red]],11,FALSE))</f>
        <v>5.2375152253349572E-2</v>
      </c>
      <c r="N37" s="195">
        <f>J37/HLOOKUP(F37,Team_Composition_23[[#All],[Yellow]:[Red]],6,FALSE)</f>
        <v>3.6364707979216118E-3</v>
      </c>
      <c r="O37" s="195">
        <f>K37/HLOOKUP(F37,Team_Composition_23[[#All],[Yellow]:[Red]],8,FALSE)</f>
        <v>1.1515124362452528E-2</v>
      </c>
      <c r="P37" s="195">
        <f>L37/HLOOKUP(F37,Team_Composition_23[[#All],[Yellow]:[Red]],7,FALSE)</f>
        <v>9.338477854069461E-4</v>
      </c>
      <c r="R37" s="201" t="s">
        <v>45</v>
      </c>
      <c r="S37" s="202">
        <f t="shared" si="6"/>
        <v>1</v>
      </c>
      <c r="T37" s="203">
        <f t="shared" si="7"/>
        <v>0</v>
      </c>
      <c r="AB37" s="201" t="s">
        <v>45</v>
      </c>
      <c r="AC37" s="205">
        <f t="shared" si="8"/>
        <v>1</v>
      </c>
      <c r="AD37" s="206">
        <f t="shared" si="9"/>
        <v>0</v>
      </c>
    </row>
    <row r="38" spans="1:30" ht="22.5" customHeight="1">
      <c r="A38" s="173">
        <v>56</v>
      </c>
      <c r="B38" s="115" t="str">
        <f>VLOOKUP(C38,Lists!I:J,2,FALSE)</f>
        <v>Healer</v>
      </c>
      <c r="C38" s="115" t="str">
        <f>VLOOKUP(E38,Lists!D:E,2,FALSE)</f>
        <v>Wand/Longbow</v>
      </c>
      <c r="D38" s="175" t="s">
        <v>7</v>
      </c>
      <c r="E38" s="176" t="s">
        <v>44</v>
      </c>
      <c r="F38" s="175" t="s">
        <v>476</v>
      </c>
      <c r="G38" s="173">
        <v>0</v>
      </c>
      <c r="H38" s="173">
        <v>43</v>
      </c>
      <c r="I38" s="194">
        <f t="shared" si="0"/>
        <v>43</v>
      </c>
      <c r="J38" s="177">
        <v>47384</v>
      </c>
      <c r="K38" s="177">
        <v>656863</v>
      </c>
      <c r="L38" s="177">
        <v>1851514</v>
      </c>
      <c r="M38" s="195">
        <f>I38/(HLOOKUP(F38,Team_Composition_23[[#All],[Yellow]:[Red]],10,FALSE)+HLOOKUP(F38,Team_Composition_23[[#All],[Yellow]:[Red]],11,FALSE))</f>
        <v>1.0747313171707074E-2</v>
      </c>
      <c r="N38" s="195">
        <f>J38/HLOOKUP(F38,Team_Composition_23[[#All],[Yellow]:[Red]],6,FALSE)</f>
        <v>1.0680830593718168E-3</v>
      </c>
      <c r="O38" s="195">
        <f>K38/HLOOKUP(F38,Team_Composition_23[[#All],[Yellow]:[Red]],8,FALSE)</f>
        <v>3.7494827688461796E-2</v>
      </c>
      <c r="P38" s="195">
        <f>L38/HLOOKUP(F38,Team_Composition_23[[#All],[Yellow]:[Red]],7,FALSE)</f>
        <v>0.14303177483052235</v>
      </c>
      <c r="R38" s="201" t="s">
        <v>81</v>
      </c>
      <c r="S38" s="202">
        <f t="shared" si="6"/>
        <v>0</v>
      </c>
      <c r="T38" s="203">
        <f t="shared" si="7"/>
        <v>0</v>
      </c>
      <c r="AB38" s="201" t="s">
        <v>81</v>
      </c>
      <c r="AC38" s="205">
        <f t="shared" si="8"/>
        <v>0</v>
      </c>
      <c r="AD38" s="206">
        <f t="shared" si="9"/>
        <v>0</v>
      </c>
    </row>
    <row r="39" spans="1:30" ht="22.5" customHeight="1">
      <c r="A39" s="173">
        <v>57</v>
      </c>
      <c r="B39" s="115" t="str">
        <f>VLOOKUP(C39,Lists!I:J,2,FALSE)</f>
        <v>Healer</v>
      </c>
      <c r="C39" s="115" t="str">
        <f>VLOOKUP(E39,Lists!D:E,2,FALSE)</f>
        <v>Wand/Longbow</v>
      </c>
      <c r="D39" s="175" t="s">
        <v>7</v>
      </c>
      <c r="E39" s="176" t="s">
        <v>108</v>
      </c>
      <c r="F39" s="175" t="s">
        <v>476</v>
      </c>
      <c r="G39" s="173">
        <v>0</v>
      </c>
      <c r="H39" s="173">
        <v>43</v>
      </c>
      <c r="I39" s="194">
        <f t="shared" si="0"/>
        <v>43</v>
      </c>
      <c r="J39" s="177">
        <v>27307</v>
      </c>
      <c r="K39" s="177">
        <v>342053</v>
      </c>
      <c r="L39" s="177">
        <v>1093127</v>
      </c>
      <c r="M39" s="195">
        <f>I39/(HLOOKUP(F39,Team_Composition_23[[#All],[Yellow]:[Red]],10,FALSE)+HLOOKUP(F39,Team_Composition_23[[#All],[Yellow]:[Red]],11,FALSE))</f>
        <v>1.0747313171707074E-2</v>
      </c>
      <c r="N39" s="195">
        <f>J39/HLOOKUP(F39,Team_Composition_23[[#All],[Yellow]:[Red]],6,FALSE)</f>
        <v>6.155272687461211E-4</v>
      </c>
      <c r="O39" s="195">
        <f>K39/HLOOKUP(F39,Team_Composition_23[[#All],[Yellow]:[Red]],8,FALSE)</f>
        <v>1.9524951619015567E-2</v>
      </c>
      <c r="P39" s="195">
        <f>L39/HLOOKUP(F39,Team_Composition_23[[#All],[Yellow]:[Red]],7,FALSE)</f>
        <v>8.4445429483743784E-2</v>
      </c>
      <c r="R39" s="201" t="s">
        <v>48</v>
      </c>
      <c r="S39" s="202">
        <f t="shared" si="6"/>
        <v>0</v>
      </c>
      <c r="T39" s="203">
        <f t="shared" si="7"/>
        <v>1</v>
      </c>
      <c r="AB39" s="201" t="s">
        <v>48</v>
      </c>
      <c r="AC39" s="205">
        <f t="shared" si="8"/>
        <v>0</v>
      </c>
      <c r="AD39" s="206">
        <f t="shared" si="9"/>
        <v>1</v>
      </c>
    </row>
    <row r="40" spans="1:30" ht="22.5" customHeight="1">
      <c r="A40" s="173">
        <v>23</v>
      </c>
      <c r="B40" s="115" t="str">
        <f>VLOOKUP(C40,Lists!I:J,2,FALSE)</f>
        <v>KS</v>
      </c>
      <c r="C40" s="115" t="str">
        <f>VLOOKUP(E40,Lists!D:E,2,FALSE)</f>
        <v>Greatsword/Dagger</v>
      </c>
      <c r="D40" s="175" t="s">
        <v>28</v>
      </c>
      <c r="E40" s="176" t="s">
        <v>353</v>
      </c>
      <c r="F40" s="175" t="s">
        <v>476</v>
      </c>
      <c r="G40" s="173">
        <v>15</v>
      </c>
      <c r="H40" s="173">
        <v>27</v>
      </c>
      <c r="I40" s="194">
        <f t="shared" si="0"/>
        <v>42</v>
      </c>
      <c r="J40" s="177">
        <v>470382</v>
      </c>
      <c r="K40" s="177">
        <v>676417</v>
      </c>
      <c r="L40" s="177">
        <v>5116</v>
      </c>
      <c r="M40" s="195">
        <f>I40/(HLOOKUP(F40,Team_Composition_23[[#All],[Yellow]:[Red]],10,FALSE)+HLOOKUP(F40,Team_Composition_23[[#All],[Yellow]:[Red]],11,FALSE))</f>
        <v>1.0497375656085979E-2</v>
      </c>
      <c r="N40" s="195">
        <f>J40/HLOOKUP(F40,Team_Composition_23[[#All],[Yellow]:[Red]],6,FALSE)</f>
        <v>1.0602883792702895E-2</v>
      </c>
      <c r="O40" s="195">
        <f>K40/HLOOKUP(F40,Team_Composition_23[[#All],[Yellow]:[Red]],8,FALSE)</f>
        <v>3.8611002386412782E-2</v>
      </c>
      <c r="P40" s="195">
        <f>L40/HLOOKUP(F40,Team_Composition_23[[#All],[Yellow]:[Red]],7,FALSE)</f>
        <v>3.9521740588132324E-4</v>
      </c>
      <c r="R40" s="201" t="s">
        <v>50</v>
      </c>
      <c r="S40" s="202">
        <f t="shared" si="6"/>
        <v>0</v>
      </c>
      <c r="T40" s="203">
        <f t="shared" si="7"/>
        <v>0</v>
      </c>
      <c r="AB40" s="201" t="s">
        <v>50</v>
      </c>
      <c r="AC40" s="205">
        <f t="shared" si="8"/>
        <v>0</v>
      </c>
      <c r="AD40" s="206">
        <f t="shared" si="9"/>
        <v>0</v>
      </c>
    </row>
    <row r="41" spans="1:30" ht="22.5" customHeight="1">
      <c r="A41" s="173">
        <v>11</v>
      </c>
      <c r="B41" s="115" t="str">
        <f>VLOOKUP(C41,Lists!I:J,2,FALSE)</f>
        <v>KS</v>
      </c>
      <c r="C41" s="115" t="str">
        <f>VLOOKUP(E41,Lists!D:E,2,FALSE)</f>
        <v>Crossbow/Dagger</v>
      </c>
      <c r="D41" s="175" t="s">
        <v>7</v>
      </c>
      <c r="E41" s="176" t="s">
        <v>129</v>
      </c>
      <c r="F41" s="175" t="s">
        <v>483</v>
      </c>
      <c r="G41" s="173">
        <v>22</v>
      </c>
      <c r="H41" s="173">
        <v>20</v>
      </c>
      <c r="I41" s="194">
        <f t="shared" si="0"/>
        <v>42</v>
      </c>
      <c r="J41" s="177">
        <v>1166872</v>
      </c>
      <c r="K41" s="177">
        <v>647791</v>
      </c>
      <c r="L41" s="177">
        <v>0</v>
      </c>
      <c r="M41" s="195">
        <f>I41/(HLOOKUP(F41,Team_Composition_23[[#All],[Yellow]:[Red]],10,FALSE)+HLOOKUP(F41,Team_Composition_23[[#All],[Yellow]:[Red]],11,FALSE))</f>
        <v>5.1157125456760051E-2</v>
      </c>
      <c r="N41" s="195">
        <f>J41/HLOOKUP(F41,Team_Composition_23[[#All],[Yellow]:[Red]],6,FALSE)</f>
        <v>6.6128944050873301E-2</v>
      </c>
      <c r="O41" s="195">
        <f>K41/HLOOKUP(F41,Team_Composition_23[[#All],[Yellow]:[Red]],8,FALSE)</f>
        <v>1.4717191759039646E-2</v>
      </c>
      <c r="P41" s="195">
        <f>L41/HLOOKUP(F41,Team_Composition_23[[#All],[Yellow]:[Red]],7,FALSE)</f>
        <v>0</v>
      </c>
      <c r="R41" s="201" t="s">
        <v>52</v>
      </c>
      <c r="S41" s="202">
        <f t="shared" si="6"/>
        <v>0</v>
      </c>
      <c r="T41" s="203">
        <f t="shared" si="7"/>
        <v>1</v>
      </c>
      <c r="AB41" s="201" t="s">
        <v>52</v>
      </c>
      <c r="AC41" s="205">
        <f t="shared" si="8"/>
        <v>1</v>
      </c>
      <c r="AD41" s="206">
        <f t="shared" si="9"/>
        <v>0</v>
      </c>
    </row>
    <row r="42" spans="1:30" ht="22.5" customHeight="1">
      <c r="A42" s="173">
        <v>58</v>
      </c>
      <c r="B42" s="115" t="str">
        <f>VLOOKUP(C42,Lists!I:J,2,FALSE)</f>
        <v>Healer</v>
      </c>
      <c r="C42" s="115" t="str">
        <f>VLOOKUP(E42,Lists!D:E,2,FALSE)</f>
        <v>Wand/Longbow</v>
      </c>
      <c r="D42" s="175" t="s">
        <v>28</v>
      </c>
      <c r="E42" s="176" t="s">
        <v>358</v>
      </c>
      <c r="F42" s="175" t="s">
        <v>476</v>
      </c>
      <c r="G42" s="173">
        <v>0</v>
      </c>
      <c r="H42" s="173">
        <v>41</v>
      </c>
      <c r="I42" s="194">
        <f t="shared" si="0"/>
        <v>41</v>
      </c>
      <c r="J42" s="177">
        <v>19303</v>
      </c>
      <c r="K42" s="177">
        <v>133471</v>
      </c>
      <c r="L42" s="177">
        <v>932693</v>
      </c>
      <c r="M42" s="195">
        <f>I42/(HLOOKUP(F42,Team_Composition_23[[#All],[Yellow]:[Red]],10,FALSE)+HLOOKUP(F42,Team_Composition_23[[#All],[Yellow]:[Red]],11,FALSE))</f>
        <v>1.0247438140464884E-2</v>
      </c>
      <c r="N42" s="195">
        <f>J42/HLOOKUP(F42,Team_Composition_23[[#All],[Yellow]:[Red]],6,FALSE)</f>
        <v>4.3510905147421452E-4</v>
      </c>
      <c r="O42" s="195">
        <f>K42/HLOOKUP(F42,Team_Composition_23[[#All],[Yellow]:[Red]],8,FALSE)</f>
        <v>7.6187456842700596E-3</v>
      </c>
      <c r="P42" s="195">
        <f>L42/HLOOKUP(F42,Team_Composition_23[[#All],[Yellow]:[Red]],7,FALSE)</f>
        <v>7.2051702100013493E-2</v>
      </c>
      <c r="R42" s="201" t="s">
        <v>32</v>
      </c>
      <c r="S42" s="202">
        <f t="shared" si="6"/>
        <v>3</v>
      </c>
      <c r="T42" s="203">
        <f t="shared" si="7"/>
        <v>1</v>
      </c>
      <c r="AB42" s="201" t="s">
        <v>32</v>
      </c>
      <c r="AC42" s="205">
        <f t="shared" si="8"/>
        <v>2</v>
      </c>
      <c r="AD42" s="206">
        <f t="shared" si="9"/>
        <v>2</v>
      </c>
    </row>
    <row r="43" spans="1:30" ht="22.5" customHeight="1">
      <c r="A43" s="173">
        <v>59</v>
      </c>
      <c r="B43" s="115" t="str">
        <f>VLOOKUP(C43,Lists!I:J,2,FALSE)</f>
        <v>Healer</v>
      </c>
      <c r="C43" s="115" t="str">
        <f>VLOOKUP(E43,Lists!D:E,2,FALSE)</f>
        <v>Wand/Longbow</v>
      </c>
      <c r="D43" s="175" t="s">
        <v>7</v>
      </c>
      <c r="E43" s="176" t="s">
        <v>29</v>
      </c>
      <c r="F43" s="175" t="s">
        <v>476</v>
      </c>
      <c r="G43" s="173">
        <v>0</v>
      </c>
      <c r="H43" s="173">
        <v>38</v>
      </c>
      <c r="I43" s="194">
        <f t="shared" si="0"/>
        <v>38</v>
      </c>
      <c r="J43" s="177">
        <v>68297</v>
      </c>
      <c r="K43" s="177">
        <v>286181</v>
      </c>
      <c r="L43" s="177">
        <v>1705670</v>
      </c>
      <c r="M43" s="195">
        <f>I43/(HLOOKUP(F43,Team_Composition_23[[#All],[Yellow]:[Red]],10,FALSE)+HLOOKUP(F43,Team_Composition_23[[#All],[Yellow]:[Red]],11,FALSE))</f>
        <v>9.4976255936015993E-3</v>
      </c>
      <c r="N43" s="195">
        <f>J43/HLOOKUP(F43,Team_Composition_23[[#All],[Yellow]:[Red]],6,FALSE)</f>
        <v>1.5394831315616447E-3</v>
      </c>
      <c r="O43" s="195">
        <f>K43/HLOOKUP(F43,Team_Composition_23[[#All],[Yellow]:[Red]],8,FALSE)</f>
        <v>1.6335685344907057E-2</v>
      </c>
      <c r="P43" s="195">
        <f>L43/HLOOKUP(F43,Team_Composition_23[[#All],[Yellow]:[Red]],7,FALSE)</f>
        <v>0.13176514321532382</v>
      </c>
      <c r="R43" s="201" t="s">
        <v>56</v>
      </c>
      <c r="S43" s="202">
        <f t="shared" si="6"/>
        <v>0</v>
      </c>
      <c r="T43" s="203">
        <f t="shared" si="7"/>
        <v>0</v>
      </c>
      <c r="AB43" s="201" t="s">
        <v>56</v>
      </c>
      <c r="AC43" s="205">
        <f t="shared" si="8"/>
        <v>0</v>
      </c>
      <c r="AD43" s="206">
        <f t="shared" si="9"/>
        <v>0</v>
      </c>
    </row>
    <row r="44" spans="1:30" ht="22.5" customHeight="1">
      <c r="A44" s="173">
        <v>60</v>
      </c>
      <c r="B44" s="115" t="str">
        <f>VLOOKUP(C44,Lists!I:J,2,FALSE)</f>
        <v>Healer</v>
      </c>
      <c r="C44" s="115" t="str">
        <f>VLOOKUP(E44,Lists!D:E,2,FALSE)</f>
        <v>Wand/Longbow</v>
      </c>
      <c r="D44" s="175" t="s">
        <v>7</v>
      </c>
      <c r="E44" s="176" t="s">
        <v>128</v>
      </c>
      <c r="F44" s="175" t="s">
        <v>476</v>
      </c>
      <c r="G44" s="173">
        <v>0</v>
      </c>
      <c r="H44" s="173">
        <v>38</v>
      </c>
      <c r="I44" s="194">
        <f t="shared" si="0"/>
        <v>38</v>
      </c>
      <c r="J44" s="177">
        <v>9550</v>
      </c>
      <c r="K44" s="177">
        <v>502844</v>
      </c>
      <c r="L44" s="177">
        <v>800127</v>
      </c>
      <c r="M44" s="195">
        <f>I44/(HLOOKUP(F44,Team_Composition_23[[#All],[Yellow]:[Red]],10,FALSE)+HLOOKUP(F44,Team_Composition_23[[#All],[Yellow]:[Red]],11,FALSE))</f>
        <v>9.4976255936015993E-3</v>
      </c>
      <c r="N44" s="195">
        <f>J44/HLOOKUP(F44,Team_Composition_23[[#All],[Yellow]:[Red]],6,FALSE)</f>
        <v>2.1526661356155772E-4</v>
      </c>
      <c r="O44" s="195">
        <f>K44/HLOOKUP(F44,Team_Composition_23[[#All],[Yellow]:[Red]],8,FALSE)</f>
        <v>2.8703168140353289E-2</v>
      </c>
      <c r="P44" s="195">
        <f>L44/HLOOKUP(F44,Team_Composition_23[[#All],[Yellow]:[Red]],7,FALSE)</f>
        <v>6.1810812610556196E-2</v>
      </c>
      <c r="R44" s="201" t="s">
        <v>58</v>
      </c>
      <c r="S44" s="202">
        <f t="shared" si="6"/>
        <v>1</v>
      </c>
      <c r="T44" s="203">
        <f t="shared" si="7"/>
        <v>1</v>
      </c>
      <c r="AB44" s="201" t="s">
        <v>58</v>
      </c>
      <c r="AC44" s="205">
        <f t="shared" si="8"/>
        <v>0</v>
      </c>
      <c r="AD44" s="206">
        <f t="shared" si="9"/>
        <v>2</v>
      </c>
    </row>
    <row r="45" spans="1:30" ht="22.5" customHeight="1">
      <c r="A45" s="173">
        <v>39</v>
      </c>
      <c r="B45" s="115" t="str">
        <f>VLOOKUP(C45,Lists!I:J,2,FALSE)</f>
        <v>Tank</v>
      </c>
      <c r="C45" s="115" t="str">
        <f>VLOOKUP(E45,Lists!D:E,2,FALSE)</f>
        <v>SnS/Greatsword</v>
      </c>
      <c r="D45" s="175" t="s">
        <v>7</v>
      </c>
      <c r="E45" s="176" t="s">
        <v>93</v>
      </c>
      <c r="F45" s="175" t="s">
        <v>476</v>
      </c>
      <c r="G45" s="173">
        <v>1</v>
      </c>
      <c r="H45" s="173">
        <v>37</v>
      </c>
      <c r="I45" s="194">
        <f t="shared" si="0"/>
        <v>38</v>
      </c>
      <c r="J45" s="177">
        <v>95284</v>
      </c>
      <c r="K45" s="177">
        <v>299489</v>
      </c>
      <c r="L45" s="177">
        <v>29508</v>
      </c>
      <c r="M45" s="195">
        <f>I45/(HLOOKUP(F45,Team_Composition_23[[#All],[Yellow]:[Red]],10,FALSE)+HLOOKUP(F45,Team_Composition_23[[#All],[Yellow]:[Red]],11,FALSE))</f>
        <v>9.4976255936015993E-3</v>
      </c>
      <c r="N45" s="195">
        <f>J45/HLOOKUP(F45,Team_Composition_23[[#All],[Yellow]:[Red]],6,FALSE)</f>
        <v>2.1477972781779545E-3</v>
      </c>
      <c r="O45" s="195">
        <f>K45/HLOOKUP(F45,Team_Composition_23[[#All],[Yellow]:[Red]],8,FALSE)</f>
        <v>1.7095328020591407E-2</v>
      </c>
      <c r="P45" s="195">
        <f>L45/HLOOKUP(F45,Team_Composition_23[[#All],[Yellow]:[Red]],7,FALSE)</f>
        <v>2.2795299477611584E-3</v>
      </c>
      <c r="R45" s="201" t="s">
        <v>60</v>
      </c>
      <c r="S45" s="202">
        <f t="shared" si="6"/>
        <v>0</v>
      </c>
      <c r="T45" s="203">
        <f t="shared" si="7"/>
        <v>0</v>
      </c>
      <c r="AB45" s="201" t="s">
        <v>60</v>
      </c>
      <c r="AC45" s="205">
        <f t="shared" si="8"/>
        <v>0</v>
      </c>
      <c r="AD45" s="206">
        <f t="shared" si="9"/>
        <v>0</v>
      </c>
    </row>
    <row r="46" spans="1:30" ht="22.5" customHeight="1">
      <c r="A46" s="173">
        <v>61</v>
      </c>
      <c r="B46" s="115" t="str">
        <f>VLOOKUP(C46,Lists!I:J,2,FALSE)</f>
        <v>Healer</v>
      </c>
      <c r="C46" s="115" t="str">
        <f>VLOOKUP(E46,Lists!D:E,2,FALSE)</f>
        <v>Wand/Orb</v>
      </c>
      <c r="D46" s="175" t="s">
        <v>28</v>
      </c>
      <c r="E46" s="176" t="s">
        <v>343</v>
      </c>
      <c r="F46" s="175" t="s">
        <v>483</v>
      </c>
      <c r="G46" s="173">
        <v>0</v>
      </c>
      <c r="H46" s="173">
        <v>37</v>
      </c>
      <c r="I46" s="194">
        <f t="shared" si="0"/>
        <v>37</v>
      </c>
      <c r="J46" s="177">
        <v>20851</v>
      </c>
      <c r="K46" s="177">
        <v>376259</v>
      </c>
      <c r="L46" s="177">
        <v>962466</v>
      </c>
      <c r="M46" s="195">
        <f>I46/(HLOOKUP(F46,Team_Composition_23[[#All],[Yellow]:[Red]],10,FALSE)+HLOOKUP(F46,Team_Composition_23[[#All],[Yellow]:[Red]],11,FALSE))</f>
        <v>4.5066991473812421E-2</v>
      </c>
      <c r="N46" s="195">
        <f>J46/HLOOKUP(F46,Team_Composition_23[[#All],[Yellow]:[Red]],6,FALSE)</f>
        <v>1.1816674085973089E-3</v>
      </c>
      <c r="O46" s="195">
        <f>K46/HLOOKUP(F46,Team_Composition_23[[#All],[Yellow]:[Red]],8,FALSE)</f>
        <v>8.548244501798417E-3</v>
      </c>
      <c r="P46" s="195">
        <f>L46/HLOOKUP(F46,Team_Composition_23[[#All],[Yellow]:[Red]],7,FALSE)</f>
        <v>3.9659212929862853E-2</v>
      </c>
      <c r="R46" s="201" t="s">
        <v>63</v>
      </c>
      <c r="S46" s="202">
        <f t="shared" si="6"/>
        <v>0</v>
      </c>
      <c r="T46" s="203">
        <f t="shared" si="7"/>
        <v>0</v>
      </c>
      <c r="AB46" s="201" t="s">
        <v>63</v>
      </c>
      <c r="AC46" s="205">
        <f t="shared" si="8"/>
        <v>0</v>
      </c>
      <c r="AD46" s="206">
        <f t="shared" si="9"/>
        <v>0</v>
      </c>
    </row>
    <row r="47" spans="1:30" ht="22.5" customHeight="1">
      <c r="A47" s="173">
        <v>62</v>
      </c>
      <c r="B47" s="115" t="str">
        <f>VLOOKUP(C47,Lists!I:J,2,FALSE)</f>
        <v>Healer</v>
      </c>
      <c r="C47" s="115" t="str">
        <f>VLOOKUP(E47,Lists!D:E,2,FALSE)</f>
        <v>Wand/Longbow</v>
      </c>
      <c r="D47" s="175" t="s">
        <v>28</v>
      </c>
      <c r="E47" s="176" t="s">
        <v>342</v>
      </c>
      <c r="F47" s="175" t="s">
        <v>483</v>
      </c>
      <c r="G47" s="173">
        <v>0</v>
      </c>
      <c r="H47" s="173">
        <v>36</v>
      </c>
      <c r="I47" s="194">
        <f t="shared" si="0"/>
        <v>36</v>
      </c>
      <c r="J47" s="177">
        <v>46551</v>
      </c>
      <c r="K47" s="177">
        <v>646242</v>
      </c>
      <c r="L47" s="177">
        <v>1085163</v>
      </c>
      <c r="M47" s="195">
        <f>I47/(HLOOKUP(F47,Team_Composition_23[[#All],[Yellow]:[Red]],10,FALSE)+HLOOKUP(F47,Team_Composition_23[[#All],[Yellow]:[Red]],11,FALSE))</f>
        <v>4.38489646772229E-2</v>
      </c>
      <c r="N47" s="195">
        <f>J47/HLOOKUP(F47,Team_Composition_23[[#All],[Yellow]:[Red]],6,FALSE)</f>
        <v>2.6381372374281011E-3</v>
      </c>
      <c r="O47" s="195">
        <f>K47/HLOOKUP(F47,Team_Composition_23[[#All],[Yellow]:[Red]],8,FALSE)</f>
        <v>1.4681999961014122E-2</v>
      </c>
      <c r="P47" s="195">
        <f>L47/HLOOKUP(F47,Team_Composition_23[[#All],[Yellow]:[Red]],7,FALSE)</f>
        <v>4.4715044978844723E-2</v>
      </c>
      <c r="R47" s="204"/>
      <c r="S47" s="208"/>
      <c r="T47" s="208"/>
      <c r="AB47" s="204"/>
      <c r="AC47" s="208"/>
      <c r="AD47" s="208"/>
    </row>
    <row r="48" spans="1:30" ht="22.5" customHeight="1">
      <c r="A48" s="173">
        <v>63</v>
      </c>
      <c r="B48" s="115" t="str">
        <f>VLOOKUP(C48,Lists!I:J,2,FALSE)</f>
        <v>Healer</v>
      </c>
      <c r="C48" s="115" t="str">
        <f>VLOOKUP(E48,Lists!D:E,2,FALSE)</f>
        <v>Wand/Orb</v>
      </c>
      <c r="D48" s="175" t="s">
        <v>7</v>
      </c>
      <c r="E48" s="178" t="s">
        <v>144</v>
      </c>
      <c r="F48" s="175" t="s">
        <v>476</v>
      </c>
      <c r="G48" s="173">
        <v>0</v>
      </c>
      <c r="H48" s="173">
        <v>36</v>
      </c>
      <c r="I48" s="194">
        <f t="shared" si="0"/>
        <v>36</v>
      </c>
      <c r="J48" s="177">
        <v>63</v>
      </c>
      <c r="K48" s="177">
        <v>99434</v>
      </c>
      <c r="L48" s="177">
        <v>51169</v>
      </c>
      <c r="M48" s="195">
        <f>I48/(HLOOKUP(F48,Team_Composition_23[[#All],[Yellow]:[Red]],10,FALSE)+HLOOKUP(F48,Team_Composition_23[[#All],[Yellow]:[Red]],11,FALSE))</f>
        <v>8.9977505623594096E-3</v>
      </c>
      <c r="N48" s="195">
        <f>J48/HLOOKUP(F48,Team_Composition_23[[#All],[Yellow]:[Red]],6,FALSE)</f>
        <v>1.4200834193066112E-6</v>
      </c>
      <c r="O48" s="195">
        <f>K48/HLOOKUP(F48,Team_Composition_23[[#All],[Yellow]:[Red]],8,FALSE)</f>
        <v>5.6758573650434107E-3</v>
      </c>
      <c r="P48" s="195">
        <f>L48/HLOOKUP(F48,Team_Composition_23[[#All],[Yellow]:[Red]],7,FALSE)</f>
        <v>3.9528693200823741E-3</v>
      </c>
      <c r="R48" s="6"/>
      <c r="S48" s="209"/>
      <c r="T48" s="209"/>
      <c r="AB48" s="6"/>
      <c r="AC48" s="209"/>
      <c r="AD48" s="209"/>
    </row>
    <row r="49" spans="1:30" ht="22.5" customHeight="1">
      <c r="A49" s="173">
        <v>30</v>
      </c>
      <c r="B49" s="115" t="str">
        <f>VLOOKUP(C49,Lists!I:J,2,FALSE)</f>
        <v>Ranged DPS</v>
      </c>
      <c r="C49" s="115" t="str">
        <f>VLOOKUP(E49,Lists!D:E,2,FALSE)</f>
        <v>Orb/Dagger</v>
      </c>
      <c r="D49" s="175" t="s">
        <v>28</v>
      </c>
      <c r="E49" s="176" t="s">
        <v>337</v>
      </c>
      <c r="F49" s="175" t="s">
        <v>483</v>
      </c>
      <c r="G49" s="173">
        <v>6</v>
      </c>
      <c r="H49" s="173">
        <v>30</v>
      </c>
      <c r="I49" s="194">
        <f t="shared" si="0"/>
        <v>36</v>
      </c>
      <c r="J49" s="177">
        <v>1060975</v>
      </c>
      <c r="K49" s="177">
        <v>764972</v>
      </c>
      <c r="L49" s="177">
        <v>17248</v>
      </c>
      <c r="M49" s="195">
        <f>I49/(HLOOKUP(F49,Team_Composition_23[[#All],[Yellow]:[Red]],10,FALSE)+HLOOKUP(F49,Team_Composition_23[[#All],[Yellow]:[Red]],11,FALSE))</f>
        <v>4.38489646772229E-2</v>
      </c>
      <c r="N49" s="195">
        <f>J49/HLOOKUP(F49,Team_Composition_23[[#All],[Yellow]:[Red]],6,FALSE)</f>
        <v>6.0127551620379353E-2</v>
      </c>
      <c r="O49" s="195">
        <f>K49/HLOOKUP(F49,Team_Composition_23[[#All],[Yellow]:[Red]],8,FALSE)</f>
        <v>1.737943196848378E-2</v>
      </c>
      <c r="P49" s="195">
        <f>L49/HLOOKUP(F49,Team_Composition_23[[#All],[Yellow]:[Red]],7,FALSE)</f>
        <v>7.1071820159286094E-4</v>
      </c>
      <c r="R49" s="232" t="s">
        <v>67</v>
      </c>
      <c r="S49" s="228"/>
      <c r="T49" s="228"/>
      <c r="AB49" s="232" t="s">
        <v>67</v>
      </c>
      <c r="AC49" s="228"/>
      <c r="AD49" s="228"/>
    </row>
    <row r="50" spans="1:30" ht="22.5" customHeight="1">
      <c r="A50" s="173">
        <v>40</v>
      </c>
      <c r="B50" s="115" t="str">
        <f>VLOOKUP(C50,Lists!I:J,2,FALSE)</f>
        <v>Tank</v>
      </c>
      <c r="C50" s="115" t="str">
        <f>VLOOKUP(E50,Lists!D:E,2,FALSE)</f>
        <v>SnS/Greatsword</v>
      </c>
      <c r="D50" s="175" t="s">
        <v>28</v>
      </c>
      <c r="E50" s="176" t="s">
        <v>344</v>
      </c>
      <c r="F50" s="175" t="s">
        <v>483</v>
      </c>
      <c r="G50" s="173">
        <v>1</v>
      </c>
      <c r="H50" s="173">
        <v>35</v>
      </c>
      <c r="I50" s="194">
        <f t="shared" si="0"/>
        <v>36</v>
      </c>
      <c r="J50" s="177">
        <v>47875</v>
      </c>
      <c r="K50" s="177">
        <v>196493</v>
      </c>
      <c r="L50" s="177">
        <v>21600</v>
      </c>
      <c r="M50" s="195">
        <f>I50/(HLOOKUP(F50,Team_Composition_23[[#All],[Yellow]:[Red]],10,FALSE)+HLOOKUP(F50,Team_Composition_23[[#All],[Yellow]:[Red]],11,FALSE))</f>
        <v>4.38489646772229E-2</v>
      </c>
      <c r="N50" s="195">
        <f>J50/HLOOKUP(F50,Team_Composition_23[[#All],[Yellow]:[Red]],6,FALSE)</f>
        <v>2.7131709360028859E-3</v>
      </c>
      <c r="O50" s="195">
        <f>K50/HLOOKUP(F50,Team_Composition_23[[#All],[Yellow]:[Red]],8,FALSE)</f>
        <v>4.4641329692894421E-3</v>
      </c>
      <c r="P50" s="195">
        <f>L50/HLOOKUP(F50,Team_Composition_23[[#All],[Yellow]:[Red]],7,FALSE)</f>
        <v>8.9004598529718207E-4</v>
      </c>
      <c r="R50" s="197" t="s">
        <v>482</v>
      </c>
      <c r="S50" s="198" t="s">
        <v>476</v>
      </c>
      <c r="T50" s="198" t="s">
        <v>483</v>
      </c>
      <c r="AB50" s="197" t="s">
        <v>482</v>
      </c>
      <c r="AC50" s="198" t="s">
        <v>7</v>
      </c>
      <c r="AD50" s="198" t="s">
        <v>527</v>
      </c>
    </row>
    <row r="51" spans="1:30" ht="22.5" customHeight="1">
      <c r="A51" s="173">
        <v>64</v>
      </c>
      <c r="B51" s="115" t="str">
        <f>VLOOKUP(C51,Lists!I:J,2,FALSE)</f>
        <v>Healer</v>
      </c>
      <c r="C51" s="115" t="s">
        <v>9</v>
      </c>
      <c r="D51" s="175" t="s">
        <v>28</v>
      </c>
      <c r="E51" s="178" t="s">
        <v>565</v>
      </c>
      <c r="F51" s="175" t="s">
        <v>483</v>
      </c>
      <c r="G51" s="173">
        <v>0</v>
      </c>
      <c r="H51" s="173">
        <v>35</v>
      </c>
      <c r="I51" s="194">
        <f t="shared" si="0"/>
        <v>35</v>
      </c>
      <c r="J51" s="177">
        <v>11784</v>
      </c>
      <c r="K51" s="177">
        <v>266732</v>
      </c>
      <c r="L51" s="177">
        <v>1102334</v>
      </c>
      <c r="M51" s="195">
        <f>I51/(HLOOKUP(F51,Team_Composition_23[[#All],[Yellow]:[Red]],10,FALSE)+HLOOKUP(F51,Team_Composition_23[[#All],[Yellow]:[Red]],11,FALSE))</f>
        <v>4.2630937880633372E-2</v>
      </c>
      <c r="N51" s="195">
        <f>J51/HLOOKUP(F51,Team_Composition_23[[#All],[Yellow]:[Red]],6,FALSE)</f>
        <v>6.6782258610669464E-4</v>
      </c>
      <c r="O51" s="195">
        <f>K51/HLOOKUP(F51,Team_Composition_23[[#All],[Yellow]:[Red]],8,FALSE)</f>
        <v>6.0598958495443177E-3</v>
      </c>
      <c r="P51" s="195">
        <f>L51/HLOOKUP(F51,Team_Composition_23[[#All],[Yellow]:[Red]],7,FALSE)</f>
        <v>4.5422590331323329E-2</v>
      </c>
      <c r="R51" s="201" t="s">
        <v>468</v>
      </c>
      <c r="S51" s="202">
        <f>SUMIFS(Scoreboard_24[Damage Dealt],Scoreboard_24[Role],"Tank",Scoreboard_24[Team],"Yellow")</f>
        <v>3591199</v>
      </c>
      <c r="T51" s="203">
        <f>SUMIFS(Scoreboard_24[Damage Dealt],Scoreboard_24[Role],"Tank",Scoreboard_24[Team],"Red")</f>
        <v>1356802</v>
      </c>
      <c r="AB51" s="201" t="s">
        <v>468</v>
      </c>
      <c r="AC51" s="205">
        <f>SUMIFS(Scoreboard_24[Damage Dealt],Scoreboard_24[Role],"Tank",Scoreboard_24[Guild],"FTP")</f>
        <v>3155966</v>
      </c>
      <c r="AD51" s="206">
        <f>SUMIFS(Scoreboard_24[Damage Dealt],Scoreboard_24[Role],"Tank",Scoreboard_24[Guild],"Undercooked")</f>
        <v>1792035</v>
      </c>
    </row>
    <row r="52" spans="1:30" ht="22.5" customHeight="1">
      <c r="A52" s="173">
        <v>31</v>
      </c>
      <c r="B52" s="115" t="str">
        <f>VLOOKUP(C52,Lists!I:J,2,FALSE)</f>
        <v>Healer</v>
      </c>
      <c r="C52" s="115" t="str">
        <f>VLOOKUP(E52,Lists!D:E,2,FALSE)</f>
        <v>Wand/Longbow</v>
      </c>
      <c r="D52" s="175" t="s">
        <v>7</v>
      </c>
      <c r="E52" s="176" t="s">
        <v>134</v>
      </c>
      <c r="F52" s="175" t="s">
        <v>483</v>
      </c>
      <c r="G52" s="173">
        <v>6</v>
      </c>
      <c r="H52" s="173">
        <v>28</v>
      </c>
      <c r="I52" s="194">
        <f t="shared" si="0"/>
        <v>34</v>
      </c>
      <c r="J52" s="177">
        <v>820097</v>
      </c>
      <c r="K52" s="177">
        <v>563534</v>
      </c>
      <c r="L52" s="177">
        <v>0</v>
      </c>
      <c r="M52" s="195">
        <f>I52/(HLOOKUP(F52,Team_Composition_23[[#All],[Yellow]:[Red]],10,FALSE)+HLOOKUP(F52,Team_Composition_23[[#All],[Yellow]:[Red]],11,FALSE))</f>
        <v>4.1412911084043852E-2</v>
      </c>
      <c r="N52" s="195">
        <f>J52/HLOOKUP(F52,Team_Composition_23[[#All],[Yellow]:[Red]],6,FALSE)</f>
        <v>4.6476518957768324E-2</v>
      </c>
      <c r="O52" s="195">
        <f>K52/HLOOKUP(F52,Team_Composition_23[[#All],[Yellow]:[Red]],8,FALSE)</f>
        <v>1.2802953330223247E-2</v>
      </c>
      <c r="P52" s="195">
        <f>L52/HLOOKUP(F52,Team_Composition_23[[#All],[Yellow]:[Red]],7,FALSE)</f>
        <v>0</v>
      </c>
      <c r="R52" s="201" t="s">
        <v>469</v>
      </c>
      <c r="S52" s="202">
        <f>SUMIFS(Scoreboard_24[Damage Taken],Scoreboard_24[Role],"Tank",Scoreboard_24[Team],"Yellow")</f>
        <v>6328084</v>
      </c>
      <c r="T52" s="203">
        <f>SUMIFS(Scoreboard_24[Damage Taken],Scoreboard_24[Role],"Tank",Scoreboard_24[Team],"Red")</f>
        <v>8233658</v>
      </c>
      <c r="AB52" s="201" t="s">
        <v>469</v>
      </c>
      <c r="AC52" s="205">
        <f>SUMIFS(Scoreboard_24[Damage Taken],Scoreboard_24[Role],"Tank",Scoreboard_24[Guild],"FTP")</f>
        <v>10021027</v>
      </c>
      <c r="AD52" s="206">
        <f>SUMIFS(Scoreboard_24[Damage Taken],Scoreboard_24[Role],"Tank",Scoreboard_24[Guild],"Undercooked")</f>
        <v>4540715</v>
      </c>
    </row>
    <row r="53" spans="1:30" ht="22.5" customHeight="1">
      <c r="A53" s="173">
        <v>65</v>
      </c>
      <c r="B53" s="115" t="str">
        <f>VLOOKUP(C53,Lists!I:J,2,FALSE)</f>
        <v>Tank</v>
      </c>
      <c r="C53" s="115" t="str">
        <f>VLOOKUP(E53,Lists!D:E,2,FALSE)</f>
        <v>SnS/Greatsword</v>
      </c>
      <c r="D53" s="175" t="s">
        <v>7</v>
      </c>
      <c r="E53" s="176" t="s">
        <v>55</v>
      </c>
      <c r="F53" s="175" t="s">
        <v>476</v>
      </c>
      <c r="G53" s="173">
        <v>0</v>
      </c>
      <c r="H53" s="173">
        <v>34</v>
      </c>
      <c r="I53" s="194">
        <f t="shared" si="0"/>
        <v>34</v>
      </c>
      <c r="J53" s="177">
        <v>315753</v>
      </c>
      <c r="K53" s="177">
        <v>367451</v>
      </c>
      <c r="L53" s="177">
        <v>9773</v>
      </c>
      <c r="M53" s="195">
        <f>I53/(HLOOKUP(F53,Team_Composition_23[[#All],[Yellow]:[Red]],10,FALSE)+HLOOKUP(F53,Team_Composition_23[[#All],[Yellow]:[Red]],11,FALSE))</f>
        <v>8.4978755311172199E-3</v>
      </c>
      <c r="N53" s="195">
        <f>J53/HLOOKUP(F53,Team_Composition_23[[#All],[Yellow]:[Red]],6,FALSE)</f>
        <v>7.1173904745447684E-3</v>
      </c>
      <c r="O53" s="195">
        <f>K53/HLOOKUP(F53,Team_Composition_23[[#All],[Yellow]:[Red]],8,FALSE)</f>
        <v>2.0974711513592599E-2</v>
      </c>
      <c r="P53" s="195">
        <f>L53/HLOOKUP(F53,Team_Composition_23[[#All],[Yellow]:[Red]],7,FALSE)</f>
        <v>7.5497648703639014E-4</v>
      </c>
      <c r="R53" s="201" t="s">
        <v>470</v>
      </c>
      <c r="S53" s="202">
        <f>SUMIFS(Scoreboard_24[Amount Healed],Scoreboard_24[Role],"Tank",Scoreboard_24[Team],"Yellow")</f>
        <v>511700</v>
      </c>
      <c r="T53" s="203">
        <f>SUMIFS(Scoreboard_24[Amount Healed],Scoreboard_24[Role],"Tank",Scoreboard_24[Team],"Red")</f>
        <v>353046</v>
      </c>
      <c r="AB53" s="201" t="s">
        <v>470</v>
      </c>
      <c r="AC53" s="205">
        <f>SUMIFS(Scoreboard_24[Amount Healed],Scoreboard_24[Role],"Tank",Scoreboard_24[Guild],"FTP")</f>
        <v>407684</v>
      </c>
      <c r="AD53" s="206">
        <f>SUMIFS(Scoreboard_24[Amount Healed],Scoreboard_24[Role],"Tank",Scoreboard_24[Guild],"Undercooked")</f>
        <v>457062</v>
      </c>
    </row>
    <row r="54" spans="1:30" ht="22.5" customHeight="1">
      <c r="A54" s="173">
        <v>66</v>
      </c>
      <c r="B54" s="115" t="str">
        <f>VLOOKUP(C54,Lists!I:J,2,FALSE)</f>
        <v>Healer</v>
      </c>
      <c r="C54" s="115" t="str">
        <f>VLOOKUP(E54,Lists!D:E,2,FALSE)</f>
        <v>Wand/Orb</v>
      </c>
      <c r="D54" s="175" t="s">
        <v>28</v>
      </c>
      <c r="E54" s="176" t="s">
        <v>341</v>
      </c>
      <c r="F54" s="175" t="s">
        <v>483</v>
      </c>
      <c r="G54" s="173">
        <v>0</v>
      </c>
      <c r="H54" s="173">
        <v>33</v>
      </c>
      <c r="I54" s="194">
        <f t="shared" si="0"/>
        <v>33</v>
      </c>
      <c r="J54" s="177">
        <v>3523</v>
      </c>
      <c r="K54" s="177">
        <v>259894</v>
      </c>
      <c r="L54" s="177">
        <v>934120</v>
      </c>
      <c r="M54" s="195">
        <f>I54/(HLOOKUP(F54,Team_Composition_23[[#All],[Yellow]:[Red]],10,FALSE)+HLOOKUP(F54,Team_Composition_23[[#All],[Yellow]:[Red]],11,FALSE))</f>
        <v>4.0194884287454324E-2</v>
      </c>
      <c r="N54" s="195">
        <f>J54/HLOOKUP(F54,Team_Composition_23[[#All],[Yellow]:[Red]],6,FALSE)</f>
        <v>1.9965537770314708E-4</v>
      </c>
      <c r="O54" s="195">
        <f>K54/HLOOKUP(F54,Team_Composition_23[[#All],[Yellow]:[Red]],8,FALSE)</f>
        <v>5.9045430316627583E-3</v>
      </c>
      <c r="P54" s="195">
        <f>L54/HLOOKUP(F54,Team_Composition_23[[#All],[Yellow]:[Red]],7,FALSE)</f>
        <v>3.8491192397490909E-2</v>
      </c>
      <c r="R54" s="201" t="s">
        <v>465</v>
      </c>
      <c r="S54" s="202">
        <f>SUMIFS(Scoreboard_24[Kills],Scoreboard_24[Role],"Tank",Scoreboard_24[Team],"Yellow")</f>
        <v>49</v>
      </c>
      <c r="T54" s="203">
        <f>SUMIFS(Scoreboard_24[Kills],Scoreboard_24[Role],"Tank",Scoreboard_24[Team],"Red")</f>
        <v>14</v>
      </c>
      <c r="AB54" s="201" t="s">
        <v>465</v>
      </c>
      <c r="AC54" s="205">
        <f>SUMIFS(Scoreboard_24[Kills],Scoreboard_24[Role],"Tank",Scoreboard_24[Guild],"FTP")</f>
        <v>38</v>
      </c>
      <c r="AD54" s="206">
        <f>SUMIFS(Scoreboard_24[Kills],Scoreboard_24[Role],"Tank",Scoreboard_24[Guild],"Undercooked")</f>
        <v>25</v>
      </c>
    </row>
    <row r="55" spans="1:30" ht="22.5" customHeight="1">
      <c r="A55" s="173">
        <v>29</v>
      </c>
      <c r="B55" s="115" t="str">
        <f>VLOOKUP(C55,Lists!I:J,2,FALSE)</f>
        <v>Tank</v>
      </c>
      <c r="C55" s="115" t="str">
        <f>VLOOKUP(E55,Lists!D:E,2,FALSE)</f>
        <v>SnS/Greatsword</v>
      </c>
      <c r="D55" s="175" t="s">
        <v>7</v>
      </c>
      <c r="E55" s="176" t="s">
        <v>37</v>
      </c>
      <c r="F55" s="175" t="s">
        <v>483</v>
      </c>
      <c r="G55" s="173">
        <v>8</v>
      </c>
      <c r="H55" s="173">
        <v>25</v>
      </c>
      <c r="I55" s="194">
        <f t="shared" si="0"/>
        <v>33</v>
      </c>
      <c r="J55" s="177">
        <v>509912</v>
      </c>
      <c r="K55" s="177">
        <v>523659</v>
      </c>
      <c r="L55" s="177">
        <v>15399</v>
      </c>
      <c r="M55" s="195">
        <f>I55/(HLOOKUP(F55,Team_Composition_23[[#All],[Yellow]:[Red]],10,FALSE)+HLOOKUP(F55,Team_Composition_23[[#All],[Yellow]:[Red]],11,FALSE))</f>
        <v>4.0194884287454324E-2</v>
      </c>
      <c r="N55" s="195">
        <f>J55/HLOOKUP(F55,Team_Composition_23[[#All],[Yellow]:[Red]],6,FALSE)</f>
        <v>2.8897721531469526E-2</v>
      </c>
      <c r="O55" s="195">
        <f>K55/HLOOKUP(F55,Team_Composition_23[[#All],[Yellow]:[Red]],8,FALSE)</f>
        <v>1.1897031479824422E-2</v>
      </c>
      <c r="P55" s="195">
        <f>L55/HLOOKUP(F55,Team_Composition_23[[#All],[Yellow]:[Red]],7,FALSE)</f>
        <v>6.3452861701811605E-4</v>
      </c>
      <c r="R55" s="201" t="s">
        <v>466</v>
      </c>
      <c r="S55" s="202">
        <f>SUMIFS(Scoreboard_24[Assists],Scoreboard_24[Role],"Tank",Scoreboard_24[Team],"Yellow")</f>
        <v>280</v>
      </c>
      <c r="T55" s="203">
        <f>SUMIFS(Scoreboard_24[Assists],Scoreboard_24[Role],"Tank",Scoreboard_24[Team],"Red")</f>
        <v>171</v>
      </c>
      <c r="AB55" s="201" t="s">
        <v>466</v>
      </c>
      <c r="AC55" s="205">
        <f>SUMIFS(Scoreboard_24[Assists],Scoreboard_24[Role],"Tank",Scoreboard_24[Guild],"FTP")</f>
        <v>296</v>
      </c>
      <c r="AD55" s="206">
        <f>SUMIFS(Scoreboard_24[Assists],Scoreboard_24[Role],"Tank",Scoreboard_24[Guild],"Undercooked")</f>
        <v>155</v>
      </c>
    </row>
    <row r="56" spans="1:30" ht="22.5" customHeight="1">
      <c r="A56" s="173">
        <v>67</v>
      </c>
      <c r="B56" s="115" t="str">
        <f>VLOOKUP(C56,Lists!I:J,2,FALSE)</f>
        <v>Healer</v>
      </c>
      <c r="C56" s="115" t="str">
        <f>VLOOKUP(E56,Lists!D:E,2,FALSE)</f>
        <v>Wand/Longbow</v>
      </c>
      <c r="D56" s="175" t="s">
        <v>28</v>
      </c>
      <c r="E56" s="176" t="s">
        <v>339</v>
      </c>
      <c r="F56" s="175" t="s">
        <v>483</v>
      </c>
      <c r="G56" s="173">
        <v>0</v>
      </c>
      <c r="H56" s="173">
        <v>30</v>
      </c>
      <c r="I56" s="194">
        <f t="shared" si="0"/>
        <v>30</v>
      </c>
      <c r="J56" s="177">
        <v>59382</v>
      </c>
      <c r="K56" s="177">
        <v>561696</v>
      </c>
      <c r="L56" s="177">
        <v>24003</v>
      </c>
      <c r="M56" s="195">
        <f>I56/(HLOOKUP(F56,Team_Composition_23[[#All],[Yellow]:[Red]],10,FALSE)+HLOOKUP(F56,Team_Composition_23[[#All],[Yellow]:[Red]],11,FALSE))</f>
        <v>3.6540803897685749E-2</v>
      </c>
      <c r="N56" s="195">
        <f>J56/HLOOKUP(F56,Team_Composition_23[[#All],[Yellow]:[Red]],6,FALSE)</f>
        <v>3.3652953842657619E-3</v>
      </c>
      <c r="O56" s="195">
        <f>K56/HLOOKUP(F56,Team_Composition_23[[#All],[Yellow]:[Red]],8,FALSE)</f>
        <v>1.2761195728692639E-2</v>
      </c>
      <c r="P56" s="195">
        <f>L56/HLOOKUP(F56,Team_Composition_23[[#All],[Yellow]:[Red]],7,FALSE)</f>
        <v>9.8906360116149351E-4</v>
      </c>
      <c r="R56" s="201" t="s">
        <v>62</v>
      </c>
      <c r="S56" s="202">
        <f t="shared" ref="S56:S60" si="10">COUNTIFS(C:C,R56,F:F,"Yellow")</f>
        <v>1</v>
      </c>
      <c r="T56" s="203">
        <f t="shared" ref="T56:T60" si="11">COUNTIFS(C:C,R56,F:F,"Red")</f>
        <v>3</v>
      </c>
      <c r="AB56" s="201" t="s">
        <v>62</v>
      </c>
      <c r="AC56" s="205">
        <f t="shared" ref="AC56:AC60" si="12">COUNTIFS(C:C,AB56,D:D,"FTP")</f>
        <v>3</v>
      </c>
      <c r="AD56" s="206">
        <f t="shared" ref="AD56:AD60" si="13">COUNTIFS(C:C,AB56,D:D,"Undercooked")</f>
        <v>1</v>
      </c>
    </row>
    <row r="57" spans="1:30" ht="22.5" customHeight="1">
      <c r="A57" s="173">
        <v>68</v>
      </c>
      <c r="B57" s="115" t="str">
        <f>VLOOKUP(C57,Lists!I:J,2,FALSE)</f>
        <v>Healer</v>
      </c>
      <c r="C57" s="115" t="s">
        <v>9</v>
      </c>
      <c r="D57" s="175" t="s">
        <v>7</v>
      </c>
      <c r="E57" s="176" t="s">
        <v>164</v>
      </c>
      <c r="F57" s="175" t="s">
        <v>476</v>
      </c>
      <c r="G57" s="173">
        <v>0</v>
      </c>
      <c r="H57" s="173">
        <v>30</v>
      </c>
      <c r="I57" s="194">
        <f t="shared" si="0"/>
        <v>30</v>
      </c>
      <c r="J57" s="177">
        <v>3363</v>
      </c>
      <c r="K57" s="177">
        <v>173826</v>
      </c>
      <c r="L57" s="177">
        <v>372981</v>
      </c>
      <c r="M57" s="195">
        <f>I57/(HLOOKUP(F57,Team_Composition_23[[#All],[Yellow]:[Red]],10,FALSE)+HLOOKUP(F57,Team_Composition_23[[#All],[Yellow]:[Red]],11,FALSE))</f>
        <v>7.4981254686328422E-3</v>
      </c>
      <c r="N57" s="195">
        <f>J57/HLOOKUP(F57,Team_Composition_23[[#All],[Yellow]:[Red]],6,FALSE)</f>
        <v>7.5805405382986236E-5</v>
      </c>
      <c r="O57" s="195">
        <f>K57/HLOOKUP(F57,Team_Composition_23[[#All],[Yellow]:[Red]],8,FALSE)</f>
        <v>9.9222759049825606E-3</v>
      </c>
      <c r="P57" s="195">
        <f>L57/HLOOKUP(F57,Team_Composition_23[[#All],[Yellow]:[Red]],7,FALSE)</f>
        <v>2.8813249269550787E-2</v>
      </c>
      <c r="R57" s="201" t="s">
        <v>70</v>
      </c>
      <c r="S57" s="202">
        <f t="shared" si="10"/>
        <v>0</v>
      </c>
      <c r="T57" s="203">
        <f t="shared" si="11"/>
        <v>0</v>
      </c>
      <c r="AB57" s="201" t="s">
        <v>70</v>
      </c>
      <c r="AC57" s="205">
        <f t="shared" si="12"/>
        <v>0</v>
      </c>
      <c r="AD57" s="206">
        <f t="shared" si="13"/>
        <v>0</v>
      </c>
    </row>
    <row r="58" spans="1:30" ht="22.5" customHeight="1">
      <c r="A58" s="173">
        <v>32</v>
      </c>
      <c r="B58" s="115" t="str">
        <f>VLOOKUP(C58,Lists!I:J,2,FALSE)</f>
        <v>Melee DPS</v>
      </c>
      <c r="C58" s="115" t="str">
        <f>VLOOKUP(E58,Lists!D:E,2,FALSE)</f>
        <v>Greatsword/Spear</v>
      </c>
      <c r="D58" s="175" t="s">
        <v>28</v>
      </c>
      <c r="E58" s="176" t="s">
        <v>354</v>
      </c>
      <c r="F58" s="175" t="s">
        <v>483</v>
      </c>
      <c r="G58" s="173">
        <v>5</v>
      </c>
      <c r="H58" s="173">
        <v>24</v>
      </c>
      <c r="I58" s="194">
        <f t="shared" si="0"/>
        <v>29</v>
      </c>
      <c r="J58" s="177">
        <v>515459</v>
      </c>
      <c r="K58" s="177">
        <v>857569</v>
      </c>
      <c r="L58" s="177">
        <v>49083</v>
      </c>
      <c r="M58" s="195">
        <f>I58/(HLOOKUP(F58,Team_Composition_23[[#All],[Yellow]:[Red]],10,FALSE)+HLOOKUP(F58,Team_Composition_23[[#All],[Yellow]:[Red]],11,FALSE))</f>
        <v>3.5322777101096221E-2</v>
      </c>
      <c r="N58" s="195">
        <f>J58/HLOOKUP(F58,Team_Composition_23[[#All],[Yellow]:[Red]],6,FALSE)</f>
        <v>2.9212080992190317E-2</v>
      </c>
      <c r="O58" s="195">
        <f>K58/HLOOKUP(F58,Team_Composition_23[[#All],[Yellow]:[Red]],8,FALSE)</f>
        <v>1.9483147218173562E-2</v>
      </c>
      <c r="P58" s="195">
        <f>L58/HLOOKUP(F58,Team_Composition_23[[#All],[Yellow]:[Red]],7,FALSE)</f>
        <v>2.0225058840898881E-3</v>
      </c>
      <c r="R58" s="201" t="s">
        <v>14</v>
      </c>
      <c r="S58" s="202">
        <f t="shared" si="10"/>
        <v>12</v>
      </c>
      <c r="T58" s="203">
        <f t="shared" si="11"/>
        <v>9</v>
      </c>
      <c r="AB58" s="201" t="s">
        <v>14</v>
      </c>
      <c r="AC58" s="205">
        <f t="shared" si="12"/>
        <v>15</v>
      </c>
      <c r="AD58" s="206">
        <f t="shared" si="13"/>
        <v>6</v>
      </c>
    </row>
    <row r="59" spans="1:30" ht="22.5" customHeight="1">
      <c r="A59" s="173">
        <v>41</v>
      </c>
      <c r="B59" s="115" t="str">
        <f>VLOOKUP(C59,Lists!I:J,2,FALSE)</f>
        <v>Tank</v>
      </c>
      <c r="C59" s="115" t="str">
        <f>VLOOKUP(E59,Lists!D:E,2,FALSE)</f>
        <v>SnS/Greatsword</v>
      </c>
      <c r="D59" s="175" t="s">
        <v>28</v>
      </c>
      <c r="E59" s="176" t="s">
        <v>360</v>
      </c>
      <c r="F59" s="175" t="s">
        <v>476</v>
      </c>
      <c r="G59" s="173">
        <v>1</v>
      </c>
      <c r="H59" s="173">
        <v>28</v>
      </c>
      <c r="I59" s="194">
        <f t="shared" si="0"/>
        <v>29</v>
      </c>
      <c r="J59" s="177">
        <v>62227</v>
      </c>
      <c r="K59" s="177">
        <v>139425</v>
      </c>
      <c r="L59" s="177">
        <v>16981</v>
      </c>
      <c r="M59" s="195">
        <f>I59/(HLOOKUP(F59,Team_Composition_23[[#All],[Yellow]:[Red]],10,FALSE)+HLOOKUP(F59,Team_Composition_23[[#All],[Yellow]:[Red]],11,FALSE))</f>
        <v>7.2481879530117473E-3</v>
      </c>
      <c r="N59" s="195">
        <f>J59/HLOOKUP(F59,Team_Composition_23[[#All],[Yellow]:[Red]],6,FALSE)</f>
        <v>1.4026592211617856E-3</v>
      </c>
      <c r="O59" s="195">
        <f>K59/HLOOKUP(F59,Team_Composition_23[[#All],[Yellow]:[Red]],8,FALSE)</f>
        <v>7.9586098630365625E-3</v>
      </c>
      <c r="P59" s="195">
        <f>L59/HLOOKUP(F59,Team_Composition_23[[#All],[Yellow]:[Red]],7,FALSE)</f>
        <v>1.3118035123672303E-3</v>
      </c>
      <c r="R59" s="201" t="s">
        <v>73</v>
      </c>
      <c r="S59" s="202">
        <f t="shared" si="10"/>
        <v>1</v>
      </c>
      <c r="T59" s="203">
        <f t="shared" si="11"/>
        <v>0</v>
      </c>
      <c r="AB59" s="201" t="s">
        <v>73</v>
      </c>
      <c r="AC59" s="205">
        <f t="shared" si="12"/>
        <v>0</v>
      </c>
      <c r="AD59" s="206">
        <f t="shared" si="13"/>
        <v>1</v>
      </c>
    </row>
    <row r="60" spans="1:30" ht="22.5" customHeight="1">
      <c r="A60" s="173">
        <v>33</v>
      </c>
      <c r="B60" s="115" t="str">
        <f>VLOOKUP(C60,Lists!I:J,2,FALSE)</f>
        <v>Ranged DPS</v>
      </c>
      <c r="C60" s="115" t="str">
        <f>VLOOKUP(E60,Lists!D:E,2,FALSE)</f>
        <v>SnS/Wand</v>
      </c>
      <c r="D60" s="175" t="s">
        <v>7</v>
      </c>
      <c r="E60" s="176" t="s">
        <v>65</v>
      </c>
      <c r="F60" s="175" t="s">
        <v>483</v>
      </c>
      <c r="G60" s="173">
        <v>5</v>
      </c>
      <c r="H60" s="173">
        <v>22</v>
      </c>
      <c r="I60" s="194">
        <f t="shared" si="0"/>
        <v>27</v>
      </c>
      <c r="J60" s="177">
        <v>994950</v>
      </c>
      <c r="K60" s="177">
        <v>839247</v>
      </c>
      <c r="L60" s="177">
        <v>295045</v>
      </c>
      <c r="M60" s="195">
        <f>I60/(HLOOKUP(F60,Team_Composition_23[[#All],[Yellow]:[Red]],10,FALSE)+HLOOKUP(F60,Team_Composition_23[[#All],[Yellow]:[Red]],11,FALSE))</f>
        <v>3.2886723507917173E-2</v>
      </c>
      <c r="N60" s="195">
        <f>J60/HLOOKUP(F60,Team_Composition_23[[#All],[Yellow]:[Red]],6,FALSE)</f>
        <v>5.6385784287750831E-2</v>
      </c>
      <c r="O60" s="195">
        <f>K60/HLOOKUP(F60,Team_Composition_23[[#All],[Yellow]:[Red]],8,FALSE)</f>
        <v>1.9066888907377143E-2</v>
      </c>
      <c r="P60" s="195">
        <f>L60/HLOOKUP(F60,Team_Composition_23[[#All],[Yellow]:[Red]],7,FALSE)</f>
        <v>1.2157574895000328E-2</v>
      </c>
      <c r="R60" s="201" t="s">
        <v>75</v>
      </c>
      <c r="S60" s="202">
        <f t="shared" si="10"/>
        <v>0</v>
      </c>
      <c r="T60" s="203">
        <f t="shared" si="11"/>
        <v>0</v>
      </c>
      <c r="AB60" s="201" t="s">
        <v>75</v>
      </c>
      <c r="AC60" s="205">
        <f t="shared" si="12"/>
        <v>0</v>
      </c>
      <c r="AD60" s="206">
        <f t="shared" si="13"/>
        <v>0</v>
      </c>
    </row>
    <row r="61" spans="1:30" ht="22.5" customHeight="1">
      <c r="A61" s="173">
        <v>34</v>
      </c>
      <c r="B61" s="115" t="str">
        <f>VLOOKUP(C61,Lists!I:J,2,FALSE)</f>
        <v>Tank</v>
      </c>
      <c r="C61" s="115" t="str">
        <f>VLOOKUP(E61,Lists!D:E,2,FALSE)</f>
        <v>SnS/Greatsword</v>
      </c>
      <c r="D61" s="175" t="s">
        <v>28</v>
      </c>
      <c r="E61" s="176" t="s">
        <v>359</v>
      </c>
      <c r="F61" s="175" t="s">
        <v>476</v>
      </c>
      <c r="G61" s="173">
        <v>5</v>
      </c>
      <c r="H61" s="173">
        <v>22</v>
      </c>
      <c r="I61" s="194">
        <f t="shared" si="0"/>
        <v>27</v>
      </c>
      <c r="J61" s="177">
        <v>569961</v>
      </c>
      <c r="K61" s="177">
        <v>610009</v>
      </c>
      <c r="L61" s="177">
        <v>39976</v>
      </c>
      <c r="M61" s="195">
        <f>I61/(HLOOKUP(F61,Team_Composition_23[[#All],[Yellow]:[Red]],10,FALSE)+HLOOKUP(F61,Team_Composition_23[[#All],[Yellow]:[Red]],11,FALSE))</f>
        <v>6.7483129217695576E-3</v>
      </c>
      <c r="N61" s="195">
        <f>J61/HLOOKUP(F61,Team_Composition_23[[#All],[Yellow]:[Red]],6,FALSE)</f>
        <v>1.284749469446691E-2</v>
      </c>
      <c r="O61" s="195">
        <f>K61/HLOOKUP(F61,Team_Composition_23[[#All],[Yellow]:[Red]],8,FALSE)</f>
        <v>3.4820323786559589E-2</v>
      </c>
      <c r="P61" s="195">
        <f>L61/HLOOKUP(F61,Team_Composition_23[[#All],[Yellow]:[Red]],7,FALSE)</f>
        <v>3.0881960550257579E-3</v>
      </c>
      <c r="R61" s="204"/>
      <c r="S61" s="208"/>
      <c r="T61" s="208"/>
      <c r="AB61" s="204"/>
      <c r="AC61" s="208"/>
      <c r="AD61" s="208"/>
    </row>
    <row r="62" spans="1:30" ht="22.5" customHeight="1">
      <c r="A62" s="173">
        <v>42</v>
      </c>
      <c r="B62" s="115" t="str">
        <f>VLOOKUP(C62,Lists!I:J,2,FALSE)</f>
        <v>Tank</v>
      </c>
      <c r="C62" s="115" t="str">
        <f>VLOOKUP(E62,Lists!D:E,2,FALSE)</f>
        <v>SnS/Spear</v>
      </c>
      <c r="D62" s="175" t="s">
        <v>7</v>
      </c>
      <c r="E62" s="176" t="s">
        <v>61</v>
      </c>
      <c r="F62" s="175" t="s">
        <v>483</v>
      </c>
      <c r="G62" s="173">
        <v>1</v>
      </c>
      <c r="H62" s="173">
        <v>26</v>
      </c>
      <c r="I62" s="194">
        <f t="shared" si="0"/>
        <v>27</v>
      </c>
      <c r="J62" s="177">
        <v>273652</v>
      </c>
      <c r="K62" s="177">
        <v>567928</v>
      </c>
      <c r="L62" s="177">
        <v>33838</v>
      </c>
      <c r="M62" s="195">
        <f>I62/(HLOOKUP(F62,Team_Composition_23[[#All],[Yellow]:[Red]],10,FALSE)+HLOOKUP(F62,Team_Composition_23[[#All],[Yellow]:[Red]],11,FALSE))</f>
        <v>3.2886723507917173E-2</v>
      </c>
      <c r="N62" s="195">
        <f>J62/HLOOKUP(F62,Team_Composition_23[[#All],[Yellow]:[Red]],6,FALSE)</f>
        <v>1.5508400062225832E-2</v>
      </c>
      <c r="O62" s="195">
        <f>K62/HLOOKUP(F62,Team_Composition_23[[#All],[Yellow]:[Red]],8,FALSE)</f>
        <v>1.2902780806352463E-2</v>
      </c>
      <c r="P62" s="195">
        <f>L62/HLOOKUP(F62,Team_Composition_23[[#All],[Yellow]:[Red]],7,FALSE)</f>
        <v>1.39432296530028E-3</v>
      </c>
      <c r="R62" s="6"/>
      <c r="S62" s="209"/>
      <c r="T62" s="209"/>
      <c r="AB62" s="6"/>
      <c r="AC62" s="209"/>
      <c r="AD62" s="209"/>
    </row>
    <row r="63" spans="1:30" ht="22.5" customHeight="1">
      <c r="A63" s="173">
        <v>69</v>
      </c>
      <c r="B63" s="115" t="str">
        <f>VLOOKUP(C63,Lists!I:J,2,FALSE)</f>
        <v>Tank</v>
      </c>
      <c r="C63" s="115" t="str">
        <f>VLOOKUP(E63,Lists!D:E,2,FALSE)</f>
        <v>SnS/Greatsword</v>
      </c>
      <c r="D63" s="175" t="s">
        <v>7</v>
      </c>
      <c r="E63" s="176" t="s">
        <v>64</v>
      </c>
      <c r="F63" s="175" t="s">
        <v>483</v>
      </c>
      <c r="G63" s="173">
        <v>0</v>
      </c>
      <c r="H63" s="173">
        <v>27</v>
      </c>
      <c r="I63" s="194">
        <f t="shared" si="0"/>
        <v>27</v>
      </c>
      <c r="J63" s="177">
        <v>117306</v>
      </c>
      <c r="K63" s="177">
        <v>439578</v>
      </c>
      <c r="L63" s="177">
        <v>19582</v>
      </c>
      <c r="M63" s="195">
        <f>I63/(HLOOKUP(F63,Team_Composition_23[[#All],[Yellow]:[Red]],10,FALSE)+HLOOKUP(F63,Team_Composition_23[[#All],[Yellow]:[Red]],11,FALSE))</f>
        <v>3.2886723507917173E-2</v>
      </c>
      <c r="N63" s="195">
        <f>J63/HLOOKUP(F63,Team_Composition_23[[#All],[Yellow]:[Red]],6,FALSE)</f>
        <v>6.6479630249348205E-3</v>
      </c>
      <c r="O63" s="195">
        <f>K63/HLOOKUP(F63,Team_Composition_23[[#All],[Yellow]:[Red]],8,FALSE)</f>
        <v>9.9867916026235761E-3</v>
      </c>
      <c r="P63" s="195">
        <f>L63/HLOOKUP(F63,Team_Composition_23[[#All],[Yellow]:[Red]],7,FALSE)</f>
        <v>8.0689261500413976E-4</v>
      </c>
      <c r="R63" s="232" t="s">
        <v>11</v>
      </c>
      <c r="S63" s="228"/>
      <c r="T63" s="228"/>
      <c r="AB63" s="232" t="s">
        <v>11</v>
      </c>
      <c r="AC63" s="228"/>
      <c r="AD63" s="228"/>
    </row>
    <row r="64" spans="1:30" ht="22.5" customHeight="1">
      <c r="A64" s="173">
        <v>37</v>
      </c>
      <c r="B64" s="115" t="str">
        <f>VLOOKUP(C64,Lists!I:J,2,FALSE)</f>
        <v>Tank</v>
      </c>
      <c r="C64" s="115" t="str">
        <f>VLOOKUP(E64,Lists!D:E,2,FALSE)</f>
        <v>SnS/Greatsword</v>
      </c>
      <c r="D64" s="175" t="s">
        <v>7</v>
      </c>
      <c r="E64" s="176" t="s">
        <v>85</v>
      </c>
      <c r="F64" s="175" t="s">
        <v>476</v>
      </c>
      <c r="G64" s="173">
        <v>2</v>
      </c>
      <c r="H64" s="173">
        <v>24</v>
      </c>
      <c r="I64" s="194">
        <f t="shared" si="0"/>
        <v>26</v>
      </c>
      <c r="J64" s="177">
        <v>219696</v>
      </c>
      <c r="K64" s="177">
        <v>671713</v>
      </c>
      <c r="L64" s="177">
        <v>35957</v>
      </c>
      <c r="M64" s="195">
        <f>I64/(HLOOKUP(F64,Team_Composition_23[[#All],[Yellow]:[Red]],10,FALSE)+HLOOKUP(F64,Team_Composition_23[[#All],[Yellow]:[Red]],11,FALSE))</f>
        <v>6.4983754061484628E-3</v>
      </c>
      <c r="N64" s="195">
        <f>J64/HLOOKUP(F64,Team_Composition_23[[#All],[Yellow]:[Red]],6,FALSE)</f>
        <v>4.9521689982219876E-3</v>
      </c>
      <c r="O64" s="195">
        <f>K64/HLOOKUP(F64,Team_Composition_23[[#All],[Yellow]:[Red]],8,FALSE)</f>
        <v>3.8342490277424271E-2</v>
      </c>
      <c r="P64" s="195">
        <f>L64/HLOOKUP(F64,Team_Composition_23[[#All],[Yellow]:[Red]],7,FALSE)</f>
        <v>2.7777232727276661E-3</v>
      </c>
      <c r="R64" s="197" t="s">
        <v>482</v>
      </c>
      <c r="S64" s="198" t="s">
        <v>476</v>
      </c>
      <c r="T64" s="198" t="s">
        <v>483</v>
      </c>
      <c r="AB64" s="197" t="s">
        <v>482</v>
      </c>
      <c r="AC64" s="198" t="s">
        <v>7</v>
      </c>
      <c r="AD64" s="198" t="s">
        <v>527</v>
      </c>
    </row>
    <row r="65" spans="1:30" ht="22.5" customHeight="1">
      <c r="A65" s="173">
        <v>70</v>
      </c>
      <c r="B65" s="115" t="str">
        <f>VLOOKUP(C65,Lists!I:J,2,FALSE)</f>
        <v>Tank</v>
      </c>
      <c r="C65" s="115" t="str">
        <f>VLOOKUP(E65,Lists!D:E,2,FALSE)</f>
        <v>SnS/Longbow</v>
      </c>
      <c r="D65" s="175" t="s">
        <v>28</v>
      </c>
      <c r="E65" s="176" t="s">
        <v>363</v>
      </c>
      <c r="F65" s="175" t="s">
        <v>476</v>
      </c>
      <c r="G65" s="173">
        <v>0</v>
      </c>
      <c r="H65" s="173">
        <v>23</v>
      </c>
      <c r="I65" s="194">
        <f t="shared" si="0"/>
        <v>23</v>
      </c>
      <c r="J65" s="177">
        <v>90586</v>
      </c>
      <c r="K65" s="177">
        <v>426885</v>
      </c>
      <c r="L65" s="177">
        <v>267743</v>
      </c>
      <c r="M65" s="195">
        <f>I65/(HLOOKUP(F65,Team_Composition_23[[#All],[Yellow]:[Red]],10,FALSE)+HLOOKUP(F65,Team_Composition_23[[#All],[Yellow]:[Red]],11,FALSE))</f>
        <v>5.7485628592851791E-3</v>
      </c>
      <c r="N65" s="195">
        <f>J65/HLOOKUP(F65,Team_Composition_23[[#All],[Yellow]:[Red]],6,FALSE)</f>
        <v>2.0418996289096616E-3</v>
      </c>
      <c r="O65" s="195">
        <f>K65/HLOOKUP(F65,Team_Composition_23[[#All],[Yellow]:[Red]],8,FALSE)</f>
        <v>2.4367302645740455E-2</v>
      </c>
      <c r="P65" s="195">
        <f>L65/HLOOKUP(F65,Team_Composition_23[[#All],[Yellow]:[Red]],7,FALSE)</f>
        <v>2.0683481998217967E-2</v>
      </c>
      <c r="R65" s="201" t="s">
        <v>468</v>
      </c>
      <c r="S65" s="202">
        <f>SUMIFS(Scoreboard_24[Damage Dealt],Scoreboard_24[Role],"Healer",Scoreboard_24[Team],"Yellow")</f>
        <v>286741</v>
      </c>
      <c r="T65" s="203">
        <f>SUMIFS(Scoreboard_24[Damage Dealt],Scoreboard_24[Role],"Healer",Scoreboard_24[Team],"Red")</f>
        <v>1222982</v>
      </c>
      <c r="AB65" s="201" t="s">
        <v>468</v>
      </c>
      <c r="AC65" s="205">
        <f>SUMIFS(Scoreboard_24[Damage Dealt],Scoreboard_24[Role],"Healer",Scoreboard_24[Guild],"FTP")</f>
        <v>1190832</v>
      </c>
      <c r="AD65" s="206">
        <f>SUMIFS(Scoreboard_24[Damage Dealt],Scoreboard_24[Role],"Healer",Scoreboard_24[Guild],"Undercooked")</f>
        <v>254724</v>
      </c>
    </row>
    <row r="66" spans="1:30" ht="22.5" customHeight="1">
      <c r="A66" s="173">
        <v>38</v>
      </c>
      <c r="B66" s="115" t="str">
        <f>VLOOKUP(C66,Lists!I:J,2,FALSE)</f>
        <v>Tank</v>
      </c>
      <c r="C66" s="115" t="str">
        <f>VLOOKUP(E66,Lists!D:E,2,FALSE)</f>
        <v>SnS/Greatsword</v>
      </c>
      <c r="D66" s="175" t="s">
        <v>7</v>
      </c>
      <c r="E66" s="176" t="s">
        <v>141</v>
      </c>
      <c r="F66" s="175" t="s">
        <v>476</v>
      </c>
      <c r="G66" s="173">
        <v>2</v>
      </c>
      <c r="H66" s="173">
        <v>20</v>
      </c>
      <c r="I66" s="194">
        <f t="shared" si="0"/>
        <v>22</v>
      </c>
      <c r="J66" s="177">
        <v>124332</v>
      </c>
      <c r="K66" s="177">
        <v>220471</v>
      </c>
      <c r="L66" s="177">
        <v>31103</v>
      </c>
      <c r="M66" s="195">
        <f>I66/(HLOOKUP(F66,Team_Composition_23[[#All],[Yellow]:[Red]],10,FALSE)+HLOOKUP(F66,Team_Composition_23[[#All],[Yellow]:[Red]],11,FALSE))</f>
        <v>5.4986253436640842E-3</v>
      </c>
      <c r="N66" s="195">
        <f>J66/HLOOKUP(F66,Team_Composition_23[[#All],[Yellow]:[Red]],6,FALSE)</f>
        <v>2.8025684395115804E-3</v>
      </c>
      <c r="O66" s="195">
        <f>K66/HLOOKUP(F66,Team_Composition_23[[#All],[Yellow]:[Red]],8,FALSE)</f>
        <v>1.2584849740817888E-2</v>
      </c>
      <c r="P66" s="195">
        <f>L66/HLOOKUP(F66,Team_Composition_23[[#All],[Yellow]:[Red]],7,FALSE)</f>
        <v>2.402745694903596E-3</v>
      </c>
      <c r="R66" s="201" t="s">
        <v>469</v>
      </c>
      <c r="S66" s="202">
        <f>SUMIFS(Scoreboard_24[Damage Taken],Scoreboard_24[Role],"Healer",Scoreboard_24[Team],"Yellow")</f>
        <v>4345492</v>
      </c>
      <c r="T66" s="203">
        <f>SUMIFS(Scoreboard_24[Damage Taken],Scoreboard_24[Role],"Healer",Scoreboard_24[Team],"Red")</f>
        <v>7136480</v>
      </c>
      <c r="AB66" s="201" t="s">
        <v>469</v>
      </c>
      <c r="AC66" s="205">
        <f>SUMIFS(Scoreboard_24[Damage Taken],Scoreboard_24[Role],"Healer",Scoreboard_24[Guild],"FTP")</f>
        <v>7182798</v>
      </c>
      <c r="AD66" s="206">
        <f>SUMIFS(Scoreboard_24[Damage Taken],Scoreboard_24[Role],"Healer",Scoreboard_24[Guild],"Undercooked")</f>
        <v>3792325</v>
      </c>
    </row>
    <row r="67" spans="1:30" ht="22.5" customHeight="1">
      <c r="A67" s="173">
        <v>71</v>
      </c>
      <c r="B67" s="115" t="str">
        <f>VLOOKUP(C67,Lists!I:J,2,FALSE)</f>
        <v>Healer</v>
      </c>
      <c r="C67" s="115" t="str">
        <f>VLOOKUP(E67,Lists!D:E,2,FALSE)</f>
        <v>Wand/Longbow</v>
      </c>
      <c r="D67" s="175" t="s">
        <v>28</v>
      </c>
      <c r="E67" s="176" t="s">
        <v>364</v>
      </c>
      <c r="F67" s="175" t="s">
        <v>476</v>
      </c>
      <c r="G67" s="173">
        <v>0</v>
      </c>
      <c r="H67" s="173">
        <v>21</v>
      </c>
      <c r="I67" s="194">
        <f t="shared" si="0"/>
        <v>21</v>
      </c>
      <c r="J67" s="177">
        <v>47039</v>
      </c>
      <c r="K67" s="177">
        <v>256045</v>
      </c>
      <c r="L67" s="177">
        <v>1136003</v>
      </c>
      <c r="M67" s="195">
        <f>I67/(HLOOKUP(F67,Team_Composition_23[[#All],[Yellow]:[Red]],10,FALSE)+HLOOKUP(F67,Team_Composition_23[[#All],[Yellow]:[Red]],11,FALSE))</f>
        <v>5.2486878280429894E-3</v>
      </c>
      <c r="N67" s="195">
        <f>J67/HLOOKUP(F67,Team_Composition_23[[#All],[Yellow]:[Red]],6,FALSE)</f>
        <v>1.0603064120756141E-3</v>
      </c>
      <c r="O67" s="195">
        <f>K67/HLOOKUP(F67,Team_Composition_23[[#All],[Yellow]:[Red]],8,FALSE)</f>
        <v>1.4615472565043548E-2</v>
      </c>
      <c r="P67" s="195">
        <f>L67/HLOOKUP(F67,Team_Composition_23[[#All],[Yellow]:[Red]],7,FALSE)</f>
        <v>8.775765416993761E-2</v>
      </c>
      <c r="R67" s="201" t="s">
        <v>470</v>
      </c>
      <c r="S67" s="202">
        <f>SUMIFS(Scoreboard_24[Amount Healed],Scoreboard_24[Role],"Healer",Scoreboard_24[Team],"Yellow")</f>
        <v>11671397</v>
      </c>
      <c r="T67" s="203">
        <f>SUMIFS(Scoreboard_24[Amount Healed],Scoreboard_24[Role],"Healer",Scoreboard_24[Team],"Red")</f>
        <v>14047942</v>
      </c>
      <c r="AB67" s="201" t="s">
        <v>470</v>
      </c>
      <c r="AC67" s="205">
        <f>SUMIFS(Scoreboard_24[Amount Healed],Scoreboard_24[Role],"Healer",Scoreboard_24[Guild],"FTP")</f>
        <v>16500235</v>
      </c>
      <c r="AD67" s="206">
        <f>SUMIFS(Scoreboard_24[Amount Healed],Scoreboard_24[Role],"Healer",Scoreboard_24[Guild],"Undercooked")</f>
        <v>9196441</v>
      </c>
    </row>
    <row r="68" spans="1:30" ht="22.5" customHeight="1">
      <c r="A68" s="173">
        <v>72</v>
      </c>
      <c r="B68" s="115" t="str">
        <f>VLOOKUP(C68,Lists!I:J,2,FALSE)</f>
        <v>Healer</v>
      </c>
      <c r="C68" s="115" t="str">
        <f>VLOOKUP(E68,Lists!D:E,2,FALSE)</f>
        <v>Wand/Orb</v>
      </c>
      <c r="D68" s="175" t="s">
        <v>28</v>
      </c>
      <c r="E68" s="176" t="s">
        <v>365</v>
      </c>
      <c r="F68" s="175" t="s">
        <v>476</v>
      </c>
      <c r="G68" s="173">
        <v>0</v>
      </c>
      <c r="H68" s="173">
        <v>18</v>
      </c>
      <c r="I68" s="194">
        <f t="shared" si="0"/>
        <v>18</v>
      </c>
      <c r="J68" s="177">
        <v>6967</v>
      </c>
      <c r="K68" s="177">
        <v>316388</v>
      </c>
      <c r="L68" s="177">
        <v>61876</v>
      </c>
      <c r="M68" s="195">
        <f>I68/(HLOOKUP(F68,Team_Composition_23[[#All],[Yellow]:[Red]],10,FALSE)+HLOOKUP(F68,Team_Composition_23[[#All],[Yellow]:[Red]],11,FALSE))</f>
        <v>4.4988752811797048E-3</v>
      </c>
      <c r="N68" s="195">
        <f>J68/HLOOKUP(F68,Team_Composition_23[[#All],[Yellow]:[Red]],6,FALSE)</f>
        <v>1.5704319336998666E-4</v>
      </c>
      <c r="O68" s="195">
        <f>K68/HLOOKUP(F68,Team_Composition_23[[#All],[Yellow]:[Red]],8,FALSE)</f>
        <v>1.8059950922333957E-2</v>
      </c>
      <c r="P68" s="195">
        <f>L68/HLOOKUP(F68,Team_Composition_23[[#All],[Yellow]:[Red]],7,FALSE)</f>
        <v>4.7799984766053079E-3</v>
      </c>
      <c r="R68" s="201" t="s">
        <v>465</v>
      </c>
      <c r="S68" s="202">
        <f>SUMIFS(Scoreboard_24[Kills],Scoreboard_24[Role],"Healer",Scoreboard_24[Team],"Yellow")</f>
        <v>0</v>
      </c>
      <c r="T68" s="203">
        <f>SUMIFS(Scoreboard_24[Kills],Scoreboard_24[Role],"Healer",Scoreboard_24[Team],"Red")</f>
        <v>9</v>
      </c>
      <c r="AB68" s="201" t="s">
        <v>465</v>
      </c>
      <c r="AC68" s="205">
        <f>SUMIFS(Scoreboard_24[Kills],Scoreboard_24[Role],"Healer",Scoreboard_24[Guild],"FTP")</f>
        <v>7</v>
      </c>
      <c r="AD68" s="206">
        <f>SUMIFS(Scoreboard_24[Kills],Scoreboard_24[Role],"Healer",Scoreboard_24[Guild],"Undercooked")</f>
        <v>0</v>
      </c>
    </row>
    <row r="69" spans="1:30" ht="22.5" customHeight="1">
      <c r="A69" s="173">
        <v>35</v>
      </c>
      <c r="B69" s="115" t="str">
        <f>VLOOKUP(C69,Lists!I:J,2,FALSE)</f>
        <v>Tank</v>
      </c>
      <c r="C69" s="115" t="str">
        <f>VLOOKUP(E69,Lists!D:E,2,FALSE)</f>
        <v>SnS/Spear</v>
      </c>
      <c r="D69" s="175" t="s">
        <v>7</v>
      </c>
      <c r="E69" s="176" t="s">
        <v>79</v>
      </c>
      <c r="F69" s="175" t="s">
        <v>483</v>
      </c>
      <c r="G69" s="173">
        <v>3</v>
      </c>
      <c r="H69" s="173">
        <v>14</v>
      </c>
      <c r="I69" s="194">
        <f t="shared" si="0"/>
        <v>17</v>
      </c>
      <c r="J69" s="177">
        <v>80760</v>
      </c>
      <c r="K69" s="177">
        <v>269515</v>
      </c>
      <c r="L69" s="177">
        <v>37108</v>
      </c>
      <c r="M69" s="195">
        <f>I69/(HLOOKUP(F69,Team_Composition_23[[#All],[Yellow]:[Red]],10,FALSE)+HLOOKUP(F69,Team_Composition_23[[#All],[Yellow]:[Red]],11,FALSE))</f>
        <v>2.0706455542021926E-2</v>
      </c>
      <c r="N69" s="195">
        <f>J69/HLOOKUP(F69,Team_Composition_23[[#All],[Yellow]:[Red]],6,FALSE)</f>
        <v>4.5768289251507683E-3</v>
      </c>
      <c r="O69" s="195">
        <f>K69/HLOOKUP(F69,Team_Composition_23[[#All],[Yellow]:[Red]],8,FALSE)</f>
        <v>6.1231229469652561E-3</v>
      </c>
      <c r="P69" s="195">
        <f>L69/HLOOKUP(F69,Team_Composition_23[[#All],[Yellow]:[Red]],7,FALSE)</f>
        <v>1.5290660380744365E-3</v>
      </c>
      <c r="R69" s="201" t="s">
        <v>466</v>
      </c>
      <c r="S69" s="202">
        <f>SUMIFS(Scoreboard_24[Assists],Scoreboard_24[Role],"Healer",Scoreboard_24[Team],"Yellow")</f>
        <v>558</v>
      </c>
      <c r="T69" s="203">
        <f>SUMIFS(Scoreboard_24[Assists],Scoreboard_24[Role],"Healer",Scoreboard_24[Team],"Red")</f>
        <v>518</v>
      </c>
      <c r="AB69" s="201" t="s">
        <v>466</v>
      </c>
      <c r="AC69" s="205">
        <f>SUMIFS(Scoreboard_24[Assists],Scoreboard_24[Role],"Healer",Scoreboard_24[Guild],"FTP")</f>
        <v>609</v>
      </c>
      <c r="AD69" s="206">
        <f>SUMIFS(Scoreboard_24[Assists],Scoreboard_24[Role],"Healer",Scoreboard_24[Guild],"Undercooked")</f>
        <v>426</v>
      </c>
    </row>
    <row r="70" spans="1:30" ht="22.5" customHeight="1">
      <c r="A70" s="173">
        <v>73</v>
      </c>
      <c r="B70" s="115" t="str">
        <f>VLOOKUP(C70,Lists!I:J,2,FALSE)</f>
        <v>Healer</v>
      </c>
      <c r="C70" s="115" t="str">
        <f>VLOOKUP(E70,Lists!D:E,2,FALSE)</f>
        <v>Wand/Longbow</v>
      </c>
      <c r="D70" s="175" t="s">
        <v>7</v>
      </c>
      <c r="E70" s="176" t="s">
        <v>136</v>
      </c>
      <c r="F70" s="175" t="s">
        <v>483</v>
      </c>
      <c r="G70" s="173">
        <v>0</v>
      </c>
      <c r="H70" s="173">
        <v>12</v>
      </c>
      <c r="I70" s="194">
        <f t="shared" si="0"/>
        <v>12</v>
      </c>
      <c r="J70" s="177">
        <v>50993</v>
      </c>
      <c r="K70" s="177">
        <v>432125</v>
      </c>
      <c r="L70" s="177">
        <v>1356037</v>
      </c>
      <c r="M70" s="195">
        <f>I70/(HLOOKUP(F70,Team_Composition_23[[#All],[Yellow]:[Red]],10,FALSE)+HLOOKUP(F70,Team_Composition_23[[#All],[Yellow]:[Red]],11,FALSE))</f>
        <v>1.4616321559074299E-2</v>
      </c>
      <c r="N70" s="195">
        <f>J70/HLOOKUP(F70,Team_Composition_23[[#All],[Yellow]:[Red]],6,FALSE)</f>
        <v>2.8898741627069484E-3</v>
      </c>
      <c r="O70" s="195">
        <f>K70/HLOOKUP(F70,Team_Composition_23[[#All],[Yellow]:[Red]],8,FALSE)</f>
        <v>9.8174665731308505E-3</v>
      </c>
      <c r="P70" s="195">
        <f>L70/HLOOKUP(F70,Team_Composition_23[[#All],[Yellow]:[Red]],7,FALSE)</f>
        <v>5.5876633692797911E-2</v>
      </c>
      <c r="R70" s="201" t="s">
        <v>10</v>
      </c>
      <c r="S70" s="202">
        <f t="shared" ref="S70:S72" si="14">COUNTIFS(C:C,R70,F:F,"Yellow")</f>
        <v>8</v>
      </c>
      <c r="T70" s="203">
        <f t="shared" ref="T70:T72" si="15">COUNTIFS(C:C,R70,F:F,"Red")</f>
        <v>8</v>
      </c>
      <c r="AB70" s="201" t="s">
        <v>10</v>
      </c>
      <c r="AC70" s="205">
        <f t="shared" ref="AC70:AC72" si="16">COUNTIFS(C:C,AB70,D:D,"FTP")</f>
        <v>10</v>
      </c>
      <c r="AD70" s="206">
        <f t="shared" ref="AD70:AD72" si="17">COUNTIFS(C:C,AB70,D:D,"Undercooked")</f>
        <v>5</v>
      </c>
    </row>
    <row r="71" spans="1:30" ht="22.5" customHeight="1">
      <c r="A71" s="173">
        <v>43</v>
      </c>
      <c r="B71" s="115" t="str">
        <f>VLOOKUP(C71,Lists!I:J,2,FALSE)</f>
        <v>Tank</v>
      </c>
      <c r="C71" s="115" t="str">
        <f>VLOOKUP(E71,Lists!D:E,2,FALSE)</f>
        <v>SnS/Spear</v>
      </c>
      <c r="D71" s="175" t="s">
        <v>7</v>
      </c>
      <c r="E71" s="176" t="s">
        <v>89</v>
      </c>
      <c r="F71" s="175" t="s">
        <v>483</v>
      </c>
      <c r="G71" s="173">
        <v>1</v>
      </c>
      <c r="H71" s="173">
        <v>11</v>
      </c>
      <c r="I71" s="194">
        <f t="shared" si="0"/>
        <v>12</v>
      </c>
      <c r="J71" s="177">
        <v>165332</v>
      </c>
      <c r="K71" s="177">
        <v>770686</v>
      </c>
      <c r="L71" s="177">
        <v>31982</v>
      </c>
      <c r="M71" s="195">
        <f>I71/(HLOOKUP(F71,Team_Composition_23[[#All],[Yellow]:[Red]],10,FALSE)+HLOOKUP(F71,Team_Composition_23[[#All],[Yellow]:[Red]],11,FALSE))</f>
        <v>1.4616321559074299E-2</v>
      </c>
      <c r="N71" s="195">
        <f>J71/HLOOKUP(F71,Team_Composition_23[[#All],[Yellow]:[Red]],6,FALSE)</f>
        <v>9.3696914295818088E-3</v>
      </c>
      <c r="O71" s="195">
        <f>K71/HLOOKUP(F71,Team_Composition_23[[#All],[Yellow]:[Red]],8,FALSE)</f>
        <v>1.7509248581729645E-2</v>
      </c>
      <c r="P71" s="195">
        <f>L71/HLOOKUP(F71,Team_Composition_23[[#All],[Yellow]:[Red]],7,FALSE)</f>
        <v>1.3178449398969666E-3</v>
      </c>
      <c r="R71" s="201" t="s">
        <v>9</v>
      </c>
      <c r="S71" s="202">
        <f t="shared" si="14"/>
        <v>6</v>
      </c>
      <c r="T71" s="203">
        <f t="shared" si="15"/>
        <v>7</v>
      </c>
      <c r="AB71" s="201" t="s">
        <v>9</v>
      </c>
      <c r="AC71" s="205">
        <f t="shared" si="16"/>
        <v>7</v>
      </c>
      <c r="AD71" s="206">
        <f t="shared" si="17"/>
        <v>6</v>
      </c>
    </row>
    <row r="72" spans="1:30" ht="22.5" customHeight="1">
      <c r="A72" s="173">
        <v>44</v>
      </c>
      <c r="B72" s="115" t="str">
        <f>VLOOKUP(C72,Lists!I:J,2,FALSE)</f>
        <v>Tank</v>
      </c>
      <c r="C72" s="115" t="str">
        <f>VLOOKUP(E72,Lists!D:E,2,FALSE)</f>
        <v>SnS/Greatsword</v>
      </c>
      <c r="D72" s="175" t="s">
        <v>7</v>
      </c>
      <c r="E72" s="176" t="s">
        <v>82</v>
      </c>
      <c r="F72" s="175" t="s">
        <v>476</v>
      </c>
      <c r="G72" s="173">
        <v>1</v>
      </c>
      <c r="H72" s="173">
        <v>9</v>
      </c>
      <c r="I72" s="194">
        <f t="shared" si="0"/>
        <v>10</v>
      </c>
      <c r="J72" s="177">
        <v>52020</v>
      </c>
      <c r="K72" s="177">
        <v>509960</v>
      </c>
      <c r="L72" s="177">
        <v>15885</v>
      </c>
      <c r="M72" s="195">
        <f>I72/(HLOOKUP(F72,Team_Composition_23[[#All],[Yellow]:[Red]],10,FALSE)+HLOOKUP(F72,Team_Composition_23[[#All],[Yellow]:[Red]],11,FALSE))</f>
        <v>2.4993751562109472E-3</v>
      </c>
      <c r="N72" s="195">
        <f>J72/HLOOKUP(F72,Team_Composition_23[[#All],[Yellow]:[Red]],6,FALSE)</f>
        <v>1.1725831662274589E-3</v>
      </c>
      <c r="O72" s="195">
        <f>K72/HLOOKUP(F72,Team_Composition_23[[#All],[Yellow]:[Red]],8,FALSE)</f>
        <v>2.9109361203185406E-2</v>
      </c>
      <c r="P72" s="195">
        <f>L72/HLOOKUP(F72,Team_Composition_23[[#All],[Yellow]:[Red]],7,FALSE)</f>
        <v>1.2271361400361257E-3</v>
      </c>
      <c r="R72" s="201" t="s">
        <v>18</v>
      </c>
      <c r="S72" s="202">
        <f t="shared" si="14"/>
        <v>0</v>
      </c>
      <c r="T72" s="203">
        <f t="shared" si="15"/>
        <v>0</v>
      </c>
      <c r="AB72" s="201" t="s">
        <v>18</v>
      </c>
      <c r="AC72" s="205">
        <f t="shared" si="16"/>
        <v>0</v>
      </c>
      <c r="AD72" s="206">
        <f t="shared" si="17"/>
        <v>0</v>
      </c>
    </row>
    <row r="73" spans="1:30" ht="22.5" customHeight="1">
      <c r="A73" s="173">
        <v>46</v>
      </c>
      <c r="B73" s="115" t="str">
        <f>VLOOKUP(C73,Lists!I:J,2,FALSE)</f>
        <v>Healer</v>
      </c>
      <c r="C73" s="115" t="str">
        <f>VLOOKUP(E73,Lists!D:E,2,FALSE)</f>
        <v>Wand/Orb</v>
      </c>
      <c r="D73" s="175" t="s">
        <v>7</v>
      </c>
      <c r="E73" s="176" t="s">
        <v>121</v>
      </c>
      <c r="F73" s="175" t="s">
        <v>483</v>
      </c>
      <c r="G73" s="173">
        <v>1</v>
      </c>
      <c r="H73" s="173">
        <v>8</v>
      </c>
      <c r="I73" s="194">
        <f t="shared" si="0"/>
        <v>9</v>
      </c>
      <c r="J73" s="177">
        <v>13575</v>
      </c>
      <c r="K73" s="177">
        <v>573162</v>
      </c>
      <c r="L73" s="177">
        <v>971765</v>
      </c>
      <c r="M73" s="195">
        <f>I73/(HLOOKUP(F73,Team_Composition_23[[#All],[Yellow]:[Red]],10,FALSE)+HLOOKUP(F73,Team_Composition_23[[#All],[Yellow]:[Red]],11,FALSE))</f>
        <v>1.0962241169305725E-2</v>
      </c>
      <c r="N73" s="195">
        <f>J73/HLOOKUP(F73,Team_Composition_23[[#All],[Yellow]:[Red]],6,FALSE)</f>
        <v>7.6932209830264588E-4</v>
      </c>
      <c r="O73" s="195">
        <f>K73/HLOOKUP(F73,Team_Composition_23[[#All],[Yellow]:[Red]],8,FALSE)</f>
        <v>1.3021692278828637E-2</v>
      </c>
      <c r="P73" s="195">
        <f>L73/HLOOKUP(F73,Team_Composition_23[[#All],[Yellow]:[Red]],7,FALSE)</f>
        <v>4.0042385967699816E-2</v>
      </c>
    </row>
    <row r="74" spans="1:30" ht="22.5" customHeight="1">
      <c r="A74" s="173">
        <v>74</v>
      </c>
      <c r="B74" s="115" t="str">
        <f>VLOOKUP(C74,Lists!I:J,2,FALSE)</f>
        <v>Healer</v>
      </c>
      <c r="C74" s="115" t="str">
        <f>VLOOKUP(E74,Lists!D:E,2,FALSE)</f>
        <v>Wand/Longbow</v>
      </c>
      <c r="D74" s="175" t="s">
        <v>7</v>
      </c>
      <c r="E74" s="176" t="s">
        <v>17</v>
      </c>
      <c r="F74" s="175" t="s">
        <v>483</v>
      </c>
      <c r="G74" s="173">
        <v>0</v>
      </c>
      <c r="H74" s="173">
        <v>9</v>
      </c>
      <c r="I74" s="194">
        <f t="shared" si="0"/>
        <v>9</v>
      </c>
      <c r="J74" s="177">
        <v>48313</v>
      </c>
      <c r="K74" s="177">
        <v>1088486</v>
      </c>
      <c r="L74" s="177">
        <v>2933958</v>
      </c>
      <c r="M74" s="195">
        <f>I74/(HLOOKUP(F74,Team_Composition_23[[#All],[Yellow]:[Red]],10,FALSE)+HLOOKUP(F74,Team_Composition_23[[#All],[Yellow]:[Red]],11,FALSE))</f>
        <v>1.0962241169305725E-2</v>
      </c>
      <c r="N74" s="195">
        <f>J74/HLOOKUP(F74,Team_Composition_23[[#All],[Yellow]:[Red]],6,FALSE)</f>
        <v>2.7379932622685621E-3</v>
      </c>
      <c r="O74" s="195">
        <f>K74/HLOOKUP(F74,Team_Composition_23[[#All],[Yellow]:[Red]],8,FALSE)</f>
        <v>2.4729360532996025E-2</v>
      </c>
      <c r="P74" s="195">
        <f>L74/HLOOKUP(F74,Team_Composition_23[[#All],[Yellow]:[Red]],7,FALSE)</f>
        <v>0.12089618235789582</v>
      </c>
    </row>
    <row r="75" spans="1:30" ht="22.5" customHeight="1">
      <c r="A75" s="173">
        <v>75</v>
      </c>
      <c r="B75" s="115" t="str">
        <f>VLOOKUP(C75,Lists!I:J,2,FALSE)</f>
        <v>Healer</v>
      </c>
      <c r="C75" s="115" t="str">
        <f>VLOOKUP(E75,Lists!D:E,2,FALSE)</f>
        <v>Wand/Orb</v>
      </c>
      <c r="D75" s="175" t="s">
        <v>7</v>
      </c>
      <c r="E75" s="176" t="s">
        <v>74</v>
      </c>
      <c r="F75" s="175" t="s">
        <v>483</v>
      </c>
      <c r="G75" s="173">
        <v>0</v>
      </c>
      <c r="H75" s="173">
        <v>9</v>
      </c>
      <c r="I75" s="194">
        <f t="shared" si="0"/>
        <v>9</v>
      </c>
      <c r="J75" s="177">
        <v>8357</v>
      </c>
      <c r="K75" s="177">
        <v>326519</v>
      </c>
      <c r="L75" s="177">
        <v>44817</v>
      </c>
      <c r="M75" s="195">
        <f>I75/(HLOOKUP(F75,Team_Composition_23[[#All],[Yellow]:[Red]],10,FALSE)+HLOOKUP(F75,Team_Composition_23[[#All],[Yellow]:[Red]],11,FALSE))</f>
        <v>1.0962241169305725E-2</v>
      </c>
      <c r="N75" s="195">
        <f>J75/HLOOKUP(F75,Team_Composition_23[[#All],[Yellow]:[Red]],6,FALSE)</f>
        <v>4.7360771826999721E-4</v>
      </c>
      <c r="O75" s="195">
        <f>K75/HLOOKUP(F75,Team_Composition_23[[#All],[Yellow]:[Red]],8,FALSE)</f>
        <v>7.4181992895391664E-3</v>
      </c>
      <c r="P75" s="195">
        <f>L75/HLOOKUP(F75,Team_Composition_23[[#All],[Yellow]:[Red]],7,FALSE)</f>
        <v>1.8467218019936947E-3</v>
      </c>
    </row>
    <row r="76" spans="1:30" ht="22.5" customHeight="1">
      <c r="A76" s="173">
        <v>45</v>
      </c>
      <c r="B76" s="115" t="str">
        <f>VLOOKUP(C76,Lists!I:J,2,FALSE)</f>
        <v>Tank</v>
      </c>
      <c r="C76" s="115" t="str">
        <f>VLOOKUP(E76,Lists!D:E,2,FALSE)</f>
        <v>SnS/Greatsword</v>
      </c>
      <c r="D76" s="175" t="s">
        <v>7</v>
      </c>
      <c r="E76" s="176" t="s">
        <v>111</v>
      </c>
      <c r="F76" s="175" t="s">
        <v>476</v>
      </c>
      <c r="G76" s="173">
        <v>1</v>
      </c>
      <c r="H76" s="173">
        <v>8</v>
      </c>
      <c r="I76" s="194">
        <f t="shared" si="0"/>
        <v>9</v>
      </c>
      <c r="J76" s="177">
        <v>34829</v>
      </c>
      <c r="K76" s="177">
        <v>563925</v>
      </c>
      <c r="L76" s="177">
        <v>9624</v>
      </c>
      <c r="M76" s="195">
        <f>I76/(HLOOKUP(F76,Team_Composition_23[[#All],[Yellow]:[Red]],10,FALSE)+HLOOKUP(F76,Team_Composition_23[[#All],[Yellow]:[Red]],11,FALSE))</f>
        <v>2.2494376405898524E-3</v>
      </c>
      <c r="N76" s="195">
        <f>J76/HLOOKUP(F76,Team_Composition_23[[#All],[Yellow]:[Red]],6,FALSE)</f>
        <v>7.8508072080999932E-4</v>
      </c>
      <c r="O76" s="195">
        <f>K76/HLOOKUP(F76,Team_Composition_23[[#All],[Yellow]:[Red]],8,FALSE)</f>
        <v>3.218977275964062E-2</v>
      </c>
      <c r="P76" s="195">
        <f>L76/HLOOKUP(F76,Team_Composition_23[[#All],[Yellow]:[Red]],7,FALSE)</f>
        <v>7.4346605046947899E-4</v>
      </c>
    </row>
    <row r="77" spans="1:30" ht="22.5" customHeight="1">
      <c r="A77" s="173">
        <v>76</v>
      </c>
      <c r="B77" s="115" t="str">
        <f>VLOOKUP(C77,Lists!I:J,2,FALSE)</f>
        <v>Tank</v>
      </c>
      <c r="C77" s="115" t="s">
        <v>14</v>
      </c>
      <c r="D77" s="175" t="s">
        <v>7</v>
      </c>
      <c r="E77" s="176" t="s">
        <v>566</v>
      </c>
      <c r="F77" s="175" t="s">
        <v>476</v>
      </c>
      <c r="G77" s="173">
        <v>0</v>
      </c>
      <c r="H77" s="173">
        <v>8</v>
      </c>
      <c r="I77" s="194">
        <f t="shared" si="0"/>
        <v>8</v>
      </c>
      <c r="J77" s="177">
        <v>49254</v>
      </c>
      <c r="K77" s="177">
        <v>264176</v>
      </c>
      <c r="L77" s="177">
        <v>11052</v>
      </c>
      <c r="M77" s="195">
        <f>I77/(HLOOKUP(F77,Team_Composition_23[[#All],[Yellow]:[Red]],10,FALSE)+HLOOKUP(F77,Team_Composition_23[[#All],[Yellow]:[Red]],11,FALSE))</f>
        <v>1.999500124968758E-3</v>
      </c>
      <c r="N77" s="195">
        <f>J77/HLOOKUP(F77,Team_Composition_23[[#All],[Yellow]:[Red]],6,FALSE)</f>
        <v>1.1102347418179019E-3</v>
      </c>
      <c r="O77" s="195">
        <f>K77/HLOOKUP(F77,Team_Composition_23[[#All],[Yellow]:[Red]],8,FALSE)</f>
        <v>1.5079603508535391E-2</v>
      </c>
      <c r="P77" s="195">
        <f>L77/HLOOKUP(F77,Team_Composition_23[[#All],[Yellow]:[Red]],7,FALSE)</f>
        <v>8.5378083850672093E-4</v>
      </c>
    </row>
    <row r="78" spans="1:30" ht="22.5" customHeight="1">
      <c r="A78" s="173">
        <v>77</v>
      </c>
      <c r="B78" s="115" t="str">
        <f>VLOOKUP(C78,Lists!I:J,2,FALSE)</f>
        <v>Tank</v>
      </c>
      <c r="C78" s="115" t="str">
        <f>VLOOKUP(E78,Lists!D:E,2,FALSE)</f>
        <v>SnS/Greatsword</v>
      </c>
      <c r="D78" s="175" t="s">
        <v>7</v>
      </c>
      <c r="E78" s="176" t="s">
        <v>57</v>
      </c>
      <c r="F78" s="175" t="s">
        <v>476</v>
      </c>
      <c r="G78" s="173">
        <v>0</v>
      </c>
      <c r="H78" s="173">
        <v>8</v>
      </c>
      <c r="I78" s="194">
        <f t="shared" si="0"/>
        <v>8</v>
      </c>
      <c r="J78" s="177">
        <v>34073</v>
      </c>
      <c r="K78" s="177">
        <v>527261</v>
      </c>
      <c r="L78" s="177">
        <v>19096</v>
      </c>
      <c r="M78" s="195">
        <f>I78/(HLOOKUP(F78,Team_Composition_23[[#All],[Yellow]:[Red]],10,FALSE)+HLOOKUP(F78,Team_Composition_23[[#All],[Yellow]:[Red]],11,FALSE))</f>
        <v>1.999500124968758E-3</v>
      </c>
      <c r="N78" s="195">
        <f>J78/HLOOKUP(F78,Team_Composition_23[[#All],[Yellow]:[Red]],6,FALSE)</f>
        <v>7.6803971977832005E-4</v>
      </c>
      <c r="O78" s="195">
        <f>K78/HLOOKUP(F78,Team_Composition_23[[#All],[Yellow]:[Red]],8,FALSE)</f>
        <v>3.0096930930568557E-2</v>
      </c>
      <c r="P78" s="195">
        <f>L78/HLOOKUP(F78,Team_Composition_23[[#All],[Yellow]:[Red]],7,FALSE)</f>
        <v>1.4751899106156662E-3</v>
      </c>
    </row>
    <row r="79" spans="1:30" ht="22.5" customHeight="1">
      <c r="A79" s="173">
        <v>78</v>
      </c>
      <c r="B79" s="115" t="str">
        <f>VLOOKUP(C79,Lists!I:J,2,FALSE)</f>
        <v>Tank</v>
      </c>
      <c r="C79" s="115" t="str">
        <f>VLOOKUP(E79,Lists!D:E,2,FALSE)</f>
        <v>SnS/Greatsword</v>
      </c>
      <c r="D79" s="175" t="s">
        <v>28</v>
      </c>
      <c r="E79" s="176" t="s">
        <v>346</v>
      </c>
      <c r="F79" s="175" t="s">
        <v>483</v>
      </c>
      <c r="G79" s="173">
        <v>0</v>
      </c>
      <c r="H79" s="173">
        <v>8</v>
      </c>
      <c r="I79" s="194">
        <f t="shared" si="0"/>
        <v>8</v>
      </c>
      <c r="J79" s="177">
        <v>26389</v>
      </c>
      <c r="K79" s="177">
        <v>843768</v>
      </c>
      <c r="L79" s="177">
        <v>46558</v>
      </c>
      <c r="M79" s="195">
        <f>I79/(HLOOKUP(F79,Team_Composition_23[[#All],[Yellow]:[Red]],10,FALSE)+HLOOKUP(F79,Team_Composition_23[[#All],[Yellow]:[Red]],11,FALSE))</f>
        <v>9.7442143727161992E-3</v>
      </c>
      <c r="N79" s="195">
        <f>J79/HLOOKUP(F79,Team_Composition_23[[#All],[Yellow]:[Red]],6,FALSE)</f>
        <v>1.4955168215181232E-3</v>
      </c>
      <c r="O79" s="195">
        <f>K79/HLOOKUP(F79,Team_Composition_23[[#All],[Yellow]:[Red]],8,FALSE)</f>
        <v>1.916960170200167E-2</v>
      </c>
      <c r="P79" s="195">
        <f>L79/HLOOKUP(F79,Team_Composition_23[[#All],[Yellow]:[Red]],7,FALSE)</f>
        <v>1.9184611566419537E-3</v>
      </c>
    </row>
    <row r="80" spans="1:30" ht="22.5" customHeight="1">
      <c r="A80" s="173">
        <v>79</v>
      </c>
      <c r="B80" s="115" t="str">
        <f>VLOOKUP(C80,Lists!I:J,2,FALSE)</f>
        <v>Tank</v>
      </c>
      <c r="C80" s="115" t="s">
        <v>14</v>
      </c>
      <c r="D80" s="175" t="s">
        <v>28</v>
      </c>
      <c r="E80" s="178" t="s">
        <v>567</v>
      </c>
      <c r="F80" s="175" t="s">
        <v>483</v>
      </c>
      <c r="G80" s="173">
        <v>0</v>
      </c>
      <c r="H80" s="173">
        <v>8</v>
      </c>
      <c r="I80" s="194">
        <f t="shared" si="0"/>
        <v>8</v>
      </c>
      <c r="J80" s="177">
        <v>16010</v>
      </c>
      <c r="K80" s="177">
        <v>800347</v>
      </c>
      <c r="L80" s="177">
        <v>22390</v>
      </c>
      <c r="M80" s="195">
        <f>I80/(HLOOKUP(F80,Team_Composition_23[[#All],[Yellow]:[Red]],10,FALSE)+HLOOKUP(F80,Team_Composition_23[[#All],[Yellow]:[Red]],11,FALSE))</f>
        <v>9.7442143727161992E-3</v>
      </c>
      <c r="N80" s="195">
        <f>J80/HLOOKUP(F80,Team_Composition_23[[#All],[Yellow]:[Red]],6,FALSE)</f>
        <v>9.0731836418603035E-4</v>
      </c>
      <c r="O80" s="195">
        <f>K80/HLOOKUP(F80,Team_Composition_23[[#All],[Yellow]:[Red]],8,FALSE)</f>
        <v>1.8183118124166751E-2</v>
      </c>
      <c r="P80" s="195">
        <f>L80/HLOOKUP(F80,Team_Composition_23[[#All],[Yellow]:[Red]],7,FALSE)</f>
        <v>9.2259859309277341E-4</v>
      </c>
    </row>
    <row r="81" spans="1:16" ht="22.5" customHeight="1">
      <c r="A81" s="173">
        <v>80</v>
      </c>
      <c r="B81" s="115" t="str">
        <f>VLOOKUP(C81,Lists!I:J,2,FALSE)</f>
        <v>Tank</v>
      </c>
      <c r="C81" s="115" t="str">
        <f>VLOOKUP(E81,Lists!D:E,2,FALSE)</f>
        <v>SnS/Greatsword</v>
      </c>
      <c r="D81" s="175" t="s">
        <v>7</v>
      </c>
      <c r="E81" s="176" t="s">
        <v>118</v>
      </c>
      <c r="F81" s="175" t="s">
        <v>483</v>
      </c>
      <c r="G81" s="173">
        <v>0</v>
      </c>
      <c r="H81" s="173">
        <v>5</v>
      </c>
      <c r="I81" s="194">
        <f t="shared" si="0"/>
        <v>5</v>
      </c>
      <c r="J81" s="177">
        <v>45531</v>
      </c>
      <c r="K81" s="177">
        <v>1108905</v>
      </c>
      <c r="L81" s="177">
        <v>59105</v>
      </c>
      <c r="M81" s="195">
        <f>I81/(HLOOKUP(F81,Team_Composition_23[[#All],[Yellow]:[Red]],10,FALSE)+HLOOKUP(F81,Team_Composition_23[[#All],[Yellow]:[Red]],11,FALSE))</f>
        <v>6.0901339829476245E-3</v>
      </c>
      <c r="N81" s="195">
        <f>J81/HLOOKUP(F81,Team_Composition_23[[#All],[Yellow]:[Red]],6,FALSE)</f>
        <v>2.5803318200970735E-3</v>
      </c>
      <c r="O81" s="195">
        <f>K81/HLOOKUP(F81,Team_Composition_23[[#All],[Yellow]:[Red]],8,FALSE)</f>
        <v>2.5193260677530034E-2</v>
      </c>
      <c r="P81" s="195">
        <f>L81/HLOOKUP(F81,Team_Composition_23[[#All],[Yellow]:[Red]],7,FALSE)</f>
        <v>2.4354707389347197E-3</v>
      </c>
    </row>
    <row r="82" spans="1:16" ht="22.5" customHeight="1">
      <c r="A82" s="173">
        <v>81</v>
      </c>
      <c r="B82" s="115" t="str">
        <f>VLOOKUP(C82,Lists!I:J,2,FALSE)</f>
        <v>Tank</v>
      </c>
      <c r="C82" s="115" t="str">
        <f>VLOOKUP(E82,Lists!D:E,2,FALSE)</f>
        <v>SnS/Greatsword</v>
      </c>
      <c r="D82" s="175" t="s">
        <v>7</v>
      </c>
      <c r="E82" s="176" t="s">
        <v>123</v>
      </c>
      <c r="F82" s="175" t="s">
        <v>483</v>
      </c>
      <c r="G82" s="173">
        <v>0</v>
      </c>
      <c r="H82" s="173">
        <v>5</v>
      </c>
      <c r="I82" s="194">
        <f t="shared" si="0"/>
        <v>5</v>
      </c>
      <c r="J82" s="177">
        <v>28977</v>
      </c>
      <c r="K82" s="177">
        <v>1149626</v>
      </c>
      <c r="L82" s="177">
        <v>28251</v>
      </c>
      <c r="M82" s="195">
        <f>I82/(HLOOKUP(F82,Team_Composition_23[[#All],[Yellow]:[Red]],10,FALSE)+HLOOKUP(F82,Team_Composition_23[[#All],[Yellow]:[Red]],11,FALSE))</f>
        <v>6.0901339829476245E-3</v>
      </c>
      <c r="N82" s="195">
        <f>J82/HLOOKUP(F82,Team_Composition_23[[#All],[Yellow]:[Red]],6,FALSE)</f>
        <v>1.6421839000011617E-3</v>
      </c>
      <c r="O82" s="195">
        <f>K82/HLOOKUP(F82,Team_Composition_23[[#All],[Yellow]:[Red]],8,FALSE)</f>
        <v>2.6118402838535441E-2</v>
      </c>
      <c r="P82" s="195">
        <f>L82/HLOOKUP(F82,Team_Composition_23[[#All],[Yellow]:[Red]],7,FALSE)</f>
        <v>1.1641059782699394E-3</v>
      </c>
    </row>
    <row r="83" spans="1:16" ht="22.5" customHeight="1">
      <c r="A83" s="173">
        <v>82</v>
      </c>
      <c r="B83" s="115" t="str">
        <f>VLOOKUP(C83,Lists!I:J,2,FALSE)</f>
        <v>Tank</v>
      </c>
      <c r="C83" s="115" t="str">
        <f>VLOOKUP(E83,Lists!D:E,2,FALSE)</f>
        <v>SnS/Greatsword</v>
      </c>
      <c r="D83" s="175" t="s">
        <v>7</v>
      </c>
      <c r="E83" s="176" t="s">
        <v>109</v>
      </c>
      <c r="F83" s="175" t="s">
        <v>483</v>
      </c>
      <c r="G83" s="173">
        <v>0</v>
      </c>
      <c r="H83" s="173">
        <v>5</v>
      </c>
      <c r="I83" s="194">
        <f t="shared" si="0"/>
        <v>5</v>
      </c>
      <c r="J83" s="177">
        <v>23850</v>
      </c>
      <c r="K83" s="177">
        <v>995435</v>
      </c>
      <c r="L83" s="177">
        <v>12759</v>
      </c>
      <c r="M83" s="195">
        <f>I83/(HLOOKUP(F83,Team_Composition_23[[#All],[Yellow]:[Red]],10,FALSE)+HLOOKUP(F83,Team_Composition_23[[#All],[Yellow]:[Red]],11,FALSE))</f>
        <v>6.0901339829476245E-3</v>
      </c>
      <c r="N83" s="195">
        <f>J83/HLOOKUP(F83,Team_Composition_23[[#All],[Yellow]:[Red]],6,FALSE)</f>
        <v>1.351626669946085E-3</v>
      </c>
      <c r="O83" s="195">
        <f>K83/HLOOKUP(F83,Team_Composition_23[[#All],[Yellow]:[Red]],8,FALSE)</f>
        <v>2.2615330837661575E-2</v>
      </c>
      <c r="P83" s="195">
        <f>L83/HLOOKUP(F83,Team_Composition_23[[#All],[Yellow]:[Red]],7,FALSE)</f>
        <v>5.2574521881512714E-4</v>
      </c>
    </row>
    <row r="84" spans="1:16" ht="22.5" customHeight="1">
      <c r="A84" s="173">
        <v>83</v>
      </c>
      <c r="B84" s="115" t="str">
        <f>VLOOKUP(C84,Lists!I:J,2,FALSE)</f>
        <v>Tank</v>
      </c>
      <c r="C84" s="115" t="str">
        <f>VLOOKUP(E84,Lists!D:E,2,FALSE)</f>
        <v>SnS/Greatsword</v>
      </c>
      <c r="D84" s="175" t="s">
        <v>28</v>
      </c>
      <c r="E84" s="176" t="s">
        <v>345</v>
      </c>
      <c r="F84" s="175" t="s">
        <v>483</v>
      </c>
      <c r="G84" s="173">
        <v>0</v>
      </c>
      <c r="H84" s="173">
        <v>2</v>
      </c>
      <c r="I84" s="194">
        <f t="shared" si="0"/>
        <v>2</v>
      </c>
      <c r="J84" s="177">
        <v>21208</v>
      </c>
      <c r="K84" s="177">
        <v>567718</v>
      </c>
      <c r="L84" s="177">
        <v>24474</v>
      </c>
      <c r="M84" s="195">
        <f>I84/(HLOOKUP(F84,Team_Composition_23[[#All],[Yellow]:[Red]],10,FALSE)+HLOOKUP(F84,Team_Composition_23[[#All],[Yellow]:[Red]],11,FALSE))</f>
        <v>2.4360535931790498E-3</v>
      </c>
      <c r="N84" s="195">
        <f>J84/HLOOKUP(F84,Team_Composition_23[[#All],[Yellow]:[Red]],6,FALSE)</f>
        <v>1.2018993046631686E-3</v>
      </c>
      <c r="O84" s="195">
        <f>K84/HLOOKUP(F84,Team_Composition_23[[#All],[Yellow]:[Red]],8,FALSE)</f>
        <v>1.2898009807265723E-2</v>
      </c>
      <c r="P84" s="195">
        <f>L84/HLOOKUP(F84,Team_Composition_23[[#All],[Yellow]:[Red]],7,FALSE)</f>
        <v>1.0084715483408904E-3</v>
      </c>
    </row>
    <row r="85" spans="1:16" ht="22.5" customHeight="1">
      <c r="A85" s="173">
        <v>84</v>
      </c>
      <c r="B85" s="115" t="str">
        <f>VLOOKUP(C85,Lists!I:J,2,FALSE)</f>
        <v>Tank</v>
      </c>
      <c r="C85" s="115" t="str">
        <f>VLOOKUP(E85,Lists!D:E,2,FALSE)</f>
        <v>SnS/Greatsword</v>
      </c>
      <c r="D85" s="175" t="s">
        <v>7</v>
      </c>
      <c r="E85" s="176" t="s">
        <v>138</v>
      </c>
      <c r="F85" s="175" t="s">
        <v>476</v>
      </c>
      <c r="G85" s="173">
        <v>0</v>
      </c>
      <c r="H85" s="173">
        <v>0</v>
      </c>
      <c r="I85" s="194">
        <f t="shared" si="0"/>
        <v>0</v>
      </c>
      <c r="J85" s="177">
        <v>0</v>
      </c>
      <c r="K85" s="177">
        <v>77338</v>
      </c>
      <c r="L85" s="177">
        <v>7662</v>
      </c>
      <c r="M85" s="195">
        <f>I85/(HLOOKUP(F85,Team_Composition_23[[#All],[Yellow]:[Red]],10,FALSE)+HLOOKUP(F85,Team_Composition_23[[#All],[Yellow]:[Red]],11,FALSE))</f>
        <v>0</v>
      </c>
      <c r="N85" s="195">
        <f>J85/HLOOKUP(F85,Team_Composition_23[[#All],[Yellow]:[Red]],6,FALSE)</f>
        <v>0</v>
      </c>
      <c r="O85" s="195">
        <f>K85/HLOOKUP(F85,Team_Composition_23[[#All],[Yellow]:[Red]],8,FALSE)</f>
        <v>4.414581097991907E-3</v>
      </c>
      <c r="P85" s="195">
        <f>L85/HLOOKUP(F85,Team_Composition_23[[#All],[Yellow]:[Red]],7,FALSE)</f>
        <v>5.9189909379646181E-4</v>
      </c>
    </row>
    <row r="86" spans="1:16" ht="22.5" customHeight="1">
      <c r="A86" s="210"/>
      <c r="B86" s="115" t="e">
        <f>VLOOKUP(C86,Lists!I:J,2,FALSE)</f>
        <v>#N/A</v>
      </c>
      <c r="C86" s="115" t="e">
        <f>VLOOKUP(E86,Lists!D:E,2,FALSE)</f>
        <v>#N/A</v>
      </c>
      <c r="D86" s="17"/>
      <c r="E86" s="211"/>
      <c r="F86" s="17"/>
      <c r="G86" s="212"/>
      <c r="H86" s="212"/>
      <c r="I86" s="194">
        <f t="shared" si="0"/>
        <v>0</v>
      </c>
      <c r="J86" s="213"/>
      <c r="K86" s="213"/>
      <c r="L86" s="213"/>
      <c r="M86" s="195" t="e">
        <f>I86/(HLOOKUP(F86,Team_Composition_23[[#All],[Yellow]:[Red]],10,FALSE)+HLOOKUP(F86,Team_Composition_23[[#All],[Yellow]:[Red]],11,FALSE))</f>
        <v>#N/A</v>
      </c>
      <c r="N86" s="195" t="e">
        <f>J86/HLOOKUP(F86,Team_Composition_23[[#All],[Yellow]:[Red]],6,FALSE)</f>
        <v>#N/A</v>
      </c>
      <c r="O86" s="195" t="e">
        <f>K86/HLOOKUP(F86,Team_Composition_23[[#All],[Yellow]:[Red]],8,FALSE)</f>
        <v>#N/A</v>
      </c>
      <c r="P86" s="195" t="e">
        <f>L86/HLOOKUP(F86,Team_Composition_23[[#All],[Yellow]:[Red]],7,FALSE)</f>
        <v>#N/A</v>
      </c>
    </row>
    <row r="87" spans="1:16" ht="22.5" customHeight="1">
      <c r="A87" s="210"/>
      <c r="B87" s="115" t="e">
        <f>VLOOKUP(C87,Lists!I:J,2,FALSE)</f>
        <v>#N/A</v>
      </c>
      <c r="C87" s="115" t="e">
        <f>VLOOKUP(E87,Lists!D:E,2,FALSE)</f>
        <v>#N/A</v>
      </c>
      <c r="D87" s="17"/>
      <c r="E87" s="211"/>
      <c r="F87" s="17"/>
      <c r="G87" s="212"/>
      <c r="H87" s="212"/>
      <c r="I87" s="194">
        <f t="shared" si="0"/>
        <v>0</v>
      </c>
      <c r="J87" s="213"/>
      <c r="K87" s="213"/>
      <c r="L87" s="213"/>
      <c r="M87" s="195" t="e">
        <f>I87/(HLOOKUP(F87,Team_Composition_23[[#All],[Yellow]:[Red]],10,FALSE)+HLOOKUP(F87,Team_Composition_23[[#All],[Yellow]:[Red]],11,FALSE))</f>
        <v>#N/A</v>
      </c>
      <c r="N87" s="195" t="e">
        <f>J87/HLOOKUP(F87,Team_Composition_23[[#All],[Yellow]:[Red]],6,FALSE)</f>
        <v>#N/A</v>
      </c>
      <c r="O87" s="195" t="e">
        <f>K87/HLOOKUP(F87,Team_Composition_23[[#All],[Yellow]:[Red]],8,FALSE)</f>
        <v>#N/A</v>
      </c>
      <c r="P87" s="195" t="e">
        <f>L87/HLOOKUP(F87,Team_Composition_23[[#All],[Yellow]:[Red]],7,FALSE)</f>
        <v>#N/A</v>
      </c>
    </row>
    <row r="88" spans="1:16" ht="22.5" customHeight="1">
      <c r="A88" s="210"/>
      <c r="B88" s="115" t="e">
        <f>VLOOKUP(C88,Lists!I:J,2,FALSE)</f>
        <v>#N/A</v>
      </c>
      <c r="C88" s="115" t="e">
        <f>VLOOKUP(E88,Lists!D:E,2,FALSE)</f>
        <v>#N/A</v>
      </c>
      <c r="D88" s="17"/>
      <c r="E88" s="211"/>
      <c r="F88" s="17"/>
      <c r="G88" s="212"/>
      <c r="H88" s="212"/>
      <c r="I88" s="194">
        <f t="shared" si="0"/>
        <v>0</v>
      </c>
      <c r="J88" s="213"/>
      <c r="K88" s="213"/>
      <c r="L88" s="213"/>
      <c r="M88" s="195" t="e">
        <f>I88/(HLOOKUP(F88,Team_Composition_23[[#All],[Yellow]:[Red]],10,FALSE)+HLOOKUP(F88,Team_Composition_23[[#All],[Yellow]:[Red]],11,FALSE))</f>
        <v>#N/A</v>
      </c>
      <c r="N88" s="195" t="e">
        <f>J88/HLOOKUP(F88,Team_Composition_23[[#All],[Yellow]:[Red]],6,FALSE)</f>
        <v>#N/A</v>
      </c>
      <c r="O88" s="195" t="e">
        <f>K88/HLOOKUP(F88,Team_Composition_23[[#All],[Yellow]:[Red]],8,FALSE)</f>
        <v>#N/A</v>
      </c>
      <c r="P88" s="195" t="e">
        <f>L88/HLOOKUP(F88,Team_Composition_23[[#All],[Yellow]:[Red]],7,FALSE)</f>
        <v>#N/A</v>
      </c>
    </row>
    <row r="89" spans="1:16" ht="22.5" customHeight="1">
      <c r="A89" s="210"/>
      <c r="B89" s="115" t="e">
        <f>VLOOKUP(C89,Lists!I:J,2,FALSE)</f>
        <v>#N/A</v>
      </c>
      <c r="C89" s="115" t="e">
        <f>VLOOKUP(E89,Lists!D:E,2,FALSE)</f>
        <v>#N/A</v>
      </c>
      <c r="D89" s="17"/>
      <c r="E89" s="211"/>
      <c r="F89" s="17"/>
      <c r="G89" s="212"/>
      <c r="H89" s="212"/>
      <c r="I89" s="194">
        <f t="shared" si="0"/>
        <v>0</v>
      </c>
      <c r="J89" s="213"/>
      <c r="K89" s="213"/>
      <c r="L89" s="213"/>
      <c r="M89" s="195" t="e">
        <f>I89/(HLOOKUP(F89,Team_Composition_23[[#All],[Yellow]:[Red]],10,FALSE)+HLOOKUP(F89,Team_Composition_23[[#All],[Yellow]:[Red]],11,FALSE))</f>
        <v>#N/A</v>
      </c>
      <c r="N89" s="195" t="e">
        <f>J89/HLOOKUP(F89,Team_Composition_23[[#All],[Yellow]:[Red]],6,FALSE)</f>
        <v>#N/A</v>
      </c>
      <c r="O89" s="195" t="e">
        <f>K89/HLOOKUP(F89,Team_Composition_23[[#All],[Yellow]:[Red]],8,FALSE)</f>
        <v>#N/A</v>
      </c>
      <c r="P89" s="195" t="e">
        <f>L89/HLOOKUP(F89,Team_Composition_23[[#All],[Yellow]:[Red]],7,FALSE)</f>
        <v>#N/A</v>
      </c>
    </row>
    <row r="90" spans="1:16" ht="22.5" customHeight="1">
      <c r="A90" s="210"/>
      <c r="B90" s="115" t="e">
        <f>VLOOKUP(C90,Lists!I:J,2,FALSE)</f>
        <v>#N/A</v>
      </c>
      <c r="C90" s="115" t="e">
        <f>VLOOKUP(E90,Lists!D:E,2,FALSE)</f>
        <v>#N/A</v>
      </c>
      <c r="D90" s="17"/>
      <c r="E90" s="211"/>
      <c r="F90" s="17"/>
      <c r="G90" s="212"/>
      <c r="H90" s="212"/>
      <c r="I90" s="194">
        <f t="shared" si="0"/>
        <v>0</v>
      </c>
      <c r="J90" s="213"/>
      <c r="K90" s="213"/>
      <c r="L90" s="213"/>
      <c r="M90" s="195" t="e">
        <f>I90/(HLOOKUP(F90,Team_Composition_23[[#All],[Yellow]:[Red]],10,FALSE)+HLOOKUP(F90,Team_Composition_23[[#All],[Yellow]:[Red]],11,FALSE))</f>
        <v>#N/A</v>
      </c>
      <c r="N90" s="195" t="e">
        <f>J90/HLOOKUP(F90,Team_Composition_23[[#All],[Yellow]:[Red]],6,FALSE)</f>
        <v>#N/A</v>
      </c>
      <c r="O90" s="195" t="e">
        <f>K90/HLOOKUP(F90,Team_Composition_23[[#All],[Yellow]:[Red]],8,FALSE)</f>
        <v>#N/A</v>
      </c>
      <c r="P90" s="195" t="e">
        <f>L90/HLOOKUP(F90,Team_Composition_23[[#All],[Yellow]:[Red]],7,FALSE)</f>
        <v>#N/A</v>
      </c>
    </row>
    <row r="91" spans="1:16" ht="22.5" customHeight="1">
      <c r="A91" s="210"/>
      <c r="B91" s="115" t="e">
        <f>VLOOKUP(C91,Lists!I:J,2,FALSE)</f>
        <v>#N/A</v>
      </c>
      <c r="C91" s="115" t="e">
        <f>VLOOKUP(E91,Lists!D:E,2,FALSE)</f>
        <v>#N/A</v>
      </c>
      <c r="D91" s="17"/>
      <c r="E91" s="211"/>
      <c r="F91" s="17"/>
      <c r="G91" s="212"/>
      <c r="H91" s="212"/>
      <c r="I91" s="194">
        <f t="shared" si="0"/>
        <v>0</v>
      </c>
      <c r="J91" s="213"/>
      <c r="K91" s="213"/>
      <c r="L91" s="213"/>
      <c r="M91" s="195" t="e">
        <f>I91/(HLOOKUP(F91,Team_Composition_23[[#All],[Yellow]:[Red]],10,FALSE)+HLOOKUP(F91,Team_Composition_23[[#All],[Yellow]:[Red]],11,FALSE))</f>
        <v>#N/A</v>
      </c>
      <c r="N91" s="195" t="e">
        <f>J91/HLOOKUP(F91,Team_Composition_23[[#All],[Yellow]:[Red]],6,FALSE)</f>
        <v>#N/A</v>
      </c>
      <c r="O91" s="195" t="e">
        <f>K91/HLOOKUP(F91,Team_Composition_23[[#All],[Yellow]:[Red]],8,FALSE)</f>
        <v>#N/A</v>
      </c>
      <c r="P91" s="195" t="e">
        <f>L91/HLOOKUP(F91,Team_Composition_23[[#All],[Yellow]:[Red]],7,FALSE)</f>
        <v>#N/A</v>
      </c>
    </row>
    <row r="92" spans="1:16" ht="22.5" customHeight="1">
      <c r="A92" s="210"/>
      <c r="B92" s="115" t="e">
        <f>VLOOKUP(C92,Lists!I:J,2,FALSE)</f>
        <v>#N/A</v>
      </c>
      <c r="C92" s="115" t="e">
        <f>VLOOKUP(E92,Lists!D:E,2,FALSE)</f>
        <v>#N/A</v>
      </c>
      <c r="D92" s="17"/>
      <c r="E92" s="211"/>
      <c r="F92" s="17"/>
      <c r="G92" s="212"/>
      <c r="H92" s="212"/>
      <c r="I92" s="194">
        <f t="shared" si="0"/>
        <v>0</v>
      </c>
      <c r="J92" s="213"/>
      <c r="K92" s="213"/>
      <c r="L92" s="213"/>
      <c r="M92" s="195" t="e">
        <f>I92/(HLOOKUP(F92,Team_Composition_23[[#All],[Yellow]:[Red]],10,FALSE)+HLOOKUP(F92,Team_Composition_23[[#All],[Yellow]:[Red]],11,FALSE))</f>
        <v>#N/A</v>
      </c>
      <c r="N92" s="195" t="e">
        <f>J92/HLOOKUP(F92,Team_Composition_23[[#All],[Yellow]:[Red]],6,FALSE)</f>
        <v>#N/A</v>
      </c>
      <c r="O92" s="195" t="e">
        <f>K92/HLOOKUP(F92,Team_Composition_23[[#All],[Yellow]:[Red]],8,FALSE)</f>
        <v>#N/A</v>
      </c>
      <c r="P92" s="195" t="e">
        <f>L92/HLOOKUP(F92,Team_Composition_23[[#All],[Yellow]:[Red]],7,FALSE)</f>
        <v>#N/A</v>
      </c>
    </row>
    <row r="93" spans="1:16" ht="22.5" customHeight="1">
      <c r="A93" s="210"/>
      <c r="B93" s="115" t="e">
        <f>VLOOKUP(C93,Lists!I:J,2,FALSE)</f>
        <v>#N/A</v>
      </c>
      <c r="C93" s="115" t="e">
        <f>VLOOKUP(E93,Lists!D:E,2,FALSE)</f>
        <v>#N/A</v>
      </c>
      <c r="D93" s="17"/>
      <c r="E93" s="211"/>
      <c r="F93" s="17"/>
      <c r="G93" s="212"/>
      <c r="H93" s="212"/>
      <c r="I93" s="116"/>
      <c r="J93" s="213"/>
      <c r="K93" s="213"/>
      <c r="L93" s="213"/>
    </row>
    <row r="94" spans="1:16" ht="22.5" customHeight="1">
      <c r="A94" s="210"/>
      <c r="B94" s="115" t="e">
        <f>VLOOKUP(C94,Lists!I:J,2,FALSE)</f>
        <v>#N/A</v>
      </c>
      <c r="C94" s="115" t="e">
        <f>VLOOKUP(E94,Lists!D:E,2,FALSE)</f>
        <v>#N/A</v>
      </c>
      <c r="D94" s="17"/>
      <c r="E94" s="211"/>
      <c r="F94" s="17"/>
      <c r="G94" s="212"/>
      <c r="H94" s="212"/>
      <c r="I94" s="116"/>
      <c r="J94" s="213"/>
      <c r="K94" s="213"/>
      <c r="L94" s="213"/>
    </row>
    <row r="95" spans="1:16" ht="22.5" customHeight="1">
      <c r="A95" s="210"/>
      <c r="B95" s="115" t="e">
        <f>VLOOKUP(C95,Lists!I:J,2,FALSE)</f>
        <v>#N/A</v>
      </c>
      <c r="C95" s="115" t="e">
        <f>VLOOKUP(E95,Lists!D:E,2,FALSE)</f>
        <v>#N/A</v>
      </c>
      <c r="D95" s="17"/>
      <c r="E95" s="211"/>
      <c r="F95" s="17"/>
      <c r="G95" s="212"/>
      <c r="H95" s="212"/>
      <c r="I95" s="116"/>
      <c r="J95" s="213"/>
      <c r="K95" s="213"/>
      <c r="L95" s="213"/>
    </row>
    <row r="96" spans="1:16" ht="22.5" customHeight="1">
      <c r="A96" s="210"/>
      <c r="B96" s="115" t="e">
        <f>VLOOKUP(C96,Lists!I:J,2,FALSE)</f>
        <v>#N/A</v>
      </c>
      <c r="C96" s="115" t="e">
        <f>VLOOKUP(E96,Lists!D:E,2,FALSE)</f>
        <v>#N/A</v>
      </c>
      <c r="D96" s="17"/>
      <c r="E96" s="211"/>
      <c r="F96" s="17"/>
      <c r="G96" s="212"/>
      <c r="H96" s="212"/>
      <c r="I96" s="116"/>
      <c r="J96" s="213"/>
      <c r="K96" s="213"/>
      <c r="L96" s="213"/>
    </row>
    <row r="97" spans="1:12" ht="22.5" customHeight="1">
      <c r="A97" s="210"/>
      <c r="B97" s="115" t="e">
        <f>VLOOKUP(C97,Lists!I:J,2,FALSE)</f>
        <v>#N/A</v>
      </c>
      <c r="C97" s="115" t="e">
        <f>VLOOKUP(E97,Lists!D:E,2,FALSE)</f>
        <v>#N/A</v>
      </c>
      <c r="D97" s="17"/>
      <c r="E97" s="211"/>
      <c r="F97" s="17"/>
      <c r="G97" s="212"/>
      <c r="H97" s="212"/>
      <c r="I97" s="116"/>
      <c r="J97" s="213"/>
      <c r="K97" s="213"/>
      <c r="L97" s="213"/>
    </row>
    <row r="98" spans="1:12" ht="22.5" customHeight="1">
      <c r="A98" s="210"/>
      <c r="B98" s="115" t="e">
        <f>VLOOKUP(C98,Lists!I:J,2,FALSE)</f>
        <v>#N/A</v>
      </c>
      <c r="C98" s="115" t="e">
        <f>VLOOKUP(E98,Lists!D:E,2,FALSE)</f>
        <v>#N/A</v>
      </c>
      <c r="D98" s="17"/>
      <c r="E98" s="211"/>
      <c r="F98" s="17"/>
      <c r="G98" s="212"/>
      <c r="H98" s="212"/>
      <c r="I98" s="116"/>
      <c r="J98" s="213"/>
      <c r="K98" s="213"/>
      <c r="L98" s="213"/>
    </row>
    <row r="99" spans="1:12" ht="22.5" customHeight="1">
      <c r="A99" s="210"/>
      <c r="B99" s="115" t="e">
        <f>VLOOKUP(C99,Lists!I:J,2,FALSE)</f>
        <v>#N/A</v>
      </c>
      <c r="C99" s="115" t="e">
        <f>VLOOKUP(E99,Lists!D:E,2,FALSE)</f>
        <v>#N/A</v>
      </c>
      <c r="D99" s="17"/>
      <c r="E99" s="211"/>
      <c r="F99" s="17"/>
      <c r="G99" s="212"/>
      <c r="H99" s="212"/>
      <c r="I99" s="116"/>
      <c r="J99" s="213"/>
      <c r="K99" s="213"/>
      <c r="L99" s="213"/>
    </row>
    <row r="100" spans="1:12" ht="22.5" customHeight="1">
      <c r="A100" s="210"/>
      <c r="B100" s="115" t="e">
        <f>VLOOKUP(C100,Lists!I:J,2,FALSE)</f>
        <v>#N/A</v>
      </c>
      <c r="C100" s="115" t="e">
        <f>VLOOKUP(E100,Lists!D:E,2,FALSE)</f>
        <v>#N/A</v>
      </c>
      <c r="D100" s="17"/>
      <c r="E100" s="211"/>
      <c r="F100" s="17"/>
      <c r="G100" s="212"/>
      <c r="H100" s="212"/>
      <c r="I100" s="116"/>
      <c r="J100" s="213"/>
      <c r="K100" s="213"/>
      <c r="L100" s="213"/>
    </row>
    <row r="101" spans="1:12" ht="22.5" customHeight="1">
      <c r="A101" s="210"/>
      <c r="B101" s="115" t="e">
        <f>VLOOKUP(C101,Lists!I:J,2,FALSE)</f>
        <v>#N/A</v>
      </c>
      <c r="C101" s="115" t="e">
        <f>VLOOKUP(E101,Lists!D:E,2,FALSE)</f>
        <v>#N/A</v>
      </c>
      <c r="D101" s="17"/>
      <c r="E101" s="211"/>
      <c r="F101" s="17"/>
      <c r="G101" s="212"/>
      <c r="H101" s="212"/>
      <c r="I101" s="116"/>
      <c r="J101" s="213"/>
      <c r="K101" s="213"/>
      <c r="L101" s="213"/>
    </row>
    <row r="102" spans="1:12" ht="22.5" customHeight="1">
      <c r="A102" s="210"/>
      <c r="B102" s="115" t="e">
        <f>VLOOKUP(C102,Lists!I:J,2,FALSE)</f>
        <v>#N/A</v>
      </c>
      <c r="C102" s="115" t="e">
        <f>VLOOKUP(E102,Lists!D:E,2,FALSE)</f>
        <v>#N/A</v>
      </c>
      <c r="D102" s="17"/>
      <c r="E102" s="211"/>
      <c r="F102" s="17"/>
      <c r="G102" s="212"/>
      <c r="H102" s="212"/>
      <c r="I102" s="116"/>
      <c r="J102" s="213"/>
      <c r="K102" s="213"/>
      <c r="L102" s="213"/>
    </row>
    <row r="103" spans="1:12" ht="22.5" customHeight="1">
      <c r="A103" s="210"/>
      <c r="B103" s="115" t="e">
        <f>VLOOKUP(C103,Lists!I:J,2,FALSE)</f>
        <v>#N/A</v>
      </c>
      <c r="C103" s="115" t="e">
        <f>VLOOKUP(E103,Lists!D:E,2,FALSE)</f>
        <v>#N/A</v>
      </c>
      <c r="D103" s="17"/>
      <c r="E103" s="211"/>
      <c r="F103" s="17"/>
      <c r="G103" s="212"/>
      <c r="H103" s="212"/>
      <c r="I103" s="116"/>
      <c r="J103" s="213"/>
      <c r="K103" s="213"/>
      <c r="L103" s="213"/>
    </row>
    <row r="104" spans="1:12" ht="22.5" customHeight="1">
      <c r="A104" s="210"/>
      <c r="B104" s="115" t="e">
        <f>VLOOKUP(C104,Lists!I:J,2,FALSE)</f>
        <v>#N/A</v>
      </c>
      <c r="C104" s="115"/>
      <c r="D104" s="17"/>
      <c r="E104" s="211"/>
      <c r="F104" s="17"/>
      <c r="G104" s="212"/>
      <c r="H104" s="212"/>
      <c r="I104" s="116"/>
      <c r="J104" s="213"/>
      <c r="K104" s="213"/>
      <c r="L104" s="213"/>
    </row>
    <row r="105" spans="1:12" ht="22.5" customHeight="1">
      <c r="A105" s="210"/>
      <c r="B105" s="115" t="e">
        <f>VLOOKUP(C105,Lists!I:J,2,FALSE)</f>
        <v>#N/A</v>
      </c>
      <c r="C105" s="115"/>
      <c r="D105" s="17"/>
      <c r="E105" s="211"/>
      <c r="F105" s="17"/>
      <c r="G105" s="212"/>
      <c r="H105" s="212"/>
      <c r="I105" s="116"/>
      <c r="J105" s="213"/>
      <c r="K105" s="213"/>
      <c r="L105" s="213"/>
    </row>
    <row r="106" spans="1:12" ht="22.5" customHeight="1">
      <c r="A106" s="210"/>
      <c r="B106" s="115" t="e">
        <f>VLOOKUP(C106,Lists!I:J,2,FALSE)</f>
        <v>#N/A</v>
      </c>
      <c r="C106" s="115"/>
      <c r="D106" s="17"/>
      <c r="E106" s="211"/>
      <c r="F106" s="17"/>
      <c r="G106" s="212"/>
      <c r="H106" s="212"/>
      <c r="I106" s="116"/>
      <c r="J106" s="213"/>
      <c r="K106" s="213"/>
      <c r="L106" s="213"/>
    </row>
    <row r="107" spans="1:12" ht="22.5" customHeight="1">
      <c r="A107" s="210"/>
      <c r="B107" s="115" t="e">
        <f>VLOOKUP(C107,Lists!I:J,2,FALSE)</f>
        <v>#N/A</v>
      </c>
      <c r="C107" s="115"/>
      <c r="D107" s="17"/>
      <c r="E107" s="211"/>
      <c r="F107" s="17"/>
      <c r="G107" s="212"/>
      <c r="H107" s="212"/>
      <c r="I107" s="116"/>
      <c r="J107" s="213"/>
      <c r="K107" s="213"/>
      <c r="L107" s="213"/>
    </row>
    <row r="108" spans="1:12" ht="22.5" customHeight="1">
      <c r="A108" s="210"/>
      <c r="B108" s="115" t="e">
        <f>VLOOKUP(C108,Lists!I:J,2,FALSE)</f>
        <v>#N/A</v>
      </c>
      <c r="C108" s="115"/>
      <c r="D108" s="17"/>
      <c r="E108" s="211"/>
      <c r="F108" s="17"/>
      <c r="G108" s="212"/>
      <c r="H108" s="212"/>
      <c r="I108" s="116"/>
      <c r="J108" s="213"/>
      <c r="K108" s="213"/>
      <c r="L108" s="213"/>
    </row>
    <row r="109" spans="1:12" ht="22.5" customHeight="1">
      <c r="A109" s="210"/>
      <c r="B109" s="115" t="e">
        <f>VLOOKUP(C109,Lists!I:J,2,FALSE)</f>
        <v>#N/A</v>
      </c>
      <c r="C109" s="115"/>
      <c r="D109" s="17"/>
      <c r="E109" s="211"/>
      <c r="F109" s="17"/>
      <c r="G109" s="212"/>
      <c r="H109" s="212"/>
      <c r="I109" s="116"/>
      <c r="J109" s="213"/>
      <c r="K109" s="213"/>
      <c r="L109" s="213"/>
    </row>
    <row r="110" spans="1:12" ht="22.5" customHeight="1">
      <c r="A110" s="210"/>
      <c r="B110" s="115" t="e">
        <f>VLOOKUP(C110,Lists!I:J,2,FALSE)</f>
        <v>#N/A</v>
      </c>
      <c r="C110" s="115"/>
      <c r="D110" s="17"/>
      <c r="E110" s="211"/>
      <c r="F110" s="17"/>
      <c r="G110" s="212"/>
      <c r="H110" s="212"/>
      <c r="I110" s="116"/>
      <c r="J110" s="213"/>
      <c r="K110" s="213"/>
      <c r="L110" s="213"/>
    </row>
    <row r="111" spans="1:12" ht="22.5" customHeight="1">
      <c r="A111" s="210"/>
      <c r="B111" s="115" t="e">
        <f>VLOOKUP(C111,Lists!I:J,2,FALSE)</f>
        <v>#N/A</v>
      </c>
      <c r="C111" s="115"/>
      <c r="D111" s="17"/>
      <c r="E111" s="211"/>
      <c r="F111" s="17"/>
      <c r="G111" s="212"/>
      <c r="H111" s="212"/>
      <c r="I111" s="116"/>
      <c r="J111" s="213"/>
      <c r="K111" s="213"/>
      <c r="L111" s="213"/>
    </row>
    <row r="112" spans="1:12" ht="22.5" customHeight="1">
      <c r="A112" s="210"/>
      <c r="B112" s="115" t="e">
        <f>VLOOKUP(C112,Lists!I:J,2,FALSE)</f>
        <v>#N/A</v>
      </c>
      <c r="C112" s="115"/>
      <c r="D112" s="17"/>
      <c r="E112" s="211"/>
      <c r="F112" s="17"/>
      <c r="G112" s="212"/>
      <c r="H112" s="212"/>
      <c r="I112" s="116"/>
      <c r="J112" s="213"/>
      <c r="K112" s="213"/>
      <c r="L112" s="213"/>
    </row>
    <row r="113" spans="1:12" ht="22.5" customHeight="1">
      <c r="A113" s="210"/>
      <c r="B113" s="115" t="e">
        <f>VLOOKUP(C113,Lists!I:J,2,FALSE)</f>
        <v>#N/A</v>
      </c>
      <c r="C113" s="115"/>
      <c r="D113" s="17"/>
      <c r="E113" s="211"/>
      <c r="F113" s="17"/>
      <c r="G113" s="212"/>
      <c r="H113" s="212"/>
      <c r="I113" s="116"/>
      <c r="J113" s="213"/>
      <c r="K113" s="213"/>
      <c r="L113" s="213"/>
    </row>
    <row r="114" spans="1:12" ht="22.5" customHeight="1">
      <c r="A114" s="210"/>
      <c r="B114" s="115" t="e">
        <f>VLOOKUP(C114,Lists!I:J,2,FALSE)</f>
        <v>#N/A</v>
      </c>
      <c r="C114" s="115"/>
      <c r="D114" s="17"/>
      <c r="E114" s="211"/>
      <c r="F114" s="17"/>
      <c r="G114" s="212"/>
      <c r="H114" s="212"/>
      <c r="I114" s="116"/>
      <c r="J114" s="213"/>
      <c r="K114" s="213"/>
      <c r="L114" s="213"/>
    </row>
    <row r="115" spans="1:12" ht="22.5" customHeight="1">
      <c r="A115" s="210"/>
      <c r="B115" s="115" t="e">
        <f>VLOOKUP(C115,Lists!I:J,2,FALSE)</f>
        <v>#N/A</v>
      </c>
      <c r="C115" s="115"/>
      <c r="D115" s="17"/>
      <c r="E115" s="211"/>
      <c r="F115" s="17"/>
      <c r="G115" s="212"/>
      <c r="H115" s="212"/>
      <c r="I115" s="116"/>
      <c r="J115" s="213"/>
      <c r="K115" s="213"/>
      <c r="L115" s="213"/>
    </row>
    <row r="116" spans="1:12" ht="22.5" customHeight="1">
      <c r="A116" s="210"/>
      <c r="B116" s="115" t="e">
        <f>VLOOKUP(C116,Lists!I:J,2,FALSE)</f>
        <v>#N/A</v>
      </c>
      <c r="C116" s="115"/>
      <c r="D116" s="17"/>
      <c r="E116" s="211"/>
      <c r="F116" s="17"/>
      <c r="G116" s="212"/>
      <c r="H116" s="212"/>
      <c r="I116" s="116"/>
      <c r="J116" s="213"/>
      <c r="K116" s="213"/>
      <c r="L116" s="213"/>
    </row>
    <row r="117" spans="1:12" ht="22.5" customHeight="1">
      <c r="A117" s="210"/>
      <c r="B117" s="115" t="e">
        <f>VLOOKUP(C117,Lists!I:J,2,FALSE)</f>
        <v>#N/A</v>
      </c>
      <c r="C117" s="115"/>
      <c r="D117" s="17"/>
      <c r="E117" s="211"/>
      <c r="F117" s="17"/>
      <c r="G117" s="212"/>
      <c r="H117" s="212"/>
      <c r="I117" s="116"/>
      <c r="J117" s="213"/>
      <c r="K117" s="213"/>
      <c r="L117" s="213"/>
    </row>
    <row r="118" spans="1:12" ht="22.5" customHeight="1">
      <c r="A118" s="210"/>
      <c r="B118" s="115" t="e">
        <f>VLOOKUP(C118,Lists!I:J,2,FALSE)</f>
        <v>#N/A</v>
      </c>
      <c r="C118" s="115"/>
      <c r="D118" s="17"/>
      <c r="E118" s="211"/>
      <c r="F118" s="17"/>
      <c r="G118" s="212"/>
      <c r="H118" s="212"/>
      <c r="I118" s="116"/>
      <c r="J118" s="213"/>
      <c r="K118" s="213"/>
      <c r="L118" s="213"/>
    </row>
    <row r="119" spans="1:12" ht="22.5" customHeight="1">
      <c r="A119" s="210"/>
      <c r="B119" s="115" t="e">
        <f>VLOOKUP(C119,Lists!I:J,2,FALSE)</f>
        <v>#N/A</v>
      </c>
      <c r="C119" s="115"/>
      <c r="D119" s="17"/>
      <c r="E119" s="211"/>
      <c r="F119" s="17"/>
      <c r="G119" s="212"/>
      <c r="H119" s="212"/>
      <c r="I119" s="116"/>
      <c r="J119" s="213"/>
      <c r="K119" s="213"/>
      <c r="L119" s="213"/>
    </row>
    <row r="120" spans="1:12" ht="22.5" customHeight="1">
      <c r="A120" s="210"/>
      <c r="B120" s="115" t="e">
        <f>VLOOKUP(C120,Lists!I:J,2,FALSE)</f>
        <v>#N/A</v>
      </c>
      <c r="C120" s="115"/>
      <c r="D120" s="17"/>
      <c r="E120" s="211"/>
      <c r="F120" s="17"/>
      <c r="G120" s="212"/>
      <c r="H120" s="212"/>
      <c r="I120" s="116"/>
      <c r="J120" s="213"/>
      <c r="K120" s="213"/>
      <c r="L120" s="213"/>
    </row>
    <row r="121" spans="1:12" ht="22.5" customHeight="1">
      <c r="A121" s="210"/>
      <c r="B121" s="115" t="e">
        <f>VLOOKUP(C121,Lists!I:J,2,FALSE)</f>
        <v>#N/A</v>
      </c>
      <c r="C121" s="115"/>
      <c r="D121" s="17"/>
      <c r="E121" s="211"/>
      <c r="F121" s="17"/>
      <c r="G121" s="212"/>
      <c r="H121" s="212"/>
      <c r="I121" s="116"/>
      <c r="J121" s="213"/>
      <c r="K121" s="213"/>
      <c r="L121" s="213"/>
    </row>
    <row r="122" spans="1:12" ht="22.5" customHeight="1">
      <c r="A122" s="210"/>
      <c r="B122" s="115" t="e">
        <f>VLOOKUP(C122,Lists!I:J,2,FALSE)</f>
        <v>#N/A</v>
      </c>
      <c r="C122" s="115"/>
      <c r="D122" s="17"/>
      <c r="E122" s="211"/>
      <c r="F122" s="17"/>
      <c r="G122" s="212"/>
      <c r="H122" s="212"/>
      <c r="I122" s="116"/>
      <c r="J122" s="213"/>
      <c r="K122" s="213"/>
      <c r="L122" s="213"/>
    </row>
    <row r="123" spans="1:12" ht="22.5" customHeight="1">
      <c r="A123" s="210"/>
      <c r="B123" s="115" t="e">
        <f>VLOOKUP(C123,Lists!I:J,2,FALSE)</f>
        <v>#N/A</v>
      </c>
      <c r="C123" s="115"/>
      <c r="D123" s="17"/>
      <c r="E123" s="211"/>
      <c r="F123" s="17"/>
      <c r="G123" s="212"/>
      <c r="H123" s="212"/>
      <c r="I123" s="116"/>
      <c r="J123" s="213"/>
      <c r="K123" s="213"/>
      <c r="L123" s="213"/>
    </row>
    <row r="124" spans="1:12" ht="22.5" customHeight="1">
      <c r="A124" s="210"/>
      <c r="B124" s="115" t="e">
        <f>VLOOKUP(C124,Lists!I:J,2,FALSE)</f>
        <v>#N/A</v>
      </c>
      <c r="C124" s="115"/>
      <c r="D124" s="17"/>
      <c r="E124" s="211"/>
      <c r="F124" s="17"/>
      <c r="G124" s="212"/>
      <c r="H124" s="212"/>
      <c r="I124" s="116"/>
      <c r="J124" s="213"/>
      <c r="K124" s="213"/>
      <c r="L124" s="213"/>
    </row>
    <row r="125" spans="1:12" ht="22.5" customHeight="1">
      <c r="A125" s="210"/>
      <c r="B125" s="115" t="e">
        <f>VLOOKUP(C125,Lists!I:J,2,FALSE)</f>
        <v>#N/A</v>
      </c>
      <c r="C125" s="115"/>
      <c r="D125" s="17"/>
      <c r="E125" s="211"/>
      <c r="F125" s="17"/>
      <c r="G125" s="212"/>
      <c r="H125" s="212"/>
      <c r="I125" s="116"/>
      <c r="J125" s="213"/>
      <c r="K125" s="213"/>
      <c r="L125" s="213"/>
    </row>
    <row r="126" spans="1:12" ht="22.5" customHeight="1">
      <c r="A126" s="210"/>
      <c r="B126" s="115" t="e">
        <f>VLOOKUP(C126,Lists!I:J,2,FALSE)</f>
        <v>#N/A</v>
      </c>
      <c r="C126" s="115"/>
      <c r="D126" s="17"/>
      <c r="E126" s="211"/>
      <c r="F126" s="17"/>
      <c r="G126" s="212"/>
      <c r="H126" s="212"/>
      <c r="I126" s="116"/>
      <c r="J126" s="213"/>
      <c r="K126" s="213"/>
      <c r="L126" s="213"/>
    </row>
    <row r="127" spans="1:12" ht="22.5" customHeight="1">
      <c r="A127" s="210"/>
      <c r="B127" s="115" t="e">
        <f>VLOOKUP(C127,Lists!I:J,2,FALSE)</f>
        <v>#N/A</v>
      </c>
      <c r="C127" s="115"/>
      <c r="D127" s="17"/>
      <c r="E127" s="211"/>
      <c r="F127" s="17"/>
      <c r="G127" s="212"/>
      <c r="H127" s="212"/>
      <c r="I127" s="116"/>
      <c r="J127" s="213"/>
      <c r="K127" s="213"/>
      <c r="L127" s="213"/>
    </row>
    <row r="128" spans="1:12" ht="22.5" customHeight="1">
      <c r="A128" s="210"/>
      <c r="B128" s="115" t="e">
        <f>VLOOKUP(C128,Lists!I:J,2,FALSE)</f>
        <v>#N/A</v>
      </c>
      <c r="C128" s="115"/>
      <c r="D128" s="17"/>
      <c r="E128" s="211"/>
      <c r="F128" s="17"/>
      <c r="G128" s="212"/>
      <c r="H128" s="212"/>
      <c r="I128" s="116"/>
      <c r="J128" s="213"/>
      <c r="K128" s="213"/>
      <c r="L128" s="213"/>
    </row>
    <row r="129" spans="1:12" ht="22.5" customHeight="1">
      <c r="A129" s="210"/>
      <c r="B129" s="115" t="e">
        <f>VLOOKUP(C129,Lists!I:J,2,FALSE)</f>
        <v>#N/A</v>
      </c>
      <c r="C129" s="115"/>
      <c r="D129" s="17"/>
      <c r="E129" s="211"/>
      <c r="F129" s="17"/>
      <c r="G129" s="212"/>
      <c r="H129" s="212"/>
      <c r="I129" s="116"/>
      <c r="J129" s="213"/>
      <c r="K129" s="213"/>
      <c r="L129" s="213"/>
    </row>
    <row r="130" spans="1:12" ht="22.5" customHeight="1">
      <c r="A130" s="210"/>
      <c r="B130" s="115" t="e">
        <f>VLOOKUP(C130,Lists!I:J,2,FALSE)</f>
        <v>#N/A</v>
      </c>
      <c r="C130" s="115"/>
      <c r="D130" s="17"/>
      <c r="E130" s="211"/>
      <c r="F130" s="17"/>
      <c r="G130" s="212"/>
      <c r="H130" s="212"/>
      <c r="I130" s="116"/>
      <c r="J130" s="213"/>
      <c r="K130" s="213"/>
      <c r="L130" s="213"/>
    </row>
    <row r="131" spans="1:12" ht="22.5" customHeight="1">
      <c r="A131" s="210"/>
      <c r="B131" s="115" t="e">
        <f>VLOOKUP(C131,Lists!I:J,2,FALSE)</f>
        <v>#N/A</v>
      </c>
      <c r="C131" s="115"/>
      <c r="D131" s="17"/>
      <c r="E131" s="211"/>
      <c r="F131" s="17"/>
      <c r="G131" s="212"/>
      <c r="H131" s="212"/>
      <c r="I131" s="116"/>
      <c r="J131" s="213"/>
      <c r="K131" s="213"/>
      <c r="L131" s="213"/>
    </row>
    <row r="132" spans="1:12" ht="22.5" customHeight="1">
      <c r="A132" s="210"/>
      <c r="B132" s="115" t="e">
        <f>VLOOKUP(C132,Lists!I:J,2,FALSE)</f>
        <v>#N/A</v>
      </c>
      <c r="C132" s="115"/>
      <c r="D132" s="17"/>
      <c r="E132" s="211"/>
      <c r="F132" s="17"/>
      <c r="G132" s="212"/>
      <c r="H132" s="212"/>
      <c r="I132" s="116"/>
      <c r="J132" s="213"/>
      <c r="K132" s="213"/>
      <c r="L132" s="213"/>
    </row>
    <row r="133" spans="1:12" ht="22.5" customHeight="1">
      <c r="A133" s="210"/>
      <c r="B133" s="115" t="e">
        <f>VLOOKUP(C133,Lists!I:J,2,FALSE)</f>
        <v>#N/A</v>
      </c>
      <c r="C133" s="115"/>
      <c r="D133" s="17"/>
      <c r="E133" s="211"/>
      <c r="F133" s="17"/>
      <c r="G133" s="212"/>
      <c r="H133" s="212"/>
      <c r="I133" s="116"/>
      <c r="J133" s="213"/>
      <c r="K133" s="213"/>
      <c r="L133" s="213"/>
    </row>
    <row r="134" spans="1:12" ht="22.5" customHeight="1">
      <c r="A134" s="210"/>
      <c r="B134" s="115" t="e">
        <f>VLOOKUP(C134,Lists!I:J,2,FALSE)</f>
        <v>#N/A</v>
      </c>
      <c r="C134" s="115"/>
      <c r="D134" s="17"/>
      <c r="E134" s="211"/>
      <c r="F134" s="17"/>
      <c r="G134" s="212"/>
      <c r="H134" s="212"/>
      <c r="I134" s="116"/>
      <c r="J134" s="213"/>
      <c r="K134" s="213"/>
      <c r="L134" s="213"/>
    </row>
    <row r="135" spans="1:12" ht="22.5" customHeight="1">
      <c r="A135" s="210"/>
      <c r="B135" s="115" t="e">
        <f>VLOOKUP(C135,Lists!I:J,2,FALSE)</f>
        <v>#N/A</v>
      </c>
      <c r="C135" s="115"/>
      <c r="D135" s="17"/>
      <c r="E135" s="211"/>
      <c r="F135" s="17"/>
      <c r="G135" s="212"/>
      <c r="H135" s="212"/>
      <c r="I135" s="116"/>
      <c r="J135" s="213"/>
      <c r="K135" s="213"/>
      <c r="L135" s="213"/>
    </row>
    <row r="136" spans="1:12" ht="22.5" customHeight="1">
      <c r="A136" s="210"/>
      <c r="B136" s="115" t="e">
        <f>VLOOKUP(C136,Lists!I:J,2,FALSE)</f>
        <v>#N/A</v>
      </c>
      <c r="C136" s="115"/>
      <c r="D136" s="17"/>
      <c r="E136" s="211"/>
      <c r="F136" s="17"/>
      <c r="G136" s="212"/>
      <c r="H136" s="212"/>
      <c r="I136" s="116"/>
      <c r="J136" s="213"/>
      <c r="K136" s="213"/>
      <c r="L136" s="213"/>
    </row>
    <row r="137" spans="1:12" ht="22.5" customHeight="1">
      <c r="A137" s="210"/>
      <c r="B137" s="115" t="e">
        <f>VLOOKUP(C137,Lists!I:J,2,FALSE)</f>
        <v>#N/A</v>
      </c>
      <c r="C137" s="115"/>
      <c r="D137" s="17"/>
      <c r="E137" s="211"/>
      <c r="F137" s="17"/>
      <c r="G137" s="212"/>
      <c r="H137" s="212"/>
      <c r="I137" s="116"/>
      <c r="J137" s="213"/>
      <c r="K137" s="213"/>
      <c r="L137" s="213"/>
    </row>
    <row r="138" spans="1:12" ht="22.5" customHeight="1">
      <c r="A138" s="210"/>
      <c r="B138" s="115" t="e">
        <f>VLOOKUP(C138,Lists!I:J,2,FALSE)</f>
        <v>#N/A</v>
      </c>
      <c r="C138" s="115"/>
      <c r="D138" s="17"/>
      <c r="E138" s="211"/>
      <c r="F138" s="17"/>
      <c r="G138" s="212"/>
      <c r="H138" s="212"/>
      <c r="I138" s="116"/>
      <c r="J138" s="213"/>
      <c r="K138" s="213"/>
      <c r="L138" s="213"/>
    </row>
    <row r="139" spans="1:12" ht="22.5" customHeight="1">
      <c r="A139" s="210"/>
      <c r="B139" s="115" t="e">
        <f>VLOOKUP(C139,Lists!I:J,2,FALSE)</f>
        <v>#N/A</v>
      </c>
      <c r="C139" s="115"/>
      <c r="D139" s="17"/>
      <c r="E139" s="211"/>
      <c r="F139" s="17"/>
      <c r="G139" s="212"/>
      <c r="H139" s="212"/>
      <c r="I139" s="116"/>
      <c r="J139" s="213"/>
      <c r="K139" s="213"/>
      <c r="L139" s="213"/>
    </row>
    <row r="140" spans="1:12" ht="22.5" customHeight="1">
      <c r="A140" s="210"/>
      <c r="B140" s="115" t="e">
        <f>VLOOKUP(C140,Lists!I:J,2,FALSE)</f>
        <v>#N/A</v>
      </c>
      <c r="C140" s="115"/>
      <c r="D140" s="17"/>
      <c r="E140" s="211"/>
      <c r="F140" s="17"/>
      <c r="G140" s="212"/>
      <c r="H140" s="212"/>
      <c r="I140" s="116"/>
      <c r="J140" s="213"/>
      <c r="K140" s="213"/>
      <c r="L140" s="213"/>
    </row>
    <row r="141" spans="1:12" ht="22.5" customHeight="1">
      <c r="A141" s="210"/>
      <c r="B141" s="115" t="e">
        <f>VLOOKUP(C141,Lists!I:J,2,FALSE)</f>
        <v>#N/A</v>
      </c>
      <c r="C141" s="115"/>
      <c r="D141" s="17"/>
      <c r="E141" s="211"/>
      <c r="F141" s="17"/>
      <c r="G141" s="212"/>
      <c r="H141" s="212"/>
      <c r="I141" s="116"/>
      <c r="J141" s="213"/>
      <c r="K141" s="213"/>
      <c r="L141" s="213"/>
    </row>
    <row r="142" spans="1:12" ht="22.5" customHeight="1">
      <c r="A142" s="210"/>
      <c r="B142" s="115" t="e">
        <f>VLOOKUP(C142,Lists!I:J,2,FALSE)</f>
        <v>#N/A</v>
      </c>
      <c r="C142" s="115"/>
      <c r="D142" s="17"/>
      <c r="E142" s="211"/>
      <c r="F142" s="17"/>
      <c r="G142" s="212"/>
      <c r="H142" s="212"/>
      <c r="I142" s="116"/>
      <c r="J142" s="213"/>
      <c r="K142" s="213"/>
      <c r="L142" s="213"/>
    </row>
    <row r="143" spans="1:12" ht="22.5" customHeight="1">
      <c r="A143" s="210"/>
      <c r="B143" s="115" t="e">
        <f>VLOOKUP(C143,Lists!I:J,2,FALSE)</f>
        <v>#N/A</v>
      </c>
      <c r="C143" s="115"/>
      <c r="D143" s="17"/>
      <c r="E143" s="211"/>
      <c r="F143" s="17"/>
      <c r="G143" s="212"/>
      <c r="H143" s="212"/>
      <c r="I143" s="116"/>
      <c r="J143" s="213"/>
      <c r="K143" s="213"/>
      <c r="L143" s="213"/>
    </row>
    <row r="144" spans="1:12" ht="22.5" customHeight="1">
      <c r="A144" s="210"/>
      <c r="B144" s="115" t="e">
        <f>VLOOKUP(C144,Lists!I:J,2,FALSE)</f>
        <v>#N/A</v>
      </c>
      <c r="C144" s="115"/>
      <c r="D144" s="17"/>
      <c r="E144" s="211"/>
      <c r="F144" s="17"/>
      <c r="G144" s="212"/>
      <c r="H144" s="212"/>
      <c r="I144" s="116"/>
      <c r="J144" s="213"/>
      <c r="K144" s="213"/>
      <c r="L144" s="213"/>
    </row>
    <row r="145" spans="1:12" ht="22.5" customHeight="1">
      <c r="A145" s="210"/>
      <c r="B145" s="115" t="e">
        <f>VLOOKUP(C145,Lists!I:J,2,FALSE)</f>
        <v>#N/A</v>
      </c>
      <c r="C145" s="115"/>
      <c r="D145" s="17"/>
      <c r="E145" s="211"/>
      <c r="F145" s="17"/>
      <c r="G145" s="212"/>
      <c r="H145" s="212"/>
      <c r="I145" s="116"/>
      <c r="J145" s="213"/>
      <c r="K145" s="213"/>
      <c r="L145" s="213"/>
    </row>
    <row r="146" spans="1:12" ht="22.5" customHeight="1">
      <c r="A146" s="210"/>
      <c r="B146" s="115" t="e">
        <f>VLOOKUP(C146,Lists!I:J,2,FALSE)</f>
        <v>#N/A</v>
      </c>
      <c r="C146" s="115"/>
      <c r="D146" s="17"/>
      <c r="E146" s="211"/>
      <c r="F146" s="17"/>
      <c r="G146" s="212"/>
      <c r="H146" s="212"/>
      <c r="I146" s="116"/>
      <c r="J146" s="213"/>
      <c r="K146" s="213"/>
      <c r="L146" s="213"/>
    </row>
    <row r="147" spans="1:12" ht="22.5" customHeight="1">
      <c r="A147" s="210"/>
      <c r="B147" s="115" t="e">
        <f>VLOOKUP(C147,Lists!I:J,2,FALSE)</f>
        <v>#N/A</v>
      </c>
      <c r="C147" s="115"/>
      <c r="D147" s="17"/>
      <c r="E147" s="211"/>
      <c r="F147" s="17"/>
      <c r="G147" s="212"/>
      <c r="H147" s="212"/>
      <c r="I147" s="116"/>
      <c r="J147" s="213"/>
      <c r="K147" s="213"/>
      <c r="L147" s="213"/>
    </row>
    <row r="148" spans="1:12" ht="22.5" customHeight="1">
      <c r="A148" s="210"/>
      <c r="B148" s="115" t="e">
        <f>VLOOKUP(C148,Lists!I:J,2,FALSE)</f>
        <v>#N/A</v>
      </c>
      <c r="C148" s="115"/>
      <c r="D148" s="17"/>
      <c r="E148" s="211"/>
      <c r="F148" s="17"/>
      <c r="G148" s="212"/>
      <c r="H148" s="212"/>
      <c r="I148" s="116"/>
      <c r="J148" s="213"/>
      <c r="K148" s="213"/>
      <c r="L148" s="213"/>
    </row>
    <row r="149" spans="1:12" ht="22.5" customHeight="1">
      <c r="A149" s="210"/>
      <c r="B149" s="115" t="e">
        <f>VLOOKUP(C149,Lists!I:J,2,FALSE)</f>
        <v>#N/A</v>
      </c>
      <c r="C149" s="115"/>
      <c r="D149" s="17"/>
      <c r="E149" s="211"/>
      <c r="F149" s="17"/>
      <c r="G149" s="212"/>
      <c r="H149" s="212"/>
      <c r="I149" s="116"/>
      <c r="J149" s="213"/>
      <c r="K149" s="213"/>
      <c r="L149" s="213"/>
    </row>
    <row r="150" spans="1:12" ht="22.5" customHeight="1">
      <c r="A150" s="210"/>
      <c r="B150" s="115" t="e">
        <f>VLOOKUP(C150,Lists!I:J,2,FALSE)</f>
        <v>#N/A</v>
      </c>
      <c r="C150" s="115"/>
      <c r="D150" s="17"/>
      <c r="E150" s="211"/>
      <c r="F150" s="17"/>
      <c r="G150" s="212"/>
      <c r="H150" s="212"/>
      <c r="I150" s="116"/>
      <c r="J150" s="213"/>
      <c r="K150" s="213"/>
      <c r="L150" s="213"/>
    </row>
    <row r="151" spans="1:12" ht="22.5" customHeight="1">
      <c r="A151" s="210"/>
      <c r="B151" s="115" t="e">
        <f>VLOOKUP(C151,Lists!I:J,2,FALSE)</f>
        <v>#N/A</v>
      </c>
      <c r="C151" s="115"/>
      <c r="D151" s="17"/>
      <c r="E151" s="211"/>
      <c r="F151" s="17"/>
      <c r="G151" s="212"/>
      <c r="H151" s="212"/>
      <c r="I151" s="116"/>
      <c r="J151" s="213"/>
      <c r="K151" s="213"/>
      <c r="L151" s="213"/>
    </row>
    <row r="152" spans="1:12" ht="22.5" customHeight="1">
      <c r="A152" s="210"/>
      <c r="B152" s="115" t="e">
        <f>VLOOKUP(C152,Lists!I:J,2,FALSE)</f>
        <v>#N/A</v>
      </c>
      <c r="C152" s="115"/>
      <c r="D152" s="17"/>
      <c r="E152" s="211"/>
      <c r="F152" s="17"/>
      <c r="G152" s="212"/>
      <c r="H152" s="212"/>
      <c r="I152" s="116"/>
      <c r="J152" s="213"/>
      <c r="K152" s="213"/>
      <c r="L152" s="213"/>
    </row>
    <row r="153" spans="1:12" ht="22.5" customHeight="1">
      <c r="A153" s="210"/>
      <c r="B153" s="115" t="e">
        <f>VLOOKUP(C153,Lists!I:J,2,FALSE)</f>
        <v>#N/A</v>
      </c>
      <c r="C153" s="115"/>
      <c r="D153" s="17"/>
      <c r="E153" s="211"/>
      <c r="F153" s="17"/>
      <c r="G153" s="212"/>
      <c r="H153" s="212"/>
      <c r="I153" s="116"/>
      <c r="J153" s="213"/>
      <c r="K153" s="213"/>
      <c r="L153" s="213"/>
    </row>
    <row r="154" spans="1:12" ht="22.5" customHeight="1">
      <c r="A154" s="210"/>
      <c r="B154" s="115" t="e">
        <f>VLOOKUP(C154,Lists!I:J,2,FALSE)</f>
        <v>#N/A</v>
      </c>
      <c r="C154" s="115"/>
      <c r="D154" s="17"/>
      <c r="E154" s="211"/>
      <c r="F154" s="17"/>
      <c r="G154" s="212"/>
      <c r="H154" s="212"/>
      <c r="I154" s="116"/>
      <c r="J154" s="213"/>
      <c r="K154" s="213"/>
      <c r="L154" s="213"/>
    </row>
    <row r="155" spans="1:12" ht="22.5" customHeight="1">
      <c r="A155" s="210"/>
      <c r="B155" s="115" t="e">
        <f>VLOOKUP(C155,Lists!I:J,2,FALSE)</f>
        <v>#N/A</v>
      </c>
      <c r="C155" s="115"/>
      <c r="D155" s="17"/>
      <c r="E155" s="211"/>
      <c r="F155" s="17"/>
      <c r="G155" s="212"/>
      <c r="H155" s="212"/>
      <c r="I155" s="116"/>
      <c r="J155" s="213"/>
      <c r="K155" s="213"/>
      <c r="L155" s="213"/>
    </row>
    <row r="156" spans="1:12" ht="22.5" customHeight="1">
      <c r="A156" s="210"/>
      <c r="B156" s="115" t="e">
        <f>VLOOKUP(C156,Lists!I:J,2,FALSE)</f>
        <v>#N/A</v>
      </c>
      <c r="C156" s="115"/>
      <c r="D156" s="17"/>
      <c r="E156" s="211"/>
      <c r="F156" s="17"/>
      <c r="G156" s="212"/>
      <c r="H156" s="212"/>
      <c r="I156" s="116"/>
      <c r="J156" s="213"/>
      <c r="K156" s="213"/>
      <c r="L156" s="213"/>
    </row>
    <row r="157" spans="1:12" ht="22.5" customHeight="1">
      <c r="A157" s="210"/>
      <c r="B157" s="115" t="e">
        <f>VLOOKUP(C157,Lists!I:J,2,FALSE)</f>
        <v>#N/A</v>
      </c>
      <c r="C157" s="115"/>
      <c r="D157" s="17"/>
      <c r="E157" s="211"/>
      <c r="F157" s="17"/>
      <c r="G157" s="212"/>
      <c r="H157" s="212"/>
      <c r="I157" s="116"/>
      <c r="J157" s="213"/>
      <c r="K157" s="213"/>
      <c r="L157" s="213"/>
    </row>
    <row r="158" spans="1:12" ht="22.5" customHeight="1">
      <c r="A158" s="210"/>
      <c r="B158" s="115" t="e">
        <f>VLOOKUP(C158,Lists!I:J,2,FALSE)</f>
        <v>#N/A</v>
      </c>
      <c r="C158" s="115"/>
      <c r="D158" s="17"/>
      <c r="E158" s="211"/>
      <c r="F158" s="17"/>
      <c r="G158" s="212"/>
      <c r="H158" s="212"/>
      <c r="I158" s="116"/>
      <c r="J158" s="213"/>
      <c r="K158" s="213"/>
      <c r="L158" s="213"/>
    </row>
    <row r="159" spans="1:12" ht="22.5" customHeight="1">
      <c r="A159" s="210"/>
      <c r="B159" s="115" t="e">
        <f>VLOOKUP(C159,Lists!I:J,2,FALSE)</f>
        <v>#N/A</v>
      </c>
      <c r="C159" s="115"/>
      <c r="D159" s="17"/>
      <c r="E159" s="211"/>
      <c r="F159" s="17"/>
      <c r="G159" s="212"/>
      <c r="H159" s="212"/>
      <c r="I159" s="116"/>
      <c r="J159" s="213"/>
      <c r="K159" s="213"/>
      <c r="L159" s="213"/>
    </row>
    <row r="160" spans="1:12" ht="22.5" customHeight="1">
      <c r="A160" s="210"/>
      <c r="B160" s="115" t="e">
        <f>VLOOKUP(C160,Lists!I:J,2,FALSE)</f>
        <v>#N/A</v>
      </c>
      <c r="C160" s="115"/>
      <c r="D160" s="17"/>
      <c r="E160" s="211"/>
      <c r="F160" s="17"/>
      <c r="G160" s="212"/>
      <c r="H160" s="212"/>
      <c r="I160" s="116"/>
      <c r="J160" s="213"/>
      <c r="K160" s="213"/>
      <c r="L160" s="213"/>
    </row>
    <row r="161" spans="1:12" ht="22.5" customHeight="1">
      <c r="A161" s="210"/>
      <c r="B161" s="115" t="e">
        <f>VLOOKUP(C161,Lists!I:J,2,FALSE)</f>
        <v>#N/A</v>
      </c>
      <c r="C161" s="115"/>
      <c r="D161" s="17"/>
      <c r="E161" s="211"/>
      <c r="F161" s="17"/>
      <c r="G161" s="212"/>
      <c r="H161" s="212"/>
      <c r="I161" s="116"/>
      <c r="J161" s="213"/>
      <c r="K161" s="213"/>
      <c r="L161" s="213"/>
    </row>
    <row r="162" spans="1:12" ht="22.5" customHeight="1">
      <c r="A162" s="210"/>
      <c r="B162" s="115" t="e">
        <f>VLOOKUP(C162,Lists!I:J,2,FALSE)</f>
        <v>#N/A</v>
      </c>
      <c r="C162" s="115"/>
      <c r="D162" s="17"/>
      <c r="E162" s="211"/>
      <c r="F162" s="17"/>
      <c r="G162" s="212"/>
      <c r="H162" s="212"/>
      <c r="I162" s="116"/>
      <c r="J162" s="213"/>
      <c r="K162" s="213"/>
      <c r="L162" s="213"/>
    </row>
    <row r="163" spans="1:12" ht="22.5" customHeight="1">
      <c r="A163" s="210"/>
      <c r="B163" s="115" t="e">
        <f>VLOOKUP(C163,Lists!I:J,2,FALSE)</f>
        <v>#N/A</v>
      </c>
      <c r="C163" s="115"/>
      <c r="D163" s="17"/>
      <c r="E163" s="211"/>
      <c r="F163" s="17"/>
      <c r="G163" s="212"/>
      <c r="H163" s="212"/>
      <c r="I163" s="116"/>
      <c r="J163" s="213"/>
      <c r="K163" s="213"/>
      <c r="L163" s="213"/>
    </row>
  </sheetData>
  <mergeCells count="14">
    <mergeCell ref="R63:T63"/>
    <mergeCell ref="AB63:AD63"/>
    <mergeCell ref="R2:T2"/>
    <mergeCell ref="V2:W2"/>
    <mergeCell ref="Y2:Z2"/>
    <mergeCell ref="AB2:AD2"/>
    <mergeCell ref="V15:W15"/>
    <mergeCell ref="Y15:Z15"/>
    <mergeCell ref="AB15:AD15"/>
    <mergeCell ref="R15:T15"/>
    <mergeCell ref="R28:T28"/>
    <mergeCell ref="AB28:AD28"/>
    <mergeCell ref="R49:T49"/>
    <mergeCell ref="AB49:AD49"/>
  </mergeCells>
  <dataValidations count="4">
    <dataValidation type="list" allowBlank="1" sqref="B2:D163" xr:uid="{00000000-0002-0000-1300-000000000000}">
      <formula1>#REF!</formula1>
    </dataValidation>
    <dataValidation type="list" allowBlank="1" sqref="F2:F163" xr:uid="{00000000-0002-0000-1300-000002000000}">
      <formula1>"Yellow,Red"</formula1>
    </dataValidation>
    <dataValidation type="custom" allowBlank="1" showDropDown="1" sqref="AC4:AD14 S4:T14 AC17:AD25 S17:T25 AC30:AD46 S30:T46 S51:T60 AC51:AD60 S65:T72 AC65:AD72 A2:A163 G2:L163" xr:uid="{00000000-0002-0000-1300-000003000000}">
      <formula1>AND(ISNUMBER(A2),(NOT(OR(NOT(ISERROR(DATEVALUE(A2))), AND(ISNUMBER(A2), LEFT(CELL("format", A2))="D")))))</formula1>
    </dataValidation>
    <dataValidation allowBlank="1" showDropDown="1" sqref="E2:E163" xr:uid="{00000000-0002-0000-1300-000004000000}"/>
  </dataValidations>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D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30"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30" ht="22.5" customHeight="1">
      <c r="A2" s="173">
        <v>1</v>
      </c>
      <c r="B2" s="115" t="str">
        <f>VLOOKUP(C2,Lists!I:J,2,FALSE)</f>
        <v>Melee DPS</v>
      </c>
      <c r="C2" s="115" t="str">
        <f>VLOOKUP(E2,Lists!D:E,2,FALSE)</f>
        <v>Greatsword/Spear</v>
      </c>
      <c r="D2" s="77" t="s">
        <v>7</v>
      </c>
      <c r="E2" s="176" t="s">
        <v>568</v>
      </c>
      <c r="F2" s="175" t="s">
        <v>483</v>
      </c>
      <c r="G2" s="173">
        <v>66</v>
      </c>
      <c r="H2" s="173">
        <v>75</v>
      </c>
      <c r="I2" s="194">
        <f t="shared" ref="I2:I92" si="0">SUM(G2:H2)</f>
        <v>141</v>
      </c>
      <c r="J2" s="177">
        <v>3229096</v>
      </c>
      <c r="K2" s="177">
        <v>1227350</v>
      </c>
      <c r="L2" s="177">
        <v>16013</v>
      </c>
      <c r="M2" s="195">
        <f>I2/(HLOOKUP(F2,Team_Composition_23[[#All],[Yellow]:[Red]],10,FALSE)+HLOOKUP(F2,Team_Composition_23[[#All],[Yellow]:[Red]],11,FALSE))</f>
        <v>0.17174177831912302</v>
      </c>
      <c r="N2" s="195">
        <f>J2/HLOOKUP(F2,Team_Composition_23[[#All],[Yellow]:[Red]],6,FALSE)</f>
        <v>0.18299925674701148</v>
      </c>
      <c r="O2" s="195">
        <f>K2/HLOOKUP(F2,Team_Composition_23[[#All],[Yellow]:[Red]],8,FALSE)</f>
        <v>2.7884217757667688E-2</v>
      </c>
      <c r="P2" s="195">
        <f>L2/HLOOKUP(F2,Team_Composition_23[[#All],[Yellow]:[Red]],7,FALSE)</f>
        <v>6.5982899826684148E-4</v>
      </c>
      <c r="R2" s="232" t="s">
        <v>477</v>
      </c>
      <c r="S2" s="228"/>
      <c r="T2" s="228"/>
      <c r="V2" s="233" t="s">
        <v>478</v>
      </c>
      <c r="W2" s="228"/>
      <c r="X2" s="196"/>
      <c r="Y2" s="233" t="s">
        <v>479</v>
      </c>
      <c r="Z2" s="228"/>
      <c r="AB2" s="232" t="s">
        <v>480</v>
      </c>
      <c r="AC2" s="228"/>
      <c r="AD2" s="228"/>
    </row>
    <row r="3" spans="1:30" ht="22.5" customHeight="1">
      <c r="A3" s="173">
        <v>7</v>
      </c>
      <c r="B3" s="115" t="str">
        <f>VLOOKUP(C3,Lists!I:J,2,FALSE)</f>
        <v>Melee DPS</v>
      </c>
      <c r="C3" s="115" t="str">
        <f>VLOOKUP(E3,Lists!D:E,2,FALSE)</f>
        <v>Greatsword/Spear</v>
      </c>
      <c r="D3" s="175" t="s">
        <v>7</v>
      </c>
      <c r="E3" s="176" t="s">
        <v>77</v>
      </c>
      <c r="F3" s="175" t="s">
        <v>483</v>
      </c>
      <c r="G3" s="173">
        <v>35</v>
      </c>
      <c r="H3" s="173">
        <v>91</v>
      </c>
      <c r="I3" s="194">
        <f t="shared" si="0"/>
        <v>126</v>
      </c>
      <c r="J3" s="177">
        <v>2594531</v>
      </c>
      <c r="K3" s="177">
        <v>1122929</v>
      </c>
      <c r="L3" s="177">
        <v>19359</v>
      </c>
      <c r="M3" s="195">
        <f>I3/(HLOOKUP(F3,Team_Composition_23[[#All],[Yellow]:[Red]],10,FALSE)+HLOOKUP(F3,Team_Composition_23[[#All],[Yellow]:[Red]],11,FALSE))</f>
        <v>0.15347137637028013</v>
      </c>
      <c r="N3" s="195">
        <f>J3/HLOOKUP(F3,Team_Composition_23[[#All],[Yellow]:[Red]],6,FALSE)</f>
        <v>0.14703720316989041</v>
      </c>
      <c r="O3" s="195">
        <f>K3/HLOOKUP(F3,Team_Composition_23[[#All],[Yellow]:[Red]],8,FALSE)</f>
        <v>2.5511872540351178E-2</v>
      </c>
      <c r="P3" s="195">
        <f>L3/HLOOKUP(F3,Team_Composition_23[[#All],[Yellow]:[Red]],7,FALSE)</f>
        <v>7.9770371432259942E-4</v>
      </c>
      <c r="R3" s="197" t="s">
        <v>482</v>
      </c>
      <c r="S3" s="198" t="s">
        <v>476</v>
      </c>
      <c r="T3" s="198" t="s">
        <v>483</v>
      </c>
      <c r="V3" s="199" t="s">
        <v>1</v>
      </c>
      <c r="W3" s="200" t="s">
        <v>467</v>
      </c>
      <c r="Y3" s="199" t="s">
        <v>1</v>
      </c>
      <c r="Z3" s="200" t="s">
        <v>484</v>
      </c>
      <c r="AB3" s="197" t="s">
        <v>482</v>
      </c>
      <c r="AC3" s="198" t="s">
        <v>7</v>
      </c>
      <c r="AD3" s="198" t="s">
        <v>527</v>
      </c>
    </row>
    <row r="4" spans="1:30" ht="22.5" customHeight="1">
      <c r="A4" s="173">
        <v>10</v>
      </c>
      <c r="B4" s="115" t="str">
        <f>VLOOKUP(C4,Lists!I:J,2,FALSE)</f>
        <v>Melee DPS</v>
      </c>
      <c r="C4" s="115" t="str">
        <f>VLOOKUP(E4,Lists!D:E,2,FALSE)</f>
        <v>Greatsword/Spear</v>
      </c>
      <c r="D4" s="175" t="s">
        <v>28</v>
      </c>
      <c r="E4" s="176" t="s">
        <v>333</v>
      </c>
      <c r="F4" s="175" t="s">
        <v>483</v>
      </c>
      <c r="G4" s="173">
        <v>33</v>
      </c>
      <c r="H4" s="173">
        <v>90</v>
      </c>
      <c r="I4" s="194">
        <f t="shared" si="0"/>
        <v>123</v>
      </c>
      <c r="J4" s="177">
        <v>2646599</v>
      </c>
      <c r="K4" s="177">
        <v>891358</v>
      </c>
      <c r="L4" s="177">
        <v>9403</v>
      </c>
      <c r="M4" s="195">
        <f>I4/(HLOOKUP(F4,Team_Composition_23[[#All],[Yellow]:[Red]],10,FALSE)+HLOOKUP(F4,Team_Composition_23[[#All],[Yellow]:[Red]],11,FALSE))</f>
        <v>0.14981729598051158</v>
      </c>
      <c r="N4" s="195">
        <f>J4/HLOOKUP(F4,Team_Composition_23[[#All],[Yellow]:[Red]],6,FALSE)</f>
        <v>0.14998799970870602</v>
      </c>
      <c r="O4" s="195">
        <f>K4/HLOOKUP(F4,Team_Composition_23[[#All],[Yellow]:[Red]],8,FALSE)</f>
        <v>2.0250800971230012E-2</v>
      </c>
      <c r="P4" s="195">
        <f>L4/HLOOKUP(F4,Team_Composition_23[[#All],[Yellow]:[Red]],7,FALSE)</f>
        <v>3.8745844443284272E-4</v>
      </c>
      <c r="R4" s="201" t="s">
        <v>25</v>
      </c>
      <c r="S4" s="202">
        <f>COUNTIFS(Scoreboard_25[Role],R4,Scoreboard_25[Team],"Yellow")</f>
        <v>5</v>
      </c>
      <c r="T4" s="203">
        <f>COUNTIFS(Scoreboard_25[Role],R4,Scoreboard_25[Team],"Red")</f>
        <v>4</v>
      </c>
      <c r="V4" s="204" t="str">
        <f ca="1">IFERROR(__xludf.DUMMYFUNCTION("query(A1:P238, ""Select E,I where B!='Healer' Order by I Desc Limit 10"", 0)"),"blee")</f>
        <v>blee</v>
      </c>
      <c r="W4" s="116">
        <f ca="1">IFERROR(__xludf.DUMMYFUNCTION("""COMPUTED_VALUE"""),141)</f>
        <v>141</v>
      </c>
      <c r="Y4" s="204" t="str">
        <f ca="1">IFERROR(__xludf.DUMMYFUNCTION("query(A1:P238, ""Select E,J Order by J Desc Limit 10"", 0)"),"edmun")</f>
        <v>edmun</v>
      </c>
      <c r="Z4" s="116">
        <f ca="1">IFERROR(__xludf.DUMMYFUNCTION("""COMPUTED_VALUE"""),4057944)</f>
        <v>4057944</v>
      </c>
      <c r="AB4" s="201" t="s">
        <v>25</v>
      </c>
      <c r="AC4" s="205">
        <f>COUNTIFS(Scoreboard_25[Role],AB4,Scoreboard_25[Guild],"FTP")</f>
        <v>4</v>
      </c>
      <c r="AD4" s="206">
        <f>COUNTIFS(Scoreboard_25[Role],AB4,Scoreboard_25[Guild],"Undercooked")</f>
        <v>5</v>
      </c>
    </row>
    <row r="5" spans="1:30" ht="22.5" customHeight="1">
      <c r="A5" s="173">
        <v>45</v>
      </c>
      <c r="B5" s="115" t="str">
        <f>VLOOKUP(C5,Lists!I:J,2,FALSE)</f>
        <v>Healer</v>
      </c>
      <c r="C5" s="115" t="str">
        <f>VLOOKUP(E5,Lists!D:E,2,FALSE)</f>
        <v>Wand/Orb</v>
      </c>
      <c r="D5" s="175" t="s">
        <v>7</v>
      </c>
      <c r="E5" s="176" t="s">
        <v>87</v>
      </c>
      <c r="F5" s="175" t="s">
        <v>483</v>
      </c>
      <c r="G5" s="173">
        <v>0</v>
      </c>
      <c r="H5" s="173">
        <v>123</v>
      </c>
      <c r="I5" s="194">
        <f t="shared" si="0"/>
        <v>123</v>
      </c>
      <c r="J5" s="177">
        <v>94106</v>
      </c>
      <c r="K5" s="177">
        <v>497989</v>
      </c>
      <c r="L5" s="177">
        <v>731088</v>
      </c>
      <c r="M5" s="195">
        <f>I5/(HLOOKUP(F5,Team_Composition_23[[#All],[Yellow]:[Red]],10,FALSE)+HLOOKUP(F5,Team_Composition_23[[#All],[Yellow]:[Red]],11,FALSE))</f>
        <v>0.14981729598051158</v>
      </c>
      <c r="N5" s="195">
        <f>J5/HLOOKUP(F5,Team_Composition_23[[#All],[Yellow]:[Red]],6,FALSE)</f>
        <v>5.3331731405428214E-3</v>
      </c>
      <c r="O5" s="195">
        <f>K5/HLOOKUP(F5,Team_Composition_23[[#All],[Yellow]:[Red]],8,FALSE)</f>
        <v>1.1313833639078645E-2</v>
      </c>
      <c r="P5" s="195">
        <f>L5/HLOOKUP(F5,Team_Composition_23[[#All],[Yellow]:[Red]],7,FALSE)</f>
        <v>3.012508978235862E-2</v>
      </c>
      <c r="R5" s="201" t="s">
        <v>39</v>
      </c>
      <c r="S5" s="202">
        <f>COUNTIFS(Scoreboard_25[Role],R5,Scoreboard_25[Team],"Yellow")</f>
        <v>5</v>
      </c>
      <c r="T5" s="203">
        <f>COUNTIFS(Scoreboard_25[Role],R5,Scoreboard_25[Team],"Red")</f>
        <v>4</v>
      </c>
      <c r="V5" s="204" t="str">
        <f ca="1">IFERROR(__xludf.DUMMYFUNCTION("""COMPUTED_VALUE"""),"Kyu")</f>
        <v>Kyu</v>
      </c>
      <c r="W5" s="116">
        <f ca="1">IFERROR(__xludf.DUMMYFUNCTION("""COMPUTED_VALUE"""),126)</f>
        <v>126</v>
      </c>
      <c r="Y5" s="204" t="str">
        <f ca="1">IFERROR(__xludf.DUMMYFUNCTION("""COMPUTED_VALUE"""),"Crumpet")</f>
        <v>Crumpet</v>
      </c>
      <c r="Z5" s="116">
        <f ca="1">IFERROR(__xludf.DUMMYFUNCTION("""COMPUTED_VALUE"""),3686810)</f>
        <v>3686810</v>
      </c>
      <c r="AB5" s="201" t="s">
        <v>39</v>
      </c>
      <c r="AC5" s="205">
        <f>COUNTIFS(Scoreboard_25[Role],AB5,Scoreboard_25[Guild],"FTP")</f>
        <v>4</v>
      </c>
      <c r="AD5" s="206">
        <f>COUNTIFS(Scoreboard_25[Role],AB5,Scoreboard_25[Guild],"Undercooked")</f>
        <v>5</v>
      </c>
    </row>
    <row r="6" spans="1:30" ht="22.5" customHeight="1">
      <c r="A6" s="173">
        <v>8</v>
      </c>
      <c r="B6" s="115" t="str">
        <f>VLOOKUP(C6,Lists!I:J,2,FALSE)</f>
        <v>Melee DPS</v>
      </c>
      <c r="C6" s="115" t="str">
        <f>VLOOKUP(E6,Lists!D:E,2,FALSE)</f>
        <v>Greatsword/Spear</v>
      </c>
      <c r="D6" s="175" t="s">
        <v>28</v>
      </c>
      <c r="E6" s="176" t="s">
        <v>347</v>
      </c>
      <c r="F6" s="175" t="s">
        <v>476</v>
      </c>
      <c r="G6" s="173">
        <v>35</v>
      </c>
      <c r="H6" s="173">
        <v>86</v>
      </c>
      <c r="I6" s="194">
        <f t="shared" si="0"/>
        <v>121</v>
      </c>
      <c r="J6" s="177">
        <v>3085541</v>
      </c>
      <c r="K6" s="177">
        <v>2403060</v>
      </c>
      <c r="L6" s="177">
        <v>50512</v>
      </c>
      <c r="M6" s="195">
        <f>I6/(HLOOKUP(F6,Team_Composition_23[[#All],[Yellow]:[Red]],10,FALSE)+HLOOKUP(F6,Team_Composition_23[[#All],[Yellow]:[Red]],11,FALSE))</f>
        <v>3.0242439390152462E-2</v>
      </c>
      <c r="N6" s="195">
        <f>J6/HLOOKUP(F6,Team_Composition_23[[#All],[Yellow]:[Red]],6,FALSE)</f>
        <v>6.9551200217313341E-2</v>
      </c>
      <c r="O6" s="195">
        <f>K6/HLOOKUP(F6,Team_Composition_23[[#All],[Yellow]:[Red]],8,FALSE)</f>
        <v>0.13717064384054969</v>
      </c>
      <c r="P6" s="195">
        <f>L6/HLOOKUP(F6,Team_Composition_23[[#All],[Yellow]:[Red]],7,FALSE)</f>
        <v>3.9021152474349881E-3</v>
      </c>
      <c r="R6" s="201" t="s">
        <v>67</v>
      </c>
      <c r="S6" s="202">
        <f>COUNTIFS(Scoreboard_25[Role],R6,Scoreboard_25[Team],"Yellow")</f>
        <v>13</v>
      </c>
      <c r="T6" s="203">
        <f>COUNTIFS(Scoreboard_25[Role],R6,Scoreboard_25[Team],"Red")</f>
        <v>13</v>
      </c>
      <c r="V6" s="204" t="str">
        <f ca="1">IFERROR(__xludf.DUMMYFUNCTION("""COMPUTED_VALUE"""),"Prosciutto")</f>
        <v>Prosciutto</v>
      </c>
      <c r="W6" s="116">
        <f ca="1">IFERROR(__xludf.DUMMYFUNCTION("""COMPUTED_VALUE"""),123)</f>
        <v>123</v>
      </c>
      <c r="Y6" s="204" t="str">
        <f ca="1">IFERROR(__xludf.DUMMYFUNCTION("""COMPUTED_VALUE"""),"blee")</f>
        <v>blee</v>
      </c>
      <c r="Z6" s="116">
        <f ca="1">IFERROR(__xludf.DUMMYFUNCTION("""COMPUTED_VALUE"""),3229096)</f>
        <v>3229096</v>
      </c>
      <c r="AB6" s="201" t="s">
        <v>67</v>
      </c>
      <c r="AC6" s="205">
        <f>COUNTIFS(Scoreboard_25[Role],AB6,Scoreboard_25[Guild],"FTP")</f>
        <v>17</v>
      </c>
      <c r="AD6" s="206">
        <f>COUNTIFS(Scoreboard_25[Role],AB6,Scoreboard_25[Guild],"Undercooked")</f>
        <v>9</v>
      </c>
    </row>
    <row r="7" spans="1:30" ht="22.5" customHeight="1">
      <c r="A7" s="173">
        <v>2</v>
      </c>
      <c r="B7" s="115" t="str">
        <f>VLOOKUP(C7,Lists!I:J,2,FALSE)</f>
        <v>KS</v>
      </c>
      <c r="C7" s="115" t="str">
        <f>VLOOKUP(E7,Lists!D:E,2,FALSE)</f>
        <v>Greatsword/Dagger</v>
      </c>
      <c r="D7" s="175" t="s">
        <v>7</v>
      </c>
      <c r="E7" s="176" t="s">
        <v>68</v>
      </c>
      <c r="F7" s="175" t="s">
        <v>483</v>
      </c>
      <c r="G7" s="173">
        <v>47</v>
      </c>
      <c r="H7" s="173">
        <v>68</v>
      </c>
      <c r="I7" s="194">
        <f t="shared" si="0"/>
        <v>115</v>
      </c>
      <c r="J7" s="177">
        <v>1890251</v>
      </c>
      <c r="K7" s="177">
        <v>1015967</v>
      </c>
      <c r="L7" s="177">
        <v>105888</v>
      </c>
      <c r="M7" s="195">
        <f>I7/(HLOOKUP(F7,Team_Composition_23[[#All],[Yellow]:[Red]],10,FALSE)+HLOOKUP(F7,Team_Composition_23[[#All],[Yellow]:[Red]],11,FALSE))</f>
        <v>0.14007308160779536</v>
      </c>
      <c r="N7" s="195">
        <f>J7/HLOOKUP(F7,Team_Composition_23[[#All],[Yellow]:[Red]],6,FALSE)</f>
        <v>0.10712426266214915</v>
      </c>
      <c r="O7" s="195">
        <f>K7/HLOOKUP(F7,Team_Composition_23[[#All],[Yellow]:[Red]],8,FALSE)</f>
        <v>2.3081798234085116E-2</v>
      </c>
      <c r="P7" s="195">
        <f>L7/HLOOKUP(F7,Team_Composition_23[[#All],[Yellow]:[Red]],7,FALSE)</f>
        <v>4.3632032079235191E-3</v>
      </c>
      <c r="R7" s="201" t="s">
        <v>11</v>
      </c>
      <c r="S7" s="202">
        <f>COUNTIFS(Scoreboard_25[Role],R7,Scoreboard_25[Team],"Yellow")</f>
        <v>14</v>
      </c>
      <c r="T7" s="203">
        <f>COUNTIFS(Scoreboard_25[Role],R7,Scoreboard_25[Team],"Red")</f>
        <v>15</v>
      </c>
      <c r="V7" s="204" t="str">
        <f ca="1">IFERROR(__xludf.DUMMYFUNCTION("""COMPUTED_VALUE"""),"Margheritaa")</f>
        <v>Margheritaa</v>
      </c>
      <c r="W7" s="116">
        <f ca="1">IFERROR(__xludf.DUMMYFUNCTION("""COMPUTED_VALUE"""),121)</f>
        <v>121</v>
      </c>
      <c r="Y7" s="204" t="str">
        <f ca="1">IFERROR(__xludf.DUMMYFUNCTION("""COMPUTED_VALUE"""),"Margheritaa")</f>
        <v>Margheritaa</v>
      </c>
      <c r="Z7" s="116">
        <f ca="1">IFERROR(__xludf.DUMMYFUNCTION("""COMPUTED_VALUE"""),3085541)</f>
        <v>3085541</v>
      </c>
      <c r="AB7" s="201" t="s">
        <v>11</v>
      </c>
      <c r="AC7" s="205">
        <f>COUNTIFS(Scoreboard_25[Role],AB7,Scoreboard_25[Guild],"FTP")</f>
        <v>17</v>
      </c>
      <c r="AD7" s="206">
        <f>COUNTIFS(Scoreboard_25[Role],AB7,Scoreboard_25[Guild],"Undercooked")</f>
        <v>11</v>
      </c>
    </row>
    <row r="8" spans="1:30" ht="22.5" customHeight="1">
      <c r="A8" s="173">
        <v>4</v>
      </c>
      <c r="B8" s="115" t="str">
        <f>VLOOKUP(C8,Lists!I:J,2,FALSE)</f>
        <v>KS</v>
      </c>
      <c r="C8" s="115" t="str">
        <f>VLOOKUP(E8,Lists!D:E,2,FALSE)</f>
        <v>Greatsword/Dagger</v>
      </c>
      <c r="D8" s="77" t="s">
        <v>7</v>
      </c>
      <c r="E8" s="176" t="s">
        <v>90</v>
      </c>
      <c r="F8" s="175" t="s">
        <v>483</v>
      </c>
      <c r="G8" s="173">
        <v>43</v>
      </c>
      <c r="H8" s="173">
        <v>61</v>
      </c>
      <c r="I8" s="194">
        <f t="shared" si="0"/>
        <v>104</v>
      </c>
      <c r="J8" s="177">
        <v>2080166</v>
      </c>
      <c r="K8" s="177">
        <v>712498</v>
      </c>
      <c r="L8" s="177">
        <v>18341</v>
      </c>
      <c r="M8" s="195">
        <f>I8/(HLOOKUP(F8,Team_Composition_23[[#All],[Yellow]:[Red]],10,FALSE)+HLOOKUP(F8,Team_Composition_23[[#All],[Yellow]:[Red]],11,FALSE))</f>
        <v>0.12667478684531058</v>
      </c>
      <c r="N8" s="195">
        <f>J8/HLOOKUP(F8,Team_Composition_23[[#All],[Yellow]:[Red]],6,FALSE)</f>
        <v>0.1178871213213865</v>
      </c>
      <c r="O8" s="195">
        <f>K8/HLOOKUP(F8,Team_Composition_23[[#All],[Yellow]:[Red]],8,FALSE)</f>
        <v>1.6187272891923829E-2</v>
      </c>
      <c r="P8" s="195">
        <f>L8/HLOOKUP(F8,Team_Composition_23[[#All],[Yellow]:[Red]],7,FALSE)</f>
        <v>7.5575617668220446E-4</v>
      </c>
      <c r="R8" s="201" t="s">
        <v>468</v>
      </c>
      <c r="S8" s="202">
        <f>SUMIFS(Scoreboard_25[Damage Dealt],Scoreboard_25[Team],"Yellow")</f>
        <v>27079416</v>
      </c>
      <c r="T8" s="203">
        <f>SUMIFS(Scoreboard_25[Damage Dealt],Scoreboard_25[Team],"Red")</f>
        <v>35681214</v>
      </c>
      <c r="V8" s="204" t="str">
        <f ca="1">IFERROR(__xludf.DUMMYFUNCTION("""COMPUTED_VALUE"""),"Jawz")</f>
        <v>Jawz</v>
      </c>
      <c r="W8" s="116">
        <f ca="1">IFERROR(__xludf.DUMMYFUNCTION("""COMPUTED_VALUE"""),115)</f>
        <v>115</v>
      </c>
      <c r="Y8" s="204" t="str">
        <f ca="1">IFERROR(__xludf.DUMMYFUNCTION("""COMPUTED_VALUE"""),"Camemberts")</f>
        <v>Camemberts</v>
      </c>
      <c r="Z8" s="116">
        <f ca="1">IFERROR(__xludf.DUMMYFUNCTION("""COMPUTED_VALUE"""),2823632)</f>
        <v>2823632</v>
      </c>
      <c r="AB8" s="201" t="s">
        <v>468</v>
      </c>
      <c r="AC8" s="205">
        <f>SUMIFS(Scoreboard_25[Damage Dealt],Scoreboard_25[Guild],"FTP")</f>
        <v>33244710</v>
      </c>
      <c r="AD8" s="206">
        <f>SUMIFS(Scoreboard_25[Damage Dealt],Scoreboard_25[Guild],"Undercooked")</f>
        <v>29432881</v>
      </c>
    </row>
    <row r="9" spans="1:30" ht="22.5" customHeight="1">
      <c r="A9" s="173">
        <v>6</v>
      </c>
      <c r="B9" s="115" t="str">
        <f>VLOOKUP(C9,Lists!I:J,2,FALSE)</f>
        <v>Melee DPS</v>
      </c>
      <c r="C9" s="115" t="str">
        <f>VLOOKUP(E9,Lists!D:E,2,FALSE)</f>
        <v>Greatsword/Spear</v>
      </c>
      <c r="D9" s="175" t="s">
        <v>28</v>
      </c>
      <c r="E9" s="176" t="s">
        <v>331</v>
      </c>
      <c r="F9" s="175" t="s">
        <v>483</v>
      </c>
      <c r="G9" s="173">
        <v>36</v>
      </c>
      <c r="H9" s="173">
        <v>66</v>
      </c>
      <c r="I9" s="194">
        <f t="shared" si="0"/>
        <v>102</v>
      </c>
      <c r="J9" s="177">
        <v>2425826</v>
      </c>
      <c r="K9" s="177">
        <v>1067909</v>
      </c>
      <c r="L9" s="177">
        <v>25566</v>
      </c>
      <c r="M9" s="195">
        <f>I9/(HLOOKUP(F9,Team_Composition_23[[#All],[Yellow]:[Red]],10,FALSE)+HLOOKUP(F9,Team_Composition_23[[#All],[Yellow]:[Red]],11,FALSE))</f>
        <v>0.12423873325213154</v>
      </c>
      <c r="N9" s="195">
        <f>J9/HLOOKUP(F9,Team_Composition_23[[#All],[Yellow]:[Red]],6,FALSE)</f>
        <v>0.13747635715927178</v>
      </c>
      <c r="O9" s="195">
        <f>K9/HLOOKUP(F9,Team_Composition_23[[#All],[Yellow]:[Red]],8,FALSE)</f>
        <v>2.4261870779625324E-2</v>
      </c>
      <c r="P9" s="195">
        <f>L9/HLOOKUP(F9,Team_Composition_23[[#All],[Yellow]:[Red]],7,FALSE)</f>
        <v>1.0534683175975814E-3</v>
      </c>
      <c r="R9" s="201" t="s">
        <v>470</v>
      </c>
      <c r="S9" s="202">
        <f>SUMIFS(Scoreboard_25[Amount Healed],Scoreboard_25[Team],"Yellow")</f>
        <v>24869036</v>
      </c>
      <c r="T9" s="203">
        <f>SUMIFS(Scoreboard_25[Amount Healed],Scoreboard_25[Team],"Red")</f>
        <v>20084378</v>
      </c>
      <c r="V9" s="204" t="str">
        <f ca="1">IFERROR(__xludf.DUMMYFUNCTION("""COMPUTED_VALUE"""),"Prefire")</f>
        <v>Prefire</v>
      </c>
      <c r="W9" s="116">
        <f ca="1">IFERROR(__xludf.DUMMYFUNCTION("""COMPUTED_VALUE"""),104)</f>
        <v>104</v>
      </c>
      <c r="Y9" s="204" t="str">
        <f ca="1">IFERROR(__xludf.DUMMYFUNCTION("""COMPUTED_VALUE"""),"Prosciutto")</f>
        <v>Prosciutto</v>
      </c>
      <c r="Z9" s="116">
        <f ca="1">IFERROR(__xludf.DUMMYFUNCTION("""COMPUTED_VALUE"""),2646599)</f>
        <v>2646599</v>
      </c>
      <c r="AB9" s="201" t="s">
        <v>470</v>
      </c>
      <c r="AC9" s="205">
        <f>SUMIFS(Scoreboard_25[Amount Healed],Scoreboard_25[Guild],"FTP")</f>
        <v>25138223</v>
      </c>
      <c r="AD9" s="206">
        <f>SUMIFS(Scoreboard_25[Amount Healed],Scoreboard_25[Guild],"Undercooked")</f>
        <v>16888010</v>
      </c>
    </row>
    <row r="10" spans="1:30" ht="22.5" customHeight="1">
      <c r="A10" s="173">
        <v>9</v>
      </c>
      <c r="B10" s="115" t="str">
        <f>VLOOKUP(C10,Lists!I:J,2,FALSE)</f>
        <v>Ranged DPS</v>
      </c>
      <c r="C10" s="115" t="str">
        <f>VLOOKUP(E10,Lists!D:E,2,FALSE)</f>
        <v>Staff/Orb</v>
      </c>
      <c r="D10" s="175" t="s">
        <v>28</v>
      </c>
      <c r="E10" s="176" t="s">
        <v>332</v>
      </c>
      <c r="F10" s="175" t="s">
        <v>483</v>
      </c>
      <c r="G10" s="173">
        <v>35</v>
      </c>
      <c r="H10" s="173">
        <v>65</v>
      </c>
      <c r="I10" s="194">
        <f t="shared" si="0"/>
        <v>100</v>
      </c>
      <c r="J10" s="177">
        <v>3686810</v>
      </c>
      <c r="K10" s="177">
        <v>912003</v>
      </c>
      <c r="L10" s="177">
        <v>2382</v>
      </c>
      <c r="M10" s="195">
        <f>I10/(HLOOKUP(F10,Team_Composition_23[[#All],[Yellow]:[Red]],10,FALSE)+HLOOKUP(F10,Team_Composition_23[[#All],[Yellow]:[Red]],11,FALSE))</f>
        <v>0.1218026796589525</v>
      </c>
      <c r="N10" s="195">
        <f>J10/HLOOKUP(F10,Team_Composition_23[[#All],[Yellow]:[Red]],6,FALSE)</f>
        <v>0.20893881438255454</v>
      </c>
      <c r="O10" s="195">
        <f>K10/HLOOKUP(F10,Team_Composition_23[[#All],[Yellow]:[Red]],8,FALSE)</f>
        <v>2.0719835619543086E-2</v>
      </c>
      <c r="P10" s="195">
        <f>L10/HLOOKUP(F10,Team_Composition_23[[#All],[Yellow]:[Red]],7,FALSE)</f>
        <v>9.8152293378605905E-5</v>
      </c>
      <c r="R10" s="201" t="s">
        <v>469</v>
      </c>
      <c r="S10" s="202">
        <f>SUMIFS(Scoreboard_25[Damage Taken],Scoreboard_25[Team],"Yellow")</f>
        <v>35681437</v>
      </c>
      <c r="T10" s="203">
        <f>SUMIFS(Scoreboard_25[Damage Taken],Scoreboard_25[Team],"Red")</f>
        <v>27922008</v>
      </c>
      <c r="V10" s="204" t="str">
        <f ca="1">IFERROR(__xludf.DUMMYFUNCTION("""COMPUTED_VALUE"""),"Paella")</f>
        <v>Paella</v>
      </c>
      <c r="W10" s="116">
        <f ca="1">IFERROR(__xludf.DUMMYFUNCTION("""COMPUTED_VALUE"""),102)</f>
        <v>102</v>
      </c>
      <c r="Y10" s="204" t="str">
        <f ca="1">IFERROR(__xludf.DUMMYFUNCTION("""COMPUTED_VALUE"""),"Kyu")</f>
        <v>Kyu</v>
      </c>
      <c r="Z10" s="116">
        <f ca="1">IFERROR(__xludf.DUMMYFUNCTION("""COMPUTED_VALUE"""),2594531)</f>
        <v>2594531</v>
      </c>
      <c r="AB10" s="201" t="s">
        <v>469</v>
      </c>
      <c r="AC10" s="205">
        <f>SUMIFS(Scoreboard_25[Damage Taken],Scoreboard_25[Guild],"FTP")</f>
        <v>35418194</v>
      </c>
      <c r="AD10" s="206">
        <f>SUMIFS(Scoreboard_25[Damage Taken],Scoreboard_25[Guild],"Undercooked")</f>
        <v>27489068</v>
      </c>
    </row>
    <row r="11" spans="1:30" ht="22.5" customHeight="1">
      <c r="A11" s="173">
        <v>19</v>
      </c>
      <c r="B11" s="115" t="str">
        <f>VLOOKUP(C11,Lists!I:J,2,FALSE)</f>
        <v>Ranged DPS</v>
      </c>
      <c r="C11" s="115" t="str">
        <f>VLOOKUP(E11,Lists!D:E,2,FALSE)</f>
        <v>Staff/Dagger</v>
      </c>
      <c r="D11" s="175" t="s">
        <v>28</v>
      </c>
      <c r="E11" s="176" t="s">
        <v>336</v>
      </c>
      <c r="F11" s="175" t="s">
        <v>483</v>
      </c>
      <c r="G11" s="173">
        <v>17</v>
      </c>
      <c r="H11" s="173">
        <v>79</v>
      </c>
      <c r="I11" s="194">
        <f t="shared" si="0"/>
        <v>96</v>
      </c>
      <c r="J11" s="177">
        <v>2823632</v>
      </c>
      <c r="K11" s="177">
        <v>797042</v>
      </c>
      <c r="L11" s="177">
        <v>9909</v>
      </c>
      <c r="M11" s="195">
        <f>I11/(HLOOKUP(F11,Team_Composition_23[[#All],[Yellow]:[Red]],10,FALSE)+HLOOKUP(F11,Team_Composition_23[[#All],[Yellow]:[Red]],11,FALSE))</f>
        <v>0.11693057247259439</v>
      </c>
      <c r="N11" s="195">
        <f>J11/HLOOKUP(F11,Team_Composition_23[[#All],[Yellow]:[Red]],6,FALSE)</f>
        <v>0.16002080995023918</v>
      </c>
      <c r="O11" s="195">
        <f>K11/HLOOKUP(F11,Team_Composition_23[[#All],[Yellow]:[Red]],8,FALSE)</f>
        <v>1.8108031686158772E-2</v>
      </c>
      <c r="P11" s="195">
        <f>L11/HLOOKUP(F11,Team_Composition_23[[#All],[Yellow]:[Red]],7,FALSE)</f>
        <v>4.0830859575508228E-4</v>
      </c>
      <c r="R11" s="201" t="s">
        <v>495</v>
      </c>
      <c r="S11" s="202">
        <f ca="1">IFERROR(DIVIDE(SUMIFS(Scoreboard_25[Amount Healed],Scoreboard_25[Team],"Yellow"), SUMIFS(Scoreboard_25[Damage Taken],Scoreboard_25[Team],"Yellow"))*(100),0)</f>
        <v>0</v>
      </c>
      <c r="T11" s="203">
        <f ca="1">IFERROR(DIVIDE(SUMIFS(Scoreboard_25[Amount Healed],Scoreboard_25[Team],"Red"), SUMIFS(Scoreboard_25[Damage Taken],Scoreboard_25[Team],"Red"))*(100),0)</f>
        <v>0</v>
      </c>
      <c r="V11" s="204" t="str">
        <f ca="1">IFERROR(__xludf.DUMMYFUNCTION("""COMPUTED_VALUE"""),"Crumpet")</f>
        <v>Crumpet</v>
      </c>
      <c r="W11" s="116">
        <f ca="1">IFERROR(__xludf.DUMMYFUNCTION("""COMPUTED_VALUE"""),100)</f>
        <v>100</v>
      </c>
      <c r="Y11" s="204" t="str">
        <f ca="1">IFERROR(__xludf.DUMMYFUNCTION("""COMPUTED_VALUE"""),"cba")</f>
        <v>cba</v>
      </c>
      <c r="Z11" s="116">
        <f ca="1">IFERROR(__xludf.DUMMYFUNCTION("""COMPUTED_VALUE"""),2453780)</f>
        <v>2453780</v>
      </c>
      <c r="AB11" s="201" t="s">
        <v>495</v>
      </c>
      <c r="AC11" s="205">
        <f ca="1">IFERROR(DIVIDE(SUMIFS(Scoreboard_25[Amount Healed],Scoreboard_25[Guild],"FTP"), SUMIFS(Scoreboard_25[Damage Taken],Scoreboard_25[Guild],"FTP"))*(100),0)</f>
        <v>0</v>
      </c>
      <c r="AD11" s="206">
        <f ca="1">IFERROR(DIVIDE(SUMIFS(Scoreboard_25[Amount Healed],Scoreboard_25[Guild],"Undercooked"), SUMIFS(Scoreboard_25[Damage Taken],Scoreboard_25[Guild],"Undercooked"))*(100),0)</f>
        <v>0</v>
      </c>
    </row>
    <row r="12" spans="1:30" ht="22.5" customHeight="1">
      <c r="A12" s="173">
        <v>46</v>
      </c>
      <c r="B12" s="115" t="str">
        <f>VLOOKUP(C12,Lists!I:J,2,FALSE)</f>
        <v>Healer</v>
      </c>
      <c r="C12" s="115" t="str">
        <f>VLOOKUP(E12,Lists!D:E,2,FALSE)</f>
        <v>Wand/Longbow</v>
      </c>
      <c r="D12" s="175" t="s">
        <v>7</v>
      </c>
      <c r="E12" s="176" t="s">
        <v>140</v>
      </c>
      <c r="F12" s="175" t="s">
        <v>483</v>
      </c>
      <c r="G12" s="173">
        <v>0</v>
      </c>
      <c r="H12" s="173">
        <v>95</v>
      </c>
      <c r="I12" s="194">
        <f t="shared" si="0"/>
        <v>95</v>
      </c>
      <c r="J12" s="177">
        <v>46654</v>
      </c>
      <c r="K12" s="177">
        <v>314895</v>
      </c>
      <c r="L12" s="177">
        <v>1501963</v>
      </c>
      <c r="M12" s="195">
        <f>I12/(HLOOKUP(F12,Team_Composition_23[[#All],[Yellow]:[Red]],10,FALSE)+HLOOKUP(F12,Team_Composition_23[[#All],[Yellow]:[Red]],11,FALSE))</f>
        <v>0.11571254567600488</v>
      </c>
      <c r="N12" s="195">
        <f>J12/HLOOKUP(F12,Team_Composition_23[[#All],[Yellow]:[Red]],6,FALSE)</f>
        <v>2.6439744511389794E-3</v>
      </c>
      <c r="O12" s="195">
        <f>K12/HLOOKUP(F12,Team_Composition_23[[#All],[Yellow]:[Red]],8,FALSE)</f>
        <v>7.1541131305664779E-3</v>
      </c>
      <c r="P12" s="195">
        <f>L12/HLOOKUP(F12,Team_Composition_23[[#All],[Yellow]:[Red]],7,FALSE)</f>
        <v>6.1889636028468122E-2</v>
      </c>
      <c r="R12" s="201" t="s">
        <v>465</v>
      </c>
      <c r="S12" s="202">
        <f>SUMIFS(Scoreboard_25[Kills],Scoreboard_25[Team],"Yellow")</f>
        <v>261</v>
      </c>
      <c r="T12" s="203">
        <f>SUMIFS(Scoreboard_25[Kills],Scoreboard_25[Team],"Red")</f>
        <v>482</v>
      </c>
      <c r="V12" s="204" t="str">
        <f ca="1">IFERROR(__xludf.DUMMYFUNCTION("""COMPUTED_VALUE"""),"Camemberts")</f>
        <v>Camemberts</v>
      </c>
      <c r="W12" s="116">
        <f ca="1">IFERROR(__xludf.DUMMYFUNCTION("""COMPUTED_VALUE"""),96)</f>
        <v>96</v>
      </c>
      <c r="Y12" s="204" t="str">
        <f ca="1">IFERROR(__xludf.DUMMYFUNCTION("""COMPUTED_VALUE"""),"Paella")</f>
        <v>Paella</v>
      </c>
      <c r="Z12" s="116">
        <f ca="1">IFERROR(__xludf.DUMMYFUNCTION("""COMPUTED_VALUE"""),2425826)</f>
        <v>2425826</v>
      </c>
      <c r="AB12" s="201" t="s">
        <v>465</v>
      </c>
      <c r="AC12" s="205">
        <f>SUMIFS(Scoreboard_25[Kills],Scoreboard_25[Guild],"FTP")</f>
        <v>429</v>
      </c>
      <c r="AD12" s="206">
        <f>SUMIFS(Scoreboard_25[Kills],Scoreboard_25[Guild],"Undercooked")</f>
        <v>314</v>
      </c>
    </row>
    <row r="13" spans="1:30" ht="22.5" customHeight="1">
      <c r="A13" s="173">
        <v>3</v>
      </c>
      <c r="B13" s="115" t="str">
        <f>VLOOKUP(C13,Lists!I:J,2,FALSE)</f>
        <v>KS</v>
      </c>
      <c r="C13" s="115" t="str">
        <f>VLOOKUP(E13,Lists!D:E,2,FALSE)</f>
        <v>Crossbow/Dagger</v>
      </c>
      <c r="D13" s="175" t="s">
        <v>7</v>
      </c>
      <c r="E13" s="176" t="s">
        <v>127</v>
      </c>
      <c r="F13" s="175" t="s">
        <v>483</v>
      </c>
      <c r="G13" s="173">
        <v>46</v>
      </c>
      <c r="H13" s="173">
        <v>46</v>
      </c>
      <c r="I13" s="194">
        <f t="shared" si="0"/>
        <v>92</v>
      </c>
      <c r="J13" s="177">
        <v>2414029</v>
      </c>
      <c r="K13" s="177">
        <v>505484</v>
      </c>
      <c r="L13" s="177">
        <v>10953</v>
      </c>
      <c r="M13" s="195">
        <f>I13/(HLOOKUP(F13,Team_Composition_23[[#All],[Yellow]:[Red]],10,FALSE)+HLOOKUP(F13,Team_Composition_23[[#All],[Yellow]:[Red]],11,FALSE))</f>
        <v>0.11205846528623629</v>
      </c>
      <c r="N13" s="195">
        <f>J13/HLOOKUP(F13,Team_Composition_23[[#All],[Yellow]:[Red]],6,FALSE)</f>
        <v>0.136807797837454</v>
      </c>
      <c r="O13" s="195">
        <f>K13/HLOOKUP(F13,Team_Composition_23[[#All],[Yellow]:[Red]],8,FALSE)</f>
        <v>1.1484112868388718E-2</v>
      </c>
      <c r="P13" s="195">
        <f>L13/HLOOKUP(F13,Team_Composition_23[[#All],[Yellow]:[Red]],7,FALSE)</f>
        <v>4.5132748504444608E-4</v>
      </c>
      <c r="R13" s="201" t="s">
        <v>466</v>
      </c>
      <c r="S13" s="202">
        <f>SUMIFS(Scoreboard_25[Assists],Scoreboard_25[Team],"Yellow")</f>
        <v>1188</v>
      </c>
      <c r="T13" s="203">
        <f>SUMIFS(Scoreboard_25[Assists],Scoreboard_25[Team],"Red")</f>
        <v>2058</v>
      </c>
      <c r="V13" s="204" t="str">
        <f ca="1">IFERROR(__xludf.DUMMYFUNCTION("""COMPUTED_VALUE"""),"Spot")</f>
        <v>Spot</v>
      </c>
      <c r="W13" s="116">
        <f ca="1">IFERROR(__xludf.DUMMYFUNCTION("""COMPUTED_VALUE"""),92)</f>
        <v>92</v>
      </c>
      <c r="Y13" s="204" t="str">
        <f ca="1">IFERROR(__xludf.DUMMYFUNCTION("""COMPUTED_VALUE"""),"Spot")</f>
        <v>Spot</v>
      </c>
      <c r="Z13" s="116">
        <f ca="1">IFERROR(__xludf.DUMMYFUNCTION("""COMPUTED_VALUE"""),2414029)</f>
        <v>2414029</v>
      </c>
      <c r="AB13" s="201" t="s">
        <v>466</v>
      </c>
      <c r="AC13" s="205">
        <f>SUMIFS(Scoreboard_25[Assists],Scoreboard_25[Guild],"FTP")</f>
        <v>1784</v>
      </c>
      <c r="AD13" s="206">
        <f>SUMIFS(Scoreboard_25[Assists],Scoreboard_25[Guild],"Undercooked")</f>
        <v>1408</v>
      </c>
    </row>
    <row r="14" spans="1:30" ht="22.5" customHeight="1">
      <c r="A14" s="173">
        <v>5</v>
      </c>
      <c r="B14" s="115" t="str">
        <f>VLOOKUP(C14,Lists!I:J,2,FALSE)</f>
        <v>KS</v>
      </c>
      <c r="C14" s="115" t="str">
        <f>VLOOKUP(E14,Lists!D:E,2,FALSE)</f>
        <v>Crossbow/Dagger</v>
      </c>
      <c r="D14" s="77" t="s">
        <v>28</v>
      </c>
      <c r="E14" s="176" t="s">
        <v>330</v>
      </c>
      <c r="F14" s="175" t="s">
        <v>483</v>
      </c>
      <c r="G14" s="173">
        <v>41</v>
      </c>
      <c r="H14" s="173">
        <v>50</v>
      </c>
      <c r="I14" s="194">
        <f t="shared" si="0"/>
        <v>91</v>
      </c>
      <c r="J14" s="177">
        <v>2012144</v>
      </c>
      <c r="K14" s="177">
        <v>1004145</v>
      </c>
      <c r="L14" s="177">
        <v>0</v>
      </c>
      <c r="M14" s="195">
        <f>I14/(HLOOKUP(F14,Team_Composition_23[[#All],[Yellow]:[Red]],10,FALSE)+HLOOKUP(F14,Team_Composition_23[[#All],[Yellow]:[Red]],11,FALSE))</f>
        <v>0.11084043848964677</v>
      </c>
      <c r="N14" s="195">
        <f>J14/HLOOKUP(F14,Team_Composition_23[[#All],[Yellow]:[Red]],6,FALSE)</f>
        <v>0.11403218004914027</v>
      </c>
      <c r="O14" s="195">
        <f>K14/HLOOKUP(F14,Team_Composition_23[[#All],[Yellow]:[Red]],8,FALSE)</f>
        <v>2.2813213704544932E-2</v>
      </c>
      <c r="P14" s="195">
        <f>L14/HLOOKUP(F14,Team_Composition_23[[#All],[Yellow]:[Red]],7,FALSE)</f>
        <v>0</v>
      </c>
      <c r="R14" s="204"/>
      <c r="S14" s="207"/>
      <c r="T14" s="207"/>
      <c r="AB14" s="204"/>
      <c r="AC14" s="207"/>
      <c r="AD14" s="207"/>
    </row>
    <row r="15" spans="1:30" ht="22.5" customHeight="1">
      <c r="A15" s="173">
        <v>14</v>
      </c>
      <c r="B15" s="115" t="str">
        <f>VLOOKUP(C15,Lists!I:J,2,FALSE)</f>
        <v>KS</v>
      </c>
      <c r="C15" s="115" t="str">
        <f>VLOOKUP(E15,Lists!D:E,2,FALSE)</f>
        <v>Greatsword/Dagger</v>
      </c>
      <c r="D15" s="175" t="s">
        <v>28</v>
      </c>
      <c r="E15" s="176" t="s">
        <v>334</v>
      </c>
      <c r="F15" s="175" t="s">
        <v>483</v>
      </c>
      <c r="G15" s="173">
        <v>21</v>
      </c>
      <c r="H15" s="173">
        <v>64</v>
      </c>
      <c r="I15" s="194">
        <f t="shared" si="0"/>
        <v>85</v>
      </c>
      <c r="J15" s="177">
        <v>1630067</v>
      </c>
      <c r="K15" s="177">
        <v>1283563</v>
      </c>
      <c r="L15" s="177">
        <v>15835</v>
      </c>
      <c r="M15" s="195">
        <f>I15/(HLOOKUP(F15,Team_Composition_23[[#All],[Yellow]:[Red]],10,FALSE)+HLOOKUP(F15,Team_Composition_23[[#All],[Yellow]:[Red]],11,FALSE))</f>
        <v>0.10353227771010962</v>
      </c>
      <c r="N15" s="195">
        <f>J15/HLOOKUP(F15,Team_Composition_23[[#All],[Yellow]:[Red]],6,FALSE)</f>
        <v>9.2379120796603986E-2</v>
      </c>
      <c r="O15" s="195">
        <f>K15/HLOOKUP(F15,Team_Composition_23[[#All],[Yellow]:[Red]],8,FALSE)</f>
        <v>2.9161323337014877E-2</v>
      </c>
      <c r="P15" s="195">
        <f>L15/HLOOKUP(F15,Team_Composition_23[[#All],[Yellow]:[Red]],7,FALSE)</f>
        <v>6.5249436005467021E-4</v>
      </c>
      <c r="R15" s="232" t="s">
        <v>25</v>
      </c>
      <c r="S15" s="228"/>
      <c r="T15" s="228"/>
      <c r="V15" s="233" t="s">
        <v>496</v>
      </c>
      <c r="W15" s="228"/>
      <c r="Y15" s="233" t="s">
        <v>497</v>
      </c>
      <c r="Z15" s="228"/>
      <c r="AB15" s="232" t="s">
        <v>25</v>
      </c>
      <c r="AC15" s="228"/>
      <c r="AD15" s="228"/>
    </row>
    <row r="16" spans="1:30" ht="22.5" customHeight="1">
      <c r="A16" s="173">
        <v>25</v>
      </c>
      <c r="B16" s="115" t="str">
        <f>VLOOKUP(C16,Lists!I:J,2,FALSE)</f>
        <v>Tank</v>
      </c>
      <c r="C16" s="115" t="str">
        <f>VLOOKUP(E16,Lists!D:E,2,FALSE)</f>
        <v>SnS/Greatsword</v>
      </c>
      <c r="D16" s="175" t="s">
        <v>7</v>
      </c>
      <c r="E16" s="176" t="s">
        <v>37</v>
      </c>
      <c r="F16" s="175" t="s">
        <v>483</v>
      </c>
      <c r="G16" s="173">
        <v>8</v>
      </c>
      <c r="H16" s="173">
        <v>76</v>
      </c>
      <c r="I16" s="194">
        <f t="shared" si="0"/>
        <v>84</v>
      </c>
      <c r="J16" s="177">
        <v>772492</v>
      </c>
      <c r="K16" s="177">
        <v>499688</v>
      </c>
      <c r="L16" s="177">
        <v>17754</v>
      </c>
      <c r="M16" s="195">
        <f>I16/(HLOOKUP(F16,Team_Composition_23[[#All],[Yellow]:[Red]],10,FALSE)+HLOOKUP(F16,Team_Composition_23[[#All],[Yellow]:[Red]],11,FALSE))</f>
        <v>0.1023142509135201</v>
      </c>
      <c r="N16" s="195">
        <f>J16/HLOOKUP(F16,Team_Composition_23[[#All],[Yellow]:[Red]],6,FALSE)</f>
        <v>4.3778649455764831E-2</v>
      </c>
      <c r="O16" s="195">
        <f>K16/HLOOKUP(F16,Team_Composition_23[[#All],[Yellow]:[Red]],8,FALSE)</f>
        <v>1.1352433293594697E-2</v>
      </c>
      <c r="P16" s="195">
        <f>L16/HLOOKUP(F16,Team_Composition_23[[#All],[Yellow]:[Red]],7,FALSE)</f>
        <v>7.315683529151005E-4</v>
      </c>
      <c r="R16" s="197" t="s">
        <v>482</v>
      </c>
      <c r="S16" s="198" t="s">
        <v>476</v>
      </c>
      <c r="T16" s="198" t="s">
        <v>483</v>
      </c>
      <c r="V16" s="199" t="s">
        <v>1</v>
      </c>
      <c r="W16" s="200" t="s">
        <v>498</v>
      </c>
      <c r="Y16" s="199" t="s">
        <v>1</v>
      </c>
      <c r="Z16" s="200" t="s">
        <v>499</v>
      </c>
      <c r="AB16" s="197" t="s">
        <v>482</v>
      </c>
      <c r="AC16" s="198" t="s">
        <v>7</v>
      </c>
      <c r="AD16" s="198" t="s">
        <v>527</v>
      </c>
    </row>
    <row r="17" spans="1:30" ht="22.5" customHeight="1">
      <c r="A17" s="173">
        <v>15</v>
      </c>
      <c r="B17" s="115" t="str">
        <f>VLOOKUP(C17,Lists!I:J,2,FALSE)</f>
        <v>Melee DPS</v>
      </c>
      <c r="C17" s="115" t="str">
        <f>VLOOKUP(E17,Lists!D:E,2,FALSE)</f>
        <v>Spear/Dagger</v>
      </c>
      <c r="D17" s="175" t="s">
        <v>7</v>
      </c>
      <c r="E17" s="176" t="s">
        <v>130</v>
      </c>
      <c r="F17" s="175" t="s">
        <v>476</v>
      </c>
      <c r="G17" s="173">
        <v>21</v>
      </c>
      <c r="H17" s="173">
        <v>62</v>
      </c>
      <c r="I17" s="194">
        <f t="shared" si="0"/>
        <v>83</v>
      </c>
      <c r="J17" s="177">
        <v>2453780</v>
      </c>
      <c r="K17" s="177">
        <v>1677650</v>
      </c>
      <c r="L17" s="177">
        <v>6774</v>
      </c>
      <c r="M17" s="195">
        <f>I17/(HLOOKUP(F17,Team_Composition_23[[#All],[Yellow]:[Red]],10,FALSE)+HLOOKUP(F17,Team_Composition_23[[#All],[Yellow]:[Red]],11,FALSE))</f>
        <v>2.0744813796550861E-2</v>
      </c>
      <c r="N17" s="195">
        <f>J17/HLOOKUP(F17,Team_Composition_23[[#All],[Yellow]:[Red]],6,FALSE)</f>
        <v>5.5310671311526609E-2</v>
      </c>
      <c r="O17" s="195">
        <f>K17/HLOOKUP(F17,Team_Composition_23[[#All],[Yellow]:[Red]],8,FALSE)</f>
        <v>9.5763039890430626E-2</v>
      </c>
      <c r="P17" s="195">
        <f>L17/HLOOKUP(F17,Team_Composition_23[[#All],[Yellow]:[Red]],7,FALSE)</f>
        <v>5.2329998190775678E-4</v>
      </c>
      <c r="R17" s="201" t="s">
        <v>468</v>
      </c>
      <c r="S17" s="202">
        <f>SUMIFS(Scoreboard_25[Damage Dealt],Scoreboard_25[Role],"Melee DPS",Scoreboard_25[Team],"Yellow")</f>
        <v>8998234</v>
      </c>
      <c r="T17" s="203">
        <f>SUMIFS(Scoreboard_25[Damage Dealt],Scoreboard_25[Role],"Melee DPS",Scoreboard_25[Team],"Red")</f>
        <v>10896052</v>
      </c>
      <c r="V17" s="204" t="str">
        <f ca="1">IFERROR(__xludf.DUMMYFUNCTION("query(A1:P238, ""Select E,K Order by K Desc Limit 10"", 0)"),"Margheritaa")</f>
        <v>Margheritaa</v>
      </c>
      <c r="W17" s="116">
        <f ca="1">IFERROR(__xludf.DUMMYFUNCTION("""COMPUTED_VALUE"""),2403060)</f>
        <v>2403060</v>
      </c>
      <c r="Y17" s="204" t="str">
        <f ca="1">IFERROR(__xludf.DUMMYFUNCTION("query(A1:P238, ""Select E,L Order by L Desc Limit 10"", 0)"),"xSouless")</f>
        <v>xSouless</v>
      </c>
      <c r="Z17" s="116">
        <f ca="1">IFERROR(__xludf.DUMMYFUNCTION("""COMPUTED_VALUE"""),2927181)</f>
        <v>2927181</v>
      </c>
      <c r="AB17" s="201" t="s">
        <v>468</v>
      </c>
      <c r="AC17" s="205">
        <f>SUMIFS(Scoreboard_25[Damage Dealt],Scoreboard_25[Role],"Melee DPS",Scoreboard_25[Guild],"FTP")</f>
        <v>9589855</v>
      </c>
      <c r="AD17" s="206">
        <f>SUMIFS(Scoreboard_25[Damage Dealt],Scoreboard_25[Role],"Melee DPS",Scoreboard_25[Guild],"Undercooked")</f>
        <v>10304431</v>
      </c>
    </row>
    <row r="18" spans="1:30" ht="22.5" customHeight="1">
      <c r="A18" s="173">
        <v>47</v>
      </c>
      <c r="B18" s="115" t="str">
        <f>VLOOKUP(C18,Lists!I:J,2,FALSE)</f>
        <v>Healer</v>
      </c>
      <c r="C18" s="115" t="str">
        <f>VLOOKUP(E18,Lists!D:E,2,FALSE)</f>
        <v>Wand/Longbow</v>
      </c>
      <c r="D18" s="175" t="s">
        <v>7</v>
      </c>
      <c r="E18" s="176" t="s">
        <v>115</v>
      </c>
      <c r="F18" s="175" t="s">
        <v>483</v>
      </c>
      <c r="G18" s="173">
        <v>0</v>
      </c>
      <c r="H18" s="173">
        <v>83</v>
      </c>
      <c r="I18" s="194">
        <f t="shared" si="0"/>
        <v>83</v>
      </c>
      <c r="J18" s="177">
        <v>59620</v>
      </c>
      <c r="K18" s="177">
        <v>529955</v>
      </c>
      <c r="L18" s="177">
        <v>2331212</v>
      </c>
      <c r="M18" s="195">
        <f>I18/(HLOOKUP(F18,Team_Composition_23[[#All],[Yellow]:[Red]],10,FALSE)+HLOOKUP(F18,Team_Composition_23[[#All],[Yellow]:[Red]],11,FALSE))</f>
        <v>0.10109622411693057</v>
      </c>
      <c r="N18" s="195">
        <f>J18/HLOOKUP(F18,Team_Composition_23[[#All],[Yellow]:[Red]],6,FALSE)</f>
        <v>3.3787833149763352E-3</v>
      </c>
      <c r="O18" s="195">
        <f>K18/HLOOKUP(F18,Team_Composition_23[[#All],[Yellow]:[Red]],8,FALSE)</f>
        <v>1.2040070576253538E-2</v>
      </c>
      <c r="P18" s="195">
        <f>L18/HLOOKUP(F18,Team_Composition_23[[#All],[Yellow]:[Red]],7,FALSE)</f>
        <v>9.6059531549843258E-2</v>
      </c>
      <c r="R18" s="201" t="s">
        <v>469</v>
      </c>
      <c r="S18" s="202">
        <f>SUMIFS(Scoreboard_25[Damage Taken],Scoreboard_25[Role],"Melee DPS",Scoreboard_25[Team],"Yellow")</f>
        <v>8405372</v>
      </c>
      <c r="T18" s="203">
        <f>SUMIFS(Scoreboard_25[Damage Taken],Scoreboard_25[Role],"Melee DPS",Scoreboard_25[Team],"Red")</f>
        <v>4309546</v>
      </c>
      <c r="V18" s="204" t="str">
        <f ca="1">IFERROR(__xludf.DUMMYFUNCTION("""COMPUTED_VALUE"""),"Frappuccino")</f>
        <v>Frappuccino</v>
      </c>
      <c r="W18" s="116">
        <f ca="1">IFERROR(__xludf.DUMMYFUNCTION("""COMPUTED_VALUE"""),1703242)</f>
        <v>1703242</v>
      </c>
      <c r="Y18" s="204" t="str">
        <f ca="1">IFERROR(__xludf.DUMMYFUNCTION("""COMPUTED_VALUE"""),"Egirlwaifu")</f>
        <v>Egirlwaifu</v>
      </c>
      <c r="Z18" s="116">
        <f ca="1">IFERROR(__xludf.DUMMYFUNCTION("""COMPUTED_VALUE"""),2622293)</f>
        <v>2622293</v>
      </c>
      <c r="AB18" s="201" t="s">
        <v>469</v>
      </c>
      <c r="AC18" s="205">
        <f>SUMIFS(Scoreboard_25[Damage Taken],Scoreboard_25[Role],"Melee DPS",Scoreboard_25[Guild],"FTP")</f>
        <v>5202775</v>
      </c>
      <c r="AD18" s="206">
        <f>SUMIFS(Scoreboard_25[Damage Taken],Scoreboard_25[Role],"Melee DPS",Scoreboard_25[Guild],"Undercooked")</f>
        <v>7512143</v>
      </c>
    </row>
    <row r="19" spans="1:30" ht="22.5" customHeight="1">
      <c r="A19" s="173">
        <v>48</v>
      </c>
      <c r="B19" s="115" t="str">
        <f>VLOOKUP(C19,Lists!I:J,2,FALSE)</f>
        <v>Healer</v>
      </c>
      <c r="C19" s="115" t="str">
        <f>VLOOKUP(E19,Lists!D:E,2,FALSE)</f>
        <v>Wand/Orb</v>
      </c>
      <c r="D19" s="175" t="s">
        <v>7</v>
      </c>
      <c r="E19" s="176" t="s">
        <v>41</v>
      </c>
      <c r="F19" s="175" t="s">
        <v>483</v>
      </c>
      <c r="G19" s="173">
        <v>0</v>
      </c>
      <c r="H19" s="173">
        <v>83</v>
      </c>
      <c r="I19" s="194">
        <f t="shared" si="0"/>
        <v>83</v>
      </c>
      <c r="J19" s="177">
        <v>0</v>
      </c>
      <c r="K19" s="177">
        <v>501972</v>
      </c>
      <c r="L19" s="177">
        <v>1353663</v>
      </c>
      <c r="M19" s="195">
        <f>I19/(HLOOKUP(F19,Team_Composition_23[[#All],[Yellow]:[Red]],10,FALSE)+HLOOKUP(F19,Team_Composition_23[[#All],[Yellow]:[Red]],11,FALSE))</f>
        <v>0.10109622411693057</v>
      </c>
      <c r="N19" s="195">
        <f>J19/HLOOKUP(F19,Team_Composition_23[[#All],[Yellow]:[Red]],6,FALSE)</f>
        <v>0</v>
      </c>
      <c r="O19" s="195">
        <f>K19/HLOOKUP(F19,Team_Composition_23[[#All],[Yellow]:[Red]],8,FALSE)</f>
        <v>1.1404323588423811E-2</v>
      </c>
      <c r="P19" s="195">
        <f>L19/HLOOKUP(F19,Team_Composition_23[[#All],[Yellow]:[Red]],7,FALSE)</f>
        <v>5.5778811046080526E-2</v>
      </c>
      <c r="R19" s="201" t="s">
        <v>470</v>
      </c>
      <c r="S19" s="202">
        <f>SUMIFS(Scoreboard_25[Amount Healed],Scoreboard_25[Role],"Melee DPS",Scoreboard_25[Team],"Yellow")</f>
        <v>237066</v>
      </c>
      <c r="T19" s="203">
        <f>SUMIFS(Scoreboard_25[Amount Healed],Scoreboard_25[Role],"Melee DPS",Scoreboard_25[Team],"Red")</f>
        <v>70341</v>
      </c>
      <c r="V19" s="204" t="str">
        <f ca="1">IFERROR(__xludf.DUMMYFUNCTION("""COMPUTED_VALUE"""),"cba")</f>
        <v>cba</v>
      </c>
      <c r="W19" s="116">
        <f ca="1">IFERROR(__xludf.DUMMYFUNCTION("""COMPUTED_VALUE"""),1677650)</f>
        <v>1677650</v>
      </c>
      <c r="Y19" s="204" t="str">
        <f ca="1">IFERROR(__xludf.DUMMYFUNCTION("""COMPUTED_VALUE"""),"apgonzo")</f>
        <v>apgonzo</v>
      </c>
      <c r="Z19" s="116">
        <f ca="1">IFERROR(__xludf.DUMMYFUNCTION("""COMPUTED_VALUE"""),2554762)</f>
        <v>2554762</v>
      </c>
      <c r="AB19" s="201" t="s">
        <v>470</v>
      </c>
      <c r="AC19" s="205">
        <f>SUMIFS(Scoreboard_25[Amount Healed],Scoreboard_25[Role],"Melee DPS",Scoreboard_25[Guild],"FTP")</f>
        <v>74234</v>
      </c>
      <c r="AD19" s="206">
        <f>SUMIFS(Scoreboard_25[Amount Healed],Scoreboard_25[Role],"Melee DPS",Scoreboard_25[Guild],"Undercooked")</f>
        <v>233173</v>
      </c>
    </row>
    <row r="20" spans="1:30" ht="22.5" customHeight="1">
      <c r="A20" s="173">
        <v>12</v>
      </c>
      <c r="B20" s="115" t="str">
        <f>VLOOKUP(C20,Lists!I:J,2,FALSE)</f>
        <v>Ranged DPS</v>
      </c>
      <c r="C20" s="115" t="str">
        <f>VLOOKUP(E20,Lists!D:E,2,FALSE)</f>
        <v>Staff/Dagger</v>
      </c>
      <c r="D20" s="175" t="s">
        <v>7</v>
      </c>
      <c r="E20" s="176" t="s">
        <v>42</v>
      </c>
      <c r="F20" s="175" t="s">
        <v>476</v>
      </c>
      <c r="G20" s="173">
        <v>30</v>
      </c>
      <c r="H20" s="173">
        <v>45</v>
      </c>
      <c r="I20" s="194">
        <f t="shared" si="0"/>
        <v>75</v>
      </c>
      <c r="J20" s="177">
        <v>4057944</v>
      </c>
      <c r="K20" s="177">
        <v>1185336</v>
      </c>
      <c r="L20" s="177">
        <v>9101</v>
      </c>
      <c r="M20" s="195">
        <f>I20/(HLOOKUP(F20,Team_Composition_23[[#All],[Yellow]:[Red]],10,FALSE)+HLOOKUP(F20,Team_Composition_23[[#All],[Yellow]:[Red]],11,FALSE))</f>
        <v>1.8745313671582105E-2</v>
      </c>
      <c r="N20" s="195">
        <f>J20/HLOOKUP(F20,Team_Composition_23[[#All],[Yellow]:[Red]],6,FALSE)</f>
        <v>9.1470142712297572E-2</v>
      </c>
      <c r="O20" s="195">
        <f>K20/HLOOKUP(F20,Team_Composition_23[[#All],[Yellow]:[Red]],8,FALSE)</f>
        <v>6.7660941585887091E-2</v>
      </c>
      <c r="P20" s="195">
        <f>L20/HLOOKUP(F20,Team_Composition_23[[#All],[Yellow]:[Red]],7,FALSE)</f>
        <v>7.0306364560709987E-4</v>
      </c>
      <c r="R20" s="201" t="s">
        <v>465</v>
      </c>
      <c r="S20" s="202">
        <f>SUMIFS(Scoreboard_25[Kills],Scoreboard_25[Role],"Melee DPS",Scoreboard_25[Team],"Yellow")</f>
        <v>91</v>
      </c>
      <c r="T20" s="203">
        <f>SUMIFS(Scoreboard_25[Kills],Scoreboard_25[Role],"Melee DPS",Scoreboard_25[Team],"Red")</f>
        <v>170</v>
      </c>
      <c r="V20" s="204" t="str">
        <f ca="1">IFERROR(__xludf.DUMMYFUNCTION("""COMPUTED_VALUE"""),"Ratatouille")</f>
        <v>Ratatouille</v>
      </c>
      <c r="W20" s="116">
        <f ca="1">IFERROR(__xludf.DUMMYFUNCTION("""COMPUTED_VALUE"""),1654470)</f>
        <v>1654470</v>
      </c>
      <c r="Y20" s="204" t="str">
        <f ca="1">IFERROR(__xludf.DUMMYFUNCTION("""COMPUTED_VALUE"""),"hamstersprevail")</f>
        <v>hamstersprevail</v>
      </c>
      <c r="Z20" s="116">
        <f ca="1">IFERROR(__xludf.DUMMYFUNCTION("""COMPUTED_VALUE"""),2550079)</f>
        <v>2550079</v>
      </c>
      <c r="AB20" s="201" t="s">
        <v>465</v>
      </c>
      <c r="AC20" s="205">
        <f>SUMIFS(Scoreboard_25[Kills],Scoreboard_25[Role],"Melee DPS",Scoreboard_25[Guild],"FTP")</f>
        <v>137</v>
      </c>
      <c r="AD20" s="206">
        <f>SUMIFS(Scoreboard_25[Kills],Scoreboard_25[Role],"Melee DPS",Scoreboard_25[Guild],"Undercooked")</f>
        <v>124</v>
      </c>
    </row>
    <row r="21" spans="1:30" ht="22.5" customHeight="1">
      <c r="A21" s="173">
        <v>35</v>
      </c>
      <c r="B21" s="115" t="str">
        <f>VLOOKUP(C21,Lists!I:J,2,FALSE)</f>
        <v>Healer</v>
      </c>
      <c r="C21" s="115" t="str">
        <f>VLOOKUP(E21,Lists!D:E,2,FALSE)</f>
        <v>Wand/Longbow</v>
      </c>
      <c r="D21" s="175" t="s">
        <v>28</v>
      </c>
      <c r="E21" s="176" t="s">
        <v>338</v>
      </c>
      <c r="F21" s="175" t="s">
        <v>483</v>
      </c>
      <c r="G21" s="173">
        <v>1</v>
      </c>
      <c r="H21" s="173">
        <v>73</v>
      </c>
      <c r="I21" s="194">
        <f t="shared" si="0"/>
        <v>74</v>
      </c>
      <c r="J21" s="177">
        <v>62286</v>
      </c>
      <c r="K21" s="177">
        <v>352531</v>
      </c>
      <c r="L21" s="177">
        <v>1853368</v>
      </c>
      <c r="M21" s="195">
        <f>I21/(HLOOKUP(F21,Team_Composition_23[[#All],[Yellow]:[Red]],10,FALSE)+HLOOKUP(F21,Team_Composition_23[[#All],[Yellow]:[Red]],11,FALSE))</f>
        <v>9.0133982947624841E-2</v>
      </c>
      <c r="N21" s="195">
        <f>J21/HLOOKUP(F21,Team_Composition_23[[#All],[Yellow]:[Red]],6,FALSE)</f>
        <v>3.5298708077258641E-3</v>
      </c>
      <c r="O21" s="195">
        <f>K21/HLOOKUP(F21,Team_Composition_23[[#All],[Yellow]:[Red]],8,FALSE)</f>
        <v>8.0091670430833487E-3</v>
      </c>
      <c r="P21" s="195">
        <f>L21/HLOOKUP(F21,Team_Composition_23[[#All],[Yellow]:[Red]],7,FALSE)</f>
        <v>7.6369571651771648E-2</v>
      </c>
      <c r="R21" s="201" t="s">
        <v>466</v>
      </c>
      <c r="S21" s="202">
        <f>SUMIFS(Scoreboard_25[Assists],Scoreboard_25[Role],"Melee DPS",Scoreboard_25[Team],"Yellow")</f>
        <v>236</v>
      </c>
      <c r="T21" s="203">
        <f>SUMIFS(Scoreboard_25[Assists],Scoreboard_25[Role],"Melee DPS",Scoreboard_25[Team],"Red")</f>
        <v>322</v>
      </c>
      <c r="V21" s="204" t="str">
        <f ca="1">IFERROR(__xludf.DUMMYFUNCTION("""COMPUTED_VALUE"""),"Fuji")</f>
        <v>Fuji</v>
      </c>
      <c r="W21" s="116">
        <f ca="1">IFERROR(__xludf.DUMMYFUNCTION("""COMPUTED_VALUE"""),1566546)</f>
        <v>1566546</v>
      </c>
      <c r="Y21" s="204" t="str">
        <f ca="1">IFERROR(__xludf.DUMMYFUNCTION("""COMPUTED_VALUE"""),"Zanax")</f>
        <v>Zanax</v>
      </c>
      <c r="Z21" s="116">
        <f ca="1">IFERROR(__xludf.DUMMYFUNCTION("""COMPUTED_VALUE"""),2331212)</f>
        <v>2331212</v>
      </c>
      <c r="AB21" s="201" t="s">
        <v>466</v>
      </c>
      <c r="AC21" s="205">
        <f>SUMIFS(Scoreboard_25[Assists],Scoreboard_25[Role],"Melee DPS",Scoreboard_25[Guild],"FTP")</f>
        <v>252</v>
      </c>
      <c r="AD21" s="206">
        <f>SUMIFS(Scoreboard_25[Assists],Scoreboard_25[Role],"Melee DPS",Scoreboard_25[Guild],"Undercooked")</f>
        <v>306</v>
      </c>
    </row>
    <row r="22" spans="1:30" ht="22.5" customHeight="1">
      <c r="A22" s="173">
        <v>49</v>
      </c>
      <c r="B22" s="115" t="str">
        <f>VLOOKUP(C22,Lists!I:J,2,FALSE)</f>
        <v>Healer</v>
      </c>
      <c r="C22" s="115" t="str">
        <f>VLOOKUP(E22,Lists!D:E,2,FALSE)</f>
        <v>Wand/Orb</v>
      </c>
      <c r="D22" s="175" t="s">
        <v>28</v>
      </c>
      <c r="E22" s="176" t="s">
        <v>340</v>
      </c>
      <c r="F22" s="175" t="s">
        <v>483</v>
      </c>
      <c r="G22" s="173">
        <v>0</v>
      </c>
      <c r="H22" s="173">
        <v>73</v>
      </c>
      <c r="I22" s="194">
        <f t="shared" si="0"/>
        <v>73</v>
      </c>
      <c r="J22" s="177">
        <v>4806</v>
      </c>
      <c r="K22" s="177">
        <v>199892</v>
      </c>
      <c r="L22" s="177">
        <v>850690</v>
      </c>
      <c r="M22" s="195">
        <f>I22/(HLOOKUP(F22,Team_Composition_23[[#All],[Yellow]:[Red]],10,FALSE)+HLOOKUP(F22,Team_Composition_23[[#All],[Yellow]:[Red]],11,FALSE))</f>
        <v>8.8915956151035327E-2</v>
      </c>
      <c r="N22" s="195">
        <f>J22/HLOOKUP(F22,Team_Composition_23[[#All],[Yellow]:[Red]],6,FALSE)</f>
        <v>2.7236552518913567E-4</v>
      </c>
      <c r="O22" s="195">
        <f>K22/HLOOKUP(F22,Team_Composition_23[[#All],[Yellow]:[Red]],8,FALSE)</f>
        <v>4.5413549973648184E-3</v>
      </c>
      <c r="P22" s="195">
        <f>L22/HLOOKUP(F22,Team_Composition_23[[#All],[Yellow]:[Red]],7,FALSE)</f>
        <v>3.5053389779280547E-2</v>
      </c>
      <c r="R22" s="201" t="s">
        <v>24</v>
      </c>
      <c r="S22" s="202">
        <f t="shared" ref="S22:S25" si="1">COUNTIFS(C:C,R22,F:F,"Yellow")</f>
        <v>3</v>
      </c>
      <c r="T22" s="203">
        <f t="shared" ref="T22:T25" si="2">COUNTIFS(C:C,R22,F:F,"Red")</f>
        <v>0</v>
      </c>
      <c r="V22" s="204" t="str">
        <f ca="1">IFERROR(__xludf.DUMMYFUNCTION("""COMPUTED_VALUE"""),"Bao")</f>
        <v>Bao</v>
      </c>
      <c r="W22" s="116">
        <f ca="1">IFERROR(__xludf.DUMMYFUNCTION("""COMPUTED_VALUE"""),1495346)</f>
        <v>1495346</v>
      </c>
      <c r="Y22" s="204" t="str">
        <f ca="1">IFERROR(__xludf.DUMMYFUNCTION("""COMPUTED_VALUE"""),"Udon")</f>
        <v>Udon</v>
      </c>
      <c r="Z22" s="116">
        <f ca="1">IFERROR(__xludf.DUMMYFUNCTION("""COMPUTED_VALUE"""),2218034)</f>
        <v>2218034</v>
      </c>
      <c r="AB22" s="201" t="s">
        <v>24</v>
      </c>
      <c r="AC22" s="205">
        <f t="shared" ref="AC22:AC25" si="3">COUNTIFS(C:C,AB22,D:D,"FTP")</f>
        <v>2</v>
      </c>
      <c r="AD22" s="206">
        <f t="shared" ref="AD22:AD25" si="4">COUNTIFS(C:C,AB22,D:D,"Undercooked")</f>
        <v>1</v>
      </c>
    </row>
    <row r="23" spans="1:30" ht="22.5" customHeight="1">
      <c r="A23" s="173">
        <v>22</v>
      </c>
      <c r="B23" s="115" t="str">
        <f>VLOOKUP(C23,Lists!I:J,2,FALSE)</f>
        <v>Ranged DPS</v>
      </c>
      <c r="C23" s="115" t="str">
        <f>VLOOKUP(E23,Lists!D:E,2,FALSE)</f>
        <v>Staff/Dagger</v>
      </c>
      <c r="D23" s="175" t="s">
        <v>7</v>
      </c>
      <c r="E23" s="176" t="s">
        <v>133</v>
      </c>
      <c r="F23" s="175" t="s">
        <v>476</v>
      </c>
      <c r="G23" s="173">
        <v>12</v>
      </c>
      <c r="H23" s="173">
        <v>60</v>
      </c>
      <c r="I23" s="194">
        <f t="shared" si="0"/>
        <v>72</v>
      </c>
      <c r="J23" s="177">
        <v>2210143</v>
      </c>
      <c r="K23" s="177">
        <v>1327106</v>
      </c>
      <c r="L23" s="177">
        <v>25178</v>
      </c>
      <c r="M23" s="195">
        <f>I23/(HLOOKUP(F23,Team_Composition_23[[#All],[Yellow]:[Red]],10,FALSE)+HLOOKUP(F23,Team_Composition_23[[#All],[Yellow]:[Red]],11,FALSE))</f>
        <v>1.7995501124718819E-2</v>
      </c>
      <c r="N23" s="195">
        <f>J23/HLOOKUP(F23,Team_Composition_23[[#All],[Yellow]:[Red]],6,FALSE)</f>
        <v>4.9818848072961448E-2</v>
      </c>
      <c r="O23" s="195">
        <f>K23/HLOOKUP(F23,Team_Composition_23[[#All],[Yellow]:[Red]],8,FALSE)</f>
        <v>7.5753407931827152E-2</v>
      </c>
      <c r="P23" s="195">
        <f>L23/HLOOKUP(F23,Team_Composition_23[[#All],[Yellow]:[Red]],7,FALSE)</f>
        <v>1.9450320260515942E-3</v>
      </c>
      <c r="R23" s="201" t="s">
        <v>69</v>
      </c>
      <c r="S23" s="202">
        <f t="shared" si="1"/>
        <v>2</v>
      </c>
      <c r="T23" s="203">
        <f t="shared" si="2"/>
        <v>3</v>
      </c>
      <c r="V23" s="204" t="str">
        <f ca="1">IFERROR(__xludf.DUMMYFUNCTION("""COMPUTED_VALUE"""),"Poutine")</f>
        <v>Poutine</v>
      </c>
      <c r="W23" s="116">
        <f ca="1">IFERROR(__xludf.DUMMYFUNCTION("""COMPUTED_VALUE"""),1444918)</f>
        <v>1444918</v>
      </c>
      <c r="Y23" s="204" t="str">
        <f ca="1">IFERROR(__xludf.DUMMYFUNCTION("""COMPUTED_VALUE"""),"Boharding")</f>
        <v>Boharding</v>
      </c>
      <c r="Z23" s="116">
        <f ca="1">IFERROR(__xludf.DUMMYFUNCTION("""COMPUTED_VALUE"""),1988693)</f>
        <v>1988693</v>
      </c>
      <c r="AB23" s="201" t="s">
        <v>69</v>
      </c>
      <c r="AC23" s="205">
        <f t="shared" si="3"/>
        <v>3</v>
      </c>
      <c r="AD23" s="206">
        <f t="shared" si="4"/>
        <v>2</v>
      </c>
    </row>
    <row r="24" spans="1:30" ht="22.5" customHeight="1">
      <c r="A24" s="173">
        <v>50</v>
      </c>
      <c r="B24" s="115" t="str">
        <f>VLOOKUP(C24,Lists!I:J,2,FALSE)</f>
        <v>Healer</v>
      </c>
      <c r="C24" s="115" t="str">
        <f>VLOOKUP(E24,Lists!D:E,2,FALSE)</f>
        <v>Wand/Orb</v>
      </c>
      <c r="D24" s="175" t="s">
        <v>28</v>
      </c>
      <c r="E24" s="176" t="s">
        <v>341</v>
      </c>
      <c r="F24" s="175" t="s">
        <v>483</v>
      </c>
      <c r="G24" s="173">
        <v>0</v>
      </c>
      <c r="H24" s="173">
        <v>66</v>
      </c>
      <c r="I24" s="194">
        <f t="shared" si="0"/>
        <v>66</v>
      </c>
      <c r="J24" s="177">
        <v>8832</v>
      </c>
      <c r="K24" s="177">
        <v>393095</v>
      </c>
      <c r="L24" s="177">
        <v>1012695</v>
      </c>
      <c r="M24" s="195">
        <f>I24/(HLOOKUP(F24,Team_Composition_23[[#All],[Yellow]:[Red]],10,FALSE)+HLOOKUP(F24,Team_Composition_23[[#All],[Yellow]:[Red]],11,FALSE))</f>
        <v>8.0389768574908649E-2</v>
      </c>
      <c r="N24" s="195">
        <f>J24/HLOOKUP(F24,Team_Composition_23[[#All],[Yellow]:[Red]],6,FALSE)</f>
        <v>5.0052690771336785E-4</v>
      </c>
      <c r="O24" s="195">
        <f>K24/HLOOKUP(F24,Team_Composition_23[[#All],[Yellow]:[Red]],8,FALSE)</f>
        <v>8.9307423142953347E-3</v>
      </c>
      <c r="P24" s="195">
        <f>L24/HLOOKUP(F24,Team_Composition_23[[#All],[Yellow]:[Red]],7,FALSE)</f>
        <v>4.1728940698172672E-2</v>
      </c>
      <c r="R24" s="201" t="s">
        <v>23</v>
      </c>
      <c r="S24" s="202">
        <f t="shared" si="1"/>
        <v>2</v>
      </c>
      <c r="T24" s="203">
        <f t="shared" si="2"/>
        <v>4</v>
      </c>
      <c r="V24" s="204" t="str">
        <f ca="1">IFERROR(__xludf.DUMMYFUNCTION("""COMPUTED_VALUE"""),"Itty")</f>
        <v>Itty</v>
      </c>
      <c r="W24" s="116">
        <f ca="1">IFERROR(__xludf.DUMMYFUNCTION("""COMPUTED_VALUE"""),1327106)</f>
        <v>1327106</v>
      </c>
      <c r="Y24" s="204" t="str">
        <f ca="1">IFERROR(__xludf.DUMMYFUNCTION("""COMPUTED_VALUE"""),"psiΨ")</f>
        <v>psiΨ</v>
      </c>
      <c r="Z24" s="116">
        <f ca="1">IFERROR(__xludf.DUMMYFUNCTION("""COMPUTED_VALUE"""),1971983)</f>
        <v>1971983</v>
      </c>
      <c r="AB24" s="201" t="s">
        <v>23</v>
      </c>
      <c r="AC24" s="205">
        <f t="shared" si="3"/>
        <v>2</v>
      </c>
      <c r="AD24" s="206">
        <f t="shared" si="4"/>
        <v>4</v>
      </c>
    </row>
    <row r="25" spans="1:30" ht="22.5" customHeight="1">
      <c r="A25" s="173">
        <v>16</v>
      </c>
      <c r="B25" s="115" t="str">
        <f>VLOOKUP(C25,Lists!I:J,2,FALSE)</f>
        <v>KS</v>
      </c>
      <c r="C25" s="115" t="str">
        <f>VLOOKUP(E25,Lists!D:E,2,FALSE)</f>
        <v>Crossbow/Dagger</v>
      </c>
      <c r="D25" s="175" t="s">
        <v>28</v>
      </c>
      <c r="E25" s="176" t="s">
        <v>335</v>
      </c>
      <c r="F25" s="175" t="s">
        <v>483</v>
      </c>
      <c r="G25" s="173">
        <v>21</v>
      </c>
      <c r="H25" s="173">
        <v>42</v>
      </c>
      <c r="I25" s="194">
        <f t="shared" si="0"/>
        <v>63</v>
      </c>
      <c r="J25" s="177">
        <v>1280874</v>
      </c>
      <c r="K25" s="177">
        <v>859074</v>
      </c>
      <c r="L25" s="177">
        <v>0</v>
      </c>
      <c r="M25" s="195">
        <f>I25/(HLOOKUP(F25,Team_Composition_23[[#All],[Yellow]:[Red]],10,FALSE)+HLOOKUP(F25,Team_Composition_23[[#All],[Yellow]:[Red]],11,FALSE))</f>
        <v>7.6735688185140066E-2</v>
      </c>
      <c r="N25" s="195">
        <f>J25/HLOOKUP(F25,Team_Composition_23[[#All],[Yellow]:[Red]],6,FALSE)</f>
        <v>7.2589662861237816E-2</v>
      </c>
      <c r="O25" s="195">
        <f>K25/HLOOKUP(F25,Team_Composition_23[[#All],[Yellow]:[Red]],8,FALSE)</f>
        <v>1.9517339378295199E-2</v>
      </c>
      <c r="P25" s="195">
        <f>L25/HLOOKUP(F25,Team_Composition_23[[#All],[Yellow]:[Red]],7,FALSE)</f>
        <v>0</v>
      </c>
      <c r="R25" s="201" t="s">
        <v>33</v>
      </c>
      <c r="S25" s="202">
        <f t="shared" si="1"/>
        <v>0</v>
      </c>
      <c r="T25" s="203">
        <f t="shared" si="2"/>
        <v>0</v>
      </c>
      <c r="V25" s="204" t="str">
        <f ca="1">IFERROR(__xludf.DUMMYFUNCTION("""COMPUTED_VALUE"""),"ALilSnakes")</f>
        <v>ALilSnakes</v>
      </c>
      <c r="W25" s="116">
        <f ca="1">IFERROR(__xludf.DUMMYFUNCTION("""COMPUTED_VALUE"""),1283563)</f>
        <v>1283563</v>
      </c>
      <c r="Y25" s="204" t="str">
        <f ca="1">IFERROR(__xludf.DUMMYFUNCTION("""COMPUTED_VALUE"""),"ShiFood")</f>
        <v>ShiFood</v>
      </c>
      <c r="Z25" s="116">
        <f ca="1">IFERROR(__xludf.DUMMYFUNCTION("""COMPUTED_VALUE"""),1853384)</f>
        <v>1853384</v>
      </c>
      <c r="AB25" s="201" t="s">
        <v>33</v>
      </c>
      <c r="AC25" s="205">
        <f t="shared" si="3"/>
        <v>0</v>
      </c>
      <c r="AD25" s="206">
        <f t="shared" si="4"/>
        <v>0</v>
      </c>
    </row>
    <row r="26" spans="1:30" ht="22.5" customHeight="1">
      <c r="A26" s="173">
        <v>36</v>
      </c>
      <c r="B26" s="115" t="str">
        <f>VLOOKUP(C26,Lists!I:J,2,FALSE)</f>
        <v>Healer</v>
      </c>
      <c r="C26" s="115" t="str">
        <f>VLOOKUP(E26,Lists!D:E,2,FALSE)</f>
        <v>Wand/Longbow</v>
      </c>
      <c r="D26" s="175" t="s">
        <v>28</v>
      </c>
      <c r="E26" s="176" t="s">
        <v>339</v>
      </c>
      <c r="F26" s="175" t="s">
        <v>483</v>
      </c>
      <c r="G26" s="173">
        <v>1</v>
      </c>
      <c r="H26" s="173">
        <v>60</v>
      </c>
      <c r="I26" s="194">
        <f t="shared" si="0"/>
        <v>61</v>
      </c>
      <c r="J26" s="177">
        <v>121747</v>
      </c>
      <c r="K26" s="177">
        <v>424933</v>
      </c>
      <c r="L26" s="177">
        <v>1853384</v>
      </c>
      <c r="M26" s="195">
        <f>I26/(HLOOKUP(F26,Team_Composition_23[[#All],[Yellow]:[Red]],10,FALSE)+HLOOKUP(F26,Team_Composition_23[[#All],[Yellow]:[Red]],11,FALSE))</f>
        <v>7.4299634591961025E-2</v>
      </c>
      <c r="N26" s="195">
        <f>J26/HLOOKUP(F26,Team_Composition_23[[#All],[Yellow]:[Red]],6,FALSE)</f>
        <v>6.8996432782358922E-3</v>
      </c>
      <c r="O26" s="195">
        <f>K26/HLOOKUP(F26,Team_Composition_23[[#All],[Yellow]:[Red]],8,FALSE)</f>
        <v>9.6540712139316451E-3</v>
      </c>
      <c r="P26" s="195">
        <f>L26/HLOOKUP(F26,Team_Composition_23[[#All],[Yellow]:[Red]],7,FALSE)</f>
        <v>7.6370230945094097E-2</v>
      </c>
      <c r="R26" s="204"/>
      <c r="S26" s="208"/>
      <c r="T26" s="208"/>
      <c r="V26" s="204" t="str">
        <f ca="1">IFERROR(__xludf.DUMMYFUNCTION("""COMPUTED_VALUE"""),"Raitou")</f>
        <v>Raitou</v>
      </c>
      <c r="W26" s="116">
        <f ca="1">IFERROR(__xludf.DUMMYFUNCTION("""COMPUTED_VALUE"""),1265760)</f>
        <v>1265760</v>
      </c>
      <c r="Y26" s="204" t="str">
        <f ca="1">IFERROR(__xludf.DUMMYFUNCTION("""COMPUTED_VALUE"""),"Biscuit")</f>
        <v>Biscuit</v>
      </c>
      <c r="Z26" s="116">
        <f ca="1">IFERROR(__xludf.DUMMYFUNCTION("""COMPUTED_VALUE"""),1853368)</f>
        <v>1853368</v>
      </c>
      <c r="AB26" s="204"/>
      <c r="AC26" s="208"/>
      <c r="AD26" s="208"/>
    </row>
    <row r="27" spans="1:30" ht="22.5" customHeight="1">
      <c r="A27" s="173">
        <v>21</v>
      </c>
      <c r="B27" s="115" t="str">
        <f>VLOOKUP(C27,Lists!I:J,2,FALSE)</f>
        <v>Melee DPS</v>
      </c>
      <c r="C27" s="115" t="str">
        <f>VLOOKUP(E27,Lists!D:E,2,FALSE)</f>
        <v>Spear/Dagger</v>
      </c>
      <c r="D27" s="175" t="s">
        <v>28</v>
      </c>
      <c r="E27" s="176" t="s">
        <v>350</v>
      </c>
      <c r="F27" s="175" t="s">
        <v>476</v>
      </c>
      <c r="G27" s="173">
        <v>13</v>
      </c>
      <c r="H27" s="173">
        <v>45</v>
      </c>
      <c r="I27" s="194">
        <f t="shared" si="0"/>
        <v>58</v>
      </c>
      <c r="J27" s="177">
        <v>1603787</v>
      </c>
      <c r="K27" s="177">
        <v>1654470</v>
      </c>
      <c r="L27" s="177">
        <v>35265</v>
      </c>
      <c r="M27" s="195">
        <f>I27/(HLOOKUP(F27,Team_Composition_23[[#All],[Yellow]:[Red]],10,FALSE)+HLOOKUP(F27,Team_Composition_23[[#All],[Yellow]:[Red]],11,FALSE))</f>
        <v>1.4496375906023495E-2</v>
      </c>
      <c r="N27" s="195">
        <f>J27/HLOOKUP(F27,Team_Composition_23[[#All],[Yellow]:[Red]],6,FALSE)</f>
        <v>3.615097344126178E-2</v>
      </c>
      <c r="O27" s="195">
        <f>K27/HLOOKUP(F27,Team_Composition_23[[#All],[Yellow]:[Red]],8,FALSE)</f>
        <v>9.4439887108467652E-2</v>
      </c>
      <c r="P27" s="195">
        <f>L27/HLOOKUP(F27,Team_Composition_23[[#All],[Yellow]:[Red]],7,FALSE)</f>
        <v>2.7242654062558372E-3</v>
      </c>
      <c r="R27" s="6"/>
      <c r="S27" s="209"/>
      <c r="T27" s="209"/>
      <c r="AB27" s="6"/>
      <c r="AC27" s="209"/>
      <c r="AD27" s="209"/>
    </row>
    <row r="28" spans="1:30" ht="22.5" customHeight="1">
      <c r="A28" s="173">
        <v>30</v>
      </c>
      <c r="B28" s="115" t="str">
        <f>VLOOKUP(C28,Lists!I:J,2,FALSE)</f>
        <v>Ranged DPS</v>
      </c>
      <c r="C28" s="115" t="str">
        <f>VLOOKUP(E28,Lists!D:E,2,FALSE)</f>
        <v>SnS/Wand</v>
      </c>
      <c r="D28" s="175" t="s">
        <v>7</v>
      </c>
      <c r="E28" s="176" t="s">
        <v>65</v>
      </c>
      <c r="F28" s="175" t="s">
        <v>483</v>
      </c>
      <c r="G28" s="173">
        <v>5</v>
      </c>
      <c r="H28" s="173">
        <v>51</v>
      </c>
      <c r="I28" s="194">
        <f t="shared" si="0"/>
        <v>56</v>
      </c>
      <c r="J28" s="177">
        <v>1640648</v>
      </c>
      <c r="K28" s="177">
        <v>854269</v>
      </c>
      <c r="L28" s="177">
        <v>367392</v>
      </c>
      <c r="M28" s="195">
        <f>I28/(HLOOKUP(F28,Team_Composition_23[[#All],[Yellow]:[Red]],10,FALSE)+HLOOKUP(F28,Team_Composition_23[[#All],[Yellow]:[Red]],11,FALSE))</f>
        <v>6.8209500609013402E-2</v>
      </c>
      <c r="N28" s="195">
        <f>J28/HLOOKUP(F28,Team_Composition_23[[#All],[Yellow]:[Red]],6,FALSE)</f>
        <v>9.2978766993446732E-2</v>
      </c>
      <c r="O28" s="195">
        <f>K28/HLOOKUP(F28,Team_Composition_23[[#All],[Yellow]:[Red]],8,FALSE)</f>
        <v>1.9408174375381934E-2</v>
      </c>
      <c r="P28" s="195">
        <f>L28/HLOOKUP(F28,Team_Composition_23[[#All],[Yellow]:[Red]],7,FALSE)</f>
        <v>1.5138693269921403E-2</v>
      </c>
      <c r="R28" s="232" t="s">
        <v>39</v>
      </c>
      <c r="S28" s="228"/>
      <c r="T28" s="228"/>
      <c r="AB28" s="232" t="s">
        <v>39</v>
      </c>
      <c r="AC28" s="228"/>
      <c r="AD28" s="228"/>
    </row>
    <row r="29" spans="1:30" ht="22.5" customHeight="1">
      <c r="A29" s="173">
        <v>51</v>
      </c>
      <c r="B29" s="115" t="str">
        <f>VLOOKUP(C29,Lists!I:J,2,FALSE)</f>
        <v>Healer</v>
      </c>
      <c r="C29" s="115" t="str">
        <f>VLOOKUP(E29,Lists!D:E,2,FALSE)</f>
        <v>Wand/Longbow</v>
      </c>
      <c r="D29" s="175"/>
      <c r="E29" s="178" t="s">
        <v>366</v>
      </c>
      <c r="F29" s="175" t="s">
        <v>476</v>
      </c>
      <c r="G29" s="173">
        <v>0</v>
      </c>
      <c r="H29" s="173">
        <v>54</v>
      </c>
      <c r="I29" s="194">
        <f t="shared" si="0"/>
        <v>54</v>
      </c>
      <c r="J29" s="177">
        <v>83039</v>
      </c>
      <c r="K29" s="177">
        <v>696183</v>
      </c>
      <c r="L29" s="177">
        <v>2927181</v>
      </c>
      <c r="M29" s="195">
        <f>I29/(HLOOKUP(F29,Team_Composition_23[[#All],[Yellow]:[Red]],10,FALSE)+HLOOKUP(F29,Team_Composition_23[[#All],[Yellow]:[Red]],11,FALSE))</f>
        <v>1.3496625843539115E-2</v>
      </c>
      <c r="N29" s="195">
        <f>J29/HLOOKUP(F29,Team_Composition_23[[#All],[Yellow]:[Red]],6,FALSE)</f>
        <v>1.8717826516793919E-3</v>
      </c>
      <c r="O29" s="195">
        <f>K29/HLOOKUP(F29,Team_Composition_23[[#All],[Yellow]:[Red]],8,FALSE)</f>
        <v>3.973927839539812E-2</v>
      </c>
      <c r="P29" s="195">
        <f>L29/HLOOKUP(F29,Team_Composition_23[[#All],[Yellow]:[Red]],7,FALSE)</f>
        <v>0.22612839745213009</v>
      </c>
      <c r="R29" s="197" t="s">
        <v>482</v>
      </c>
      <c r="S29" s="198" t="s">
        <v>476</v>
      </c>
      <c r="T29" s="198" t="s">
        <v>483</v>
      </c>
      <c r="AB29" s="197" t="s">
        <v>482</v>
      </c>
      <c r="AC29" s="198" t="s">
        <v>7</v>
      </c>
      <c r="AD29" s="198" t="s">
        <v>527</v>
      </c>
    </row>
    <row r="30" spans="1:30" ht="22.5" customHeight="1">
      <c r="A30" s="173">
        <v>11</v>
      </c>
      <c r="B30" s="115" t="str">
        <f>VLOOKUP(C30,Lists!I:J,2,FALSE)</f>
        <v>KS</v>
      </c>
      <c r="C30" s="115" t="str">
        <f>VLOOKUP(E30,Lists!D:E,2,FALSE)</f>
        <v>Crossbow/Dagger</v>
      </c>
      <c r="D30" s="175" t="s">
        <v>7</v>
      </c>
      <c r="E30" s="176" t="s">
        <v>504</v>
      </c>
      <c r="F30" s="175" t="s">
        <v>476</v>
      </c>
      <c r="G30" s="173">
        <v>31</v>
      </c>
      <c r="H30" s="173">
        <v>21</v>
      </c>
      <c r="I30" s="194">
        <f t="shared" si="0"/>
        <v>52</v>
      </c>
      <c r="J30" s="177">
        <v>1832264</v>
      </c>
      <c r="K30" s="177">
        <v>1265760</v>
      </c>
      <c r="L30" s="177">
        <v>0</v>
      </c>
      <c r="M30" s="195">
        <f>I30/(HLOOKUP(F30,Team_Composition_23[[#All],[Yellow]:[Red]],10,FALSE)+HLOOKUP(F30,Team_Composition_23[[#All],[Yellow]:[Red]],11,FALSE))</f>
        <v>1.2996750812296926E-2</v>
      </c>
      <c r="N30" s="195">
        <f>J30/HLOOKUP(F30,Team_Composition_23[[#All],[Yellow]:[Red]],6,FALSE)</f>
        <v>4.1301075018927116E-2</v>
      </c>
      <c r="O30" s="195">
        <f>K30/HLOOKUP(F30,Team_Composition_23[[#All],[Yellow]:[Red]],8,FALSE)</f>
        <v>7.2251676673746879E-2</v>
      </c>
      <c r="P30" s="195">
        <f>L30/HLOOKUP(F30,Team_Composition_23[[#All],[Yellow]:[Red]],7,FALSE)</f>
        <v>0</v>
      </c>
      <c r="R30" s="201" t="s">
        <v>468</v>
      </c>
      <c r="S30" s="202">
        <f>SUMIFS(Scoreboard_25[Damage Dealt],Scoreboard_25[Role],"Ranged DPS",Scoreboard_25[Team],"Yellow")</f>
        <v>10761570</v>
      </c>
      <c r="T30" s="203">
        <f>SUMIFS(Scoreboard_25[Damage Dealt],Scoreboard_25[Role],"Ranged DPS",Scoreboard_25[Team],"Red")</f>
        <v>9448733</v>
      </c>
      <c r="AB30" s="201" t="s">
        <v>468</v>
      </c>
      <c r="AC30" s="205">
        <f>SUMIFS(Scoreboard_25[Damage Dealt],Scoreboard_25[Role],"Ranged DPS",Scoreboard_25[Guild],"FTP")</f>
        <v>9023834</v>
      </c>
      <c r="AD30" s="206">
        <f>SUMIFS(Scoreboard_25[Damage Dealt],Scoreboard_25[Role],"Ranged DPS",Scoreboard_25[Guild],"Undercooked")</f>
        <v>11186469</v>
      </c>
    </row>
    <row r="31" spans="1:30" ht="22.5" customHeight="1">
      <c r="A31" s="173">
        <v>52</v>
      </c>
      <c r="B31" s="115" t="str">
        <f>VLOOKUP(C31,Lists!I:J,2,FALSE)</f>
        <v>Healer</v>
      </c>
      <c r="C31" s="115" t="str">
        <f>VLOOKUP(E31,Lists!D:E,2,FALSE)</f>
        <v>Wand/Orb</v>
      </c>
      <c r="D31" s="175" t="s">
        <v>28</v>
      </c>
      <c r="E31" s="176" t="s">
        <v>356</v>
      </c>
      <c r="F31" s="175" t="s">
        <v>476</v>
      </c>
      <c r="G31" s="173">
        <v>0</v>
      </c>
      <c r="H31" s="173">
        <v>51</v>
      </c>
      <c r="I31" s="194">
        <f t="shared" si="0"/>
        <v>51</v>
      </c>
      <c r="J31" s="177">
        <v>21999</v>
      </c>
      <c r="K31" s="177">
        <v>445165</v>
      </c>
      <c r="L31" s="177">
        <v>1735251</v>
      </c>
      <c r="M31" s="195">
        <f>I31/(HLOOKUP(F31,Team_Composition_23[[#All],[Yellow]:[Red]],10,FALSE)+HLOOKUP(F31,Team_Composition_23[[#All],[Yellow]:[Red]],11,FALSE))</f>
        <v>1.2746813296675831E-2</v>
      </c>
      <c r="N31" s="195">
        <f>J31/HLOOKUP(F31,Team_Composition_23[[#All],[Yellow]:[Red]],6,FALSE)</f>
        <v>4.9587960541787519E-4</v>
      </c>
      <c r="O31" s="195">
        <f>K31/HLOOKUP(F31,Team_Composition_23[[#All],[Yellow]:[Red]],8,FALSE)</f>
        <v>2.5410755314173722E-2</v>
      </c>
      <c r="P31" s="195">
        <f>L31/HLOOKUP(F31,Team_Composition_23[[#All],[Yellow]:[Red]],7,FALSE)</f>
        <v>0.13405031250449023</v>
      </c>
      <c r="R31" s="201" t="s">
        <v>469</v>
      </c>
      <c r="S31" s="202">
        <f>SUMIFS(Scoreboard_25[Damage Taken],Scoreboard_25[Role],"Ranged DPS",Scoreboard_25[Team],"Yellow")</f>
        <v>6642206</v>
      </c>
      <c r="T31" s="203">
        <f>SUMIFS(Scoreboard_25[Damage Taken],Scoreboard_25[Role],"Ranged DPS",Scoreboard_25[Team],"Red")</f>
        <v>3338243</v>
      </c>
      <c r="AB31" s="201" t="s">
        <v>469</v>
      </c>
      <c r="AC31" s="205">
        <f>SUMIFS(Scoreboard_25[Damage Taken],Scoreboard_25[Role],"Ranged DPS",Scoreboard_25[Guild],"FTP")</f>
        <v>4933257</v>
      </c>
      <c r="AD31" s="206">
        <f>SUMIFS(Scoreboard_25[Damage Taken],Scoreboard_25[Role],"Ranged DPS",Scoreboard_25[Guild],"Undercooked")</f>
        <v>5047192</v>
      </c>
    </row>
    <row r="32" spans="1:30" ht="22.5" customHeight="1">
      <c r="A32" s="173">
        <v>53</v>
      </c>
      <c r="B32" s="115" t="str">
        <f>VLOOKUP(C32,Lists!I:J,2,FALSE)</f>
        <v>Healer</v>
      </c>
      <c r="C32" s="115" t="str">
        <f>VLOOKUP(E32,Lists!D:E,2,FALSE)</f>
        <v>Wand/Longbow</v>
      </c>
      <c r="D32" s="175" t="s">
        <v>7</v>
      </c>
      <c r="E32" s="176" t="s">
        <v>126</v>
      </c>
      <c r="F32" s="175" t="s">
        <v>476</v>
      </c>
      <c r="G32" s="173">
        <v>0</v>
      </c>
      <c r="H32" s="173">
        <v>50</v>
      </c>
      <c r="I32" s="194">
        <f t="shared" si="0"/>
        <v>50</v>
      </c>
      <c r="J32" s="177">
        <v>21903</v>
      </c>
      <c r="K32" s="177">
        <v>891809</v>
      </c>
      <c r="L32" s="177">
        <v>2550079</v>
      </c>
      <c r="M32" s="195">
        <f>I32/(HLOOKUP(F32,Team_Composition_23[[#All],[Yellow]:[Red]],10,FALSE)+HLOOKUP(F32,Team_Composition_23[[#All],[Yellow]:[Red]],11,FALSE))</f>
        <v>1.2496875781054736E-2</v>
      </c>
      <c r="N32" s="195">
        <f>J32/HLOOKUP(F32,Team_Composition_23[[#All],[Yellow]:[Red]],6,FALSE)</f>
        <v>4.937156687789318E-4</v>
      </c>
      <c r="O32" s="195">
        <f>K32/HLOOKUP(F32,Team_Composition_23[[#All],[Yellow]:[Red]],8,FALSE)</f>
        <v>5.0905934397308762E-2</v>
      </c>
      <c r="P32" s="195">
        <f>L32/HLOOKUP(F32,Team_Composition_23[[#All],[Yellow]:[Red]],7,FALSE)</f>
        <v>0.19699679577256429</v>
      </c>
      <c r="R32" s="201" t="s">
        <v>470</v>
      </c>
      <c r="S32" s="202">
        <f>SUMIFS(Scoreboard_25[Amount Healed],Scoreboard_25[Role],"Ranged DPS",Scoreboard_25[Team],"Yellow")</f>
        <v>82757</v>
      </c>
      <c r="T32" s="203">
        <f>SUMIFS(Scoreboard_25[Amount Healed],Scoreboard_25[Role],"Ranged DPS",Scoreboard_25[Team],"Red")</f>
        <v>389890</v>
      </c>
      <c r="AB32" s="201" t="s">
        <v>470</v>
      </c>
      <c r="AC32" s="205">
        <f>SUMIFS(Scoreboard_25[Amount Healed],Scoreboard_25[Role],"Ranged DPS",Scoreboard_25[Guild],"FTP")</f>
        <v>410843</v>
      </c>
      <c r="AD32" s="206">
        <f>SUMIFS(Scoreboard_25[Amount Healed],Scoreboard_25[Role],"Ranged DPS",Scoreboard_25[Guild],"Undercooked")</f>
        <v>61804</v>
      </c>
    </row>
    <row r="33" spans="1:30" ht="22.5" customHeight="1">
      <c r="A33" s="173">
        <v>17</v>
      </c>
      <c r="B33" s="115" t="str">
        <f>VLOOKUP(C33,Lists!I:J,2,FALSE)</f>
        <v>KS</v>
      </c>
      <c r="C33" s="115" t="str">
        <f>VLOOKUP(E33,Lists!D:E,2,FALSE)</f>
        <v>Crossbow/Dagger</v>
      </c>
      <c r="D33" s="175" t="s">
        <v>28</v>
      </c>
      <c r="E33" s="176" t="s">
        <v>348</v>
      </c>
      <c r="F33" s="175" t="s">
        <v>476</v>
      </c>
      <c r="G33" s="173">
        <v>20</v>
      </c>
      <c r="H33" s="173">
        <v>29</v>
      </c>
      <c r="I33" s="194">
        <f t="shared" si="0"/>
        <v>49</v>
      </c>
      <c r="J33" s="177">
        <v>1016379</v>
      </c>
      <c r="K33" s="177">
        <v>1217706</v>
      </c>
      <c r="L33" s="177">
        <v>11304</v>
      </c>
      <c r="M33" s="195">
        <f>I33/(HLOOKUP(F33,Team_Composition_23[[#All],[Yellow]:[Red]],10,FALSE)+HLOOKUP(F33,Team_Composition_23[[#All],[Yellow]:[Red]],11,FALSE))</f>
        <v>1.2246938265433641E-2</v>
      </c>
      <c r="N33" s="195">
        <f>J33/HLOOKUP(F33,Team_Composition_23[[#All],[Yellow]:[Red]],6,FALSE)</f>
        <v>2.2910205803673558E-2</v>
      </c>
      <c r="O33" s="195">
        <f>K33/HLOOKUP(F33,Team_Composition_23[[#All],[Yellow]:[Red]],8,FALSE)</f>
        <v>6.950867478485781E-2</v>
      </c>
      <c r="P33" s="195">
        <f>L33/HLOOKUP(F33,Team_Composition_23[[#All],[Yellow]:[Red]],7,FALSE)</f>
        <v>8.7324815404270478E-4</v>
      </c>
      <c r="R33" s="201" t="s">
        <v>465</v>
      </c>
      <c r="S33" s="202">
        <f>SUMIFS(Scoreboard_25[Kills],Scoreboard_25[Role],"Ranged DPS",Scoreboard_25[Team],"Yellow")</f>
        <v>79</v>
      </c>
      <c r="T33" s="203">
        <f>SUMIFS(Scoreboard_25[Kills],Scoreboard_25[Role],"Ranged DPS",Scoreboard_25[Team],"Red")</f>
        <v>64</v>
      </c>
      <c r="AB33" s="201" t="s">
        <v>465</v>
      </c>
      <c r="AC33" s="205">
        <f>SUMIFS(Scoreboard_25[Kills],Scoreboard_25[Role],"Ranged DPS",Scoreboard_25[Guild],"FTP")</f>
        <v>67</v>
      </c>
      <c r="AD33" s="206">
        <f>SUMIFS(Scoreboard_25[Kills],Scoreboard_25[Role],"Ranged DPS",Scoreboard_25[Guild],"Undercooked")</f>
        <v>76</v>
      </c>
    </row>
    <row r="34" spans="1:30" ht="22.5" customHeight="1">
      <c r="A34" s="173">
        <v>23</v>
      </c>
      <c r="B34" s="115" t="str">
        <f>VLOOKUP(C34,Lists!I:J,2,FALSE)</f>
        <v>Healer</v>
      </c>
      <c r="C34" s="115" t="str">
        <f>VLOOKUP(E34,Lists!D:E,2,FALSE)</f>
        <v>Wand/Longbow</v>
      </c>
      <c r="D34" s="175" t="s">
        <v>7</v>
      </c>
      <c r="E34" s="178" t="s">
        <v>134</v>
      </c>
      <c r="F34" s="175" t="s">
        <v>483</v>
      </c>
      <c r="G34" s="173">
        <v>11</v>
      </c>
      <c r="H34" s="173">
        <v>38</v>
      </c>
      <c r="I34" s="194">
        <f t="shared" si="0"/>
        <v>49</v>
      </c>
      <c r="J34" s="177">
        <v>1059857</v>
      </c>
      <c r="K34" s="177">
        <v>1232569</v>
      </c>
      <c r="L34" s="177">
        <v>0</v>
      </c>
      <c r="M34" s="195">
        <f>I34/(HLOOKUP(F34,Team_Composition_23[[#All],[Yellow]:[Red]],10,FALSE)+HLOOKUP(F34,Team_Composition_23[[#All],[Yellow]:[Red]],11,FALSE))</f>
        <v>5.9683313032886723E-2</v>
      </c>
      <c r="N34" s="195">
        <f>J34/HLOOKUP(F34,Team_Composition_23[[#All],[Yellow]:[Red]],6,FALSE)</f>
        <v>6.0064192349226331E-2</v>
      </c>
      <c r="O34" s="195">
        <f>K34/HLOOKUP(F34,Team_Composition_23[[#All],[Yellow]:[Red]],8,FALSE)</f>
        <v>2.800278844449481E-2</v>
      </c>
      <c r="P34" s="195">
        <f>L34/HLOOKUP(F34,Team_Composition_23[[#All],[Yellow]:[Red]],7,FALSE)</f>
        <v>0</v>
      </c>
      <c r="R34" s="201" t="s">
        <v>466</v>
      </c>
      <c r="S34" s="202">
        <f>SUMIFS(Scoreboard_25[Assists],Scoreboard_25[Role],"Ranged DPS",Scoreboard_25[Team],"Yellow")</f>
        <v>206</v>
      </c>
      <c r="T34" s="203">
        <f>SUMIFS(Scoreboard_25[Assists],Scoreboard_25[Role],"Ranged DPS",Scoreboard_25[Team],"Red")</f>
        <v>234</v>
      </c>
      <c r="AB34" s="201" t="s">
        <v>466</v>
      </c>
      <c r="AC34" s="205">
        <f>SUMIFS(Scoreboard_25[Assists],Scoreboard_25[Role],"Ranged DPS",Scoreboard_25[Guild],"FTP")</f>
        <v>182</v>
      </c>
      <c r="AD34" s="206">
        <f>SUMIFS(Scoreboard_25[Assists],Scoreboard_25[Role],"Ranged DPS",Scoreboard_25[Team],"Red")</f>
        <v>234</v>
      </c>
    </row>
    <row r="35" spans="1:30" ht="22.5" customHeight="1">
      <c r="A35" s="173">
        <v>13</v>
      </c>
      <c r="B35" s="115" t="str">
        <f>VLOOKUP(C35,Lists!I:J,2,FALSE)</f>
        <v>KS</v>
      </c>
      <c r="C35" s="115" t="str">
        <f>VLOOKUP(E35,Lists!D:E,2,FALSE)</f>
        <v>Crossbow/Dagger</v>
      </c>
      <c r="D35" s="175" t="s">
        <v>7</v>
      </c>
      <c r="E35" s="176" t="s">
        <v>131</v>
      </c>
      <c r="F35" s="175" t="s">
        <v>476</v>
      </c>
      <c r="G35" s="173">
        <v>22</v>
      </c>
      <c r="H35" s="173">
        <v>26</v>
      </c>
      <c r="I35" s="194">
        <f t="shared" si="0"/>
        <v>48</v>
      </c>
      <c r="J35" s="177">
        <v>1530150</v>
      </c>
      <c r="K35" s="177">
        <v>1070979</v>
      </c>
      <c r="L35" s="177">
        <v>0</v>
      </c>
      <c r="M35" s="195">
        <f>I35/(HLOOKUP(F35,Team_Composition_23[[#All],[Yellow]:[Red]],10,FALSE)+HLOOKUP(F35,Team_Composition_23[[#All],[Yellow]:[Red]],11,FALSE))</f>
        <v>1.1997000749812546E-2</v>
      </c>
      <c r="N35" s="195">
        <f>J35/HLOOKUP(F35,Team_Composition_23[[#All],[Yellow]:[Red]],6,FALSE)</f>
        <v>3.4491121334158908E-2</v>
      </c>
      <c r="O35" s="195">
        <f>K35/HLOOKUP(F35,Team_Composition_23[[#All],[Yellow]:[Red]],8,FALSE)</f>
        <v>6.1133254671006165E-2</v>
      </c>
      <c r="P35" s="195">
        <f>L35/HLOOKUP(F35,Team_Composition_23[[#All],[Yellow]:[Red]],7,FALSE)</f>
        <v>0</v>
      </c>
      <c r="R35" s="201" t="s">
        <v>54</v>
      </c>
      <c r="S35" s="202">
        <f t="shared" ref="S35:S46" si="5">COUNTIFS(C:C,R35,F:F,"Yellow")</f>
        <v>3</v>
      </c>
      <c r="T35" s="203">
        <f t="shared" ref="T35:T46" si="6">COUNTIFS(C:C,R35,F:F,"Red")</f>
        <v>3</v>
      </c>
      <c r="AB35" s="201" t="s">
        <v>54</v>
      </c>
      <c r="AC35" s="205">
        <f t="shared" ref="AC35:AC46" si="7">COUNTIFS(C:C,AB35,D:D,"FTP")</f>
        <v>3</v>
      </c>
      <c r="AD35" s="206">
        <f t="shared" ref="AD35:AD46" si="8">COUNTIFS(C:C,AB35,D:D,"Undercooked")</f>
        <v>3</v>
      </c>
    </row>
    <row r="36" spans="1:30" ht="22.5" customHeight="1">
      <c r="A36" s="173">
        <v>18</v>
      </c>
      <c r="B36" s="115" t="str">
        <f>VLOOKUP(C36,Lists!I:J,2,FALSE)</f>
        <v>Ranged DPS</v>
      </c>
      <c r="C36" s="115" t="str">
        <f>VLOOKUP(E36,Lists!D:E,2,FALSE)</f>
        <v>Crossbow/Longbow</v>
      </c>
      <c r="D36" s="175" t="s">
        <v>7</v>
      </c>
      <c r="E36" s="176" t="s">
        <v>51</v>
      </c>
      <c r="F36" s="175" t="s">
        <v>476</v>
      </c>
      <c r="G36" s="173">
        <v>20</v>
      </c>
      <c r="H36" s="173">
        <v>26</v>
      </c>
      <c r="I36" s="194">
        <f t="shared" si="0"/>
        <v>46</v>
      </c>
      <c r="J36" s="177">
        <v>1115099</v>
      </c>
      <c r="K36" s="177">
        <v>1566546</v>
      </c>
      <c r="L36" s="177">
        <v>9172</v>
      </c>
      <c r="M36" s="195">
        <f>I36/(HLOOKUP(F36,Team_Composition_23[[#All],[Yellow]:[Red]],10,FALSE)+HLOOKUP(F36,Team_Composition_23[[#All],[Yellow]:[Red]],11,FALSE))</f>
        <v>1.1497125718570358E-2</v>
      </c>
      <c r="N36" s="195">
        <f>J36/HLOOKUP(F36,Team_Composition_23[[#All],[Yellow]:[Red]],6,FALSE)</f>
        <v>2.5135453980720361E-2</v>
      </c>
      <c r="O36" s="195">
        <f>K36/HLOOKUP(F36,Team_Composition_23[[#All],[Yellow]:[Red]],8,FALSE)</f>
        <v>8.9421039601939936E-2</v>
      </c>
      <c r="P36" s="195">
        <f>L36/HLOOKUP(F36,Team_Composition_23[[#All],[Yellow]:[Red]],7,FALSE)</f>
        <v>7.0854848450811118E-4</v>
      </c>
      <c r="R36" s="201" t="s">
        <v>43</v>
      </c>
      <c r="S36" s="202">
        <f t="shared" si="5"/>
        <v>1</v>
      </c>
      <c r="T36" s="203">
        <f t="shared" si="6"/>
        <v>0</v>
      </c>
      <c r="AB36" s="201" t="s">
        <v>43</v>
      </c>
      <c r="AC36" s="205">
        <f t="shared" si="7"/>
        <v>1</v>
      </c>
      <c r="AD36" s="206">
        <f t="shared" si="8"/>
        <v>0</v>
      </c>
    </row>
    <row r="37" spans="1:30" ht="22.5" customHeight="1">
      <c r="A37" s="173">
        <v>24</v>
      </c>
      <c r="B37" s="115" t="str">
        <f>VLOOKUP(C37,Lists!I:J,2,FALSE)</f>
        <v>Ranged DPS</v>
      </c>
      <c r="C37" s="115" t="str">
        <f>VLOOKUP(E37,Lists!D:E,2,FALSE)</f>
        <v>Staff/Dagger</v>
      </c>
      <c r="D37" s="175" t="s">
        <v>28</v>
      </c>
      <c r="E37" s="178" t="s">
        <v>351</v>
      </c>
      <c r="F37" s="175" t="s">
        <v>476</v>
      </c>
      <c r="G37" s="173">
        <v>9</v>
      </c>
      <c r="H37" s="173">
        <v>37</v>
      </c>
      <c r="I37" s="194">
        <f t="shared" si="0"/>
        <v>46</v>
      </c>
      <c r="J37" s="177">
        <v>1607408</v>
      </c>
      <c r="K37" s="177">
        <v>859976</v>
      </c>
      <c r="L37" s="177">
        <v>0</v>
      </c>
      <c r="M37" s="195">
        <f>I37/(HLOOKUP(F37,Team_Composition_23[[#All],[Yellow]:[Red]],10,FALSE)+HLOOKUP(F37,Team_Composition_23[[#All],[Yellow]:[Red]],11,FALSE))</f>
        <v>1.1497125718570358E-2</v>
      </c>
      <c r="N37" s="195">
        <f>J37/HLOOKUP(F37,Team_Composition_23[[#All],[Yellow]:[Red]],6,FALSE)</f>
        <v>3.6232594426361925E-2</v>
      </c>
      <c r="O37" s="195">
        <f>K37/HLOOKUP(F37,Team_Composition_23[[#All],[Yellow]:[Red]],8,FALSE)</f>
        <v>4.9088854047514653E-2</v>
      </c>
      <c r="P37" s="195">
        <f>L37/HLOOKUP(F37,Team_Composition_23[[#All],[Yellow]:[Red]],7,FALSE)</f>
        <v>0</v>
      </c>
      <c r="R37" s="201" t="s">
        <v>45</v>
      </c>
      <c r="S37" s="202">
        <f t="shared" si="5"/>
        <v>0</v>
      </c>
      <c r="T37" s="203">
        <f t="shared" si="6"/>
        <v>0</v>
      </c>
      <c r="AB37" s="201" t="s">
        <v>45</v>
      </c>
      <c r="AC37" s="205">
        <f t="shared" si="7"/>
        <v>0</v>
      </c>
      <c r="AD37" s="206">
        <f t="shared" si="8"/>
        <v>0</v>
      </c>
    </row>
    <row r="38" spans="1:30" ht="22.5" customHeight="1">
      <c r="A38" s="173">
        <v>26</v>
      </c>
      <c r="B38" s="115" t="str">
        <f>VLOOKUP(C38,Lists!I:J,2,FALSE)</f>
        <v>Ranged DPS</v>
      </c>
      <c r="C38" s="115" t="str">
        <f>VLOOKUP(E38,Lists!D:E,2,FALSE)</f>
        <v>Staff/Orb</v>
      </c>
      <c r="D38" s="175" t="s">
        <v>28</v>
      </c>
      <c r="E38" s="176" t="s">
        <v>352</v>
      </c>
      <c r="F38" s="77" t="s">
        <v>476</v>
      </c>
      <c r="G38" s="173">
        <v>8</v>
      </c>
      <c r="H38" s="173">
        <v>38</v>
      </c>
      <c r="I38" s="194">
        <f t="shared" si="0"/>
        <v>46</v>
      </c>
      <c r="J38" s="177">
        <v>1770976</v>
      </c>
      <c r="K38" s="177">
        <v>1703242</v>
      </c>
      <c r="L38" s="177">
        <v>39306</v>
      </c>
      <c r="M38" s="195">
        <f>I38/(HLOOKUP(F38,Team_Composition_23[[#All],[Yellow]:[Red]],10,FALSE)+HLOOKUP(F38,Team_Composition_23[[#All],[Yellow]:[Red]],11,FALSE))</f>
        <v>1.1497125718570358E-2</v>
      </c>
      <c r="N38" s="195">
        <f>J38/HLOOKUP(F38,Team_Composition_23[[#All],[Yellow]:[Red]],6,FALSE)</f>
        <v>3.9919581803014997E-2</v>
      </c>
      <c r="O38" s="195">
        <f>K38/HLOOKUP(F38,Team_Composition_23[[#All],[Yellow]:[Red]],8,FALSE)</f>
        <v>9.7223873626237189E-2</v>
      </c>
      <c r="P38" s="195">
        <f>L38/HLOOKUP(F38,Team_Composition_23[[#All],[Yellow]:[Red]],7,FALSE)</f>
        <v>3.0364377161007216E-3</v>
      </c>
      <c r="R38" s="201" t="s">
        <v>81</v>
      </c>
      <c r="S38" s="202">
        <f t="shared" si="5"/>
        <v>0</v>
      </c>
      <c r="T38" s="203">
        <f t="shared" si="6"/>
        <v>0</v>
      </c>
      <c r="AB38" s="201" t="s">
        <v>81</v>
      </c>
      <c r="AC38" s="205">
        <f t="shared" si="7"/>
        <v>0</v>
      </c>
      <c r="AD38" s="206">
        <f t="shared" si="8"/>
        <v>0</v>
      </c>
    </row>
    <row r="39" spans="1:30" ht="22.5" customHeight="1">
      <c r="A39" s="173">
        <v>28</v>
      </c>
      <c r="B39" s="115" t="str">
        <f>VLOOKUP(C39,Lists!I:J,2,FALSE)</f>
        <v>Ranged DPS</v>
      </c>
      <c r="C39" s="115" t="str">
        <f>VLOOKUP(E39,Lists!D:E,2,FALSE)</f>
        <v>Orb/Dagger</v>
      </c>
      <c r="D39" s="175" t="s">
        <v>28</v>
      </c>
      <c r="E39" s="176" t="s">
        <v>337</v>
      </c>
      <c r="F39" s="175" t="s">
        <v>483</v>
      </c>
      <c r="G39" s="173">
        <v>7</v>
      </c>
      <c r="H39" s="173">
        <v>39</v>
      </c>
      <c r="I39" s="194">
        <f t="shared" si="0"/>
        <v>46</v>
      </c>
      <c r="J39" s="177">
        <v>1297643</v>
      </c>
      <c r="K39" s="177">
        <v>774929</v>
      </c>
      <c r="L39" s="177">
        <v>10207</v>
      </c>
      <c r="M39" s="195">
        <f>I39/(HLOOKUP(F39,Team_Composition_23[[#All],[Yellow]:[Red]],10,FALSE)+HLOOKUP(F39,Team_Composition_23[[#All],[Yellow]:[Red]],11,FALSE))</f>
        <v>5.6029232643118147E-2</v>
      </c>
      <c r="N39" s="195">
        <f>J39/HLOOKUP(F39,Team_Composition_23[[#All],[Yellow]:[Red]],6,FALSE)</f>
        <v>7.3539995256555454E-2</v>
      </c>
      <c r="O39" s="195">
        <f>K39/HLOOKUP(F39,Team_Composition_23[[#All],[Yellow]:[Red]],8,FALSE)</f>
        <v>1.7605645482325061E-2</v>
      </c>
      <c r="P39" s="195">
        <f>L39/HLOOKUP(F39,Team_Composition_23[[#All],[Yellow]:[Red]],7,FALSE)</f>
        <v>4.2058793388557113E-4</v>
      </c>
      <c r="R39" s="201" t="s">
        <v>48</v>
      </c>
      <c r="S39" s="202">
        <f t="shared" si="5"/>
        <v>0</v>
      </c>
      <c r="T39" s="203">
        <f t="shared" si="6"/>
        <v>1</v>
      </c>
      <c r="AB39" s="201" t="s">
        <v>48</v>
      </c>
      <c r="AC39" s="205">
        <f t="shared" si="7"/>
        <v>0</v>
      </c>
      <c r="AD39" s="206">
        <f t="shared" si="8"/>
        <v>1</v>
      </c>
    </row>
    <row r="40" spans="1:30" ht="22.5" customHeight="1">
      <c r="A40" s="173">
        <v>54</v>
      </c>
      <c r="B40" s="115" t="str">
        <f>VLOOKUP(C40,Lists!I:J,2,FALSE)</f>
        <v>Healer</v>
      </c>
      <c r="C40" s="115" t="str">
        <f>VLOOKUP(E40,Lists!D:E,2,FALSE)</f>
        <v>Wand/Orb</v>
      </c>
      <c r="D40" s="175" t="s">
        <v>7</v>
      </c>
      <c r="E40" s="176" t="s">
        <v>139</v>
      </c>
      <c r="F40" s="175" t="s">
        <v>476</v>
      </c>
      <c r="G40" s="173">
        <v>0</v>
      </c>
      <c r="H40" s="173">
        <v>46</v>
      </c>
      <c r="I40" s="194">
        <f t="shared" si="0"/>
        <v>46</v>
      </c>
      <c r="J40" s="177">
        <v>659</v>
      </c>
      <c r="K40" s="177">
        <v>803706</v>
      </c>
      <c r="L40" s="177">
        <v>1049977</v>
      </c>
      <c r="M40" s="195">
        <f>I40/(HLOOKUP(F40,Team_Composition_23[[#All],[Yellow]:[Red]],10,FALSE)+HLOOKUP(F40,Team_Composition_23[[#All],[Yellow]:[Red]],11,FALSE))</f>
        <v>1.1497125718570358E-2</v>
      </c>
      <c r="N40" s="195">
        <f>J40/HLOOKUP(F40,Team_Composition_23[[#All],[Yellow]:[Red]],6,FALSE)</f>
        <v>1.4854523386080266E-5</v>
      </c>
      <c r="O40" s="195">
        <f>K40/HLOOKUP(F40,Team_Composition_23[[#All],[Yellow]:[Red]],8,FALSE)</f>
        <v>4.5876869274388839E-2</v>
      </c>
      <c r="P40" s="195">
        <f>L40/HLOOKUP(F40,Team_Composition_23[[#All],[Yellow]:[Red]],7,FALSE)</f>
        <v>8.1112037954467184E-2</v>
      </c>
      <c r="R40" s="201" t="s">
        <v>50</v>
      </c>
      <c r="S40" s="202">
        <f t="shared" si="5"/>
        <v>0</v>
      </c>
      <c r="T40" s="203">
        <f t="shared" si="6"/>
        <v>0</v>
      </c>
      <c r="AB40" s="201" t="s">
        <v>50</v>
      </c>
      <c r="AC40" s="205">
        <f t="shared" si="7"/>
        <v>0</v>
      </c>
      <c r="AD40" s="206">
        <f t="shared" si="8"/>
        <v>0</v>
      </c>
    </row>
    <row r="41" spans="1:30" ht="22.5" customHeight="1">
      <c r="A41" s="173">
        <v>55</v>
      </c>
      <c r="B41" s="115" t="str">
        <f>VLOOKUP(C41,Lists!I:J,2,FALSE)</f>
        <v>Healer</v>
      </c>
      <c r="C41" s="115" t="str">
        <f>VLOOKUP(E41,Lists!D:E,2,FALSE)</f>
        <v>Wand/Longbow</v>
      </c>
      <c r="D41" s="77" t="s">
        <v>28</v>
      </c>
      <c r="E41" s="176" t="s">
        <v>342</v>
      </c>
      <c r="F41" s="175" t="s">
        <v>483</v>
      </c>
      <c r="G41" s="173">
        <v>0</v>
      </c>
      <c r="H41" s="173">
        <v>45</v>
      </c>
      <c r="I41" s="194">
        <f t="shared" si="0"/>
        <v>45</v>
      </c>
      <c r="J41" s="177">
        <v>57109</v>
      </c>
      <c r="K41" s="177">
        <v>687836</v>
      </c>
      <c r="L41" s="177">
        <v>2218034</v>
      </c>
      <c r="M41" s="195">
        <f>I41/(HLOOKUP(F41,Team_Composition_23[[#All],[Yellow]:[Red]],10,FALSE)+HLOOKUP(F41,Team_Composition_23[[#All],[Yellow]:[Red]],11,FALSE))</f>
        <v>5.4811205846528627E-2</v>
      </c>
      <c r="N41" s="195">
        <f>J41/HLOOKUP(F41,Team_Composition_23[[#All],[Yellow]:[Red]],6,FALSE)</f>
        <v>3.2364799787820116E-3</v>
      </c>
      <c r="O41" s="195">
        <f>K41/HLOOKUP(F41,Team_Composition_23[[#All],[Yellow]:[Red]],8,FALSE)</f>
        <v>1.5626975846794403E-2</v>
      </c>
      <c r="P41" s="195">
        <f>L41/HLOOKUP(F41,Team_Composition_23[[#All],[Yellow]:[Red]],7,FALSE)</f>
        <v>9.1395937821881934E-2</v>
      </c>
      <c r="R41" s="201" t="s">
        <v>52</v>
      </c>
      <c r="S41" s="202">
        <f t="shared" si="5"/>
        <v>0</v>
      </c>
      <c r="T41" s="203">
        <f t="shared" si="6"/>
        <v>1</v>
      </c>
      <c r="AB41" s="201" t="s">
        <v>52</v>
      </c>
      <c r="AC41" s="205">
        <f t="shared" si="7"/>
        <v>1</v>
      </c>
      <c r="AD41" s="206">
        <f t="shared" si="8"/>
        <v>0</v>
      </c>
    </row>
    <row r="42" spans="1:30" ht="22.5" customHeight="1">
      <c r="A42" s="173">
        <v>56</v>
      </c>
      <c r="B42" s="115" t="str">
        <f>VLOOKUP(C42,Lists!I:J,2,FALSE)</f>
        <v>Healer</v>
      </c>
      <c r="C42" s="115" t="str">
        <f>VLOOKUP(E42,Lists!D:E,2,FALSE)</f>
        <v>Wand/Orb</v>
      </c>
      <c r="D42" s="175" t="s">
        <v>28</v>
      </c>
      <c r="E42" s="176" t="s">
        <v>343</v>
      </c>
      <c r="F42" s="175" t="s">
        <v>483</v>
      </c>
      <c r="G42" s="173">
        <v>0</v>
      </c>
      <c r="H42" s="173">
        <v>45</v>
      </c>
      <c r="I42" s="194">
        <f t="shared" si="0"/>
        <v>45</v>
      </c>
      <c r="J42" s="177">
        <v>19824</v>
      </c>
      <c r="K42" s="177">
        <v>359231</v>
      </c>
      <c r="L42" s="177">
        <v>1049544</v>
      </c>
      <c r="M42" s="195">
        <f>I42/(HLOOKUP(F42,Team_Composition_23[[#All],[Yellow]:[Red]],10,FALSE)+HLOOKUP(F42,Team_Composition_23[[#All],[Yellow]:[Red]],11,FALSE))</f>
        <v>5.4811205846528627E-2</v>
      </c>
      <c r="N42" s="195">
        <f>J42/HLOOKUP(F42,Team_Composition_23[[#All],[Yellow]:[Red]],6,FALSE)</f>
        <v>1.123465287421853E-3</v>
      </c>
      <c r="O42" s="195">
        <f>K42/HLOOKUP(F42,Team_Composition_23[[#All],[Yellow]:[Red]],8,FALSE)</f>
        <v>8.1613846329936218E-3</v>
      </c>
      <c r="P42" s="195">
        <f>L42/HLOOKUP(F42,Team_Composition_23[[#All],[Yellow]:[Red]],7,FALSE)</f>
        <v>4.3247334425590075E-2</v>
      </c>
      <c r="R42" s="201" t="s">
        <v>32</v>
      </c>
      <c r="S42" s="202">
        <f t="shared" si="5"/>
        <v>3</v>
      </c>
      <c r="T42" s="203">
        <f t="shared" si="6"/>
        <v>1</v>
      </c>
      <c r="AB42" s="201" t="s">
        <v>32</v>
      </c>
      <c r="AC42" s="205">
        <f t="shared" si="7"/>
        <v>2</v>
      </c>
      <c r="AD42" s="206">
        <f t="shared" si="8"/>
        <v>2</v>
      </c>
    </row>
    <row r="43" spans="1:30" ht="22.5" customHeight="1">
      <c r="A43" s="173">
        <v>57</v>
      </c>
      <c r="B43" s="115" t="str">
        <f>VLOOKUP(C43,Lists!I:J,2,FALSE)</f>
        <v>Healer</v>
      </c>
      <c r="C43" s="115" t="str">
        <f>VLOOKUP(E43,Lists!D:E,2,FALSE)</f>
        <v>Wand/Orb</v>
      </c>
      <c r="D43" s="175" t="s">
        <v>28</v>
      </c>
      <c r="E43" s="176" t="s">
        <v>357</v>
      </c>
      <c r="F43" s="175" t="s">
        <v>476</v>
      </c>
      <c r="G43" s="173">
        <v>0</v>
      </c>
      <c r="H43" s="173">
        <v>44</v>
      </c>
      <c r="I43" s="194">
        <f t="shared" si="0"/>
        <v>44</v>
      </c>
      <c r="J43" s="177">
        <v>3150</v>
      </c>
      <c r="K43" s="177">
        <v>359846</v>
      </c>
      <c r="L43" s="177">
        <v>1439042</v>
      </c>
      <c r="M43" s="195">
        <f>I43/(HLOOKUP(F43,Team_Composition_23[[#All],[Yellow]:[Red]],10,FALSE)+HLOOKUP(F43,Team_Composition_23[[#All],[Yellow]:[Red]],11,FALSE))</f>
        <v>1.0997250687328168E-2</v>
      </c>
      <c r="N43" s="195">
        <f>J43/HLOOKUP(F43,Team_Composition_23[[#All],[Yellow]:[Red]],6,FALSE)</f>
        <v>7.1004170965330556E-5</v>
      </c>
      <c r="O43" s="195">
        <f>K43/HLOOKUP(F43,Team_Composition_23[[#All],[Yellow]:[Red]],8,FALSE)</f>
        <v>2.0540605521063331E-2</v>
      </c>
      <c r="P43" s="195">
        <f>L43/HLOOKUP(F43,Team_Composition_23[[#All],[Yellow]:[Red]],7,FALSE)</f>
        <v>0.11116779636322735</v>
      </c>
      <c r="R43" s="201" t="s">
        <v>56</v>
      </c>
      <c r="S43" s="202">
        <f t="shared" si="5"/>
        <v>0</v>
      </c>
      <c r="T43" s="203">
        <f t="shared" si="6"/>
        <v>0</v>
      </c>
      <c r="AB43" s="201" t="s">
        <v>56</v>
      </c>
      <c r="AC43" s="205">
        <f t="shared" si="7"/>
        <v>0</v>
      </c>
      <c r="AD43" s="206">
        <f t="shared" si="8"/>
        <v>0</v>
      </c>
    </row>
    <row r="44" spans="1:30" ht="22.5" customHeight="1">
      <c r="A44" s="173">
        <v>58</v>
      </c>
      <c r="B44" s="115" t="str">
        <f>VLOOKUP(C44,Lists!I:J,2,FALSE)</f>
        <v>Healer</v>
      </c>
      <c r="C44" s="115" t="str">
        <f>VLOOKUP(E44,Lists!D:E,2,FALSE)</f>
        <v>Wand/Longbow</v>
      </c>
      <c r="D44" s="175" t="s">
        <v>28</v>
      </c>
      <c r="E44" s="176" t="s">
        <v>358</v>
      </c>
      <c r="F44" s="77" t="s">
        <v>476</v>
      </c>
      <c r="G44" s="173">
        <v>0</v>
      </c>
      <c r="H44" s="173">
        <v>42</v>
      </c>
      <c r="I44" s="194">
        <f t="shared" si="0"/>
        <v>42</v>
      </c>
      <c r="J44" s="177">
        <v>34186</v>
      </c>
      <c r="K44" s="177">
        <v>577098</v>
      </c>
      <c r="L44" s="177">
        <v>1971983</v>
      </c>
      <c r="M44" s="195">
        <f>I44/(HLOOKUP(F44,Team_Composition_23[[#All],[Yellow]:[Red]],10,FALSE)+HLOOKUP(F44,Team_Composition_23[[#All],[Yellow]:[Red]],11,FALSE))</f>
        <v>1.0497375656085979E-2</v>
      </c>
      <c r="N44" s="195">
        <f>J44/HLOOKUP(F44,Team_Composition_23[[#All],[Yellow]:[Red]],6,FALSE)</f>
        <v>7.7058685353040962E-4</v>
      </c>
      <c r="O44" s="195">
        <f>K44/HLOOKUP(F44,Team_Composition_23[[#All],[Yellow]:[Red]],8,FALSE)</f>
        <v>3.294170941178895E-2</v>
      </c>
      <c r="P44" s="195">
        <f>L44/HLOOKUP(F44,Team_Composition_23[[#All],[Yellow]:[Red]],7,FALSE)</f>
        <v>0.15233815592300029</v>
      </c>
      <c r="R44" s="201" t="s">
        <v>58</v>
      </c>
      <c r="S44" s="202">
        <f t="shared" si="5"/>
        <v>1</v>
      </c>
      <c r="T44" s="203">
        <f t="shared" si="6"/>
        <v>1</v>
      </c>
      <c r="AB44" s="201" t="s">
        <v>58</v>
      </c>
      <c r="AC44" s="205">
        <f t="shared" si="7"/>
        <v>0</v>
      </c>
      <c r="AD44" s="206">
        <f t="shared" si="8"/>
        <v>2</v>
      </c>
    </row>
    <row r="45" spans="1:30" ht="22.5" customHeight="1">
      <c r="A45" s="173">
        <v>20</v>
      </c>
      <c r="B45" s="115" t="str">
        <f>VLOOKUP(C45,Lists!I:J,2,FALSE)</f>
        <v>Melee DPS</v>
      </c>
      <c r="C45" s="115" t="s">
        <v>24</v>
      </c>
      <c r="D45" s="77" t="s">
        <v>7</v>
      </c>
      <c r="E45" s="178" t="s">
        <v>349</v>
      </c>
      <c r="F45" s="175" t="s">
        <v>476</v>
      </c>
      <c r="G45" s="173">
        <v>15</v>
      </c>
      <c r="H45" s="173">
        <v>24</v>
      </c>
      <c r="I45" s="194">
        <f t="shared" si="0"/>
        <v>39</v>
      </c>
      <c r="J45" s="177">
        <v>1312448</v>
      </c>
      <c r="K45" s="177">
        <v>1174846</v>
      </c>
      <c r="L45" s="177">
        <v>32088</v>
      </c>
      <c r="M45" s="195">
        <f>I45/(HLOOKUP(F45,Team_Composition_23[[#All],[Yellow]:[Red]],10,FALSE)+HLOOKUP(F45,Team_Composition_23[[#All],[Yellow]:[Red]],11,FALSE))</f>
        <v>9.7475631092226941E-3</v>
      </c>
      <c r="N45" s="195">
        <f>J45/HLOOKUP(F45,Team_Composition_23[[#All],[Yellow]:[Red]],6,FALSE)</f>
        <v>2.9583899103208303E-2</v>
      </c>
      <c r="O45" s="195">
        <f>K45/HLOOKUP(F45,Team_Composition_23[[#All],[Yellow]:[Red]],8,FALSE)</f>
        <v>6.7062155016310229E-2</v>
      </c>
      <c r="P45" s="195">
        <f>L45/HLOOKUP(F45,Team_Composition_23[[#All],[Yellow]:[Red]],7,FALSE)</f>
        <v>2.4788381782486122E-3</v>
      </c>
      <c r="R45" s="201" t="s">
        <v>60</v>
      </c>
      <c r="S45" s="202">
        <f t="shared" si="5"/>
        <v>0</v>
      </c>
      <c r="T45" s="203">
        <f t="shared" si="6"/>
        <v>0</v>
      </c>
      <c r="AB45" s="201" t="s">
        <v>60</v>
      </c>
      <c r="AC45" s="205">
        <f t="shared" si="7"/>
        <v>0</v>
      </c>
      <c r="AD45" s="206">
        <f t="shared" si="8"/>
        <v>0</v>
      </c>
    </row>
    <row r="46" spans="1:30" ht="22.5" customHeight="1">
      <c r="A46" s="173">
        <v>59</v>
      </c>
      <c r="B46" s="115" t="str">
        <f>VLOOKUP(C46,Lists!I:J,2,FALSE)</f>
        <v>Tank</v>
      </c>
      <c r="C46" s="115" t="str">
        <f>VLOOKUP(E46,Lists!D:E,2,FALSE)</f>
        <v>SnS/Greatsword</v>
      </c>
      <c r="D46" s="175" t="s">
        <v>28</v>
      </c>
      <c r="E46" s="176" t="s">
        <v>344</v>
      </c>
      <c r="F46" s="175" t="s">
        <v>483</v>
      </c>
      <c r="G46" s="173">
        <v>0</v>
      </c>
      <c r="H46" s="173">
        <v>39</v>
      </c>
      <c r="I46" s="194">
        <f t="shared" si="0"/>
        <v>39</v>
      </c>
      <c r="J46" s="177">
        <v>66366</v>
      </c>
      <c r="K46" s="177">
        <v>234272</v>
      </c>
      <c r="L46" s="177">
        <v>40951</v>
      </c>
      <c r="M46" s="195">
        <f>I46/(HLOOKUP(F46,Team_Composition_23[[#All],[Yellow]:[Red]],10,FALSE)+HLOOKUP(F46,Team_Composition_23[[#All],[Yellow]:[Red]],11,FALSE))</f>
        <v>4.7503045066991476E-2</v>
      </c>
      <c r="N46" s="195">
        <f>J46/HLOOKUP(F46,Team_Composition_23[[#All],[Yellow]:[Red]],6,FALSE)</f>
        <v>3.7610924770499743E-3</v>
      </c>
      <c r="O46" s="195">
        <f>K46/HLOOKUP(F46,Team_Composition_23[[#All],[Yellow]:[Red]],8,FALSE)</f>
        <v>5.3224357049939499E-3</v>
      </c>
      <c r="P46" s="195">
        <f>L46/HLOOKUP(F46,Team_Composition_23[[#All],[Yellow]:[Red]],7,FALSE)</f>
        <v>1.6874200529585603E-3</v>
      </c>
      <c r="R46" s="201" t="s">
        <v>63</v>
      </c>
      <c r="S46" s="202">
        <f t="shared" si="5"/>
        <v>0</v>
      </c>
      <c r="T46" s="203">
        <f t="shared" si="6"/>
        <v>0</v>
      </c>
      <c r="AB46" s="201" t="s">
        <v>63</v>
      </c>
      <c r="AC46" s="205">
        <f t="shared" si="7"/>
        <v>0</v>
      </c>
      <c r="AD46" s="206">
        <f t="shared" si="8"/>
        <v>0</v>
      </c>
    </row>
    <row r="47" spans="1:30" ht="22.5" customHeight="1">
      <c r="A47" s="173">
        <v>60</v>
      </c>
      <c r="B47" s="115" t="str">
        <f>VLOOKUP(C47,Lists!I:J,2,FALSE)</f>
        <v>Tank</v>
      </c>
      <c r="C47" s="115" t="str">
        <f>VLOOKUP(E47,Lists!D:E,2,FALSE)</f>
        <v>SnS/Spear</v>
      </c>
      <c r="D47" s="175" t="s">
        <v>7</v>
      </c>
      <c r="E47" s="176" t="s">
        <v>61</v>
      </c>
      <c r="F47" s="175" t="s">
        <v>483</v>
      </c>
      <c r="G47" s="173">
        <v>0</v>
      </c>
      <c r="H47" s="173">
        <v>37</v>
      </c>
      <c r="I47" s="194">
        <f t="shared" si="0"/>
        <v>37</v>
      </c>
      <c r="J47" s="177">
        <v>309788</v>
      </c>
      <c r="K47" s="177">
        <v>275798</v>
      </c>
      <c r="L47" s="177">
        <v>15484</v>
      </c>
      <c r="M47" s="195">
        <f>I47/(HLOOKUP(F47,Team_Composition_23[[#All],[Yellow]:[Red]],10,FALSE)+HLOOKUP(F47,Team_Composition_23[[#All],[Yellow]:[Red]],11,FALSE))</f>
        <v>4.5066991473812421E-2</v>
      </c>
      <c r="N47" s="195">
        <f>J47/HLOOKUP(F47,Team_Composition_23[[#All],[Yellow]:[Red]],6,FALSE)</f>
        <v>1.7556298651121922E-2</v>
      </c>
      <c r="O47" s="195">
        <f>K47/HLOOKUP(F47,Team_Composition_23[[#All],[Yellow]:[Red]],8,FALSE)</f>
        <v>6.2658666958318602E-3</v>
      </c>
      <c r="P47" s="195">
        <f>L47/HLOOKUP(F47,Team_Composition_23[[#All],[Yellow]:[Red]],7,FALSE)</f>
        <v>6.3803111279359104E-4</v>
      </c>
      <c r="R47" s="204"/>
      <c r="S47" s="208"/>
      <c r="T47" s="208"/>
      <c r="AB47" s="204"/>
      <c r="AC47" s="208"/>
      <c r="AD47" s="208"/>
    </row>
    <row r="48" spans="1:30" ht="22.5" customHeight="1">
      <c r="A48" s="173">
        <v>32</v>
      </c>
      <c r="B48" s="115" t="str">
        <f>VLOOKUP(C48,Lists!I:J,2,FALSE)</f>
        <v>Tank</v>
      </c>
      <c r="C48" s="115" t="str">
        <f>VLOOKUP(E48,Lists!D:E,2,FALSE)</f>
        <v>SnS/Greatsword</v>
      </c>
      <c r="D48" s="77" t="s">
        <v>7</v>
      </c>
      <c r="E48" s="176" t="s">
        <v>93</v>
      </c>
      <c r="F48" s="175" t="s">
        <v>476</v>
      </c>
      <c r="G48" s="173">
        <v>2</v>
      </c>
      <c r="H48" s="173">
        <v>33</v>
      </c>
      <c r="I48" s="194">
        <f t="shared" si="0"/>
        <v>35</v>
      </c>
      <c r="J48" s="177">
        <v>148798</v>
      </c>
      <c r="K48" s="177">
        <v>705332</v>
      </c>
      <c r="L48" s="177">
        <v>71622</v>
      </c>
      <c r="M48" s="195">
        <f>I48/(HLOOKUP(F48,Team_Composition_23[[#All],[Yellow]:[Red]],10,FALSE)+HLOOKUP(F48,Team_Composition_23[[#All],[Yellow]:[Red]],11,FALSE))</f>
        <v>8.7478130467383147E-3</v>
      </c>
      <c r="N48" s="195">
        <f>J48/HLOOKUP(F48,Team_Composition_23[[#All],[Yellow]:[Red]],6,FALSE)</f>
        <v>3.3540567083489704E-3</v>
      </c>
      <c r="O48" s="195">
        <f>K48/HLOOKUP(F48,Team_Composition_23[[#All],[Yellow]:[Red]],8,FALSE)</f>
        <v>4.0261518464517157E-2</v>
      </c>
      <c r="P48" s="195">
        <f>L48/HLOOKUP(F48,Team_Composition_23[[#All],[Yellow]:[Red]],7,FALSE)</f>
        <v>5.5328891798342716E-3</v>
      </c>
      <c r="R48" s="6"/>
      <c r="S48" s="209"/>
      <c r="T48" s="209"/>
      <c r="AB48" s="6"/>
      <c r="AC48" s="209"/>
      <c r="AD48" s="209"/>
    </row>
    <row r="49" spans="1:30" ht="22.5" customHeight="1">
      <c r="A49" s="173">
        <v>61</v>
      </c>
      <c r="B49" s="115" t="str">
        <f>VLOOKUP(C49,Lists!I:J,2,FALSE)</f>
        <v>Healer</v>
      </c>
      <c r="C49" s="115" t="str">
        <f>VLOOKUP(E49,Lists!D:E,2,FALSE)</f>
        <v>Wand/Longbow</v>
      </c>
      <c r="D49" s="175" t="s">
        <v>7</v>
      </c>
      <c r="E49" s="176" t="s">
        <v>128</v>
      </c>
      <c r="F49" s="175" t="s">
        <v>476</v>
      </c>
      <c r="G49" s="173">
        <v>0</v>
      </c>
      <c r="H49" s="173">
        <v>35</v>
      </c>
      <c r="I49" s="194">
        <f t="shared" si="0"/>
        <v>35</v>
      </c>
      <c r="J49" s="177">
        <v>10556</v>
      </c>
      <c r="K49" s="177">
        <v>365791</v>
      </c>
      <c r="L49" s="177">
        <v>962778</v>
      </c>
      <c r="M49" s="195">
        <f>I49/(HLOOKUP(F49,Team_Composition_23[[#All],[Yellow]:[Red]],10,FALSE)+HLOOKUP(F49,Team_Composition_23[[#All],[Yellow]:[Red]],11,FALSE))</f>
        <v>8.7478130467383147E-3</v>
      </c>
      <c r="N49" s="195">
        <f>J49/HLOOKUP(F49,Team_Composition_23[[#All],[Yellow]:[Red]],6,FALSE)</f>
        <v>2.3794286625715218E-4</v>
      </c>
      <c r="O49" s="195">
        <f>K49/HLOOKUP(F49,Team_Composition_23[[#All],[Yellow]:[Red]],8,FALSE)</f>
        <v>2.0879955964927432E-2</v>
      </c>
      <c r="P49" s="195">
        <f>L49/HLOOKUP(F49,Team_Composition_23[[#All],[Yellow]:[Red]],7,FALSE)</f>
        <v>7.4375806020251886E-2</v>
      </c>
      <c r="R49" s="232" t="s">
        <v>67</v>
      </c>
      <c r="S49" s="228"/>
      <c r="T49" s="228"/>
      <c r="AB49" s="232" t="s">
        <v>67</v>
      </c>
      <c r="AC49" s="228"/>
      <c r="AD49" s="228"/>
    </row>
    <row r="50" spans="1:30" ht="22.5" customHeight="1">
      <c r="A50" s="173">
        <v>37</v>
      </c>
      <c r="B50" s="115" t="str">
        <f>VLOOKUP(C50,Lists!I:J,2,FALSE)</f>
        <v>Tank</v>
      </c>
      <c r="C50" s="115" t="str">
        <f>VLOOKUP(E50,Lists!D:E,2,FALSE)</f>
        <v>SnS/Greatsword</v>
      </c>
      <c r="D50" s="175" t="s">
        <v>7</v>
      </c>
      <c r="E50" s="176" t="s">
        <v>64</v>
      </c>
      <c r="F50" s="175" t="s">
        <v>483</v>
      </c>
      <c r="G50" s="173">
        <v>1</v>
      </c>
      <c r="H50" s="173">
        <v>32</v>
      </c>
      <c r="I50" s="194">
        <f t="shared" si="0"/>
        <v>33</v>
      </c>
      <c r="J50" s="177">
        <v>95358</v>
      </c>
      <c r="K50" s="177">
        <v>424064</v>
      </c>
      <c r="L50" s="177">
        <v>7491</v>
      </c>
      <c r="M50" s="195">
        <f>I50/(HLOOKUP(F50,Team_Composition_23[[#All],[Yellow]:[Red]],10,FALSE)+HLOOKUP(F50,Team_Composition_23[[#All],[Yellow]:[Red]],11,FALSE))</f>
        <v>4.0194884287454324E-2</v>
      </c>
      <c r="N50" s="195">
        <f>J50/HLOOKUP(F50,Team_Composition_23[[#All],[Yellow]:[Red]],6,FALSE)</f>
        <v>5.4041264567177691E-3</v>
      </c>
      <c r="O50" s="195">
        <f>K50/HLOOKUP(F50,Team_Composition_23[[#All],[Yellow]:[Red]],8,FALSE)</f>
        <v>9.634328365329849E-3</v>
      </c>
      <c r="P50" s="195">
        <f>L50/HLOOKUP(F50,Team_Composition_23[[#All],[Yellow]:[Red]],7,FALSE)</f>
        <v>3.0867289240098104E-4</v>
      </c>
      <c r="R50" s="197" t="s">
        <v>482</v>
      </c>
      <c r="S50" s="198" t="s">
        <v>476</v>
      </c>
      <c r="T50" s="198" t="s">
        <v>483</v>
      </c>
      <c r="AB50" s="197" t="s">
        <v>482</v>
      </c>
      <c r="AC50" s="198" t="s">
        <v>7</v>
      </c>
      <c r="AD50" s="198" t="s">
        <v>527</v>
      </c>
    </row>
    <row r="51" spans="1:30" ht="22.5" customHeight="1">
      <c r="A51" s="173">
        <v>62</v>
      </c>
      <c r="B51" s="115" t="str">
        <f>VLOOKUP(C51,Lists!I:J,2,FALSE)</f>
        <v>Healer</v>
      </c>
      <c r="C51" s="115" t="str">
        <f>VLOOKUP(E51,Lists!D:E,2,FALSE)</f>
        <v>Wand/Longbow</v>
      </c>
      <c r="D51" s="175" t="s">
        <v>7</v>
      </c>
      <c r="E51" s="176" t="s">
        <v>569</v>
      </c>
      <c r="F51" s="175" t="s">
        <v>476</v>
      </c>
      <c r="G51" s="173">
        <v>0</v>
      </c>
      <c r="H51" s="173">
        <v>33</v>
      </c>
      <c r="I51" s="194">
        <f t="shared" si="0"/>
        <v>33</v>
      </c>
      <c r="J51" s="177">
        <v>4092</v>
      </c>
      <c r="K51" s="177">
        <v>547240</v>
      </c>
      <c r="L51" s="177">
        <v>1120564</v>
      </c>
      <c r="M51" s="195">
        <f>I51/(HLOOKUP(F51,Team_Composition_23[[#All],[Yellow]:[Red]],10,FALSE)+HLOOKUP(F51,Team_Composition_23[[#All],[Yellow]:[Red]],11,FALSE))</f>
        <v>8.2479380154961267E-3</v>
      </c>
      <c r="N51" s="195">
        <f>J51/HLOOKUP(F51,Team_Composition_23[[#All],[Yellow]:[Red]],6,FALSE)</f>
        <v>9.2237799234962749E-5</v>
      </c>
      <c r="O51" s="195">
        <f>K51/HLOOKUP(F51,Team_Composition_23[[#All],[Yellow]:[Red]],8,FALSE)</f>
        <v>3.1237365332244062E-2</v>
      </c>
      <c r="P51" s="195">
        <f>L51/HLOOKUP(F51,Team_Composition_23[[#All],[Yellow]:[Red]],7,FALSE)</f>
        <v>8.6564972088350095E-2</v>
      </c>
      <c r="R51" s="201" t="s">
        <v>468</v>
      </c>
      <c r="S51" s="202">
        <f>SUMIFS(Scoreboard_25[Damage Dealt],Scoreboard_25[Role],"Tank",Scoreboard_25[Team],"Yellow")</f>
        <v>1935162</v>
      </c>
      <c r="T51" s="203">
        <f>SUMIFS(Scoreboard_25[Damage Dealt],Scoreboard_25[Role],"Tank",Scoreboard_25[Team],"Red")</f>
        <v>2265381</v>
      </c>
      <c r="AB51" s="201" t="s">
        <v>468</v>
      </c>
      <c r="AC51" s="205">
        <f>SUMIFS(Scoreboard_25[Damage Dealt],Scoreboard_25[Role],"Tank",Scoreboard_25[Guild],"FTP")</f>
        <v>2968251</v>
      </c>
      <c r="AD51" s="206">
        <f>SUMIFS(Scoreboard_25[Damage Dealt],Scoreboard_25[Role],"Tank",Scoreboard_25[Guild],"Undercooked")</f>
        <v>1232292</v>
      </c>
    </row>
    <row r="52" spans="1:30" ht="22.5" customHeight="1">
      <c r="A52" s="173">
        <v>33</v>
      </c>
      <c r="B52" s="115" t="str">
        <f>VLOOKUP(C52,Lists!I:J,2,FALSE)</f>
        <v>Tank</v>
      </c>
      <c r="C52" s="115" t="str">
        <f>VLOOKUP(E52,Lists!D:E,2,FALSE)</f>
        <v>SnS/Greatsword</v>
      </c>
      <c r="D52" s="77" t="s">
        <v>7</v>
      </c>
      <c r="E52" s="176" t="s">
        <v>570</v>
      </c>
      <c r="F52" s="175" t="s">
        <v>483</v>
      </c>
      <c r="G52" s="173">
        <v>2</v>
      </c>
      <c r="H52" s="173">
        <v>30</v>
      </c>
      <c r="I52" s="194">
        <f t="shared" si="0"/>
        <v>32</v>
      </c>
      <c r="J52" s="177">
        <v>389185</v>
      </c>
      <c r="K52" s="177">
        <v>621916</v>
      </c>
      <c r="L52" s="177">
        <v>12568</v>
      </c>
      <c r="M52" s="195">
        <f>I52/(HLOOKUP(F52,Team_Composition_23[[#All],[Yellow]:[Red]],10,FALSE)+HLOOKUP(F52,Team_Composition_23[[#All],[Yellow]:[Red]],11,FALSE))</f>
        <v>3.8976857490864797E-2</v>
      </c>
      <c r="N52" s="195">
        <f>J52/HLOOKUP(F52,Team_Composition_23[[#All],[Yellow]:[Red]],6,FALSE)</f>
        <v>2.2055883670564661E-2</v>
      </c>
      <c r="O52" s="195">
        <f>K52/HLOOKUP(F52,Team_Composition_23[[#All],[Yellow]:[Red]],8,FALSE)</f>
        <v>1.4129336514423481E-2</v>
      </c>
      <c r="P52" s="195">
        <f>L52/HLOOKUP(F52,Team_Composition_23[[#All],[Yellow]:[Red]],7,FALSE)</f>
        <v>5.1787490477847142E-4</v>
      </c>
      <c r="R52" s="201" t="s">
        <v>469</v>
      </c>
      <c r="S52" s="202">
        <f>SUMIFS(Scoreboard_25[Damage Taken],Scoreboard_25[Role],"Tank",Scoreboard_25[Team],"Yellow")</f>
        <v>7375214</v>
      </c>
      <c r="T52" s="203">
        <f>SUMIFS(Scoreboard_25[Damage Taken],Scoreboard_25[Role],"Tank",Scoreboard_25[Team],"Red")</f>
        <v>7751206</v>
      </c>
      <c r="AB52" s="201" t="s">
        <v>469</v>
      </c>
      <c r="AC52" s="205">
        <f>SUMIFS(Scoreboard_25[Damage Taken],Scoreboard_25[Role],"Tank",Scoreboard_25[Guild],"FTP")</f>
        <v>10544205</v>
      </c>
      <c r="AD52" s="206">
        <f>SUMIFS(Scoreboard_25[Damage Taken],Scoreboard_25[Role],"Tank",Scoreboard_25[Guild],"Undercooked")</f>
        <v>4582215</v>
      </c>
    </row>
    <row r="53" spans="1:30" ht="22.5" customHeight="1">
      <c r="A53" s="173">
        <v>63</v>
      </c>
      <c r="B53" s="115" t="str">
        <f>VLOOKUP(C53,Lists!I:J,2,FALSE)</f>
        <v>Healer</v>
      </c>
      <c r="C53" s="115" t="str">
        <f>VLOOKUP(E53,Lists!D:E,2,FALSE)</f>
        <v>Wand/Longbow</v>
      </c>
      <c r="D53" s="175" t="s">
        <v>7</v>
      </c>
      <c r="E53" s="176" t="s">
        <v>29</v>
      </c>
      <c r="F53" s="175" t="s">
        <v>476</v>
      </c>
      <c r="G53" s="173">
        <v>0</v>
      </c>
      <c r="H53" s="173">
        <v>32</v>
      </c>
      <c r="I53" s="194">
        <f t="shared" si="0"/>
        <v>32</v>
      </c>
      <c r="J53" s="177">
        <v>119365</v>
      </c>
      <c r="K53" s="177">
        <v>329065</v>
      </c>
      <c r="L53" s="177">
        <v>1988693</v>
      </c>
      <c r="M53" s="195">
        <f>I53/(HLOOKUP(F53,Team_Composition_23[[#All],[Yellow]:[Red]],10,FALSE)+HLOOKUP(F53,Team_Composition_23[[#All],[Yellow]:[Red]],11,FALSE))</f>
        <v>7.9980004998750319E-3</v>
      </c>
      <c r="N53" s="195">
        <f>J53/HLOOKUP(F53,Team_Composition_23[[#All],[Yellow]:[Red]],6,FALSE)</f>
        <v>2.6906072594529147E-3</v>
      </c>
      <c r="O53" s="195">
        <f>K53/HLOOKUP(F53,Team_Composition_23[[#All],[Yellow]:[Red]],8,FALSE)</f>
        <v>1.8783575073194381E-2</v>
      </c>
      <c r="P53" s="195">
        <f>L53/HLOOKUP(F53,Team_Composition_23[[#All],[Yellow]:[Red]],7,FALSE)</f>
        <v>0.15362902434604112</v>
      </c>
      <c r="R53" s="201" t="s">
        <v>470</v>
      </c>
      <c r="S53" s="202">
        <f>SUMIFS(Scoreboard_25[Amount Healed],Scoreboard_25[Role],"Tank",Scoreboard_25[Team],"Yellow")</f>
        <v>873761</v>
      </c>
      <c r="T53" s="203">
        <f>SUMIFS(Scoreboard_25[Amount Healed],Scoreboard_25[Role],"Tank",Scoreboard_25[Team],"Red")</f>
        <v>328954</v>
      </c>
      <c r="AB53" s="201" t="s">
        <v>470</v>
      </c>
      <c r="AC53" s="205">
        <f>SUMIFS(Scoreboard_25[Amount Healed],Scoreboard_25[Role],"Tank",Scoreboard_25[Guild],"FTP")</f>
        <v>690521</v>
      </c>
      <c r="AD53" s="206">
        <f>SUMIFS(Scoreboard_25[Amount Healed],Scoreboard_25[Role],"Tank",Scoreboard_25[Guild],"Undercooked")</f>
        <v>512194</v>
      </c>
    </row>
    <row r="54" spans="1:30" ht="22.5" customHeight="1">
      <c r="A54" s="173">
        <v>64</v>
      </c>
      <c r="B54" s="115" t="str">
        <f>VLOOKUP(C54,Lists!I:J,2,FALSE)</f>
        <v>Healer</v>
      </c>
      <c r="C54" s="115" t="str">
        <f>VLOOKUP(E54,Lists!D:E,2,FALSE)</f>
        <v>Wand/Longbow</v>
      </c>
      <c r="D54" s="175" t="s">
        <v>7</v>
      </c>
      <c r="E54" s="176" t="s">
        <v>571</v>
      </c>
      <c r="F54" s="175" t="s">
        <v>476</v>
      </c>
      <c r="G54" s="173">
        <v>0</v>
      </c>
      <c r="H54" s="173">
        <v>31</v>
      </c>
      <c r="I54" s="194">
        <f t="shared" si="0"/>
        <v>31</v>
      </c>
      <c r="J54" s="177">
        <v>41713</v>
      </c>
      <c r="K54" s="177">
        <v>920685</v>
      </c>
      <c r="L54" s="177">
        <v>2622293</v>
      </c>
      <c r="M54" s="195">
        <f>I54/(HLOOKUP(F54,Team_Composition_23[[#All],[Yellow]:[Red]],10,FALSE)+HLOOKUP(F54,Team_Composition_23[[#All],[Yellow]:[Red]],11,FALSE))</f>
        <v>7.7480629842539362E-3</v>
      </c>
      <c r="N54" s="195">
        <f>J54/HLOOKUP(F54,Team_Composition_23[[#All],[Yellow]:[Red]],6,FALSE)</f>
        <v>9.4025301062756615E-4</v>
      </c>
      <c r="O54" s="195">
        <f>K54/HLOOKUP(F54,Team_Composition_23[[#All],[Yellow]:[Red]],8,FALSE)</f>
        <v>5.255422429083606E-2</v>
      </c>
      <c r="P54" s="195">
        <f>L54/HLOOKUP(F54,Team_Composition_23[[#All],[Yellow]:[Red]],7,FALSE)</f>
        <v>0.20257541769365769</v>
      </c>
      <c r="R54" s="201" t="s">
        <v>465</v>
      </c>
      <c r="S54" s="202">
        <f>SUMIFS(Scoreboard_25[Kills],Scoreboard_25[Role],"Tank",Scoreboard_25[Team],"Yellow")</f>
        <v>6</v>
      </c>
      <c r="T54" s="203">
        <f>SUMIFS(Scoreboard_25[Kills],Scoreboard_25[Role],"Tank",Scoreboard_25[Team],"Red")</f>
        <v>13</v>
      </c>
      <c r="AB54" s="201" t="s">
        <v>465</v>
      </c>
      <c r="AC54" s="205">
        <f>SUMIFS(Scoreboard_25[Kills],Scoreboard_25[Role],"Tank",Scoreboard_25[Guild],"FTP")</f>
        <v>18</v>
      </c>
      <c r="AD54" s="206">
        <f>SUMIFS(Scoreboard_25[Kills],Scoreboard_25[Role],"Tank",Scoreboard_25[Guild],"Undercooked")</f>
        <v>1</v>
      </c>
    </row>
    <row r="55" spans="1:30" ht="22.5" customHeight="1">
      <c r="A55" s="173">
        <v>27</v>
      </c>
      <c r="B55" s="115" t="str">
        <f>VLOOKUP(C55,Lists!I:J,2,FALSE)</f>
        <v>KS</v>
      </c>
      <c r="C55" s="115" t="str">
        <f>VLOOKUP(E55,Lists!D:E,2,FALSE)</f>
        <v>Greatsword/Dagger</v>
      </c>
      <c r="D55" s="175" t="s">
        <v>28</v>
      </c>
      <c r="E55" s="176" t="s">
        <v>353</v>
      </c>
      <c r="F55" s="175" t="s">
        <v>476</v>
      </c>
      <c r="G55" s="173">
        <v>8</v>
      </c>
      <c r="H55" s="173">
        <v>21</v>
      </c>
      <c r="I55" s="194">
        <f t="shared" si="0"/>
        <v>29</v>
      </c>
      <c r="J55" s="177">
        <v>415850</v>
      </c>
      <c r="K55" s="177">
        <v>1444918</v>
      </c>
      <c r="L55" s="177">
        <v>29089</v>
      </c>
      <c r="M55" s="195">
        <f>I55/(HLOOKUP(F55,Team_Composition_23[[#All],[Yellow]:[Red]],10,FALSE)+HLOOKUP(F55,Team_Composition_23[[#All],[Yellow]:[Red]],11,FALSE))</f>
        <v>7.2481879530117473E-3</v>
      </c>
      <c r="N55" s="195">
        <f>J55/HLOOKUP(F55,Team_Composition_23[[#All],[Yellow]:[Red]],6,FALSE)</f>
        <v>9.3736776177564159E-3</v>
      </c>
      <c r="O55" s="195">
        <f>K55/HLOOKUP(F55,Team_Composition_23[[#All],[Yellow]:[Red]],8,FALSE)</f>
        <v>8.2478311967574422E-2</v>
      </c>
      <c r="P55" s="195">
        <f>L55/HLOOKUP(F55,Team_Composition_23[[#All],[Yellow]:[Red]],7,FALSE)</f>
        <v>2.2471616731199787E-3</v>
      </c>
      <c r="R55" s="201" t="s">
        <v>466</v>
      </c>
      <c r="S55" s="202">
        <f>SUMIFS(Scoreboard_25[Assists],Scoreboard_25[Role],"Tank",Scoreboard_25[Team],"Yellow")</f>
        <v>188</v>
      </c>
      <c r="T55" s="203">
        <f>SUMIFS(Scoreboard_25[Assists],Scoreboard_25[Role],"Tank",Scoreboard_25[Team],"Red")</f>
        <v>330</v>
      </c>
      <c r="AB55" s="201" t="s">
        <v>466</v>
      </c>
      <c r="AC55" s="205">
        <f>SUMIFS(Scoreboard_25[Assists],Scoreboard_25[Role],"Tank",Scoreboard_25[Guild],"FTP")</f>
        <v>384</v>
      </c>
      <c r="AD55" s="206">
        <f>SUMIFS(Scoreboard_25[Assists],Scoreboard_25[Role],"Tank",Scoreboard_25[Guild],"Undercooked")</f>
        <v>134</v>
      </c>
    </row>
    <row r="56" spans="1:30" ht="22.5" customHeight="1">
      <c r="A56" s="173">
        <v>38</v>
      </c>
      <c r="B56" s="115" t="str">
        <f>VLOOKUP(C56,Lists!I:J,2,FALSE)</f>
        <v>Healer</v>
      </c>
      <c r="C56" s="115" t="str">
        <f>VLOOKUP(E56,Lists!D:E,2,FALSE)</f>
        <v>Wand/Longbow</v>
      </c>
      <c r="D56" s="175" t="s">
        <v>7</v>
      </c>
      <c r="E56" s="176" t="s">
        <v>17</v>
      </c>
      <c r="F56" s="175" t="s">
        <v>483</v>
      </c>
      <c r="G56" s="173">
        <v>1</v>
      </c>
      <c r="H56" s="173">
        <v>27</v>
      </c>
      <c r="I56" s="194">
        <f t="shared" si="0"/>
        <v>28</v>
      </c>
      <c r="J56" s="177">
        <v>107634</v>
      </c>
      <c r="K56" s="177">
        <v>803420</v>
      </c>
      <c r="L56" s="177">
        <v>2554762</v>
      </c>
      <c r="M56" s="195">
        <f>I56/(HLOOKUP(F56,Team_Composition_23[[#All],[Yellow]:[Red]],10,FALSE)+HLOOKUP(F56,Team_Composition_23[[#All],[Yellow]:[Red]],11,FALSE))</f>
        <v>3.4104750304506701E-2</v>
      </c>
      <c r="N56" s="195">
        <f>J56/HLOOKUP(F56,Team_Composition_23[[#All],[Yellow]:[Red]],6,FALSE)</f>
        <v>6.0998316558900176E-3</v>
      </c>
      <c r="O56" s="195">
        <f>K56/HLOOKUP(F56,Team_Composition_23[[#All],[Yellow]:[Red]],8,FALSE)</f>
        <v>1.8252933744136043E-2</v>
      </c>
      <c r="P56" s="195">
        <f>L56/HLOOKUP(F56,Team_Composition_23[[#All],[Yellow]:[Red]],7,FALSE)</f>
        <v>0.10527109543934256</v>
      </c>
      <c r="R56" s="201" t="s">
        <v>62</v>
      </c>
      <c r="S56" s="202">
        <f t="shared" ref="S56:S60" si="9">COUNTIFS(C:C,R56,F:F,"Yellow")</f>
        <v>1</v>
      </c>
      <c r="T56" s="203">
        <f t="shared" ref="T56:T60" si="10">COUNTIFS(C:C,R56,F:F,"Red")</f>
        <v>3</v>
      </c>
      <c r="AB56" s="201" t="s">
        <v>62</v>
      </c>
      <c r="AC56" s="205">
        <f t="shared" ref="AC56:AC60" si="11">COUNTIFS(C:C,AB56,D:D,"FTP")</f>
        <v>3</v>
      </c>
      <c r="AD56" s="206">
        <f t="shared" ref="AD56:AD60" si="12">COUNTIFS(C:C,AB56,D:D,"Undercooked")</f>
        <v>1</v>
      </c>
    </row>
    <row r="57" spans="1:30" ht="22.5" customHeight="1">
      <c r="A57" s="173">
        <v>65</v>
      </c>
      <c r="B57" s="115" t="str">
        <f>VLOOKUP(C57,Lists!I:J,2,FALSE)</f>
        <v>Tank</v>
      </c>
      <c r="C57" s="115" t="str">
        <f>VLOOKUP(E57,Lists!D:E,2,FALSE)</f>
        <v>SnS/Spear</v>
      </c>
      <c r="D57" s="175" t="s">
        <v>7</v>
      </c>
      <c r="E57" s="176" t="s">
        <v>79</v>
      </c>
      <c r="F57" s="175" t="s">
        <v>483</v>
      </c>
      <c r="G57" s="173">
        <v>0</v>
      </c>
      <c r="H57" s="173">
        <v>28</v>
      </c>
      <c r="I57" s="194">
        <f t="shared" si="0"/>
        <v>28</v>
      </c>
      <c r="J57" s="177">
        <v>139739</v>
      </c>
      <c r="K57" s="177">
        <v>145484</v>
      </c>
      <c r="L57" s="177">
        <v>3885</v>
      </c>
      <c r="M57" s="195">
        <f>I57/(HLOOKUP(F57,Team_Composition_23[[#All],[Yellow]:[Red]],10,FALSE)+HLOOKUP(F57,Team_Composition_23[[#All],[Yellow]:[Red]],11,FALSE))</f>
        <v>3.4104750304506701E-2</v>
      </c>
      <c r="N57" s="195">
        <f>J57/HLOOKUP(F57,Team_Composition_23[[#All],[Yellow]:[Red]],6,FALSE)</f>
        <v>7.9192855023729972E-3</v>
      </c>
      <c r="O57" s="195">
        <f>K57/HLOOKUP(F57,Team_Composition_23[[#All],[Yellow]:[Red]],8,FALSE)</f>
        <v>3.3052572911203208E-3</v>
      </c>
      <c r="P57" s="195">
        <f>L57/HLOOKUP(F57,Team_Composition_23[[#All],[Yellow]:[Red]],7,FALSE)</f>
        <v>1.6008465985553483E-4</v>
      </c>
      <c r="R57" s="201" t="s">
        <v>70</v>
      </c>
      <c r="S57" s="202">
        <f t="shared" si="9"/>
        <v>0</v>
      </c>
      <c r="T57" s="203">
        <f t="shared" si="10"/>
        <v>0</v>
      </c>
      <c r="AB57" s="201" t="s">
        <v>70</v>
      </c>
      <c r="AC57" s="205">
        <f t="shared" si="11"/>
        <v>0</v>
      </c>
      <c r="AD57" s="206">
        <f t="shared" si="12"/>
        <v>0</v>
      </c>
    </row>
    <row r="58" spans="1:30" ht="22.5" customHeight="1">
      <c r="A58" s="173">
        <v>29</v>
      </c>
      <c r="B58" s="115" t="str">
        <f>VLOOKUP(C58,Lists!I:J,2,FALSE)</f>
        <v>Melee DPS</v>
      </c>
      <c r="C58" s="115" t="str">
        <f>VLOOKUP(E58,Lists!D:E,2,FALSE)</f>
        <v>Greatsword/Spear</v>
      </c>
      <c r="D58" s="175" t="s">
        <v>28</v>
      </c>
      <c r="E58" s="176" t="s">
        <v>354</v>
      </c>
      <c r="F58" s="175" t="s">
        <v>476</v>
      </c>
      <c r="G58" s="173">
        <v>7</v>
      </c>
      <c r="H58" s="173">
        <v>19</v>
      </c>
      <c r="I58" s="194">
        <f t="shared" si="0"/>
        <v>26</v>
      </c>
      <c r="J58" s="177">
        <v>542678</v>
      </c>
      <c r="K58" s="177">
        <v>1495346</v>
      </c>
      <c r="L58" s="177">
        <v>112427</v>
      </c>
      <c r="M58" s="195">
        <f>I58/(HLOOKUP(F58,Team_Composition_23[[#All],[Yellow]:[Red]],10,FALSE)+HLOOKUP(F58,Team_Composition_23[[#All],[Yellow]:[Red]],11,FALSE))</f>
        <v>6.4983754061484628E-3</v>
      </c>
      <c r="N58" s="195">
        <f>J58/HLOOKUP(F58,Team_Composition_23[[#All],[Yellow]:[Red]],6,FALSE)</f>
        <v>1.2232508409880525E-2</v>
      </c>
      <c r="O58" s="195">
        <f>K58/HLOOKUP(F58,Team_Composition_23[[#All],[Yellow]:[Red]],8,FALSE)</f>
        <v>8.5356825707385842E-2</v>
      </c>
      <c r="P58" s="195">
        <f>L58/HLOOKUP(F58,Team_Composition_23[[#All],[Yellow]:[Red]],7,FALSE)</f>
        <v>8.685126522873246E-3</v>
      </c>
      <c r="R58" s="201" t="s">
        <v>14</v>
      </c>
      <c r="S58" s="202">
        <f t="shared" si="9"/>
        <v>11</v>
      </c>
      <c r="T58" s="203">
        <f t="shared" si="10"/>
        <v>10</v>
      </c>
      <c r="AB58" s="201" t="s">
        <v>14</v>
      </c>
      <c r="AC58" s="205">
        <f t="shared" si="11"/>
        <v>14</v>
      </c>
      <c r="AD58" s="206">
        <f t="shared" si="12"/>
        <v>7</v>
      </c>
    </row>
    <row r="59" spans="1:30" ht="22.5" customHeight="1">
      <c r="A59" s="173">
        <v>66</v>
      </c>
      <c r="B59" s="115" t="str">
        <f>VLOOKUP(C59,Lists!I:J,2,FALSE)</f>
        <v>Tank</v>
      </c>
      <c r="C59" s="115" t="str">
        <f>VLOOKUP(E59,Lists!D:E,2,FALSE)</f>
        <v>SnS/Greatsword</v>
      </c>
      <c r="D59" s="175" t="s">
        <v>7</v>
      </c>
      <c r="E59" s="178" t="s">
        <v>118</v>
      </c>
      <c r="F59" s="175" t="s">
        <v>483</v>
      </c>
      <c r="G59" s="173">
        <v>0</v>
      </c>
      <c r="H59" s="173">
        <v>23</v>
      </c>
      <c r="I59" s="194">
        <f t="shared" si="0"/>
        <v>23</v>
      </c>
      <c r="J59" s="177">
        <v>61832</v>
      </c>
      <c r="K59" s="177">
        <v>634176</v>
      </c>
      <c r="L59" s="177">
        <v>56151</v>
      </c>
      <c r="M59" s="195">
        <f>I59/(HLOOKUP(F59,Team_Composition_23[[#All],[Yellow]:[Red]],10,FALSE)+HLOOKUP(F59,Team_Composition_23[[#All],[Yellow]:[Red]],11,FALSE))</f>
        <v>2.8014616321559074E-2</v>
      </c>
      <c r="N59" s="195">
        <f>J59/HLOOKUP(F59,Team_Composition_23[[#All],[Yellow]:[Red]],6,FALSE)</f>
        <v>3.5041417298157791E-3</v>
      </c>
      <c r="O59" s="195">
        <f>K59/HLOOKUP(F59,Team_Composition_23[[#All],[Yellow]:[Red]],8,FALSE)</f>
        <v>1.4407871984916009E-2</v>
      </c>
      <c r="P59" s="195">
        <f>L59/HLOOKUP(F59,Team_Composition_23[[#All],[Yellow]:[Red]],7,FALSE)</f>
        <v>2.3137487092787993E-3</v>
      </c>
      <c r="R59" s="201" t="s">
        <v>73</v>
      </c>
      <c r="S59" s="202">
        <f t="shared" si="9"/>
        <v>1</v>
      </c>
      <c r="T59" s="203">
        <f t="shared" si="10"/>
        <v>0</v>
      </c>
      <c r="AB59" s="201" t="s">
        <v>73</v>
      </c>
      <c r="AC59" s="205">
        <f t="shared" si="11"/>
        <v>0</v>
      </c>
      <c r="AD59" s="206">
        <f t="shared" si="12"/>
        <v>1</v>
      </c>
    </row>
    <row r="60" spans="1:30" ht="22.5" customHeight="1">
      <c r="A60" s="173">
        <v>39</v>
      </c>
      <c r="B60" s="115" t="str">
        <f>VLOOKUP(C60,Lists!I:J,2,FALSE)</f>
        <v>Tank</v>
      </c>
      <c r="C60" s="115" t="str">
        <f>VLOOKUP(E60,Lists!D:E,2,FALSE)</f>
        <v>SnS/Greatsword</v>
      </c>
      <c r="D60" s="175" t="s">
        <v>28</v>
      </c>
      <c r="E60" s="176" t="s">
        <v>355</v>
      </c>
      <c r="F60" s="175" t="s">
        <v>476</v>
      </c>
      <c r="G60" s="173">
        <v>1</v>
      </c>
      <c r="H60" s="173">
        <v>20</v>
      </c>
      <c r="I60" s="194">
        <f t="shared" si="0"/>
        <v>21</v>
      </c>
      <c r="J60" s="177">
        <v>418926</v>
      </c>
      <c r="K60" s="177">
        <v>232389</v>
      </c>
      <c r="L60" s="177">
        <v>6191</v>
      </c>
      <c r="M60" s="195">
        <f>I60/(HLOOKUP(F60,Team_Composition_23[[#All],[Yellow]:[Red]],10,FALSE)+HLOOKUP(F60,Team_Composition_23[[#All],[Yellow]:[Red]],11,FALSE))</f>
        <v>5.2486878280429894E-3</v>
      </c>
      <c r="N60" s="195">
        <f>J60/HLOOKUP(F60,Team_Composition_23[[#All],[Yellow]:[Red]],6,FALSE)</f>
        <v>9.4430137542292278E-3</v>
      </c>
      <c r="O60" s="195">
        <f>K60/HLOOKUP(F60,Team_Composition_23[[#All],[Yellow]:[Red]],8,FALSE)</f>
        <v>1.3265148914909118E-2</v>
      </c>
      <c r="P60" s="195">
        <f>L60/HLOOKUP(F60,Team_Composition_23[[#All],[Yellow]:[Red]],7,FALSE)</f>
        <v>4.7826250191776231E-4</v>
      </c>
      <c r="R60" s="201" t="s">
        <v>75</v>
      </c>
      <c r="S60" s="202">
        <f t="shared" si="9"/>
        <v>0</v>
      </c>
      <c r="T60" s="203">
        <f t="shared" si="10"/>
        <v>0</v>
      </c>
      <c r="AB60" s="201" t="s">
        <v>75</v>
      </c>
      <c r="AC60" s="205">
        <f t="shared" si="11"/>
        <v>0</v>
      </c>
      <c r="AD60" s="206">
        <f t="shared" si="12"/>
        <v>0</v>
      </c>
    </row>
    <row r="61" spans="1:30" ht="22.5" customHeight="1">
      <c r="A61" s="173">
        <v>40</v>
      </c>
      <c r="B61" s="115" t="str">
        <f>VLOOKUP(C61,Lists!I:J,2,FALSE)</f>
        <v>Tank</v>
      </c>
      <c r="C61" s="115" t="str">
        <f>VLOOKUP(E61,Lists!D:E,2,FALSE)</f>
        <v>SnS/Greatsword</v>
      </c>
      <c r="D61" s="175" t="s">
        <v>7</v>
      </c>
      <c r="E61" s="176" t="s">
        <v>85</v>
      </c>
      <c r="F61" s="175" t="s">
        <v>476</v>
      </c>
      <c r="G61" s="173">
        <v>1</v>
      </c>
      <c r="H61" s="173">
        <v>19</v>
      </c>
      <c r="I61" s="194">
        <f t="shared" si="0"/>
        <v>20</v>
      </c>
      <c r="J61" s="177">
        <v>385516</v>
      </c>
      <c r="K61" s="177">
        <v>1071403</v>
      </c>
      <c r="L61" s="177">
        <v>100745</v>
      </c>
      <c r="M61" s="195">
        <f>I61/(HLOOKUP(F61,Team_Composition_23[[#All],[Yellow]:[Red]],10,FALSE)+HLOOKUP(F61,Team_Composition_23[[#All],[Yellow]:[Red]],11,FALSE))</f>
        <v>4.9987503124218945E-3</v>
      </c>
      <c r="N61" s="195">
        <f>J61/HLOOKUP(F61,Team_Composition_23[[#All],[Yellow]:[Red]],6,FALSE)</f>
        <v>8.6899187218636119E-3</v>
      </c>
      <c r="O61" s="195">
        <f>K61/HLOOKUP(F61,Team_Composition_23[[#All],[Yellow]:[Red]],8,FALSE)</f>
        <v>6.1157457293074861E-2</v>
      </c>
      <c r="P61" s="195">
        <f>L61/HLOOKUP(F61,Team_Composition_23[[#All],[Yellow]:[Red]],7,FALSE)</f>
        <v>7.7826773955265655E-3</v>
      </c>
      <c r="R61" s="204"/>
      <c r="S61" s="208"/>
      <c r="T61" s="208"/>
      <c r="AB61" s="204"/>
      <c r="AC61" s="208"/>
      <c r="AD61" s="208"/>
    </row>
    <row r="62" spans="1:30" ht="22.5" customHeight="1">
      <c r="A62" s="173">
        <v>67</v>
      </c>
      <c r="B62" s="115" t="str">
        <f>VLOOKUP(C62,Lists!I:J,2,FALSE)</f>
        <v>Healer</v>
      </c>
      <c r="C62" s="115" t="str">
        <f>VLOOKUP(E62,Lists!D:E,2,FALSE)</f>
        <v>Wand/Longbow</v>
      </c>
      <c r="D62" s="175" t="s">
        <v>7</v>
      </c>
      <c r="E62" s="178" t="s">
        <v>135</v>
      </c>
      <c r="F62" s="175" t="s">
        <v>476</v>
      </c>
      <c r="G62" s="173">
        <v>0</v>
      </c>
      <c r="H62" s="173">
        <v>19</v>
      </c>
      <c r="I62" s="194">
        <f t="shared" si="0"/>
        <v>19</v>
      </c>
      <c r="J62" s="177">
        <v>51569</v>
      </c>
      <c r="K62" s="177">
        <v>827635</v>
      </c>
      <c r="L62" s="177">
        <v>1690114</v>
      </c>
      <c r="M62" s="195">
        <f>I62/(HLOOKUP(F62,Team_Composition_23[[#All],[Yellow]:[Red]],10,FALSE)+HLOOKUP(F62,Team_Composition_23[[#All],[Yellow]:[Red]],11,FALSE))</f>
        <v>4.7488127968007996E-3</v>
      </c>
      <c r="N62" s="195">
        <f>J62/HLOOKUP(F62,Team_Composition_23[[#All],[Yellow]:[Red]],6,FALSE)</f>
        <v>1.162417172225756E-3</v>
      </c>
      <c r="O62" s="195">
        <f>K62/HLOOKUP(F62,Team_Composition_23[[#All],[Yellow]:[Red]],8,FALSE)</f>
        <v>4.7242776216562782E-2</v>
      </c>
      <c r="P62" s="195">
        <f>L62/HLOOKUP(F62,Team_Composition_23[[#All],[Yellow]:[Red]],7,FALSE)</f>
        <v>0.13056342273723745</v>
      </c>
      <c r="R62" s="6"/>
      <c r="S62" s="209"/>
      <c r="T62" s="209"/>
      <c r="AB62" s="6"/>
      <c r="AC62" s="209"/>
      <c r="AD62" s="209"/>
    </row>
    <row r="63" spans="1:30" ht="22.5" customHeight="1">
      <c r="A63" s="173">
        <v>68</v>
      </c>
      <c r="B63" s="115" t="str">
        <f>VLOOKUP(C63,Lists!I:J,2,FALSE)</f>
        <v>Healer</v>
      </c>
      <c r="C63" s="115" t="str">
        <f>VLOOKUP(E63,Lists!D:E,2,FALSE)</f>
        <v>Wand/Orb</v>
      </c>
      <c r="D63" s="175" t="s">
        <v>7</v>
      </c>
      <c r="E63" s="176" t="s">
        <v>74</v>
      </c>
      <c r="F63" s="175" t="s">
        <v>483</v>
      </c>
      <c r="G63" s="173">
        <v>0</v>
      </c>
      <c r="H63" s="173">
        <v>17</v>
      </c>
      <c r="I63" s="194">
        <f t="shared" si="0"/>
        <v>17</v>
      </c>
      <c r="J63" s="177">
        <v>9468</v>
      </c>
      <c r="K63" s="177">
        <v>283638</v>
      </c>
      <c r="L63" s="177">
        <v>564896</v>
      </c>
      <c r="M63" s="195">
        <f>I63/(HLOOKUP(F63,Team_Composition_23[[#All],[Yellow]:[Red]],10,FALSE)+HLOOKUP(F63,Team_Composition_23[[#All],[Yellow]:[Red]],11,FALSE))</f>
        <v>2.0706455542021926E-2</v>
      </c>
      <c r="N63" s="195">
        <f>J63/HLOOKUP(F63,Team_Composition_23[[#All],[Yellow]:[Red]],6,FALSE)</f>
        <v>5.3657028557859679E-4</v>
      </c>
      <c r="O63" s="195">
        <f>K63/HLOOKUP(F63,Team_Composition_23[[#All],[Yellow]:[Red]],8,FALSE)</f>
        <v>6.443983995070149E-3</v>
      </c>
      <c r="P63" s="195">
        <f>L63/HLOOKUP(F63,Team_Composition_23[[#All],[Yellow]:[Red]],7,FALSE)</f>
        <v>2.3277010042149857E-2</v>
      </c>
      <c r="R63" s="232" t="s">
        <v>11</v>
      </c>
      <c r="S63" s="228"/>
      <c r="T63" s="228"/>
      <c r="AB63" s="232" t="s">
        <v>11</v>
      </c>
      <c r="AC63" s="228"/>
      <c r="AD63" s="228"/>
    </row>
    <row r="64" spans="1:30" ht="22.5" customHeight="1">
      <c r="A64" s="173">
        <v>69</v>
      </c>
      <c r="B64" s="115" t="str">
        <f>VLOOKUP(C64,Lists!I:J,2,FALSE)</f>
        <v>Tank</v>
      </c>
      <c r="C64" s="115" t="str">
        <f>VLOOKUP(E64,Lists!D:E,2,FALSE)</f>
        <v>SnS/Greatsword</v>
      </c>
      <c r="D64" s="175" t="s">
        <v>28</v>
      </c>
      <c r="E64" s="176" t="s">
        <v>359</v>
      </c>
      <c r="F64" s="175" t="s">
        <v>476</v>
      </c>
      <c r="G64" s="173">
        <v>0</v>
      </c>
      <c r="H64" s="173">
        <v>16</v>
      </c>
      <c r="I64" s="194">
        <f t="shared" si="0"/>
        <v>16</v>
      </c>
      <c r="J64" s="177">
        <v>383189</v>
      </c>
      <c r="K64" s="177">
        <v>618503</v>
      </c>
      <c r="L64" s="177">
        <v>43591</v>
      </c>
      <c r="M64" s="195">
        <f>I64/(HLOOKUP(F64,Team_Composition_23[[#All],[Yellow]:[Red]],10,FALSE)+HLOOKUP(F64,Team_Composition_23[[#All],[Yellow]:[Red]],11,FALSE))</f>
        <v>3.9990002499375159E-3</v>
      </c>
      <c r="N64" s="195">
        <f>J64/HLOOKUP(F64,Team_Composition_23[[#All],[Yellow]:[Red]],6,FALSE)</f>
        <v>8.6374657993758888E-3</v>
      </c>
      <c r="O64" s="195">
        <f>K64/HLOOKUP(F64,Team_Composition_23[[#All],[Yellow]:[Red]],8,FALSE)</f>
        <v>3.5305175371114959E-2</v>
      </c>
      <c r="P64" s="195">
        <f>L64/HLOOKUP(F64,Team_Composition_23[[#All],[Yellow]:[Red]],7,FALSE)</f>
        <v>3.3674593314645738E-3</v>
      </c>
      <c r="R64" s="197" t="s">
        <v>482</v>
      </c>
      <c r="S64" s="198" t="s">
        <v>476</v>
      </c>
      <c r="T64" s="198" t="s">
        <v>483</v>
      </c>
      <c r="AB64" s="197" t="s">
        <v>482</v>
      </c>
      <c r="AC64" s="198" t="s">
        <v>7</v>
      </c>
      <c r="AD64" s="198" t="s">
        <v>527</v>
      </c>
    </row>
    <row r="65" spans="1:30" ht="22.5" customHeight="1">
      <c r="A65" s="173">
        <v>41</v>
      </c>
      <c r="B65" s="115" t="str">
        <f>VLOOKUP(C65,Lists!I:J,2,FALSE)</f>
        <v>Tank</v>
      </c>
      <c r="C65" s="115" t="str">
        <f>VLOOKUP(E65,Lists!D:E,2,FALSE)</f>
        <v>SnS/Greatsword</v>
      </c>
      <c r="D65" s="175" t="s">
        <v>7</v>
      </c>
      <c r="E65" s="176" t="s">
        <v>82</v>
      </c>
      <c r="F65" s="175" t="s">
        <v>483</v>
      </c>
      <c r="G65" s="173">
        <v>1</v>
      </c>
      <c r="H65" s="173">
        <v>14</v>
      </c>
      <c r="I65" s="194">
        <f t="shared" si="0"/>
        <v>15</v>
      </c>
      <c r="J65" s="177">
        <v>45187</v>
      </c>
      <c r="K65" s="177">
        <v>998830</v>
      </c>
      <c r="L65" s="177">
        <v>25901</v>
      </c>
      <c r="M65" s="195">
        <f>I65/(HLOOKUP(F65,Team_Composition_23[[#All],[Yellow]:[Red]],10,FALSE)+HLOOKUP(F65,Team_Composition_23[[#All],[Yellow]:[Red]],11,FALSE))</f>
        <v>1.8270401948842874E-2</v>
      </c>
      <c r="N65" s="195">
        <f>J65/HLOOKUP(F65,Team_Composition_23[[#All],[Yellow]:[Red]],6,FALSE)</f>
        <v>2.5608366597422954E-3</v>
      </c>
      <c r="O65" s="195">
        <f>K65/HLOOKUP(F65,Team_Composition_23[[#All],[Yellow]:[Red]],8,FALSE)</f>
        <v>2.2692461989563872E-2</v>
      </c>
      <c r="P65" s="195">
        <f>L65/HLOOKUP(F65,Team_Composition_23[[#All],[Yellow]:[Red]],7,FALSE)</f>
        <v>1.0672722715362182E-3</v>
      </c>
      <c r="R65" s="201" t="s">
        <v>468</v>
      </c>
      <c r="S65" s="202">
        <f>SUMIFS(Scoreboard_25[Damage Dealt],Scoreboard_25[Role],"Healer",Scoreboard_25[Team],"Yellow")</f>
        <v>414658</v>
      </c>
      <c r="T65" s="203">
        <f>SUMIFS(Scoreboard_25[Damage Dealt],Scoreboard_25[Role],"Healer",Scoreboard_25[Team],"Red")</f>
        <v>1763517</v>
      </c>
      <c r="AB65" s="201" t="s">
        <v>468</v>
      </c>
      <c r="AC65" s="205">
        <f>SUMIFS(Scoreboard_25[Damage Dealt],Scoreboard_25[Role],"Healer",Scoreboard_25[Guild],"FTP")</f>
        <v>1740761</v>
      </c>
      <c r="AD65" s="206">
        <f>SUMIFS(Scoreboard_25[Damage Dealt],Scoreboard_25[Role],"Healer",Scoreboard_25[Guild],"Undercooked")</f>
        <v>354375</v>
      </c>
    </row>
    <row r="66" spans="1:30" ht="22.5" customHeight="1">
      <c r="A66" s="173">
        <v>70</v>
      </c>
      <c r="B66" s="115" t="str">
        <f>VLOOKUP(C66,Lists!I:J,2,FALSE)</f>
        <v>Tank</v>
      </c>
      <c r="C66" s="115" t="str">
        <f>VLOOKUP(E66,Lists!D:E,2,FALSE)</f>
        <v>SnS/Greatsword</v>
      </c>
      <c r="D66" s="175" t="s">
        <v>28</v>
      </c>
      <c r="E66" s="176" t="s">
        <v>360</v>
      </c>
      <c r="F66" s="175" t="s">
        <v>476</v>
      </c>
      <c r="G66" s="173">
        <v>0</v>
      </c>
      <c r="H66" s="173">
        <v>15</v>
      </c>
      <c r="I66" s="194">
        <f t="shared" si="0"/>
        <v>15</v>
      </c>
      <c r="J66" s="177">
        <v>144726</v>
      </c>
      <c r="K66" s="177">
        <v>458641</v>
      </c>
      <c r="L66" s="177">
        <v>70852</v>
      </c>
      <c r="M66" s="195">
        <f>I66/(HLOOKUP(F66,Team_Composition_23[[#All],[Yellow]:[Red]],10,FALSE)+HLOOKUP(F66,Team_Composition_23[[#All],[Yellow]:[Red]],11,FALSE))</f>
        <v>3.7490627343164211E-3</v>
      </c>
      <c r="N66" s="195">
        <f>J66/HLOOKUP(F66,Team_Composition_23[[#All],[Yellow]:[Red]],6,FALSE)</f>
        <v>3.2622697292471205E-3</v>
      </c>
      <c r="O66" s="195">
        <f>K66/HLOOKUP(F66,Team_Composition_23[[#All],[Yellow]:[Red]],8,FALSE)</f>
        <v>2.6179987708036236E-2</v>
      </c>
      <c r="P66" s="195">
        <f>L66/HLOOKUP(F66,Team_Composition_23[[#All],[Yellow]:[Red]],7,FALSE)</f>
        <v>5.4734057156965426E-3</v>
      </c>
      <c r="R66" s="201" t="s">
        <v>469</v>
      </c>
      <c r="S66" s="202">
        <f>SUMIFS(Scoreboard_25[Damage Taken],Scoreboard_25[Role],"Healer",Scoreboard_25[Team],"Yellow")</f>
        <v>7991970</v>
      </c>
      <c r="T66" s="203">
        <f>SUMIFS(Scoreboard_25[Damage Taken],Scoreboard_25[Role],"Healer",Scoreboard_25[Team],"Red")</f>
        <v>7142282</v>
      </c>
      <c r="AB66" s="201" t="s">
        <v>469</v>
      </c>
      <c r="AC66" s="205">
        <f>SUMIFS(Scoreboard_25[Damage Taken],Scoreboard_25[Role],"Healer",Scoreboard_25[Guild],"FTP")</f>
        <v>9899957</v>
      </c>
      <c r="AD66" s="206">
        <f>SUMIFS(Scoreboard_25[Damage Taken],Scoreboard_25[Role],"Healer",Scoreboard_25[Guild],"Undercooked")</f>
        <v>4538112</v>
      </c>
    </row>
    <row r="67" spans="1:30" ht="22.5" customHeight="1">
      <c r="A67" s="173">
        <v>71</v>
      </c>
      <c r="B67" s="115" t="str">
        <f>VLOOKUP(C67,Lists!I:J,2,FALSE)</f>
        <v>Tank</v>
      </c>
      <c r="C67" s="115" t="str">
        <f>VLOOKUP(E67,Lists!D:E,2,FALSE)</f>
        <v>SnS/Greatsword</v>
      </c>
      <c r="D67" s="175" t="s">
        <v>7</v>
      </c>
      <c r="E67" s="176" t="s">
        <v>141</v>
      </c>
      <c r="F67" s="175" t="s">
        <v>476</v>
      </c>
      <c r="G67" s="173">
        <v>0</v>
      </c>
      <c r="H67" s="173">
        <v>15</v>
      </c>
      <c r="I67" s="194">
        <f t="shared" si="0"/>
        <v>15</v>
      </c>
      <c r="J67" s="177">
        <v>107266</v>
      </c>
      <c r="K67" s="177">
        <v>534945</v>
      </c>
      <c r="L67" s="177">
        <v>92564</v>
      </c>
      <c r="M67" s="195">
        <f>I67/(HLOOKUP(F67,Team_Composition_23[[#All],[Yellow]:[Red]],10,FALSE)+HLOOKUP(F67,Team_Composition_23[[#All],[Yellow]:[Red]],11,FALSE))</f>
        <v>3.7490627343164211E-3</v>
      </c>
      <c r="N67" s="195">
        <f>J67/HLOOKUP(F67,Team_Composition_23[[#All],[Yellow]:[Red]],6,FALSE)</f>
        <v>2.4178836199260784E-3</v>
      </c>
      <c r="O67" s="195">
        <f>K67/HLOOKUP(F67,Team_Composition_23[[#All],[Yellow]:[Red]],8,FALSE)</f>
        <v>3.0535546373907794E-2</v>
      </c>
      <c r="P67" s="195">
        <f>L67/HLOOKUP(F67,Team_Composition_23[[#All],[Yellow]:[Red]],7,FALSE)</f>
        <v>7.1506849018762317E-3</v>
      </c>
      <c r="R67" s="201" t="s">
        <v>470</v>
      </c>
      <c r="S67" s="202">
        <f>SUMIFS(Scoreboard_25[Amount Healed],Scoreboard_25[Role],"Healer",Scoreboard_25[Team],"Yellow")</f>
        <v>23620933</v>
      </c>
      <c r="T67" s="203">
        <f>SUMIFS(Scoreboard_25[Amount Healed],Scoreboard_25[Role],"Healer",Scoreboard_25[Team],"Red")</f>
        <v>19144176</v>
      </c>
      <c r="AB67" s="201" t="s">
        <v>470</v>
      </c>
      <c r="AC67" s="205">
        <f>SUMIFS(Scoreboard_25[Amount Healed],Scoreboard_25[Role],"Healer",Scoreboard_25[Guild],"FTP")</f>
        <v>23813317</v>
      </c>
      <c r="AD67" s="206">
        <f>SUMIFS(Scoreboard_25[Amount Healed],Scoreboard_25[Role],"Healer",Scoreboard_25[Guild],"Undercooked")</f>
        <v>16024611</v>
      </c>
    </row>
    <row r="68" spans="1:30" ht="22.5" customHeight="1">
      <c r="A68" s="173">
        <v>42</v>
      </c>
      <c r="B68" s="115" t="str">
        <f>VLOOKUP(C68,Lists!I:J,2,FALSE)</f>
        <v>Tank</v>
      </c>
      <c r="C68" s="115" t="str">
        <f>VLOOKUP(E68,Lists!D:E,2,FALSE)</f>
        <v>SnS/Greatsword</v>
      </c>
      <c r="D68" s="175" t="s">
        <v>7</v>
      </c>
      <c r="E68" s="176" t="s">
        <v>109</v>
      </c>
      <c r="F68" s="175" t="s">
        <v>483</v>
      </c>
      <c r="G68" s="173">
        <v>1</v>
      </c>
      <c r="H68" s="173">
        <v>13</v>
      </c>
      <c r="I68" s="194">
        <f t="shared" si="0"/>
        <v>14</v>
      </c>
      <c r="J68" s="177">
        <v>55078</v>
      </c>
      <c r="K68" s="177">
        <v>1043937</v>
      </c>
      <c r="L68" s="177">
        <v>17254</v>
      </c>
      <c r="M68" s="195">
        <f>I68/(HLOOKUP(F68,Team_Composition_23[[#All],[Yellow]:[Red]],10,FALSE)+HLOOKUP(F68,Team_Composition_23[[#All],[Yellow]:[Red]],11,FALSE))</f>
        <v>1.705237515225335E-2</v>
      </c>
      <c r="N68" s="195">
        <f>J68/HLOOKUP(F68,Team_Composition_23[[#All],[Yellow]:[Red]],6,FALSE)</f>
        <v>3.1213791919199362E-3</v>
      </c>
      <c r="O68" s="195">
        <f>K68/HLOOKUP(F68,Team_Composition_23[[#All],[Yellow]:[Red]],8,FALSE)</f>
        <v>2.3717249874352333E-2</v>
      </c>
      <c r="P68" s="195">
        <f>L68/HLOOKUP(F68,Team_Composition_23[[#All],[Yellow]:[Red]],7,FALSE)</f>
        <v>7.1096543658877678E-4</v>
      </c>
      <c r="R68" s="201" t="s">
        <v>465</v>
      </c>
      <c r="S68" s="202">
        <f>SUMIFS(Scoreboard_25[Kills],Scoreboard_25[Role],"Healer",Scoreboard_25[Team],"Yellow")</f>
        <v>0</v>
      </c>
      <c r="T68" s="203">
        <f>SUMIFS(Scoreboard_25[Kills],Scoreboard_25[Role],"Healer",Scoreboard_25[Team],"Red")</f>
        <v>16</v>
      </c>
      <c r="AB68" s="201" t="s">
        <v>465</v>
      </c>
      <c r="AC68" s="205">
        <f>SUMIFS(Scoreboard_25[Kills],Scoreboard_25[Role],"Healer",Scoreboard_25[Guild],"FTP")</f>
        <v>14</v>
      </c>
      <c r="AD68" s="206">
        <f>SUMIFS(Scoreboard_25[Kills],Scoreboard_25[Role],"Healer",Scoreboard_25[Guild],"Undercooked")</f>
        <v>2</v>
      </c>
    </row>
    <row r="69" spans="1:30" ht="22.5" customHeight="1">
      <c r="A69" s="173">
        <v>72</v>
      </c>
      <c r="B69" s="115" t="str">
        <f>VLOOKUP(C69,Lists!I:J,2,FALSE)</f>
        <v>Tank</v>
      </c>
      <c r="C69" s="115" t="str">
        <f>VLOOKUP(E69,Lists!D:E,2,FALSE)</f>
        <v>SnS/Greatsword</v>
      </c>
      <c r="D69" s="175" t="s">
        <v>7</v>
      </c>
      <c r="E69" s="176" t="s">
        <v>57</v>
      </c>
      <c r="F69" s="175" t="s">
        <v>476</v>
      </c>
      <c r="G69" s="173">
        <v>0</v>
      </c>
      <c r="H69" s="173">
        <v>14</v>
      </c>
      <c r="I69" s="194">
        <f t="shared" si="0"/>
        <v>14</v>
      </c>
      <c r="J69" s="177">
        <v>48884</v>
      </c>
      <c r="K69" s="177">
        <v>552500</v>
      </c>
      <c r="L69" s="177">
        <v>54943</v>
      </c>
      <c r="M69" s="195">
        <f>I69/(HLOOKUP(F69,Team_Composition_23[[#All],[Yellow]:[Red]],10,FALSE)+HLOOKUP(F69,Team_Composition_23[[#All],[Yellow]:[Red]],11,FALSE))</f>
        <v>3.4991252186953262E-3</v>
      </c>
      <c r="N69" s="195">
        <f>J69/HLOOKUP(F69,Team_Composition_23[[#All],[Yellow]:[Red]],6,FALSE)</f>
        <v>1.1018945693553077E-3</v>
      </c>
      <c r="O69" s="195">
        <f>K69/HLOOKUP(F69,Team_Composition_23[[#All],[Yellow]:[Red]],8,FALSE)</f>
        <v>3.1537614841869829E-2</v>
      </c>
      <c r="P69" s="195">
        <f>L69/HLOOKUP(F69,Team_Composition_23[[#All],[Yellow]:[Red]],7,FALSE)</f>
        <v>4.2444155456093707E-3</v>
      </c>
      <c r="R69" s="201" t="s">
        <v>466</v>
      </c>
      <c r="S69" s="202">
        <f>SUMIFS(Scoreboard_25[Assists],Scoreboard_25[Role],"Healer",Scoreboard_25[Team],"Yellow")</f>
        <v>455</v>
      </c>
      <c r="T69" s="203">
        <f>SUMIFS(Scoreboard_25[Assists],Scoreboard_25[Role],"Healer",Scoreboard_25[Team],"Red")</f>
        <v>841</v>
      </c>
      <c r="AB69" s="201" t="s">
        <v>466</v>
      </c>
      <c r="AC69" s="205">
        <f>SUMIFS(Scoreboard_25[Assists],Scoreboard_25[Role],"Healer",Scoreboard_25[Guild],"FTP")</f>
        <v>738</v>
      </c>
      <c r="AD69" s="206">
        <f>SUMIFS(Scoreboard_25[Assists],Scoreboard_25[Role],"Healer",Scoreboard_25[Guild],"Undercooked")</f>
        <v>504</v>
      </c>
    </row>
    <row r="70" spans="1:30" ht="22.5" customHeight="1">
      <c r="A70" s="173">
        <v>73</v>
      </c>
      <c r="B70" s="115" t="str">
        <f>VLOOKUP(C70,Lists!I:J,2,FALSE)</f>
        <v>Healer</v>
      </c>
      <c r="C70" s="115" t="str">
        <f>VLOOKUP(E70,Lists!D:E,2,FALSE)</f>
        <v>Wand/Orb</v>
      </c>
      <c r="D70" s="175" t="s">
        <v>7</v>
      </c>
      <c r="E70" s="178" t="s">
        <v>572</v>
      </c>
      <c r="F70" s="175" t="s">
        <v>476</v>
      </c>
      <c r="G70" s="173">
        <v>0</v>
      </c>
      <c r="H70" s="173">
        <v>13</v>
      </c>
      <c r="I70" s="194">
        <f t="shared" si="0"/>
        <v>13</v>
      </c>
      <c r="J70" s="177">
        <v>1991</v>
      </c>
      <c r="K70" s="177">
        <v>489262</v>
      </c>
      <c r="L70" s="177">
        <v>1522358</v>
      </c>
      <c r="M70" s="195">
        <f>I70/(HLOOKUP(F70,Team_Composition_23[[#All],[Yellow]:[Red]],10,FALSE)+HLOOKUP(F70,Team_Composition_23[[#All],[Yellow]:[Red]],11,FALSE))</f>
        <v>3.2491877030742314E-3</v>
      </c>
      <c r="N70" s="195">
        <f>J70/HLOOKUP(F70,Team_Composition_23[[#All],[Yellow]:[Red]],6,FALSE)</f>
        <v>4.4879144251420042E-5</v>
      </c>
      <c r="O70" s="195">
        <f>K70/HLOOKUP(F70,Team_Composition_23[[#All],[Yellow]:[Red]],8,FALSE)</f>
        <v>2.7927885090973603E-2</v>
      </c>
      <c r="P70" s="195">
        <f>L70/HLOOKUP(F70,Team_Composition_23[[#All],[Yellow]:[Red]],7,FALSE)</f>
        <v>0.11760406168543383</v>
      </c>
      <c r="R70" s="201" t="s">
        <v>10</v>
      </c>
      <c r="S70" s="202">
        <f t="shared" ref="S70:S72" si="13">COUNTIFS(C:C,R70,F:F,"Yellow")</f>
        <v>9</v>
      </c>
      <c r="T70" s="203">
        <f t="shared" ref="T70:T72" si="14">COUNTIFS(C:C,R70,F:F,"Red")</f>
        <v>8</v>
      </c>
      <c r="AB70" s="201" t="s">
        <v>10</v>
      </c>
      <c r="AC70" s="205">
        <f t="shared" ref="AC70:AC72" si="15">COUNTIFS(C:C,AB70,D:D,"FTP")</f>
        <v>11</v>
      </c>
      <c r="AD70" s="206">
        <f t="shared" ref="AD70:AD72" si="16">COUNTIFS(C:C,AB70,D:D,"Undercooked")</f>
        <v>5</v>
      </c>
    </row>
    <row r="71" spans="1:30" ht="22.5" customHeight="1">
      <c r="A71" s="173">
        <v>43</v>
      </c>
      <c r="B71" s="115" t="str">
        <f>VLOOKUP(C71,Lists!I:J,2,FALSE)</f>
        <v>Tank</v>
      </c>
      <c r="C71" s="115" t="s">
        <v>14</v>
      </c>
      <c r="D71" s="175" t="s">
        <v>7</v>
      </c>
      <c r="E71" s="176" t="s">
        <v>83</v>
      </c>
      <c r="F71" s="175" t="s">
        <v>476</v>
      </c>
      <c r="G71" s="173">
        <v>1</v>
      </c>
      <c r="H71" s="173">
        <v>11</v>
      </c>
      <c r="I71" s="194">
        <f t="shared" si="0"/>
        <v>12</v>
      </c>
      <c r="J71" s="177">
        <v>32516</v>
      </c>
      <c r="K71" s="177">
        <v>296254</v>
      </c>
      <c r="L71" s="177">
        <v>56242</v>
      </c>
      <c r="M71" s="195">
        <f>I71/(HLOOKUP(F71,Team_Composition_23[[#All],[Yellow]:[Red]],10,FALSE)+HLOOKUP(F71,Team_Composition_23[[#All],[Yellow]:[Red]],11,FALSE))</f>
        <v>2.9992501874531365E-3</v>
      </c>
      <c r="N71" s="195">
        <f>J71/HLOOKUP(F71,Team_Composition_23[[#All],[Yellow]:[Red]],6,FALSE)</f>
        <v>7.3294337241545666E-4</v>
      </c>
      <c r="O71" s="195">
        <f>K71/HLOOKUP(F71,Team_Composition_23[[#All],[Yellow]:[Red]],8,FALSE)</f>
        <v>1.6910668864005982E-2</v>
      </c>
      <c r="P71" s="195">
        <f>L71/HLOOKUP(F71,Team_Composition_23[[#All],[Yellow]:[Red]],7,FALSE)</f>
        <v>4.3447649221222406E-3</v>
      </c>
      <c r="R71" s="201" t="s">
        <v>9</v>
      </c>
      <c r="S71" s="202">
        <f t="shared" si="13"/>
        <v>5</v>
      </c>
      <c r="T71" s="203">
        <f t="shared" si="14"/>
        <v>7</v>
      </c>
      <c r="AB71" s="201" t="s">
        <v>9</v>
      </c>
      <c r="AC71" s="205">
        <f t="shared" si="15"/>
        <v>6</v>
      </c>
      <c r="AD71" s="206">
        <f t="shared" si="16"/>
        <v>6</v>
      </c>
    </row>
    <row r="72" spans="1:30" ht="22.5" customHeight="1">
      <c r="A72" s="173">
        <v>74</v>
      </c>
      <c r="B72" s="115" t="str">
        <f>VLOOKUP(C72,Lists!I:J,2,FALSE)</f>
        <v>Tank</v>
      </c>
      <c r="C72" s="115" t="str">
        <f>VLOOKUP(E72,Lists!D:E,2,FALSE)</f>
        <v>SnS/Spear</v>
      </c>
      <c r="D72" s="175" t="s">
        <v>7</v>
      </c>
      <c r="E72" s="176" t="s">
        <v>89</v>
      </c>
      <c r="F72" s="175" t="s">
        <v>483</v>
      </c>
      <c r="G72" s="173">
        <v>0</v>
      </c>
      <c r="H72" s="173">
        <v>12</v>
      </c>
      <c r="I72" s="194">
        <f t="shared" si="0"/>
        <v>12</v>
      </c>
      <c r="J72" s="177">
        <v>197088</v>
      </c>
      <c r="K72" s="177">
        <v>435466</v>
      </c>
      <c r="L72" s="177">
        <v>8701</v>
      </c>
      <c r="M72" s="195">
        <f>I72/(HLOOKUP(F72,Team_Composition_23[[#All],[Yellow]:[Red]],10,FALSE)+HLOOKUP(F72,Team_Composition_23[[#All],[Yellow]:[Red]],11,FALSE))</f>
        <v>1.4616321559074299E-2</v>
      </c>
      <c r="N72" s="195">
        <f>J72/HLOOKUP(F72,Team_Composition_23[[#All],[Yellow]:[Red]],6,FALSE)</f>
        <v>1.1169366755821133E-2</v>
      </c>
      <c r="O72" s="195">
        <f>K72/HLOOKUP(F72,Team_Composition_23[[#All],[Yellow]:[Red]],8,FALSE)</f>
        <v>9.8933708966965558E-3</v>
      </c>
      <c r="P72" s="195">
        <f>L72/HLOOKUP(F72,Team_Composition_23[[#All],[Yellow]:[Red]],7,FALSE)</f>
        <v>3.5853194991068428E-4</v>
      </c>
      <c r="R72" s="201" t="s">
        <v>18</v>
      </c>
      <c r="S72" s="202">
        <f t="shared" si="13"/>
        <v>0</v>
      </c>
      <c r="T72" s="203">
        <f t="shared" si="14"/>
        <v>0</v>
      </c>
      <c r="AB72" s="201" t="s">
        <v>18</v>
      </c>
      <c r="AC72" s="205">
        <f t="shared" si="15"/>
        <v>0</v>
      </c>
      <c r="AD72" s="206">
        <f t="shared" si="16"/>
        <v>0</v>
      </c>
    </row>
    <row r="73" spans="1:30" ht="22.5" customHeight="1">
      <c r="A73" s="173">
        <v>44</v>
      </c>
      <c r="B73" s="115" t="str">
        <f>VLOOKUP(C73,Lists!I:J,2,FALSE)</f>
        <v>Tank</v>
      </c>
      <c r="C73" s="115" t="str">
        <f>VLOOKUP(E73,Lists!D:E,2,FALSE)</f>
        <v>SnS/Greatsword</v>
      </c>
      <c r="D73" s="175" t="s">
        <v>7</v>
      </c>
      <c r="E73" s="176" t="s">
        <v>138</v>
      </c>
      <c r="F73" s="175" t="s">
        <v>476</v>
      </c>
      <c r="G73" s="173">
        <v>1</v>
      </c>
      <c r="H73" s="173">
        <v>10</v>
      </c>
      <c r="I73" s="194">
        <f t="shared" si="0"/>
        <v>11</v>
      </c>
      <c r="J73" s="177">
        <v>57878</v>
      </c>
      <c r="K73" s="177">
        <v>890337</v>
      </c>
      <c r="L73" s="177">
        <v>76584</v>
      </c>
      <c r="M73" s="195">
        <f>I73/(HLOOKUP(F73,Team_Composition_23[[#All],[Yellow]:[Red]],10,FALSE)+HLOOKUP(F73,Team_Composition_23[[#All],[Yellow]:[Red]],11,FALSE))</f>
        <v>2.7493126718320421E-3</v>
      </c>
      <c r="N73" s="195">
        <f>J73/HLOOKUP(F73,Team_Composition_23[[#All],[Yellow]:[Red]],6,FALSE)</f>
        <v>1.304628383216318E-3</v>
      </c>
      <c r="O73" s="195">
        <f>K73/HLOOKUP(F73,Team_Composition_23[[#All],[Yellow]:[Red]],8,FALSE)</f>
        <v>5.0821910199938203E-2</v>
      </c>
      <c r="P73" s="195">
        <f>L73/HLOOKUP(F73,Team_Composition_23[[#All],[Yellow]:[Red]],7,FALSE)</f>
        <v>5.9162098928880486E-3</v>
      </c>
    </row>
    <row r="74" spans="1:30" ht="22.5" customHeight="1">
      <c r="A74" s="173">
        <v>31</v>
      </c>
      <c r="B74" s="115" t="str">
        <f>VLOOKUP(C74,Lists!I:J,2,FALSE)</f>
        <v>KS</v>
      </c>
      <c r="C74" s="115" t="str">
        <f>VLOOKUP(E74,Lists!D:E,2,FALSE)</f>
        <v>Greatsword/Dagger</v>
      </c>
      <c r="D74" s="175" t="s">
        <v>7</v>
      </c>
      <c r="E74" s="176" t="s">
        <v>137</v>
      </c>
      <c r="F74" s="175" t="s">
        <v>476</v>
      </c>
      <c r="G74" s="173">
        <v>4</v>
      </c>
      <c r="H74" s="173">
        <v>6</v>
      </c>
      <c r="I74" s="194">
        <f t="shared" si="0"/>
        <v>10</v>
      </c>
      <c r="J74" s="177">
        <v>175149</v>
      </c>
      <c r="K74" s="177">
        <v>267312</v>
      </c>
      <c r="L74" s="177">
        <v>14126</v>
      </c>
      <c r="M74" s="195">
        <f>I74/(HLOOKUP(F74,Team_Composition_23[[#All],[Yellow]:[Red]],10,FALSE)+HLOOKUP(F74,Team_Composition_23[[#All],[Yellow]:[Red]],11,FALSE))</f>
        <v>2.4993751562109472E-3</v>
      </c>
      <c r="N74" s="195">
        <f>J74/HLOOKUP(F74,Team_Composition_23[[#All],[Yellow]:[Red]],6,FALSE)</f>
        <v>3.9480347747322796E-3</v>
      </c>
      <c r="O74" s="195">
        <f>K74/HLOOKUP(F74,Team_Composition_23[[#All],[Yellow]:[Red]],8,FALSE)</f>
        <v>1.5258611581194403E-2</v>
      </c>
      <c r="P74" s="195">
        <f>L74/HLOOKUP(F74,Team_Composition_23[[#All],[Yellow]:[Red]],7,FALSE)</f>
        <v>1.0912511875448734E-3</v>
      </c>
    </row>
    <row r="75" spans="1:30" ht="22.5" customHeight="1">
      <c r="A75" s="173">
        <v>34</v>
      </c>
      <c r="B75" s="115" t="str">
        <f>VLOOKUP(C75,Lists!I:J,2,FALSE)</f>
        <v>Healer</v>
      </c>
      <c r="C75" s="115" t="str">
        <f>VLOOKUP(E75,Lists!D:E,2,FALSE)</f>
        <v>Wand/Longbow</v>
      </c>
      <c r="D75" s="175" t="s">
        <v>7</v>
      </c>
      <c r="E75" s="178" t="s">
        <v>136</v>
      </c>
      <c r="F75" s="77" t="s">
        <v>483</v>
      </c>
      <c r="G75" s="173">
        <v>2</v>
      </c>
      <c r="H75" s="173">
        <v>8</v>
      </c>
      <c r="I75" s="194">
        <f t="shared" si="0"/>
        <v>10</v>
      </c>
      <c r="J75" s="177">
        <v>80286</v>
      </c>
      <c r="K75" s="177">
        <v>318316</v>
      </c>
      <c r="L75" s="177">
        <v>741395</v>
      </c>
      <c r="M75" s="195">
        <f>I75/(HLOOKUP(F75,Team_Composition_23[[#All],[Yellow]:[Red]],10,FALSE)+HLOOKUP(F75,Team_Composition_23[[#All],[Yellow]:[Red]],11,FALSE))</f>
        <v>1.2180267965895249E-2</v>
      </c>
      <c r="N75" s="195">
        <f>J75/HLOOKUP(F75,Team_Composition_23[[#All],[Yellow]:[Red]],6,FALSE)</f>
        <v>4.5499664076851737E-3</v>
      </c>
      <c r="O75" s="195">
        <f>K75/HLOOKUP(F75,Team_Composition_23[[#All],[Yellow]:[Red]],8,FALSE)</f>
        <v>7.2318349775937979E-3</v>
      </c>
      <c r="P75" s="195">
        <f>L75/HLOOKUP(F75,Team_Composition_23[[#All],[Yellow]:[Red]],7,FALSE)</f>
        <v>3.0549798299509458E-2</v>
      </c>
    </row>
    <row r="76" spans="1:30" ht="22.5" customHeight="1">
      <c r="A76" s="173">
        <v>75</v>
      </c>
      <c r="B76" s="115" t="str">
        <f>VLOOKUP(C76,Lists!I:J,2,FALSE)</f>
        <v>Tank</v>
      </c>
      <c r="C76" s="115" t="str">
        <f>VLOOKUP(E76,Lists!D:E,2,FALSE)</f>
        <v>SnS/Spear</v>
      </c>
      <c r="D76" s="175" t="s">
        <v>28</v>
      </c>
      <c r="E76" s="176" t="s">
        <v>361</v>
      </c>
      <c r="F76" s="175" t="s">
        <v>476</v>
      </c>
      <c r="G76" s="173">
        <v>0</v>
      </c>
      <c r="H76" s="173">
        <v>10</v>
      </c>
      <c r="I76" s="194">
        <f t="shared" si="0"/>
        <v>10</v>
      </c>
      <c r="J76" s="177">
        <v>56577</v>
      </c>
      <c r="K76" s="177">
        <v>282938</v>
      </c>
      <c r="L76" s="177">
        <v>10583</v>
      </c>
      <c r="M76" s="195">
        <f>I76/(HLOOKUP(F76,Team_Composition_23[[#All],[Yellow]:[Red]],10,FALSE)+HLOOKUP(F76,Team_Composition_23[[#All],[Yellow]:[Red]],11,FALSE))</f>
        <v>2.4993751562109472E-3</v>
      </c>
      <c r="N76" s="195">
        <f>J76/HLOOKUP(F76,Team_Composition_23[[#All],[Yellow]:[Red]],6,FALSE)</f>
        <v>1.2753025335573039E-3</v>
      </c>
      <c r="O76" s="195">
        <f>K76/HLOOKUP(F76,Team_Composition_23[[#All],[Yellow]:[Red]],8,FALSE)</f>
        <v>1.615056953507505E-2</v>
      </c>
      <c r="P76" s="195">
        <f>L76/HLOOKUP(F76,Team_Composition_23[[#All],[Yellow]:[Red]],7,FALSE)</f>
        <v>8.1755000125919544E-4</v>
      </c>
    </row>
    <row r="77" spans="1:30" ht="22.5" customHeight="1">
      <c r="A77" s="173">
        <v>76</v>
      </c>
      <c r="B77" s="115" t="str">
        <f>VLOOKUP(C77,Lists!I:J,2,FALSE)</f>
        <v>Tank</v>
      </c>
      <c r="C77" s="115" t="str">
        <f>VLOOKUP(E77,Lists!D:E,2,FALSE)</f>
        <v>SnS/Greatsword</v>
      </c>
      <c r="D77" s="175" t="s">
        <v>28</v>
      </c>
      <c r="E77" s="176" t="s">
        <v>362</v>
      </c>
      <c r="F77" s="175" t="s">
        <v>476</v>
      </c>
      <c r="G77" s="173">
        <v>0</v>
      </c>
      <c r="H77" s="173">
        <v>10</v>
      </c>
      <c r="I77" s="194">
        <f t="shared" si="0"/>
        <v>10</v>
      </c>
      <c r="J77" s="177">
        <v>31120</v>
      </c>
      <c r="K77" s="177">
        <v>876432</v>
      </c>
      <c r="L77" s="177">
        <v>40194</v>
      </c>
      <c r="M77" s="195">
        <f>I77/(HLOOKUP(F77,Team_Composition_23[[#All],[Yellow]:[Red]],10,FALSE)+HLOOKUP(F77,Team_Composition_23[[#All],[Yellow]:[Red]],11,FALSE))</f>
        <v>2.4993751562109472E-3</v>
      </c>
      <c r="N77" s="195">
        <f>J77/HLOOKUP(F77,Team_Composition_23[[#All],[Yellow]:[Red]],6,FALSE)</f>
        <v>7.0147612712415455E-4</v>
      </c>
      <c r="O77" s="195">
        <f>K77/HLOOKUP(F77,Team_Composition_23[[#All],[Yellow]:[Red]],8,FALSE)</f>
        <v>5.0028189775727885E-2</v>
      </c>
      <c r="P77" s="195">
        <f>L77/HLOOKUP(F77,Team_Composition_23[[#All],[Yellow]:[Red]],7,FALSE)</f>
        <v>3.1050368279894264E-3</v>
      </c>
    </row>
    <row r="78" spans="1:30" ht="22.5" customHeight="1">
      <c r="A78" s="173">
        <v>77</v>
      </c>
      <c r="B78" s="115" t="str">
        <f>VLOOKUP(C78,Lists!I:J,2,FALSE)</f>
        <v>Tank</v>
      </c>
      <c r="C78" s="115" t="str">
        <f>VLOOKUP(E78,Lists!D:E,2,FALSE)</f>
        <v>SnS/Greatsword</v>
      </c>
      <c r="D78" s="175" t="s">
        <v>7</v>
      </c>
      <c r="E78" s="176" t="s">
        <v>111</v>
      </c>
      <c r="F78" s="175" t="s">
        <v>476</v>
      </c>
      <c r="G78" s="173">
        <v>0</v>
      </c>
      <c r="H78" s="173">
        <v>9</v>
      </c>
      <c r="I78" s="194">
        <f t="shared" si="0"/>
        <v>9</v>
      </c>
      <c r="J78" s="177">
        <v>60069</v>
      </c>
      <c r="K78" s="177">
        <v>477704</v>
      </c>
      <c r="L78" s="177">
        <v>35334</v>
      </c>
      <c r="M78" s="195">
        <f>I78/(HLOOKUP(F78,Team_Composition_23[[#All],[Yellow]:[Red]],10,FALSE)+HLOOKUP(F78,Team_Composition_23[[#All],[Yellow]:[Red]],11,FALSE))</f>
        <v>2.2494376405898524E-3</v>
      </c>
      <c r="N78" s="195">
        <f>J78/HLOOKUP(F78,Team_Composition_23[[#All],[Yellow]:[Red]],6,FALSE)</f>
        <v>1.3540157287988703E-3</v>
      </c>
      <c r="O78" s="195">
        <f>K78/HLOOKUP(F78,Team_Composition_23[[#All],[Yellow]:[Red]],8,FALSE)</f>
        <v>2.7268135312978434E-2</v>
      </c>
      <c r="P78" s="195">
        <f>L78/HLOOKUP(F78,Team_Composition_23[[#All],[Yellow]:[Red]],7,FALSE)</f>
        <v>2.7295957426525948E-3</v>
      </c>
    </row>
    <row r="79" spans="1:30" ht="22.5" customHeight="1">
      <c r="A79" s="173">
        <v>78</v>
      </c>
      <c r="B79" s="115" t="str">
        <f>VLOOKUP(C79,Lists!I:J,2,FALSE)</f>
        <v>Tank</v>
      </c>
      <c r="C79" s="115" t="str">
        <f>VLOOKUP(E79,Lists!D:E,2,FALSE)</f>
        <v>SnS/Greatsword</v>
      </c>
      <c r="D79" s="175" t="s">
        <v>28</v>
      </c>
      <c r="E79" s="176" t="s">
        <v>345</v>
      </c>
      <c r="F79" s="175" t="s">
        <v>483</v>
      </c>
      <c r="G79" s="173">
        <v>0</v>
      </c>
      <c r="H79" s="173">
        <v>9</v>
      </c>
      <c r="I79" s="194">
        <f t="shared" si="0"/>
        <v>9</v>
      </c>
      <c r="J79" s="177">
        <v>39365</v>
      </c>
      <c r="K79" s="177">
        <v>498529</v>
      </c>
      <c r="L79" s="177">
        <v>22451</v>
      </c>
      <c r="M79" s="195">
        <f>I79/(HLOOKUP(F79,Team_Composition_23[[#All],[Yellow]:[Red]],10,FALSE)+HLOOKUP(F79,Team_Composition_23[[#All],[Yellow]:[Red]],11,FALSE))</f>
        <v>1.0962241169305725E-2</v>
      </c>
      <c r="N79" s="195">
        <f>J79/HLOOKUP(F79,Team_Composition_23[[#All],[Yellow]:[Red]],6,FALSE)</f>
        <v>2.2308924051332342E-3</v>
      </c>
      <c r="O79" s="195">
        <f>K79/HLOOKUP(F79,Team_Composition_23[[#All],[Yellow]:[Red]],8,FALSE)</f>
        <v>1.1326101922444548E-2</v>
      </c>
      <c r="P79" s="195">
        <f>L79/HLOOKUP(F79,Team_Composition_23[[#All],[Yellow]:[Red]],7,FALSE)</f>
        <v>9.2511214888458485E-4</v>
      </c>
    </row>
    <row r="80" spans="1:30" ht="22.5" customHeight="1">
      <c r="A80" s="173">
        <v>79</v>
      </c>
      <c r="B80" s="115" t="str">
        <f>VLOOKUP(C80,Lists!I:J,2,FALSE)</f>
        <v>Tank</v>
      </c>
      <c r="C80" s="115" t="str">
        <f>VLOOKUP(E80,Lists!D:E,2,FALSE)</f>
        <v>SnS/Greatsword</v>
      </c>
      <c r="D80" s="175" t="s">
        <v>28</v>
      </c>
      <c r="E80" s="176" t="s">
        <v>346</v>
      </c>
      <c r="F80" s="175" t="s">
        <v>483</v>
      </c>
      <c r="G80" s="173">
        <v>0</v>
      </c>
      <c r="H80" s="173">
        <v>9</v>
      </c>
      <c r="I80" s="194">
        <f t="shared" si="0"/>
        <v>9</v>
      </c>
      <c r="J80" s="177">
        <v>32326</v>
      </c>
      <c r="K80" s="177">
        <v>1002675</v>
      </c>
      <c r="L80" s="177">
        <v>63065</v>
      </c>
      <c r="M80" s="195">
        <f>I80/(HLOOKUP(F80,Team_Composition_23[[#All],[Yellow]:[Red]],10,FALSE)+HLOOKUP(F80,Team_Composition_23[[#All],[Yellow]:[Red]],11,FALSE))</f>
        <v>1.0962241169305725E-2</v>
      </c>
      <c r="N80" s="195">
        <f>J80/HLOOKUP(F80,Team_Composition_23[[#All],[Yellow]:[Red]],6,FALSE)</f>
        <v>1.831978353571369E-3</v>
      </c>
      <c r="O80" s="195">
        <f>K80/HLOOKUP(F80,Team_Composition_23[[#All],[Yellow]:[Red]],8,FALSE)</f>
        <v>2.2779816710937751E-2</v>
      </c>
      <c r="P80" s="195">
        <f>L80/HLOOKUP(F80,Team_Composition_23[[#All],[Yellow]:[Red]],7,FALSE)</f>
        <v>2.598645836239203E-3</v>
      </c>
    </row>
    <row r="81" spans="1:16" ht="22.5" customHeight="1">
      <c r="A81" s="173">
        <v>80</v>
      </c>
      <c r="B81" s="115" t="str">
        <f>VLOOKUP(C81,Lists!I:J,2,FALSE)</f>
        <v>Tank</v>
      </c>
      <c r="C81" s="115" t="str">
        <f>VLOOKUP(E81,Lists!D:E,2,FALSE)</f>
        <v>SnS/Greatsword</v>
      </c>
      <c r="D81" s="175" t="s">
        <v>7</v>
      </c>
      <c r="E81" s="176" t="s">
        <v>123</v>
      </c>
      <c r="F81" s="175" t="s">
        <v>483</v>
      </c>
      <c r="G81" s="173">
        <v>0</v>
      </c>
      <c r="H81" s="173">
        <v>8</v>
      </c>
      <c r="I81" s="194">
        <f t="shared" si="0"/>
        <v>8</v>
      </c>
      <c r="J81" s="177">
        <v>61577</v>
      </c>
      <c r="K81" s="177">
        <v>936371</v>
      </c>
      <c r="L81" s="177">
        <v>37298</v>
      </c>
      <c r="M81" s="195">
        <f>I81/(HLOOKUP(F81,Team_Composition_23[[#All],[Yellow]:[Red]],10,FALSE)+HLOOKUP(F81,Team_Composition_23[[#All],[Yellow]:[Red]],11,FALSE))</f>
        <v>9.7442143727161992E-3</v>
      </c>
      <c r="N81" s="195">
        <f>J81/HLOOKUP(F81,Team_Composition_23[[#All],[Yellow]:[Red]],6,FALSE)</f>
        <v>3.4896903754830224E-3</v>
      </c>
      <c r="O81" s="195">
        <f>K81/HLOOKUP(F81,Team_Composition_23[[#All],[Yellow]:[Red]],8,FALSE)</f>
        <v>2.1273453265951075E-2</v>
      </c>
      <c r="P81" s="195">
        <f>L81/HLOOKUP(F81,Team_Composition_23[[#All],[Yellow]:[Red]],7,FALSE)</f>
        <v>1.5368951462784396E-3</v>
      </c>
    </row>
    <row r="82" spans="1:16" ht="22.5" customHeight="1">
      <c r="A82" s="173">
        <v>81</v>
      </c>
      <c r="B82" s="115" t="str">
        <f>VLOOKUP(C82,Lists!I:J,2,FALSE)</f>
        <v>Tank</v>
      </c>
      <c r="C82" s="115" t="str">
        <f>VLOOKUP(E82,Lists!D:E,2,FALSE)</f>
        <v>SnS/Longbow</v>
      </c>
      <c r="D82" s="175" t="s">
        <v>28</v>
      </c>
      <c r="E82" s="176" t="s">
        <v>363</v>
      </c>
      <c r="F82" s="175" t="s">
        <v>476</v>
      </c>
      <c r="G82" s="173">
        <v>0</v>
      </c>
      <c r="H82" s="173">
        <v>6</v>
      </c>
      <c r="I82" s="194">
        <f t="shared" si="0"/>
        <v>6</v>
      </c>
      <c r="J82" s="177">
        <v>59697</v>
      </c>
      <c r="K82" s="177">
        <v>377836</v>
      </c>
      <c r="L82" s="177">
        <v>214316</v>
      </c>
      <c r="M82" s="195">
        <f>I82/(HLOOKUP(F82,Team_Composition_23[[#All],[Yellow]:[Red]],10,FALSE)+HLOOKUP(F82,Team_Composition_23[[#All],[Yellow]:[Red]],11,FALSE))</f>
        <v>1.4996250937265683E-3</v>
      </c>
      <c r="N82" s="195">
        <f>J82/HLOOKUP(F82,Team_Composition_23[[#All],[Yellow]:[Red]],6,FALSE)</f>
        <v>1.3456304743229646E-3</v>
      </c>
      <c r="O82" s="195">
        <f>K82/HLOOKUP(F82,Team_Composition_23[[#All],[Yellow]:[Red]],8,FALSE)</f>
        <v>2.1567504509308107E-2</v>
      </c>
      <c r="P82" s="195">
        <f>L82/HLOOKUP(F82,Team_Composition_23[[#All],[Yellow]:[Red]],7,FALSE)</f>
        <v>1.6556179350833009E-2</v>
      </c>
    </row>
    <row r="83" spans="1:16" ht="22.5" customHeight="1">
      <c r="A83" s="173">
        <v>82</v>
      </c>
      <c r="B83" s="115" t="str">
        <f>VLOOKUP(C83,Lists!I:J,2,FALSE)</f>
        <v>Healer</v>
      </c>
      <c r="C83" s="115" t="str">
        <f>VLOOKUP(E83,Lists!D:E,2,FALSE)</f>
        <v>Wand/Orb</v>
      </c>
      <c r="D83" s="175" t="s">
        <v>7</v>
      </c>
      <c r="E83" s="176" t="s">
        <v>121</v>
      </c>
      <c r="F83" s="175" t="s">
        <v>483</v>
      </c>
      <c r="G83" s="173">
        <v>0</v>
      </c>
      <c r="H83" s="173">
        <v>5</v>
      </c>
      <c r="I83" s="194">
        <f t="shared" si="0"/>
        <v>5</v>
      </c>
      <c r="J83" s="177">
        <v>31288</v>
      </c>
      <c r="K83" s="177">
        <v>242010</v>
      </c>
      <c r="L83" s="177">
        <v>527482</v>
      </c>
      <c r="M83" s="195">
        <f>I83/(HLOOKUP(F83,Team_Composition_23[[#All],[Yellow]:[Red]],10,FALSE)+HLOOKUP(F83,Team_Composition_23[[#All],[Yellow]:[Red]],11,FALSE))</f>
        <v>6.0901339829476245E-3</v>
      </c>
      <c r="N83" s="195">
        <f>J83/HLOOKUP(F83,Team_Composition_23[[#All],[Yellow]:[Red]],6,FALSE)</f>
        <v>1.773152840640382E-3</v>
      </c>
      <c r="O83" s="195">
        <f>K83/HLOOKUP(F83,Team_Composition_23[[#All],[Yellow]:[Red]],8,FALSE)</f>
        <v>5.4982356618186803E-3</v>
      </c>
      <c r="P83" s="195">
        <f>L83/HLOOKUP(F83,Team_Composition_23[[#All],[Yellow]:[Red]],7,FALSE)</f>
        <v>2.1735335019283712E-2</v>
      </c>
    </row>
    <row r="84" spans="1:16" ht="22.5" customHeight="1">
      <c r="A84" s="173">
        <v>83</v>
      </c>
      <c r="B84" s="115" t="str">
        <f>VLOOKUP(C84,Lists!I:J,2,FALSE)</f>
        <v>Healer</v>
      </c>
      <c r="C84" s="115" t="str">
        <f>VLOOKUP(E84,Lists!D:E,2,FALSE)</f>
        <v>Wand/Longbow</v>
      </c>
      <c r="D84" s="175" t="s">
        <v>28</v>
      </c>
      <c r="E84" s="176" t="s">
        <v>364</v>
      </c>
      <c r="F84" s="175" t="s">
        <v>476</v>
      </c>
      <c r="G84" s="173">
        <v>0</v>
      </c>
      <c r="H84" s="173">
        <v>4</v>
      </c>
      <c r="I84" s="194">
        <f t="shared" si="0"/>
        <v>4</v>
      </c>
      <c r="J84" s="177">
        <v>8317</v>
      </c>
      <c r="K84" s="177">
        <v>484249</v>
      </c>
      <c r="L84" s="177">
        <v>1302376</v>
      </c>
      <c r="M84" s="195">
        <f>I84/(HLOOKUP(F84,Team_Composition_23[[#All],[Yellow]:[Red]],10,FALSE)+HLOOKUP(F84,Team_Composition_23[[#All],[Yellow]:[Red]],11,FALSE))</f>
        <v>9.9975006248437899E-4</v>
      </c>
      <c r="N84" s="195">
        <f>J84/HLOOKUP(F84,Team_Composition_23[[#All],[Yellow]:[Red]],6,FALSE)</f>
        <v>1.8747355235512834E-4</v>
      </c>
      <c r="O84" s="195">
        <f>K84/HLOOKUP(F84,Team_Composition_23[[#All],[Yellow]:[Red]],8,FALSE)</f>
        <v>2.7641734750335968E-2</v>
      </c>
      <c r="P84" s="195">
        <f>L84/HLOOKUP(F84,Team_Composition_23[[#All],[Yellow]:[Red]],7,FALSE)</f>
        <v>0.1006101767400497</v>
      </c>
    </row>
    <row r="85" spans="1:16" ht="22.5" customHeight="1">
      <c r="A85" s="173">
        <v>84</v>
      </c>
      <c r="B85" s="115" t="str">
        <f>VLOOKUP(C85,Lists!I:J,2,FALSE)</f>
        <v>Healer</v>
      </c>
      <c r="C85" s="115" t="str">
        <f>VLOOKUP(E85,Lists!D:E,2,FALSE)</f>
        <v>Wand/Orb</v>
      </c>
      <c r="D85" s="175" t="s">
        <v>28</v>
      </c>
      <c r="E85" s="176" t="s">
        <v>365</v>
      </c>
      <c r="F85" s="175" t="s">
        <v>476</v>
      </c>
      <c r="G85" s="173">
        <v>0</v>
      </c>
      <c r="H85" s="173">
        <v>1</v>
      </c>
      <c r="I85" s="194">
        <f t="shared" si="0"/>
        <v>1</v>
      </c>
      <c r="J85" s="177">
        <v>12119</v>
      </c>
      <c r="K85" s="177">
        <v>254236</v>
      </c>
      <c r="L85" s="177">
        <v>738244</v>
      </c>
      <c r="M85" s="195">
        <f>I85/(HLOOKUP(F85,Team_Composition_23[[#All],[Yellow]:[Red]],10,FALSE)+HLOOKUP(F85,Team_Composition_23[[#All],[Yellow]:[Red]],11,FALSE))</f>
        <v>2.4993751562109475E-4</v>
      </c>
      <c r="N85" s="195">
        <f>J85/HLOOKUP(F85,Team_Composition_23[[#All],[Yellow]:[Red]],6,FALSE)</f>
        <v>2.7317445965994953E-4</v>
      </c>
      <c r="O85" s="195">
        <f>K85/HLOOKUP(F85,Team_Composition_23[[#All],[Yellow]:[Red]],8,FALSE)</f>
        <v>1.4512211849660846E-2</v>
      </c>
      <c r="P85" s="195">
        <f>L85/HLOOKUP(F85,Team_Composition_23[[#All],[Yellow]:[Red]],7,FALSE)</f>
        <v>5.7030273375186E-2</v>
      </c>
    </row>
    <row r="86" spans="1:16" ht="22.5" customHeight="1">
      <c r="A86" s="210"/>
      <c r="B86" s="115" t="e">
        <f>VLOOKUP(C86,Lists!I:J,2,FALSE)</f>
        <v>#N/A</v>
      </c>
      <c r="C86" s="115" t="e">
        <f>VLOOKUP(E86,Lists!D:E,2,FALSE)</f>
        <v>#N/A</v>
      </c>
      <c r="D86" s="17"/>
      <c r="E86" s="211"/>
      <c r="F86" s="17"/>
      <c r="G86" s="212"/>
      <c r="H86" s="212"/>
      <c r="I86" s="194">
        <f t="shared" si="0"/>
        <v>0</v>
      </c>
      <c r="J86" s="213"/>
      <c r="K86" s="213"/>
      <c r="L86" s="213"/>
      <c r="M86" s="195" t="e">
        <f>I86/(HLOOKUP(F86,Team_Composition_23[[#All],[Yellow]:[Red]],10,FALSE)+HLOOKUP(F86,Team_Composition_23[[#All],[Yellow]:[Red]],11,FALSE))</f>
        <v>#N/A</v>
      </c>
      <c r="N86" s="195" t="e">
        <f>J86/HLOOKUP(F86,Team_Composition_23[[#All],[Yellow]:[Red]],6,FALSE)</f>
        <v>#N/A</v>
      </c>
      <c r="O86" s="195" t="e">
        <f>K86/HLOOKUP(F86,Team_Composition_23[[#All],[Yellow]:[Red]],8,FALSE)</f>
        <v>#N/A</v>
      </c>
      <c r="P86" s="195" t="e">
        <f>L86/HLOOKUP(F86,Team_Composition_23[[#All],[Yellow]:[Red]],7,FALSE)</f>
        <v>#N/A</v>
      </c>
    </row>
    <row r="87" spans="1:16" ht="22.5" customHeight="1">
      <c r="A87" s="210"/>
      <c r="B87" s="115" t="e">
        <f>VLOOKUP(C87,Lists!I:J,2,FALSE)</f>
        <v>#N/A</v>
      </c>
      <c r="C87" s="115" t="e">
        <f>VLOOKUP(E87,Lists!D:E,2,FALSE)</f>
        <v>#N/A</v>
      </c>
      <c r="D87" s="17"/>
      <c r="E87" s="211"/>
      <c r="F87" s="17"/>
      <c r="G87" s="212"/>
      <c r="H87" s="212"/>
      <c r="I87" s="194">
        <f t="shared" si="0"/>
        <v>0</v>
      </c>
      <c r="J87" s="213"/>
      <c r="K87" s="213"/>
      <c r="L87" s="213"/>
      <c r="M87" s="195" t="e">
        <f>I87/(HLOOKUP(F87,Team_Composition_23[[#All],[Yellow]:[Red]],10,FALSE)+HLOOKUP(F87,Team_Composition_23[[#All],[Yellow]:[Red]],11,FALSE))</f>
        <v>#N/A</v>
      </c>
      <c r="N87" s="195" t="e">
        <f>J87/HLOOKUP(F87,Team_Composition_23[[#All],[Yellow]:[Red]],6,FALSE)</f>
        <v>#N/A</v>
      </c>
      <c r="O87" s="195" t="e">
        <f>K87/HLOOKUP(F87,Team_Composition_23[[#All],[Yellow]:[Red]],8,FALSE)</f>
        <v>#N/A</v>
      </c>
      <c r="P87" s="195" t="e">
        <f>L87/HLOOKUP(F87,Team_Composition_23[[#All],[Yellow]:[Red]],7,FALSE)</f>
        <v>#N/A</v>
      </c>
    </row>
    <row r="88" spans="1:16" ht="22.5" customHeight="1">
      <c r="A88" s="210"/>
      <c r="B88" s="115" t="e">
        <f>VLOOKUP(C88,Lists!I:J,2,FALSE)</f>
        <v>#N/A</v>
      </c>
      <c r="C88" s="115" t="e">
        <f>VLOOKUP(E88,Lists!D:E,2,FALSE)</f>
        <v>#N/A</v>
      </c>
      <c r="D88" s="17"/>
      <c r="E88" s="211"/>
      <c r="F88" s="17"/>
      <c r="G88" s="212"/>
      <c r="H88" s="212"/>
      <c r="I88" s="194">
        <f t="shared" si="0"/>
        <v>0</v>
      </c>
      <c r="J88" s="213"/>
      <c r="K88" s="213"/>
      <c r="L88" s="213"/>
      <c r="M88" s="195" t="e">
        <f>I88/(HLOOKUP(F88,Team_Composition_23[[#All],[Yellow]:[Red]],10,FALSE)+HLOOKUP(F88,Team_Composition_23[[#All],[Yellow]:[Red]],11,FALSE))</f>
        <v>#N/A</v>
      </c>
      <c r="N88" s="195" t="e">
        <f>J88/HLOOKUP(F88,Team_Composition_23[[#All],[Yellow]:[Red]],6,FALSE)</f>
        <v>#N/A</v>
      </c>
      <c r="O88" s="195" t="e">
        <f>K88/HLOOKUP(F88,Team_Composition_23[[#All],[Yellow]:[Red]],8,FALSE)</f>
        <v>#N/A</v>
      </c>
      <c r="P88" s="195" t="e">
        <f>L88/HLOOKUP(F88,Team_Composition_23[[#All],[Yellow]:[Red]],7,FALSE)</f>
        <v>#N/A</v>
      </c>
    </row>
    <row r="89" spans="1:16" ht="22.5" customHeight="1">
      <c r="A89" s="210"/>
      <c r="B89" s="115" t="e">
        <f>VLOOKUP(C89,Lists!I:J,2,FALSE)</f>
        <v>#N/A</v>
      </c>
      <c r="C89" s="115" t="e">
        <f>VLOOKUP(E89,Lists!D:E,2,FALSE)</f>
        <v>#N/A</v>
      </c>
      <c r="D89" s="17"/>
      <c r="E89" s="211"/>
      <c r="F89" s="17"/>
      <c r="G89" s="212"/>
      <c r="H89" s="212"/>
      <c r="I89" s="194">
        <f t="shared" si="0"/>
        <v>0</v>
      </c>
      <c r="J89" s="213"/>
      <c r="K89" s="213"/>
      <c r="L89" s="213"/>
      <c r="M89" s="195" t="e">
        <f>I89/(HLOOKUP(F89,Team_Composition_23[[#All],[Yellow]:[Red]],10,FALSE)+HLOOKUP(F89,Team_Composition_23[[#All],[Yellow]:[Red]],11,FALSE))</f>
        <v>#N/A</v>
      </c>
      <c r="N89" s="195" t="e">
        <f>J89/HLOOKUP(F89,Team_Composition_23[[#All],[Yellow]:[Red]],6,FALSE)</f>
        <v>#N/A</v>
      </c>
      <c r="O89" s="195" t="e">
        <f>K89/HLOOKUP(F89,Team_Composition_23[[#All],[Yellow]:[Red]],8,FALSE)</f>
        <v>#N/A</v>
      </c>
      <c r="P89" s="195" t="e">
        <f>L89/HLOOKUP(F89,Team_Composition_23[[#All],[Yellow]:[Red]],7,FALSE)</f>
        <v>#N/A</v>
      </c>
    </row>
    <row r="90" spans="1:16" ht="22.5" customHeight="1">
      <c r="A90" s="210"/>
      <c r="B90" s="115" t="e">
        <f>VLOOKUP(C90,Lists!I:J,2,FALSE)</f>
        <v>#N/A</v>
      </c>
      <c r="C90" s="115" t="e">
        <f>VLOOKUP(E90,Lists!D:E,2,FALSE)</f>
        <v>#N/A</v>
      </c>
      <c r="D90" s="17"/>
      <c r="E90" s="211"/>
      <c r="F90" s="17"/>
      <c r="G90" s="212"/>
      <c r="H90" s="212"/>
      <c r="I90" s="194">
        <f t="shared" si="0"/>
        <v>0</v>
      </c>
      <c r="J90" s="213"/>
      <c r="K90" s="213"/>
      <c r="L90" s="213"/>
      <c r="M90" s="195" t="e">
        <f>I90/(HLOOKUP(F90,Team_Composition_23[[#All],[Yellow]:[Red]],10,FALSE)+HLOOKUP(F90,Team_Composition_23[[#All],[Yellow]:[Red]],11,FALSE))</f>
        <v>#N/A</v>
      </c>
      <c r="N90" s="195" t="e">
        <f>J90/HLOOKUP(F90,Team_Composition_23[[#All],[Yellow]:[Red]],6,FALSE)</f>
        <v>#N/A</v>
      </c>
      <c r="O90" s="195" t="e">
        <f>K90/HLOOKUP(F90,Team_Composition_23[[#All],[Yellow]:[Red]],8,FALSE)</f>
        <v>#N/A</v>
      </c>
      <c r="P90" s="195" t="e">
        <f>L90/HLOOKUP(F90,Team_Composition_23[[#All],[Yellow]:[Red]],7,FALSE)</f>
        <v>#N/A</v>
      </c>
    </row>
    <row r="91" spans="1:16" ht="22.5" customHeight="1">
      <c r="A91" s="210"/>
      <c r="B91" s="115" t="e">
        <f>VLOOKUP(C91,Lists!I:J,2,FALSE)</f>
        <v>#N/A</v>
      </c>
      <c r="C91" s="115" t="e">
        <f>VLOOKUP(E91,Lists!D:E,2,FALSE)</f>
        <v>#N/A</v>
      </c>
      <c r="D91" s="17"/>
      <c r="E91" s="211"/>
      <c r="F91" s="17"/>
      <c r="G91" s="212"/>
      <c r="H91" s="212"/>
      <c r="I91" s="194">
        <f t="shared" si="0"/>
        <v>0</v>
      </c>
      <c r="J91" s="213"/>
      <c r="K91" s="213"/>
      <c r="L91" s="213"/>
      <c r="M91" s="195" t="e">
        <f>I91/(HLOOKUP(F91,Team_Composition_23[[#All],[Yellow]:[Red]],10,FALSE)+HLOOKUP(F91,Team_Composition_23[[#All],[Yellow]:[Red]],11,FALSE))</f>
        <v>#N/A</v>
      </c>
      <c r="N91" s="195" t="e">
        <f>J91/HLOOKUP(F91,Team_Composition_23[[#All],[Yellow]:[Red]],6,FALSE)</f>
        <v>#N/A</v>
      </c>
      <c r="O91" s="195" t="e">
        <f>K91/HLOOKUP(F91,Team_Composition_23[[#All],[Yellow]:[Red]],8,FALSE)</f>
        <v>#N/A</v>
      </c>
      <c r="P91" s="195" t="e">
        <f>L91/HLOOKUP(F91,Team_Composition_23[[#All],[Yellow]:[Red]],7,FALSE)</f>
        <v>#N/A</v>
      </c>
    </row>
    <row r="92" spans="1:16" ht="22.5" customHeight="1">
      <c r="A92" s="210"/>
      <c r="B92" s="115" t="e">
        <f>VLOOKUP(C92,Lists!I:J,2,FALSE)</f>
        <v>#N/A</v>
      </c>
      <c r="C92" s="115" t="e">
        <f>VLOOKUP(E92,Lists!D:E,2,FALSE)</f>
        <v>#N/A</v>
      </c>
      <c r="D92" s="17"/>
      <c r="E92" s="211"/>
      <c r="F92" s="17"/>
      <c r="G92" s="212"/>
      <c r="H92" s="212"/>
      <c r="I92" s="194">
        <f t="shared" si="0"/>
        <v>0</v>
      </c>
      <c r="J92" s="213"/>
      <c r="K92" s="213"/>
      <c r="L92" s="213"/>
      <c r="M92" s="195" t="e">
        <f>I92/(HLOOKUP(F92,Team_Composition_23[[#All],[Yellow]:[Red]],10,FALSE)+HLOOKUP(F92,Team_Composition_23[[#All],[Yellow]:[Red]],11,FALSE))</f>
        <v>#N/A</v>
      </c>
      <c r="N92" s="195" t="e">
        <f>J92/HLOOKUP(F92,Team_Composition_23[[#All],[Yellow]:[Red]],6,FALSE)</f>
        <v>#N/A</v>
      </c>
      <c r="O92" s="195" t="e">
        <f>K92/HLOOKUP(F92,Team_Composition_23[[#All],[Yellow]:[Red]],8,FALSE)</f>
        <v>#N/A</v>
      </c>
      <c r="P92" s="195" t="e">
        <f>L92/HLOOKUP(F92,Team_Composition_23[[#All],[Yellow]:[Red]],7,FALSE)</f>
        <v>#N/A</v>
      </c>
    </row>
    <row r="93" spans="1:16" ht="22.5" customHeight="1">
      <c r="A93" s="210"/>
      <c r="B93" s="115" t="e">
        <f>VLOOKUP(C93,Lists!I:J,2,FALSE)</f>
        <v>#N/A</v>
      </c>
      <c r="C93" s="115" t="e">
        <f>VLOOKUP(E93,Lists!D:E,2,FALSE)</f>
        <v>#N/A</v>
      </c>
      <c r="D93" s="17"/>
      <c r="E93" s="211"/>
      <c r="F93" s="17"/>
      <c r="G93" s="212"/>
      <c r="H93" s="212"/>
      <c r="I93" s="116"/>
      <c r="J93" s="213"/>
      <c r="K93" s="213"/>
      <c r="L93" s="213"/>
    </row>
    <row r="94" spans="1:16" ht="22.5" customHeight="1">
      <c r="A94" s="210"/>
      <c r="B94" s="115" t="e">
        <f>VLOOKUP(C94,Lists!I:J,2,FALSE)</f>
        <v>#N/A</v>
      </c>
      <c r="C94" s="115" t="e">
        <f>VLOOKUP(E94,Lists!D:E,2,FALSE)</f>
        <v>#N/A</v>
      </c>
      <c r="D94" s="17"/>
      <c r="E94" s="211"/>
      <c r="F94" s="17"/>
      <c r="G94" s="212"/>
      <c r="H94" s="212"/>
      <c r="I94" s="116"/>
      <c r="J94" s="213"/>
      <c r="K94" s="213"/>
      <c r="L94" s="213"/>
    </row>
    <row r="95" spans="1:16" ht="22.5" customHeight="1">
      <c r="A95" s="210"/>
      <c r="B95" s="115" t="e">
        <f>VLOOKUP(C95,Lists!I:J,2,FALSE)</f>
        <v>#N/A</v>
      </c>
      <c r="C95" s="115" t="e">
        <f>VLOOKUP(E95,Lists!D:E,2,FALSE)</f>
        <v>#N/A</v>
      </c>
      <c r="D95" s="17"/>
      <c r="E95" s="211"/>
      <c r="F95" s="17"/>
      <c r="G95" s="212"/>
      <c r="H95" s="212"/>
      <c r="I95" s="116"/>
      <c r="J95" s="213"/>
      <c r="K95" s="213"/>
      <c r="L95" s="213"/>
    </row>
    <row r="96" spans="1:16" ht="22.5" customHeight="1">
      <c r="A96" s="210"/>
      <c r="B96" s="115" t="e">
        <f>VLOOKUP(C96,Lists!I:J,2,FALSE)</f>
        <v>#N/A</v>
      </c>
      <c r="C96" s="115" t="e">
        <f>VLOOKUP(E96,Lists!D:E,2,FALSE)</f>
        <v>#N/A</v>
      </c>
      <c r="D96" s="17"/>
      <c r="E96" s="211"/>
      <c r="F96" s="17"/>
      <c r="G96" s="212"/>
      <c r="H96" s="212"/>
      <c r="I96" s="116"/>
      <c r="J96" s="213"/>
      <c r="K96" s="213"/>
      <c r="L96" s="213"/>
    </row>
    <row r="97" spans="1:12" ht="22.5" customHeight="1">
      <c r="A97" s="210"/>
      <c r="B97" s="115" t="e">
        <f>VLOOKUP(C97,Lists!I:J,2,FALSE)</f>
        <v>#N/A</v>
      </c>
      <c r="C97" s="115" t="e">
        <f>VLOOKUP(E97,Lists!D:E,2,FALSE)</f>
        <v>#N/A</v>
      </c>
      <c r="D97" s="17"/>
      <c r="E97" s="211"/>
      <c r="F97" s="17"/>
      <c r="G97" s="212"/>
      <c r="H97" s="212"/>
      <c r="I97" s="116"/>
      <c r="J97" s="213"/>
      <c r="K97" s="213"/>
      <c r="L97" s="213"/>
    </row>
    <row r="98" spans="1:12" ht="22.5" customHeight="1">
      <c r="A98" s="210"/>
      <c r="B98" s="115" t="e">
        <f>VLOOKUP(C98,Lists!I:J,2,FALSE)</f>
        <v>#N/A</v>
      </c>
      <c r="C98" s="115" t="e">
        <f>VLOOKUP(E98,Lists!D:E,2,FALSE)</f>
        <v>#N/A</v>
      </c>
      <c r="D98" s="17"/>
      <c r="E98" s="211"/>
      <c r="F98" s="17"/>
      <c r="G98" s="212"/>
      <c r="H98" s="212"/>
      <c r="I98" s="116"/>
      <c r="J98" s="213"/>
      <c r="K98" s="213"/>
      <c r="L98" s="213"/>
    </row>
    <row r="99" spans="1:12" ht="22.5" customHeight="1">
      <c r="A99" s="210"/>
      <c r="B99" s="115" t="e">
        <f>VLOOKUP(C99,Lists!I:J,2,FALSE)</f>
        <v>#N/A</v>
      </c>
      <c r="C99" s="115" t="e">
        <f>VLOOKUP(E99,Lists!D:E,2,FALSE)</f>
        <v>#N/A</v>
      </c>
      <c r="D99" s="17"/>
      <c r="E99" s="211"/>
      <c r="F99" s="17"/>
      <c r="G99" s="212"/>
      <c r="H99" s="212"/>
      <c r="I99" s="116"/>
      <c r="J99" s="213"/>
      <c r="K99" s="213"/>
      <c r="L99" s="213"/>
    </row>
    <row r="100" spans="1:12" ht="22.5" customHeight="1">
      <c r="A100" s="210"/>
      <c r="B100" s="115" t="e">
        <f>VLOOKUP(C100,Lists!I:J,2,FALSE)</f>
        <v>#N/A</v>
      </c>
      <c r="C100" s="115" t="e">
        <f>VLOOKUP(E100,Lists!D:E,2,FALSE)</f>
        <v>#N/A</v>
      </c>
      <c r="D100" s="17"/>
      <c r="E100" s="211"/>
      <c r="F100" s="17"/>
      <c r="G100" s="212"/>
      <c r="H100" s="212"/>
      <c r="I100" s="116"/>
      <c r="J100" s="213"/>
      <c r="K100" s="213"/>
      <c r="L100" s="213"/>
    </row>
    <row r="101" spans="1:12" ht="22.5" customHeight="1">
      <c r="A101" s="210"/>
      <c r="B101" s="115" t="e">
        <f>VLOOKUP(C101,Lists!I:J,2,FALSE)</f>
        <v>#N/A</v>
      </c>
      <c r="C101" s="115" t="e">
        <f>VLOOKUP(E101,Lists!D:E,2,FALSE)</f>
        <v>#N/A</v>
      </c>
      <c r="D101" s="17"/>
      <c r="E101" s="211"/>
      <c r="F101" s="17"/>
      <c r="G101" s="212"/>
      <c r="H101" s="212"/>
      <c r="I101" s="116"/>
      <c r="J101" s="213"/>
      <c r="K101" s="213"/>
      <c r="L101" s="213"/>
    </row>
    <row r="102" spans="1:12" ht="22.5" customHeight="1">
      <c r="A102" s="210"/>
      <c r="B102" s="115" t="e">
        <f>VLOOKUP(C102,Lists!I:J,2,FALSE)</f>
        <v>#N/A</v>
      </c>
      <c r="C102" s="115" t="e">
        <f>VLOOKUP(E102,Lists!D:E,2,FALSE)</f>
        <v>#N/A</v>
      </c>
      <c r="D102" s="17"/>
      <c r="E102" s="211"/>
      <c r="F102" s="17"/>
      <c r="G102" s="212"/>
      <c r="H102" s="212"/>
      <c r="I102" s="116"/>
      <c r="J102" s="213"/>
      <c r="K102" s="213"/>
      <c r="L102" s="213"/>
    </row>
    <row r="103" spans="1:12" ht="22.5" customHeight="1">
      <c r="A103" s="210"/>
      <c r="B103" s="115" t="e">
        <f>VLOOKUP(C103,Lists!I:J,2,FALSE)</f>
        <v>#N/A</v>
      </c>
      <c r="C103" s="115" t="e">
        <f>VLOOKUP(E103,Lists!D:E,2,FALSE)</f>
        <v>#N/A</v>
      </c>
      <c r="D103" s="17"/>
      <c r="E103" s="211"/>
      <c r="F103" s="17"/>
      <c r="G103" s="212"/>
      <c r="H103" s="212"/>
      <c r="I103" s="116"/>
      <c r="J103" s="213"/>
      <c r="K103" s="213"/>
      <c r="L103" s="213"/>
    </row>
    <row r="104" spans="1:12" ht="22.5" customHeight="1">
      <c r="A104" s="210"/>
      <c r="B104" s="115" t="e">
        <f>VLOOKUP(C104,Lists!I:J,2,FALSE)</f>
        <v>#N/A</v>
      </c>
      <c r="C104" s="115"/>
      <c r="D104" s="17"/>
      <c r="E104" s="211"/>
      <c r="F104" s="17"/>
      <c r="G104" s="212"/>
      <c r="H104" s="212"/>
      <c r="I104" s="116"/>
      <c r="J104" s="213"/>
      <c r="K104" s="213"/>
      <c r="L104" s="213"/>
    </row>
    <row r="105" spans="1:12" ht="22.5" customHeight="1">
      <c r="A105" s="210"/>
      <c r="B105" s="115" t="e">
        <f>VLOOKUP(C105,Lists!I:J,2,FALSE)</f>
        <v>#N/A</v>
      </c>
      <c r="C105" s="115"/>
      <c r="D105" s="17"/>
      <c r="E105" s="211"/>
      <c r="F105" s="17"/>
      <c r="G105" s="212"/>
      <c r="H105" s="212"/>
      <c r="I105" s="116"/>
      <c r="J105" s="213"/>
      <c r="K105" s="213"/>
      <c r="L105" s="213"/>
    </row>
    <row r="106" spans="1:12" ht="22.5" customHeight="1">
      <c r="A106" s="210"/>
      <c r="B106" s="115" t="e">
        <f>VLOOKUP(C106,Lists!I:J,2,FALSE)</f>
        <v>#N/A</v>
      </c>
      <c r="C106" s="115"/>
      <c r="D106" s="17"/>
      <c r="E106" s="211"/>
      <c r="F106" s="17"/>
      <c r="G106" s="212"/>
      <c r="H106" s="212"/>
      <c r="I106" s="116"/>
      <c r="J106" s="213"/>
      <c r="K106" s="213"/>
      <c r="L106" s="213"/>
    </row>
    <row r="107" spans="1:12" ht="22.5" customHeight="1">
      <c r="A107" s="210"/>
      <c r="B107" s="115" t="e">
        <f>VLOOKUP(C107,Lists!I:J,2,FALSE)</f>
        <v>#N/A</v>
      </c>
      <c r="C107" s="115"/>
      <c r="D107" s="17"/>
      <c r="E107" s="211"/>
      <c r="F107" s="17"/>
      <c r="G107" s="212"/>
      <c r="H107" s="212"/>
      <c r="I107" s="116"/>
      <c r="J107" s="213"/>
      <c r="K107" s="213"/>
      <c r="L107" s="213"/>
    </row>
    <row r="108" spans="1:12" ht="22.5" customHeight="1">
      <c r="A108" s="210"/>
      <c r="B108" s="115" t="e">
        <f>VLOOKUP(C108,Lists!I:J,2,FALSE)</f>
        <v>#N/A</v>
      </c>
      <c r="C108" s="115"/>
      <c r="D108" s="17"/>
      <c r="E108" s="211"/>
      <c r="F108" s="17"/>
      <c r="G108" s="212"/>
      <c r="H108" s="212"/>
      <c r="I108" s="116"/>
      <c r="J108" s="213"/>
      <c r="K108" s="213"/>
      <c r="L108" s="213"/>
    </row>
    <row r="109" spans="1:12" ht="22.5" customHeight="1">
      <c r="A109" s="210"/>
      <c r="B109" s="115" t="e">
        <f>VLOOKUP(C109,Lists!I:J,2,FALSE)</f>
        <v>#N/A</v>
      </c>
      <c r="C109" s="115"/>
      <c r="D109" s="17"/>
      <c r="E109" s="211"/>
      <c r="F109" s="17"/>
      <c r="G109" s="212"/>
      <c r="H109" s="212"/>
      <c r="I109" s="116"/>
      <c r="J109" s="213"/>
      <c r="K109" s="213"/>
      <c r="L109" s="213"/>
    </row>
    <row r="110" spans="1:12" ht="22.5" customHeight="1">
      <c r="A110" s="210"/>
      <c r="B110" s="115" t="e">
        <f>VLOOKUP(C110,Lists!I:J,2,FALSE)</f>
        <v>#N/A</v>
      </c>
      <c r="C110" s="115"/>
      <c r="D110" s="17"/>
      <c r="E110" s="211"/>
      <c r="F110" s="17"/>
      <c r="G110" s="212"/>
      <c r="H110" s="212"/>
      <c r="I110" s="116"/>
      <c r="J110" s="213"/>
      <c r="K110" s="213"/>
      <c r="L110" s="213"/>
    </row>
    <row r="111" spans="1:12" ht="22.5" customHeight="1">
      <c r="A111" s="210"/>
      <c r="B111" s="115" t="e">
        <f>VLOOKUP(C111,Lists!I:J,2,FALSE)</f>
        <v>#N/A</v>
      </c>
      <c r="C111" s="115"/>
      <c r="D111" s="17"/>
      <c r="E111" s="211"/>
      <c r="F111" s="17"/>
      <c r="G111" s="212"/>
      <c r="H111" s="212"/>
      <c r="I111" s="116"/>
      <c r="J111" s="213"/>
      <c r="K111" s="213"/>
      <c r="L111" s="213"/>
    </row>
    <row r="112" spans="1:12" ht="22.5" customHeight="1">
      <c r="A112" s="210"/>
      <c r="B112" s="115" t="e">
        <f>VLOOKUP(C112,Lists!I:J,2,FALSE)</f>
        <v>#N/A</v>
      </c>
      <c r="C112" s="115"/>
      <c r="D112" s="17"/>
      <c r="E112" s="211"/>
      <c r="F112" s="17"/>
      <c r="G112" s="212"/>
      <c r="H112" s="212"/>
      <c r="I112" s="116"/>
      <c r="J112" s="213"/>
      <c r="K112" s="213"/>
      <c r="L112" s="213"/>
    </row>
    <row r="113" spans="1:12" ht="22.5" customHeight="1">
      <c r="A113" s="210"/>
      <c r="B113" s="115" t="e">
        <f>VLOOKUP(C113,Lists!I:J,2,FALSE)</f>
        <v>#N/A</v>
      </c>
      <c r="C113" s="115"/>
      <c r="D113" s="17"/>
      <c r="E113" s="211"/>
      <c r="F113" s="17"/>
      <c r="G113" s="212"/>
      <c r="H113" s="212"/>
      <c r="I113" s="116"/>
      <c r="J113" s="213"/>
      <c r="K113" s="213"/>
      <c r="L113" s="213"/>
    </row>
    <row r="114" spans="1:12" ht="22.5" customHeight="1">
      <c r="A114" s="210"/>
      <c r="B114" s="115" t="e">
        <f>VLOOKUP(C114,Lists!I:J,2,FALSE)</f>
        <v>#N/A</v>
      </c>
      <c r="C114" s="115"/>
      <c r="D114" s="17"/>
      <c r="E114" s="211"/>
      <c r="F114" s="17"/>
      <c r="G114" s="212"/>
      <c r="H114" s="212"/>
      <c r="I114" s="116"/>
      <c r="J114" s="213"/>
      <c r="K114" s="213"/>
      <c r="L114" s="213"/>
    </row>
    <row r="115" spans="1:12" ht="22.5" customHeight="1">
      <c r="A115" s="210"/>
      <c r="B115" s="115" t="e">
        <f>VLOOKUP(C115,Lists!I:J,2,FALSE)</f>
        <v>#N/A</v>
      </c>
      <c r="C115" s="115"/>
      <c r="D115" s="17"/>
      <c r="E115" s="211"/>
      <c r="F115" s="17"/>
      <c r="G115" s="212"/>
      <c r="H115" s="212"/>
      <c r="I115" s="116"/>
      <c r="J115" s="213"/>
      <c r="K115" s="213"/>
      <c r="L115" s="213"/>
    </row>
    <row r="116" spans="1:12" ht="22.5" customHeight="1">
      <c r="A116" s="210"/>
      <c r="B116" s="115" t="e">
        <f>VLOOKUP(C116,Lists!I:J,2,FALSE)</f>
        <v>#N/A</v>
      </c>
      <c r="C116" s="115"/>
      <c r="D116" s="17"/>
      <c r="E116" s="211"/>
      <c r="F116" s="17"/>
      <c r="G116" s="212"/>
      <c r="H116" s="212"/>
      <c r="I116" s="116"/>
      <c r="J116" s="213"/>
      <c r="K116" s="213"/>
      <c r="L116" s="213"/>
    </row>
    <row r="117" spans="1:12" ht="22.5" customHeight="1">
      <c r="A117" s="210"/>
      <c r="B117" s="115" t="e">
        <f>VLOOKUP(C117,Lists!I:J,2,FALSE)</f>
        <v>#N/A</v>
      </c>
      <c r="C117" s="115"/>
      <c r="D117" s="17"/>
      <c r="E117" s="211"/>
      <c r="F117" s="17"/>
      <c r="G117" s="212"/>
      <c r="H117" s="212"/>
      <c r="I117" s="116"/>
      <c r="J117" s="213"/>
      <c r="K117" s="213"/>
      <c r="L117" s="213"/>
    </row>
    <row r="118" spans="1:12" ht="22.5" customHeight="1">
      <c r="A118" s="210"/>
      <c r="B118" s="115" t="e">
        <f>VLOOKUP(C118,Lists!I:J,2,FALSE)</f>
        <v>#N/A</v>
      </c>
      <c r="C118" s="115"/>
      <c r="D118" s="17"/>
      <c r="E118" s="211"/>
      <c r="F118" s="17"/>
      <c r="G118" s="212"/>
      <c r="H118" s="212"/>
      <c r="I118" s="116"/>
      <c r="J118" s="213"/>
      <c r="K118" s="213"/>
      <c r="L118" s="213"/>
    </row>
    <row r="119" spans="1:12" ht="22.5" customHeight="1">
      <c r="A119" s="210"/>
      <c r="B119" s="115" t="e">
        <f>VLOOKUP(C119,Lists!I:J,2,FALSE)</f>
        <v>#N/A</v>
      </c>
      <c r="C119" s="115"/>
      <c r="D119" s="17"/>
      <c r="E119" s="211"/>
      <c r="F119" s="17"/>
      <c r="G119" s="212"/>
      <c r="H119" s="212"/>
      <c r="I119" s="116"/>
      <c r="J119" s="213"/>
      <c r="K119" s="213"/>
      <c r="L119" s="213"/>
    </row>
    <row r="120" spans="1:12" ht="22.5" customHeight="1">
      <c r="A120" s="210"/>
      <c r="B120" s="115" t="e">
        <f>VLOOKUP(C120,Lists!I:J,2,FALSE)</f>
        <v>#N/A</v>
      </c>
      <c r="C120" s="115"/>
      <c r="D120" s="17"/>
      <c r="E120" s="211"/>
      <c r="F120" s="17"/>
      <c r="G120" s="212"/>
      <c r="H120" s="212"/>
      <c r="I120" s="116"/>
      <c r="J120" s="213"/>
      <c r="K120" s="213"/>
      <c r="L120" s="213"/>
    </row>
    <row r="121" spans="1:12" ht="22.5" customHeight="1">
      <c r="A121" s="210"/>
      <c r="B121" s="115" t="e">
        <f>VLOOKUP(C121,Lists!I:J,2,FALSE)</f>
        <v>#N/A</v>
      </c>
      <c r="C121" s="115"/>
      <c r="D121" s="17"/>
      <c r="E121" s="211"/>
      <c r="F121" s="17"/>
      <c r="G121" s="212"/>
      <c r="H121" s="212"/>
      <c r="I121" s="116"/>
      <c r="J121" s="213"/>
      <c r="K121" s="213"/>
      <c r="L121" s="213"/>
    </row>
    <row r="122" spans="1:12" ht="22.5" customHeight="1">
      <c r="A122" s="210"/>
      <c r="B122" s="115" t="e">
        <f>VLOOKUP(C122,Lists!I:J,2,FALSE)</f>
        <v>#N/A</v>
      </c>
      <c r="C122" s="115"/>
      <c r="D122" s="17"/>
      <c r="E122" s="211"/>
      <c r="F122" s="17"/>
      <c r="G122" s="212"/>
      <c r="H122" s="212"/>
      <c r="I122" s="116"/>
      <c r="J122" s="213"/>
      <c r="K122" s="213"/>
      <c r="L122" s="213"/>
    </row>
    <row r="123" spans="1:12" ht="22.5" customHeight="1">
      <c r="A123" s="210"/>
      <c r="B123" s="115" t="e">
        <f>VLOOKUP(C123,Lists!I:J,2,FALSE)</f>
        <v>#N/A</v>
      </c>
      <c r="C123" s="115"/>
      <c r="D123" s="17"/>
      <c r="E123" s="211"/>
      <c r="F123" s="17"/>
      <c r="G123" s="212"/>
      <c r="H123" s="212"/>
      <c r="I123" s="116"/>
      <c r="J123" s="213"/>
      <c r="K123" s="213"/>
      <c r="L123" s="213"/>
    </row>
    <row r="124" spans="1:12" ht="22.5" customHeight="1">
      <c r="A124" s="210"/>
      <c r="B124" s="115" t="e">
        <f>VLOOKUP(C124,Lists!I:J,2,FALSE)</f>
        <v>#N/A</v>
      </c>
      <c r="C124" s="115"/>
      <c r="D124" s="17"/>
      <c r="E124" s="211"/>
      <c r="F124" s="17"/>
      <c r="G124" s="212"/>
      <c r="H124" s="212"/>
      <c r="I124" s="116"/>
      <c r="J124" s="213"/>
      <c r="K124" s="213"/>
      <c r="L124" s="213"/>
    </row>
    <row r="125" spans="1:12" ht="22.5" customHeight="1">
      <c r="A125" s="210"/>
      <c r="B125" s="115" t="e">
        <f>VLOOKUP(C125,Lists!I:J,2,FALSE)</f>
        <v>#N/A</v>
      </c>
      <c r="C125" s="115"/>
      <c r="D125" s="17"/>
      <c r="E125" s="211"/>
      <c r="F125" s="17"/>
      <c r="G125" s="212"/>
      <c r="H125" s="212"/>
      <c r="I125" s="116"/>
      <c r="J125" s="213"/>
      <c r="K125" s="213"/>
      <c r="L125" s="213"/>
    </row>
    <row r="126" spans="1:12" ht="22.5" customHeight="1">
      <c r="A126" s="210"/>
      <c r="B126" s="115" t="e">
        <f>VLOOKUP(C126,Lists!I:J,2,FALSE)</f>
        <v>#N/A</v>
      </c>
      <c r="C126" s="115"/>
      <c r="D126" s="17"/>
      <c r="E126" s="211"/>
      <c r="F126" s="17"/>
      <c r="G126" s="212"/>
      <c r="H126" s="212"/>
      <c r="I126" s="116"/>
      <c r="J126" s="213"/>
      <c r="K126" s="213"/>
      <c r="L126" s="213"/>
    </row>
    <row r="127" spans="1:12" ht="22.5" customHeight="1">
      <c r="A127" s="210"/>
      <c r="B127" s="115" t="e">
        <f>VLOOKUP(C127,Lists!I:J,2,FALSE)</f>
        <v>#N/A</v>
      </c>
      <c r="C127" s="115"/>
      <c r="D127" s="17"/>
      <c r="E127" s="211"/>
      <c r="F127" s="17"/>
      <c r="G127" s="212"/>
      <c r="H127" s="212"/>
      <c r="I127" s="116"/>
      <c r="J127" s="213"/>
      <c r="K127" s="213"/>
      <c r="L127" s="213"/>
    </row>
    <row r="128" spans="1:12" ht="22.5" customHeight="1">
      <c r="A128" s="210"/>
      <c r="B128" s="115" t="e">
        <f>VLOOKUP(C128,Lists!I:J,2,FALSE)</f>
        <v>#N/A</v>
      </c>
      <c r="C128" s="115"/>
      <c r="D128" s="17"/>
      <c r="E128" s="211"/>
      <c r="F128" s="17"/>
      <c r="G128" s="212"/>
      <c r="H128" s="212"/>
      <c r="I128" s="116"/>
      <c r="J128" s="213"/>
      <c r="K128" s="213"/>
      <c r="L128" s="213"/>
    </row>
    <row r="129" spans="1:12" ht="22.5" customHeight="1">
      <c r="A129" s="210"/>
      <c r="B129" s="115" t="e">
        <f>VLOOKUP(C129,Lists!I:J,2,FALSE)</f>
        <v>#N/A</v>
      </c>
      <c r="C129" s="115"/>
      <c r="D129" s="17"/>
      <c r="E129" s="211"/>
      <c r="F129" s="17"/>
      <c r="G129" s="212"/>
      <c r="H129" s="212"/>
      <c r="I129" s="116"/>
      <c r="J129" s="213"/>
      <c r="K129" s="213"/>
      <c r="L129" s="213"/>
    </row>
    <row r="130" spans="1:12" ht="22.5" customHeight="1">
      <c r="A130" s="210"/>
      <c r="B130" s="115" t="e">
        <f>VLOOKUP(C130,Lists!I:J,2,FALSE)</f>
        <v>#N/A</v>
      </c>
      <c r="C130" s="115"/>
      <c r="D130" s="17"/>
      <c r="E130" s="211"/>
      <c r="F130" s="17"/>
      <c r="G130" s="212"/>
      <c r="H130" s="212"/>
      <c r="I130" s="116"/>
      <c r="J130" s="213"/>
      <c r="K130" s="213"/>
      <c r="L130" s="213"/>
    </row>
    <row r="131" spans="1:12" ht="22.5" customHeight="1">
      <c r="A131" s="210"/>
      <c r="B131" s="115" t="e">
        <f>VLOOKUP(C131,Lists!I:J,2,FALSE)</f>
        <v>#N/A</v>
      </c>
      <c r="C131" s="115"/>
      <c r="D131" s="17"/>
      <c r="E131" s="211"/>
      <c r="F131" s="17"/>
      <c r="G131" s="212"/>
      <c r="H131" s="212"/>
      <c r="I131" s="116"/>
      <c r="J131" s="213"/>
      <c r="K131" s="213"/>
      <c r="L131" s="213"/>
    </row>
    <row r="132" spans="1:12" ht="22.5" customHeight="1">
      <c r="A132" s="210"/>
      <c r="B132" s="115" t="e">
        <f>VLOOKUP(C132,Lists!I:J,2,FALSE)</f>
        <v>#N/A</v>
      </c>
      <c r="C132" s="115"/>
      <c r="D132" s="17"/>
      <c r="E132" s="211"/>
      <c r="F132" s="17"/>
      <c r="G132" s="212"/>
      <c r="H132" s="212"/>
      <c r="I132" s="116"/>
      <c r="J132" s="213"/>
      <c r="K132" s="213"/>
      <c r="L132" s="213"/>
    </row>
    <row r="133" spans="1:12" ht="22.5" customHeight="1">
      <c r="A133" s="210"/>
      <c r="B133" s="115" t="e">
        <f>VLOOKUP(C133,Lists!I:J,2,FALSE)</f>
        <v>#N/A</v>
      </c>
      <c r="C133" s="115"/>
      <c r="D133" s="17"/>
      <c r="E133" s="211"/>
      <c r="F133" s="17"/>
      <c r="G133" s="212"/>
      <c r="H133" s="212"/>
      <c r="I133" s="116"/>
      <c r="J133" s="213"/>
      <c r="K133" s="213"/>
      <c r="L133" s="213"/>
    </row>
    <row r="134" spans="1:12" ht="22.5" customHeight="1">
      <c r="A134" s="210"/>
      <c r="B134" s="115" t="e">
        <f>VLOOKUP(C134,Lists!I:J,2,FALSE)</f>
        <v>#N/A</v>
      </c>
      <c r="C134" s="115"/>
      <c r="D134" s="17"/>
      <c r="E134" s="211"/>
      <c r="F134" s="17"/>
      <c r="G134" s="212"/>
      <c r="H134" s="212"/>
      <c r="I134" s="116"/>
      <c r="J134" s="213"/>
      <c r="K134" s="213"/>
      <c r="L134" s="213"/>
    </row>
    <row r="135" spans="1:12" ht="22.5" customHeight="1">
      <c r="A135" s="210"/>
      <c r="B135" s="115" t="e">
        <f>VLOOKUP(C135,Lists!I:J,2,FALSE)</f>
        <v>#N/A</v>
      </c>
      <c r="C135" s="115"/>
      <c r="D135" s="17"/>
      <c r="E135" s="211"/>
      <c r="F135" s="17"/>
      <c r="G135" s="212"/>
      <c r="H135" s="212"/>
      <c r="I135" s="116"/>
      <c r="J135" s="213"/>
      <c r="K135" s="213"/>
      <c r="L135" s="213"/>
    </row>
    <row r="136" spans="1:12" ht="22.5" customHeight="1">
      <c r="A136" s="210"/>
      <c r="B136" s="115" t="e">
        <f>VLOOKUP(C136,Lists!I:J,2,FALSE)</f>
        <v>#N/A</v>
      </c>
      <c r="C136" s="115"/>
      <c r="D136" s="17"/>
      <c r="E136" s="211"/>
      <c r="F136" s="17"/>
      <c r="G136" s="212"/>
      <c r="H136" s="212"/>
      <c r="I136" s="116"/>
      <c r="J136" s="213"/>
      <c r="K136" s="213"/>
      <c r="L136" s="213"/>
    </row>
    <row r="137" spans="1:12" ht="22.5" customHeight="1">
      <c r="A137" s="210"/>
      <c r="B137" s="115" t="e">
        <f>VLOOKUP(C137,Lists!I:J,2,FALSE)</f>
        <v>#N/A</v>
      </c>
      <c r="C137" s="115"/>
      <c r="D137" s="17"/>
      <c r="E137" s="211"/>
      <c r="F137" s="17"/>
      <c r="G137" s="212"/>
      <c r="H137" s="212"/>
      <c r="I137" s="116"/>
      <c r="J137" s="213"/>
      <c r="K137" s="213"/>
      <c r="L137" s="213"/>
    </row>
    <row r="138" spans="1:12" ht="22.5" customHeight="1">
      <c r="A138" s="210"/>
      <c r="B138" s="115" t="e">
        <f>VLOOKUP(C138,Lists!I:J,2,FALSE)</f>
        <v>#N/A</v>
      </c>
      <c r="C138" s="115"/>
      <c r="D138" s="17"/>
      <c r="E138" s="211"/>
      <c r="F138" s="17"/>
      <c r="G138" s="212"/>
      <c r="H138" s="212"/>
      <c r="I138" s="116"/>
      <c r="J138" s="213"/>
      <c r="K138" s="213"/>
      <c r="L138" s="213"/>
    </row>
    <row r="139" spans="1:12" ht="22.5" customHeight="1">
      <c r="A139" s="210"/>
      <c r="B139" s="115" t="e">
        <f>VLOOKUP(C139,Lists!I:J,2,FALSE)</f>
        <v>#N/A</v>
      </c>
      <c r="C139" s="115"/>
      <c r="D139" s="17"/>
      <c r="E139" s="211"/>
      <c r="F139" s="17"/>
      <c r="G139" s="212"/>
      <c r="H139" s="212"/>
      <c r="I139" s="116"/>
      <c r="J139" s="213"/>
      <c r="K139" s="213"/>
      <c r="L139" s="213"/>
    </row>
    <row r="140" spans="1:12" ht="22.5" customHeight="1">
      <c r="A140" s="210"/>
      <c r="B140" s="115" t="e">
        <f>VLOOKUP(C140,Lists!I:J,2,FALSE)</f>
        <v>#N/A</v>
      </c>
      <c r="C140" s="115"/>
      <c r="D140" s="17"/>
      <c r="E140" s="211"/>
      <c r="F140" s="17"/>
      <c r="G140" s="212"/>
      <c r="H140" s="212"/>
      <c r="I140" s="116"/>
      <c r="J140" s="213"/>
      <c r="K140" s="213"/>
      <c r="L140" s="213"/>
    </row>
    <row r="141" spans="1:12" ht="22.5" customHeight="1">
      <c r="A141" s="210"/>
      <c r="B141" s="115" t="e">
        <f>VLOOKUP(C141,Lists!I:J,2,FALSE)</f>
        <v>#N/A</v>
      </c>
      <c r="C141" s="115"/>
      <c r="D141" s="17"/>
      <c r="E141" s="211"/>
      <c r="F141" s="17"/>
      <c r="G141" s="212"/>
      <c r="H141" s="212"/>
      <c r="I141" s="116"/>
      <c r="J141" s="213"/>
      <c r="K141" s="213"/>
      <c r="L141" s="213"/>
    </row>
    <row r="142" spans="1:12" ht="22.5" customHeight="1">
      <c r="A142" s="210"/>
      <c r="B142" s="115" t="e">
        <f>VLOOKUP(C142,Lists!I:J,2,FALSE)</f>
        <v>#N/A</v>
      </c>
      <c r="C142" s="115"/>
      <c r="D142" s="17"/>
      <c r="E142" s="211"/>
      <c r="F142" s="17"/>
      <c r="G142" s="212"/>
      <c r="H142" s="212"/>
      <c r="I142" s="116"/>
      <c r="J142" s="213"/>
      <c r="K142" s="213"/>
      <c r="L142" s="213"/>
    </row>
    <row r="143" spans="1:12" ht="22.5" customHeight="1">
      <c r="A143" s="210"/>
      <c r="B143" s="115" t="e">
        <f>VLOOKUP(C143,Lists!I:J,2,FALSE)</f>
        <v>#N/A</v>
      </c>
      <c r="C143" s="115"/>
      <c r="D143" s="17"/>
      <c r="E143" s="211"/>
      <c r="F143" s="17"/>
      <c r="G143" s="212"/>
      <c r="H143" s="212"/>
      <c r="I143" s="116"/>
      <c r="J143" s="213"/>
      <c r="K143" s="213"/>
      <c r="L143" s="213"/>
    </row>
    <row r="144" spans="1:12" ht="22.5" customHeight="1">
      <c r="A144" s="210"/>
      <c r="B144" s="115" t="e">
        <f>VLOOKUP(C144,Lists!I:J,2,FALSE)</f>
        <v>#N/A</v>
      </c>
      <c r="C144" s="115"/>
      <c r="D144" s="17"/>
      <c r="E144" s="211"/>
      <c r="F144" s="17"/>
      <c r="G144" s="212"/>
      <c r="H144" s="212"/>
      <c r="I144" s="116"/>
      <c r="J144" s="213"/>
      <c r="K144" s="213"/>
      <c r="L144" s="213"/>
    </row>
    <row r="145" spans="1:12" ht="22.5" customHeight="1">
      <c r="A145" s="210"/>
      <c r="B145" s="115" t="e">
        <f>VLOOKUP(C145,Lists!I:J,2,FALSE)</f>
        <v>#N/A</v>
      </c>
      <c r="C145" s="115"/>
      <c r="D145" s="17"/>
      <c r="E145" s="211"/>
      <c r="F145" s="17"/>
      <c r="G145" s="212"/>
      <c r="H145" s="212"/>
      <c r="I145" s="116"/>
      <c r="J145" s="213"/>
      <c r="K145" s="213"/>
      <c r="L145" s="213"/>
    </row>
    <row r="146" spans="1:12" ht="22.5" customHeight="1">
      <c r="A146" s="210"/>
      <c r="B146" s="115" t="e">
        <f>VLOOKUP(C146,Lists!I:J,2,FALSE)</f>
        <v>#N/A</v>
      </c>
      <c r="C146" s="115"/>
      <c r="D146" s="17"/>
      <c r="E146" s="211"/>
      <c r="F146" s="17"/>
      <c r="G146" s="212"/>
      <c r="H146" s="212"/>
      <c r="I146" s="116"/>
      <c r="J146" s="213"/>
      <c r="K146" s="213"/>
      <c r="L146" s="213"/>
    </row>
    <row r="147" spans="1:12" ht="22.5" customHeight="1">
      <c r="A147" s="210"/>
      <c r="B147" s="115" t="e">
        <f>VLOOKUP(C147,Lists!I:J,2,FALSE)</f>
        <v>#N/A</v>
      </c>
      <c r="C147" s="115"/>
      <c r="D147" s="17"/>
      <c r="E147" s="211"/>
      <c r="F147" s="17"/>
      <c r="G147" s="212"/>
      <c r="H147" s="212"/>
      <c r="I147" s="116"/>
      <c r="J147" s="213"/>
      <c r="K147" s="213"/>
      <c r="L147" s="213"/>
    </row>
    <row r="148" spans="1:12" ht="22.5" customHeight="1">
      <c r="A148" s="210"/>
      <c r="B148" s="115" t="e">
        <f>VLOOKUP(C148,Lists!I:J,2,FALSE)</f>
        <v>#N/A</v>
      </c>
      <c r="C148" s="115"/>
      <c r="D148" s="17"/>
      <c r="E148" s="211"/>
      <c r="F148" s="17"/>
      <c r="G148" s="212"/>
      <c r="H148" s="212"/>
      <c r="I148" s="116"/>
      <c r="J148" s="213"/>
      <c r="K148" s="213"/>
      <c r="L148" s="213"/>
    </row>
    <row r="149" spans="1:12" ht="22.5" customHeight="1">
      <c r="A149" s="210"/>
      <c r="B149" s="115" t="e">
        <f>VLOOKUP(C149,Lists!I:J,2,FALSE)</f>
        <v>#N/A</v>
      </c>
      <c r="C149" s="115"/>
      <c r="D149" s="17"/>
      <c r="E149" s="211"/>
      <c r="F149" s="17"/>
      <c r="G149" s="212"/>
      <c r="H149" s="212"/>
      <c r="I149" s="116"/>
      <c r="J149" s="213"/>
      <c r="K149" s="213"/>
      <c r="L149" s="213"/>
    </row>
    <row r="150" spans="1:12" ht="22.5" customHeight="1">
      <c r="A150" s="210"/>
      <c r="B150" s="115" t="e">
        <f>VLOOKUP(C150,Lists!I:J,2,FALSE)</f>
        <v>#N/A</v>
      </c>
      <c r="C150" s="115"/>
      <c r="D150" s="17"/>
      <c r="E150" s="211"/>
      <c r="F150" s="17"/>
      <c r="G150" s="212"/>
      <c r="H150" s="212"/>
      <c r="I150" s="116"/>
      <c r="J150" s="213"/>
      <c r="K150" s="213"/>
      <c r="L150" s="213"/>
    </row>
    <row r="151" spans="1:12" ht="22.5" customHeight="1">
      <c r="A151" s="210"/>
      <c r="B151" s="115" t="e">
        <f>VLOOKUP(C151,Lists!I:J,2,FALSE)</f>
        <v>#N/A</v>
      </c>
      <c r="C151" s="115"/>
      <c r="D151" s="17"/>
      <c r="E151" s="211"/>
      <c r="F151" s="17"/>
      <c r="G151" s="212"/>
      <c r="H151" s="212"/>
      <c r="I151" s="116"/>
      <c r="J151" s="213"/>
      <c r="K151" s="213"/>
      <c r="L151" s="213"/>
    </row>
    <row r="152" spans="1:12" ht="22.5" customHeight="1">
      <c r="A152" s="210"/>
      <c r="B152" s="115" t="e">
        <f>VLOOKUP(C152,Lists!I:J,2,FALSE)</f>
        <v>#N/A</v>
      </c>
      <c r="C152" s="115"/>
      <c r="D152" s="17"/>
      <c r="E152" s="211"/>
      <c r="F152" s="17"/>
      <c r="G152" s="212"/>
      <c r="H152" s="212"/>
      <c r="I152" s="116"/>
      <c r="J152" s="213"/>
      <c r="K152" s="213"/>
      <c r="L152" s="213"/>
    </row>
    <row r="153" spans="1:12" ht="22.5" customHeight="1">
      <c r="A153" s="210"/>
      <c r="B153" s="115" t="e">
        <f>VLOOKUP(C153,Lists!I:J,2,FALSE)</f>
        <v>#N/A</v>
      </c>
      <c r="C153" s="115"/>
      <c r="D153" s="17"/>
      <c r="E153" s="211"/>
      <c r="F153" s="17"/>
      <c r="G153" s="212"/>
      <c r="H153" s="212"/>
      <c r="I153" s="116"/>
      <c r="J153" s="213"/>
      <c r="K153" s="213"/>
      <c r="L153" s="213"/>
    </row>
    <row r="154" spans="1:12" ht="22.5" customHeight="1">
      <c r="A154" s="210"/>
      <c r="B154" s="115" t="e">
        <f>VLOOKUP(C154,Lists!I:J,2,FALSE)</f>
        <v>#N/A</v>
      </c>
      <c r="C154" s="115"/>
      <c r="D154" s="17"/>
      <c r="E154" s="211"/>
      <c r="F154" s="17"/>
      <c r="G154" s="212"/>
      <c r="H154" s="212"/>
      <c r="I154" s="116"/>
      <c r="J154" s="213"/>
      <c r="K154" s="213"/>
      <c r="L154" s="213"/>
    </row>
    <row r="155" spans="1:12" ht="22.5" customHeight="1">
      <c r="A155" s="210"/>
      <c r="B155" s="115" t="e">
        <f>VLOOKUP(C155,Lists!I:J,2,FALSE)</f>
        <v>#N/A</v>
      </c>
      <c r="C155" s="115"/>
      <c r="D155" s="17"/>
      <c r="E155" s="211"/>
      <c r="F155" s="17"/>
      <c r="G155" s="212"/>
      <c r="H155" s="212"/>
      <c r="I155" s="116"/>
      <c r="J155" s="213"/>
      <c r="K155" s="213"/>
      <c r="L155" s="213"/>
    </row>
    <row r="156" spans="1:12" ht="22.5" customHeight="1">
      <c r="A156" s="210"/>
      <c r="B156" s="115" t="e">
        <f>VLOOKUP(C156,Lists!I:J,2,FALSE)</f>
        <v>#N/A</v>
      </c>
      <c r="C156" s="115"/>
      <c r="D156" s="17"/>
      <c r="E156" s="211"/>
      <c r="F156" s="17"/>
      <c r="G156" s="212"/>
      <c r="H156" s="212"/>
      <c r="I156" s="116"/>
      <c r="J156" s="213"/>
      <c r="K156" s="213"/>
      <c r="L156" s="213"/>
    </row>
    <row r="157" spans="1:12" ht="22.5" customHeight="1">
      <c r="A157" s="210"/>
      <c r="B157" s="115" t="e">
        <f>VLOOKUP(C157,Lists!I:J,2,FALSE)</f>
        <v>#N/A</v>
      </c>
      <c r="C157" s="115"/>
      <c r="D157" s="17"/>
      <c r="E157" s="211"/>
      <c r="F157" s="17"/>
      <c r="G157" s="212"/>
      <c r="H157" s="212"/>
      <c r="I157" s="116"/>
      <c r="J157" s="213"/>
      <c r="K157" s="213"/>
      <c r="L157" s="213"/>
    </row>
    <row r="158" spans="1:12" ht="22.5" customHeight="1">
      <c r="A158" s="210"/>
      <c r="B158" s="115" t="e">
        <f>VLOOKUP(C158,Lists!I:J,2,FALSE)</f>
        <v>#N/A</v>
      </c>
      <c r="C158" s="115"/>
      <c r="D158" s="17"/>
      <c r="E158" s="211"/>
      <c r="F158" s="17"/>
      <c r="G158" s="212"/>
      <c r="H158" s="212"/>
      <c r="I158" s="116"/>
      <c r="J158" s="213"/>
      <c r="K158" s="213"/>
      <c r="L158" s="213"/>
    </row>
    <row r="159" spans="1:12" ht="22.5" customHeight="1">
      <c r="A159" s="210"/>
      <c r="B159" s="115" t="e">
        <f>VLOOKUP(C159,Lists!I:J,2,FALSE)</f>
        <v>#N/A</v>
      </c>
      <c r="C159" s="115"/>
      <c r="D159" s="17"/>
      <c r="E159" s="211"/>
      <c r="F159" s="17"/>
      <c r="G159" s="212"/>
      <c r="H159" s="212"/>
      <c r="I159" s="116"/>
      <c r="J159" s="213"/>
      <c r="K159" s="213"/>
      <c r="L159" s="213"/>
    </row>
    <row r="160" spans="1:12" ht="22.5" customHeight="1">
      <c r="A160" s="210"/>
      <c r="B160" s="115" t="e">
        <f>VLOOKUP(C160,Lists!I:J,2,FALSE)</f>
        <v>#N/A</v>
      </c>
      <c r="C160" s="115"/>
      <c r="D160" s="17"/>
      <c r="E160" s="211"/>
      <c r="F160" s="17"/>
      <c r="G160" s="212"/>
      <c r="H160" s="212"/>
      <c r="I160" s="116"/>
      <c r="J160" s="213"/>
      <c r="K160" s="213"/>
      <c r="L160" s="213"/>
    </row>
    <row r="161" spans="1:12" ht="22.5" customHeight="1">
      <c r="A161" s="210"/>
      <c r="B161" s="115" t="e">
        <f>VLOOKUP(C161,Lists!I:J,2,FALSE)</f>
        <v>#N/A</v>
      </c>
      <c r="C161" s="115"/>
      <c r="D161" s="17"/>
      <c r="E161" s="211"/>
      <c r="F161" s="17"/>
      <c r="G161" s="212"/>
      <c r="H161" s="212"/>
      <c r="I161" s="116"/>
      <c r="J161" s="213"/>
      <c r="K161" s="213"/>
      <c r="L161" s="213"/>
    </row>
    <row r="162" spans="1:12" ht="22.5" customHeight="1">
      <c r="A162" s="210"/>
      <c r="B162" s="115" t="e">
        <f>VLOOKUP(C162,Lists!I:J,2,FALSE)</f>
        <v>#N/A</v>
      </c>
      <c r="C162" s="115"/>
      <c r="D162" s="17"/>
      <c r="E162" s="211"/>
      <c r="F162" s="17"/>
      <c r="G162" s="212"/>
      <c r="H162" s="212"/>
      <c r="I162" s="116"/>
      <c r="J162" s="213"/>
      <c r="K162" s="213"/>
      <c r="L162" s="213"/>
    </row>
    <row r="163" spans="1:12" ht="22.5" customHeight="1">
      <c r="A163" s="210"/>
      <c r="B163" s="115" t="e">
        <f>VLOOKUP(C163,Lists!I:J,2,FALSE)</f>
        <v>#N/A</v>
      </c>
      <c r="C163" s="115"/>
      <c r="D163" s="17"/>
      <c r="E163" s="211"/>
      <c r="F163" s="17"/>
      <c r="G163" s="212"/>
      <c r="H163" s="212"/>
      <c r="I163" s="116"/>
      <c r="J163" s="213"/>
      <c r="K163" s="213"/>
      <c r="L163" s="213"/>
    </row>
  </sheetData>
  <mergeCells count="14">
    <mergeCell ref="R63:T63"/>
    <mergeCell ref="AB63:AD63"/>
    <mergeCell ref="R2:T2"/>
    <mergeCell ref="V2:W2"/>
    <mergeCell ref="Y2:Z2"/>
    <mergeCell ref="AB2:AD2"/>
    <mergeCell ref="V15:W15"/>
    <mergeCell ref="Y15:Z15"/>
    <mergeCell ref="AB15:AD15"/>
    <mergeCell ref="R15:T15"/>
    <mergeCell ref="R28:T28"/>
    <mergeCell ref="AB28:AD28"/>
    <mergeCell ref="R49:T49"/>
    <mergeCell ref="AB49:AD49"/>
  </mergeCells>
  <dataValidations count="4">
    <dataValidation type="list" allowBlank="1" sqref="B2:D163" xr:uid="{00000000-0002-0000-1400-000000000000}">
      <formula1>#REF!</formula1>
    </dataValidation>
    <dataValidation type="list" allowBlank="1" sqref="F2:F163" xr:uid="{00000000-0002-0000-1400-000002000000}">
      <formula1>"Yellow,Red"</formula1>
    </dataValidation>
    <dataValidation type="custom" allowBlank="1" showDropDown="1" sqref="S4:T14 AC4:AD14 S17:T25 AC17:AD25 S30:T46 AC30:AD46 S51:T60 AC51:AD60 S65:T72 AC65:AD72 A2:A163 G2:L163" xr:uid="{00000000-0002-0000-1400-000003000000}">
      <formula1>AND(ISNUMBER(A2),(NOT(OR(NOT(ISERROR(DATEVALUE(A2))), AND(ISNUMBER(A2), LEFT(CELL("format", A2))="D")))))</formula1>
    </dataValidation>
    <dataValidation allowBlank="1" showDropDown="1" sqref="E2:E163" xr:uid="{00000000-0002-0000-1400-000004000000}"/>
  </dataValidations>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6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210">
        <v>1</v>
      </c>
      <c r="B2" s="115" t="str">
        <f>VLOOKUP(C2,Lists!I:J,2,FALSE)</f>
        <v>Ranged DPS</v>
      </c>
      <c r="C2" s="115" t="str">
        <f>VLOOKUP(E2,Lists!D:E,2,FALSE)</f>
        <v>Staff/Dagger</v>
      </c>
      <c r="D2" s="16" t="s">
        <v>7</v>
      </c>
      <c r="E2" s="214" t="s">
        <v>42</v>
      </c>
      <c r="F2" s="16" t="s">
        <v>476</v>
      </c>
      <c r="G2" s="210">
        <v>81</v>
      </c>
      <c r="H2" s="210">
        <v>188</v>
      </c>
      <c r="I2" s="194">
        <f t="shared" ref="I2:I103" si="0">SUM(G2:H2)</f>
        <v>269</v>
      </c>
      <c r="J2" s="215">
        <v>6292291</v>
      </c>
      <c r="K2" s="215">
        <v>532371</v>
      </c>
      <c r="L2" s="213">
        <v>19687</v>
      </c>
      <c r="M2" s="195">
        <f>I2/(HLOOKUP(F2,Team_Composition_23[[#All],[Yellow]:[Red]],10,FALSE)+HLOOKUP(F2,Team_Composition_23[[#All],[Yellow]:[Red]],11,FALSE))</f>
        <v>6.723319170207448E-2</v>
      </c>
      <c r="N2" s="195">
        <f>J2/HLOOKUP(F2,Team_Composition_23[[#All],[Yellow]:[Red]],6,FALSE)</f>
        <v>0.14183457331035262</v>
      </c>
      <c r="O2" s="195">
        <f>K2/HLOOKUP(F2,Team_Composition_23[[#All],[Yellow]:[Red]],8,FALSE)</f>
        <v>3.0388618191820965E-2</v>
      </c>
      <c r="P2" s="195">
        <f>L2/HLOOKUP(F2,Team_Composition_23[[#All],[Yellow]:[Red]],7,FALSE)</f>
        <v>1.5208454006226759E-3</v>
      </c>
      <c r="R2" s="232" t="s">
        <v>477</v>
      </c>
      <c r="S2" s="228"/>
      <c r="T2" s="228"/>
      <c r="V2" s="233" t="s">
        <v>478</v>
      </c>
      <c r="W2" s="228"/>
      <c r="X2" s="196"/>
      <c r="Y2" s="233" t="s">
        <v>479</v>
      </c>
      <c r="Z2" s="228"/>
    </row>
    <row r="3" spans="1:26" ht="22.5" customHeight="1">
      <c r="A3" s="210">
        <v>2</v>
      </c>
      <c r="B3" s="115" t="str">
        <f>VLOOKUP(C3,Lists!I:J,2,FALSE)</f>
        <v>Melee DPS</v>
      </c>
      <c r="C3" s="115" t="str">
        <f>VLOOKUP(E3,Lists!D:E,2,FALSE)</f>
        <v>Greatsword/Spear</v>
      </c>
      <c r="D3" s="16" t="s">
        <v>7</v>
      </c>
      <c r="E3" s="214" t="s">
        <v>77</v>
      </c>
      <c r="F3" s="16" t="s">
        <v>476</v>
      </c>
      <c r="G3" s="210">
        <v>73</v>
      </c>
      <c r="H3" s="210">
        <v>135</v>
      </c>
      <c r="I3" s="194">
        <f t="shared" si="0"/>
        <v>208</v>
      </c>
      <c r="J3" s="215">
        <v>2976523</v>
      </c>
      <c r="K3" s="215">
        <v>931577</v>
      </c>
      <c r="L3" s="215">
        <v>16107</v>
      </c>
      <c r="M3" s="195">
        <f>I3/(HLOOKUP(F3,Team_Composition_23[[#All],[Yellow]:[Red]],10,FALSE)+HLOOKUP(F3,Team_Composition_23[[#All],[Yellow]:[Red]],11,FALSE))</f>
        <v>5.1987003249187702E-2</v>
      </c>
      <c r="N3" s="195">
        <f>J3/HLOOKUP(F3,Team_Composition_23[[#All],[Yellow]:[Red]],6,FALSE)</f>
        <v>6.7093824753726536E-2</v>
      </c>
      <c r="O3" s="195">
        <f>K3/HLOOKUP(F3,Team_Composition_23[[#All],[Yellow]:[Red]],8,FALSE)</f>
        <v>5.3175957686053515E-2</v>
      </c>
      <c r="P3" s="195">
        <f>L3/HLOOKUP(F3,Team_Composition_23[[#All],[Yellow]:[Red]],7,FALSE)</f>
        <v>1.2442859180083021E-3</v>
      </c>
      <c r="R3" s="197" t="s">
        <v>482</v>
      </c>
      <c r="S3" s="198" t="s">
        <v>476</v>
      </c>
      <c r="T3" s="198" t="s">
        <v>483</v>
      </c>
      <c r="V3" s="199" t="s">
        <v>1</v>
      </c>
      <c r="W3" s="200" t="s">
        <v>467</v>
      </c>
      <c r="Y3" s="199" t="s">
        <v>1</v>
      </c>
      <c r="Z3" s="200" t="s">
        <v>484</v>
      </c>
    </row>
    <row r="4" spans="1:26" ht="22.5" customHeight="1">
      <c r="A4" s="210">
        <v>3</v>
      </c>
      <c r="B4" s="115" t="str">
        <f>VLOOKUP(C4,Lists!I:J,2,FALSE)</f>
        <v>Melee DPS</v>
      </c>
      <c r="C4" s="115" t="str">
        <f>VLOOKUP(E4,Lists!D:E,2,FALSE)</f>
        <v>Greatsword/Spear</v>
      </c>
      <c r="D4" s="16" t="s">
        <v>7</v>
      </c>
      <c r="E4" s="214" t="s">
        <v>22</v>
      </c>
      <c r="F4" s="16" t="s">
        <v>476</v>
      </c>
      <c r="G4" s="210">
        <v>68</v>
      </c>
      <c r="H4" s="210">
        <v>215</v>
      </c>
      <c r="I4" s="194">
        <f t="shared" si="0"/>
        <v>283</v>
      </c>
      <c r="J4" s="215">
        <v>3903924</v>
      </c>
      <c r="K4" s="215">
        <v>1761253</v>
      </c>
      <c r="L4" s="215">
        <v>63146</v>
      </c>
      <c r="M4" s="195">
        <f>I4/(HLOOKUP(F4,Team_Composition_23[[#All],[Yellow]:[Red]],10,FALSE)+HLOOKUP(F4,Team_Composition_23[[#All],[Yellow]:[Red]],11,FALSE))</f>
        <v>7.0732316920769811E-2</v>
      </c>
      <c r="N4" s="195">
        <f>J4/HLOOKUP(F4,Team_Composition_23[[#All],[Yellow]:[Red]],6,FALSE)</f>
        <v>8.7998376867192737E-2</v>
      </c>
      <c r="O4" s="195">
        <f>K4/HLOOKUP(F4,Team_Composition_23[[#All],[Yellow]:[Red]],8,FALSE)</f>
        <v>0.1005352375621498</v>
      </c>
      <c r="P4" s="195">
        <f>L4/HLOOKUP(F4,Team_Composition_23[[#All],[Yellow]:[Red]],7,FALSE)</f>
        <v>4.8781075668064963E-3</v>
      </c>
      <c r="R4" s="201" t="s">
        <v>25</v>
      </c>
      <c r="S4" s="202">
        <f>COUNTIFS(Scoreboard_12[Role],R4,Scoreboard_12[Team],"Yellow")</f>
        <v>4</v>
      </c>
      <c r="T4" s="203">
        <f>COUNTIFS(Scoreboard_12[Role],R4,Scoreboard_12[Team],"Red")</f>
        <v>3</v>
      </c>
      <c r="V4" s="204" t="str">
        <f ca="1">IFERROR(__xludf.DUMMYFUNCTION("query(A1:P238, ""Select E,I where B!='Healer' Order by I Desc Limit 10"", 0)"),"Baozer")</f>
        <v>Baozer</v>
      </c>
      <c r="W4" s="116">
        <f ca="1">IFERROR(__xludf.DUMMYFUNCTION("""COMPUTED_VALUE"""),283)</f>
        <v>283</v>
      </c>
      <c r="Y4" s="204" t="str">
        <f ca="1">IFERROR(__xludf.DUMMYFUNCTION("query(A1:P238, ""Select E,J Order by J Desc Limit 10"", 0)"),"edmun")</f>
        <v>edmun</v>
      </c>
      <c r="Z4" s="116">
        <f ca="1">IFERROR(__xludf.DUMMYFUNCTION("""COMPUTED_VALUE"""),6292291)</f>
        <v>6292291</v>
      </c>
    </row>
    <row r="5" spans="1:26" ht="22.5" customHeight="1">
      <c r="A5" s="210">
        <v>4</v>
      </c>
      <c r="B5" s="115" t="str">
        <f>VLOOKUP(C5,Lists!I:J,2,FALSE)</f>
        <v>KS</v>
      </c>
      <c r="C5" s="115" t="str">
        <f>VLOOKUP(E5,Lists!D:E,2,FALSE)</f>
        <v>Greatsword/Dagger</v>
      </c>
      <c r="D5" s="16" t="s">
        <v>7</v>
      </c>
      <c r="E5" s="214" t="s">
        <v>90</v>
      </c>
      <c r="F5" s="16" t="s">
        <v>476</v>
      </c>
      <c r="G5" s="210">
        <v>58</v>
      </c>
      <c r="H5" s="210">
        <v>75</v>
      </c>
      <c r="I5" s="194">
        <f t="shared" si="0"/>
        <v>133</v>
      </c>
      <c r="J5" s="215">
        <v>1856781</v>
      </c>
      <c r="K5" s="215">
        <v>1532086</v>
      </c>
      <c r="L5" s="215">
        <v>87907</v>
      </c>
      <c r="M5" s="195">
        <f>I5/(HLOOKUP(F5,Team_Composition_23[[#All],[Yellow]:[Red]],10,FALSE)+HLOOKUP(F5,Team_Composition_23[[#All],[Yellow]:[Red]],11,FALSE))</f>
        <v>3.32416895776056E-2</v>
      </c>
      <c r="N5" s="195">
        <f>J5/HLOOKUP(F5,Team_Composition_23[[#All],[Yellow]:[Red]],6,FALSE)</f>
        <v>4.1853712879103951E-2</v>
      </c>
      <c r="O5" s="195">
        <f>K5/HLOOKUP(F5,Team_Composition_23[[#All],[Yellow]:[Red]],8,FALSE)</f>
        <v>8.7454005742300417E-2</v>
      </c>
      <c r="P5" s="195">
        <f>L5/HLOOKUP(F5,Team_Composition_23[[#All],[Yellow]:[Red]],7,FALSE)</f>
        <v>6.7909258207211652E-3</v>
      </c>
      <c r="R5" s="201" t="s">
        <v>39</v>
      </c>
      <c r="S5" s="202">
        <f>COUNTIFS(Scoreboard_12[Role],R5,Scoreboard_12[Team],"Yellow")</f>
        <v>5</v>
      </c>
      <c r="T5" s="203">
        <f>COUNTIFS(Scoreboard_12[Role],R5,Scoreboard_12[Team],"Red")</f>
        <v>8</v>
      </c>
      <c r="V5" s="204" t="str">
        <f ca="1">IFERROR(__xludf.DUMMYFUNCTION("""COMPUTED_VALUE"""),"edmun")</f>
        <v>edmun</v>
      </c>
      <c r="W5" s="116">
        <f ca="1">IFERROR(__xludf.DUMMYFUNCTION("""COMPUTED_VALUE"""),269)</f>
        <v>269</v>
      </c>
      <c r="Y5" s="204" t="str">
        <f ca="1">IFERROR(__xludf.DUMMYFUNCTION("""COMPUTED_VALUE"""),"Baozer")</f>
        <v>Baozer</v>
      </c>
      <c r="Z5" s="116">
        <f ca="1">IFERROR(__xludf.DUMMYFUNCTION("""COMPUTED_VALUE"""),3903924)</f>
        <v>3903924</v>
      </c>
    </row>
    <row r="6" spans="1:26" ht="22.5" customHeight="1">
      <c r="A6" s="210">
        <v>5</v>
      </c>
      <c r="B6" s="115" t="str">
        <f>VLOOKUP(C6,Lists!I:J,2,FALSE)</f>
        <v>Melee DPS</v>
      </c>
      <c r="C6" s="115" t="str">
        <f>VLOOKUP(E6,Lists!D:E,2,FALSE)</f>
        <v>Greatsword/Spear</v>
      </c>
      <c r="D6" s="16" t="s">
        <v>7</v>
      </c>
      <c r="E6" s="214" t="s">
        <v>27</v>
      </c>
      <c r="F6" s="16" t="s">
        <v>476</v>
      </c>
      <c r="G6" s="210">
        <v>55</v>
      </c>
      <c r="H6" s="210">
        <v>155</v>
      </c>
      <c r="I6" s="194">
        <f t="shared" si="0"/>
        <v>210</v>
      </c>
      <c r="J6" s="215">
        <v>3421775</v>
      </c>
      <c r="K6" s="215">
        <v>1103302</v>
      </c>
      <c r="L6" s="215">
        <v>17322</v>
      </c>
      <c r="M6" s="195">
        <f>I6/(HLOOKUP(F6,Team_Composition_23[[#All],[Yellow]:[Red]],10,FALSE)+HLOOKUP(F6,Team_Composition_23[[#All],[Yellow]:[Red]],11,FALSE))</f>
        <v>5.2486878280429895E-2</v>
      </c>
      <c r="N6" s="195">
        <f>J6/HLOOKUP(F6,Team_Composition_23[[#All],[Yellow]:[Red]],6,FALSE)</f>
        <v>7.713025304917269E-2</v>
      </c>
      <c r="O6" s="195">
        <f>K6/HLOOKUP(F6,Team_Composition_23[[#All],[Yellow]:[Red]],8,FALSE)</f>
        <v>6.2978305032153237E-2</v>
      </c>
      <c r="P6" s="195">
        <f>L6/HLOOKUP(F6,Team_Composition_23[[#All],[Yellow]:[Red]],7,FALSE)</f>
        <v>1.3381461893425099E-3</v>
      </c>
      <c r="R6" s="201" t="s">
        <v>67</v>
      </c>
      <c r="S6" s="202">
        <f>COUNTIFS(Scoreboard_12[Role],R6,Scoreboard_12[Team],"Yellow")</f>
        <v>15</v>
      </c>
      <c r="T6" s="203">
        <f>COUNTIFS(Scoreboard_12[Role],R6,Scoreboard_12[Team],"Red")</f>
        <v>12</v>
      </c>
      <c r="V6" s="204" t="str">
        <f ca="1">IFERROR(__xludf.DUMMYFUNCTION("""COMPUTED_VALUE"""),"TanksVicious")</f>
        <v>TanksVicious</v>
      </c>
      <c r="W6" s="116">
        <f ca="1">IFERROR(__xludf.DUMMYFUNCTION("""COMPUTED_VALUE"""),231)</f>
        <v>231</v>
      </c>
      <c r="Y6" s="204" t="str">
        <f ca="1">IFERROR(__xludf.DUMMYFUNCTION("""COMPUTED_VALUE"""),"TanksVicious")</f>
        <v>TanksVicious</v>
      </c>
      <c r="Z6" s="116">
        <f ca="1">IFERROR(__xludf.DUMMYFUNCTION("""COMPUTED_VALUE"""),3839544)</f>
        <v>3839544</v>
      </c>
    </row>
    <row r="7" spans="1:26" ht="22.5" customHeight="1">
      <c r="A7" s="210">
        <v>6</v>
      </c>
      <c r="B7" s="115" t="str">
        <f>VLOOKUP(C7,Lists!I:J,2,FALSE)</f>
        <v>Melee DPS</v>
      </c>
      <c r="C7" s="115" t="str">
        <f>VLOOKUP(E7,Lists!D:E,2,FALSE)</f>
        <v>Greatsword/Spear</v>
      </c>
      <c r="D7" s="16" t="s">
        <v>7</v>
      </c>
      <c r="E7" s="214" t="s">
        <v>47</v>
      </c>
      <c r="F7" s="16" t="s">
        <v>476</v>
      </c>
      <c r="G7" s="210">
        <v>55</v>
      </c>
      <c r="H7" s="210">
        <v>118</v>
      </c>
      <c r="I7" s="194">
        <f t="shared" si="0"/>
        <v>173</v>
      </c>
      <c r="J7" s="215">
        <v>2597955</v>
      </c>
      <c r="K7" s="215">
        <v>1112313</v>
      </c>
      <c r="L7" s="215">
        <v>13392</v>
      </c>
      <c r="M7" s="195">
        <f>I7/(HLOOKUP(F7,Team_Composition_23[[#All],[Yellow]:[Red]],10,FALSE)+HLOOKUP(F7,Team_Composition_23[[#All],[Yellow]:[Red]],11,FALSE))</f>
        <v>4.3239190202449387E-2</v>
      </c>
      <c r="N7" s="195">
        <f>J7/HLOOKUP(F7,Team_Composition_23[[#All],[Yellow]:[Red]],6,FALSE)</f>
        <v>5.8560520946106462E-2</v>
      </c>
      <c r="O7" s="195">
        <f>K7/HLOOKUP(F7,Team_Composition_23[[#All],[Yellow]:[Red]],8,FALSE)</f>
        <v>6.3492667832768787E-2</v>
      </c>
      <c r="P7" s="195">
        <f>L7/HLOOKUP(F7,Team_Composition_23[[#All],[Yellow]:[Red]],7,FALSE)</f>
        <v>1.0345487684837139E-3</v>
      </c>
      <c r="R7" s="201" t="s">
        <v>11</v>
      </c>
      <c r="S7" s="202">
        <f>COUNTIFS(Scoreboard_12[Role],R7,Scoreboard_12[Team],"Yellow")</f>
        <v>16</v>
      </c>
      <c r="T7" s="203">
        <f>COUNTIFS(Scoreboard_12[Role],R7,Scoreboard_12[Team],"Red")</f>
        <v>19</v>
      </c>
      <c r="V7" s="204" t="str">
        <f ca="1">IFERROR(__xludf.DUMMYFUNCTION("""COMPUTED_VALUE"""),"Blee")</f>
        <v>Blee</v>
      </c>
      <c r="W7" s="116">
        <f ca="1">IFERROR(__xludf.DUMMYFUNCTION("""COMPUTED_VALUE"""),210)</f>
        <v>210</v>
      </c>
      <c r="Y7" s="204" t="str">
        <f ca="1">IFERROR(__xludf.DUMMYFUNCTION("""COMPUTED_VALUE"""),"Blee")</f>
        <v>Blee</v>
      </c>
      <c r="Z7" s="116">
        <f ca="1">IFERROR(__xludf.DUMMYFUNCTION("""COMPUTED_VALUE"""),3421775)</f>
        <v>3421775</v>
      </c>
    </row>
    <row r="8" spans="1:26" ht="22.5" customHeight="1">
      <c r="A8" s="210">
        <v>7</v>
      </c>
      <c r="B8" s="115" t="str">
        <f>VLOOKUP(C8,Lists!I:J,2,FALSE)</f>
        <v>Ranged DPS</v>
      </c>
      <c r="C8" s="115" t="s">
        <v>43</v>
      </c>
      <c r="D8" s="16" t="s">
        <v>7</v>
      </c>
      <c r="E8" s="214" t="s">
        <v>51</v>
      </c>
      <c r="F8" s="16" t="s">
        <v>476</v>
      </c>
      <c r="G8" s="210">
        <v>54</v>
      </c>
      <c r="H8" s="210">
        <v>57</v>
      </c>
      <c r="I8" s="194">
        <f t="shared" si="0"/>
        <v>111</v>
      </c>
      <c r="J8" s="215">
        <v>2261948</v>
      </c>
      <c r="K8" s="215">
        <v>1256436</v>
      </c>
      <c r="L8" s="215">
        <v>27061</v>
      </c>
      <c r="M8" s="195">
        <f>I8/(HLOOKUP(F8,Team_Composition_23[[#All],[Yellow]:[Red]],10,FALSE)+HLOOKUP(F8,Team_Composition_23[[#All],[Yellow]:[Red]],11,FALSE))</f>
        <v>2.7743064233941513E-2</v>
      </c>
      <c r="N8" s="195">
        <f>J8/HLOOKUP(F8,Team_Composition_23[[#All],[Yellow]:[Red]],6,FALSE)</f>
        <v>5.0986584922757941E-2</v>
      </c>
      <c r="O8" s="195">
        <f>K8/HLOOKUP(F8,Team_Composition_23[[#All],[Yellow]:[Red]],8,FALSE)</f>
        <v>7.1719447314858936E-2</v>
      </c>
      <c r="P8" s="195">
        <f>L8/HLOOKUP(F8,Team_Composition_23[[#All],[Yellow]:[Red]],7,FALSE)</f>
        <v>2.090496133806585E-3</v>
      </c>
      <c r="R8" s="201" t="s">
        <v>468</v>
      </c>
      <c r="S8" s="202">
        <f>SUMIFS(Scoreboard_12[Damage Dealt],Scoreboard_12[Team],"Yellow")</f>
        <v>47597927</v>
      </c>
      <c r="T8" s="203">
        <f>SUMIFS(Scoreboard_12[Damage Dealt],Scoreboard_12[Team],"Red")</f>
        <v>30975631</v>
      </c>
      <c r="V8" s="204" t="str">
        <f ca="1">IFERROR(__xludf.DUMMYFUNCTION("""COMPUTED_VALUE"""),"Kyu")</f>
        <v>Kyu</v>
      </c>
      <c r="W8" s="116">
        <f ca="1">IFERROR(__xludf.DUMMYFUNCTION("""COMPUTED_VALUE"""),208)</f>
        <v>208</v>
      </c>
      <c r="Y8" s="204" t="str">
        <f ca="1">IFERROR(__xludf.DUMMYFUNCTION("""COMPUTED_VALUE"""),"Nengja")</f>
        <v>Nengja</v>
      </c>
      <c r="Z8" s="116">
        <f ca="1">IFERROR(__xludf.DUMMYFUNCTION("""COMPUTED_VALUE"""),2981324)</f>
        <v>2981324</v>
      </c>
    </row>
    <row r="9" spans="1:26" ht="22.5" customHeight="1">
      <c r="A9" s="210">
        <v>8</v>
      </c>
      <c r="B9" s="115" t="str">
        <f>VLOOKUP(C9,Lists!I:J,2,FALSE)</f>
        <v>KS</v>
      </c>
      <c r="C9" s="115" t="str">
        <f>VLOOKUP(E9,Lists!D:E,2,FALSE)</f>
        <v>Greatsword/Dagger</v>
      </c>
      <c r="D9" s="16" t="s">
        <v>7</v>
      </c>
      <c r="E9" s="214" t="s">
        <v>68</v>
      </c>
      <c r="F9" s="16" t="s">
        <v>476</v>
      </c>
      <c r="G9" s="210">
        <v>52</v>
      </c>
      <c r="H9" s="210">
        <v>79</v>
      </c>
      <c r="I9" s="194">
        <f t="shared" si="0"/>
        <v>131</v>
      </c>
      <c r="J9" s="215">
        <v>1852904</v>
      </c>
      <c r="K9" s="215">
        <v>1055388</v>
      </c>
      <c r="L9" s="215">
        <v>95066</v>
      </c>
      <c r="M9" s="195">
        <f>I9/(HLOOKUP(F9,Team_Composition_23[[#All],[Yellow]:[Red]],10,FALSE)+HLOOKUP(F9,Team_Composition_23[[#All],[Yellow]:[Red]],11,FALSE))</f>
        <v>3.2741814546363407E-2</v>
      </c>
      <c r="N9" s="195">
        <f>J9/HLOOKUP(F9,Team_Composition_23[[#All],[Yellow]:[Red]],6,FALSE)</f>
        <v>4.1766321396299953E-2</v>
      </c>
      <c r="O9" s="195">
        <f>K9/HLOOKUP(F9,Team_Composition_23[[#All],[Yellow]:[Red]],8,FALSE)</f>
        <v>6.0243294575079299E-2</v>
      </c>
      <c r="P9" s="195">
        <f>L9/HLOOKUP(F9,Team_Composition_23[[#All],[Yellow]:[Red]],7,FALSE)</f>
        <v>7.3439675346977859E-3</v>
      </c>
      <c r="R9" s="201" t="s">
        <v>470</v>
      </c>
      <c r="S9" s="202">
        <f>SUMIFS(Scoreboard_12[Amount Healed],Scoreboard_12[Team],"Yellow")</f>
        <v>24220160</v>
      </c>
      <c r="T9" s="203">
        <f>SUMIFS(Scoreboard_12[Amount Healed],Scoreboard_12[Team],"Red")</f>
        <v>28084536</v>
      </c>
      <c r="V9" s="204" t="str">
        <f ca="1">IFERROR(__xludf.DUMMYFUNCTION("""COMPUTED_VALUE"""),"Fadeふち")</f>
        <v>Fadeふち</v>
      </c>
      <c r="W9" s="116">
        <f ca="1">IFERROR(__xludf.DUMMYFUNCTION("""COMPUTED_VALUE"""),173)</f>
        <v>173</v>
      </c>
      <c r="Y9" s="204" t="str">
        <f ca="1">IFERROR(__xludf.DUMMYFUNCTION("""COMPUTED_VALUE"""),"Kyu")</f>
        <v>Kyu</v>
      </c>
      <c r="Z9" s="116">
        <f ca="1">IFERROR(__xludf.DUMMYFUNCTION("""COMPUTED_VALUE"""),2976523)</f>
        <v>2976523</v>
      </c>
    </row>
    <row r="10" spans="1:26" ht="22.5" customHeight="1">
      <c r="A10" s="210">
        <v>9</v>
      </c>
      <c r="B10" s="115" t="str">
        <f>VLOOKUP(C10,Lists!I:J,2,FALSE)</f>
        <v>KS</v>
      </c>
      <c r="C10" s="115" t="str">
        <f>VLOOKUP(E10,Lists!D:E,2,FALSE)</f>
        <v>Greatsword/Dagger</v>
      </c>
      <c r="D10" s="16" t="s">
        <v>7</v>
      </c>
      <c r="E10" s="211" t="s">
        <v>120</v>
      </c>
      <c r="F10" s="16" t="s">
        <v>476</v>
      </c>
      <c r="G10" s="210">
        <v>51</v>
      </c>
      <c r="H10" s="210">
        <v>80</v>
      </c>
      <c r="I10" s="194">
        <f t="shared" si="0"/>
        <v>131</v>
      </c>
      <c r="J10" s="215">
        <v>1867854</v>
      </c>
      <c r="K10" s="215">
        <v>1694938</v>
      </c>
      <c r="L10" s="215">
        <v>33128</v>
      </c>
      <c r="M10" s="195">
        <f>I10/(HLOOKUP(F10,Team_Composition_23[[#All],[Yellow]:[Red]],10,FALSE)+HLOOKUP(F10,Team_Composition_23[[#All],[Yellow]:[Red]],11,FALSE))</f>
        <v>3.2741814546363407E-2</v>
      </c>
      <c r="N10" s="195">
        <f>J10/HLOOKUP(F10,Team_Composition_23[[#All],[Yellow]:[Red]],6,FALSE)</f>
        <v>4.2103309445802074E-2</v>
      </c>
      <c r="O10" s="195">
        <f>K10/HLOOKUP(F10,Team_Composition_23[[#All],[Yellow]:[Red]],8,FALSE)</f>
        <v>9.6749867556288074E-2</v>
      </c>
      <c r="P10" s="195">
        <f>L10/HLOOKUP(F10,Team_Composition_23[[#All],[Yellow]:[Red]],7,FALSE)</f>
        <v>2.5591794804606092E-3</v>
      </c>
      <c r="R10" s="201" t="s">
        <v>469</v>
      </c>
      <c r="S10" s="202">
        <f>SUMIFS(Scoreboard_12[Damage Taken],Scoreboard_12[Team],"Yellow")</f>
        <v>30958941</v>
      </c>
      <c r="T10" s="203">
        <f>SUMIFS(Scoreboard_12[Damage Taken],Scoreboard_12[Team],"Red")</f>
        <v>47614617</v>
      </c>
      <c r="V10" s="204" t="str">
        <f ca="1">IFERROR(__xludf.DUMMYFUNCTION("""COMPUTED_VALUE"""),"Nengja")</f>
        <v>Nengja</v>
      </c>
      <c r="W10" s="116">
        <f ca="1">IFERROR(__xludf.DUMMYFUNCTION("""COMPUTED_VALUE"""),154)</f>
        <v>154</v>
      </c>
      <c r="Y10" s="204" t="str">
        <f ca="1">IFERROR(__xludf.DUMMYFUNCTION("""COMPUTED_VALUE"""),"incakolatupapa")</f>
        <v>incakolatupapa</v>
      </c>
      <c r="Z10" s="116">
        <f ca="1">IFERROR(__xludf.DUMMYFUNCTION("""COMPUTED_VALUE"""),2932656)</f>
        <v>2932656</v>
      </c>
    </row>
    <row r="11" spans="1:26" ht="22.5" customHeight="1">
      <c r="A11" s="210">
        <v>10</v>
      </c>
      <c r="B11" s="115" t="str">
        <f>VLOOKUP(C11,Lists!I:J,2,FALSE)</f>
        <v>KS</v>
      </c>
      <c r="C11" s="115" t="str">
        <f>VLOOKUP(E11,Lists!D:E,2,FALSE)</f>
        <v>Crossbow/Dagger</v>
      </c>
      <c r="D11" s="16" t="s">
        <v>7</v>
      </c>
      <c r="E11" s="214" t="s">
        <v>103</v>
      </c>
      <c r="F11" s="16" t="s">
        <v>476</v>
      </c>
      <c r="G11" s="210">
        <v>48</v>
      </c>
      <c r="H11" s="210">
        <v>89</v>
      </c>
      <c r="I11" s="194">
        <f t="shared" si="0"/>
        <v>137</v>
      </c>
      <c r="J11" s="215">
        <v>2826382</v>
      </c>
      <c r="K11" s="215">
        <v>314500</v>
      </c>
      <c r="L11" s="215">
        <v>402</v>
      </c>
      <c r="M11" s="195">
        <f>I11/(HLOOKUP(F11,Team_Composition_23[[#All],[Yellow]:[Red]],10,FALSE)+HLOOKUP(F11,Team_Composition_23[[#All],[Yellow]:[Red]],11,FALSE))</f>
        <v>3.424143964008998E-2</v>
      </c>
      <c r="N11" s="195">
        <f>J11/HLOOKUP(F11,Team_Composition_23[[#All],[Yellow]:[Red]],6,FALSE)</f>
        <v>6.3709495473439015E-2</v>
      </c>
      <c r="O11" s="195">
        <f>K11/HLOOKUP(F11,Team_Composition_23[[#All],[Yellow]:[Red]],8,FALSE)</f>
        <v>1.7952180756141287E-2</v>
      </c>
      <c r="P11" s="195">
        <f>L11/HLOOKUP(F11,Team_Composition_23[[#All],[Yellow]:[Red]],7,FALSE)</f>
        <v>3.1055003355021881E-5</v>
      </c>
      <c r="R11" s="201" t="s">
        <v>495</v>
      </c>
      <c r="S11" s="202">
        <f ca="1">IFERROR(DIVIDE(SUMIFS(Scoreboard_12[Amount Healed],Scoreboard_12[Team],"Yellow"), SUMIFS(Scoreboard_12[Damage Taken],Scoreboard_12[Team],"Yellow"))*(100),0)</f>
        <v>0</v>
      </c>
      <c r="T11" s="203">
        <f ca="1">IFERROR(DIVIDE(SUMIFS(Scoreboard_12[Amount Healed],Scoreboard_12[Team],"Red"), SUMIFS(Scoreboard_12[Damage Taken],Scoreboard_12[Team],"Red"))*(100),0)</f>
        <v>0</v>
      </c>
      <c r="V11" s="204" t="str">
        <f ca="1">IFERROR(__xludf.DUMMYFUNCTION("""COMPUTED_VALUE"""),"Spot·")</f>
        <v>Spot·</v>
      </c>
      <c r="W11" s="116">
        <f ca="1">IFERROR(__xludf.DUMMYFUNCTION("""COMPUTED_VALUE"""),137)</f>
        <v>137</v>
      </c>
      <c r="Y11" s="204" t="str">
        <f ca="1">IFERROR(__xludf.DUMMYFUNCTION("""COMPUTED_VALUE"""),"Spot·")</f>
        <v>Spot·</v>
      </c>
      <c r="Z11" s="116">
        <f ca="1">IFERROR(__xludf.DUMMYFUNCTION("""COMPUTED_VALUE"""),2826382)</f>
        <v>2826382</v>
      </c>
    </row>
    <row r="12" spans="1:26" ht="22.5" customHeight="1">
      <c r="A12" s="210">
        <v>11</v>
      </c>
      <c r="B12" s="115" t="str">
        <f>VLOOKUP(C12,Lists!I:J,2,FALSE)</f>
        <v>KS</v>
      </c>
      <c r="C12" s="115" t="str">
        <f>VLOOKUP(E12,Lists!D:E,2,FALSE)</f>
        <v>Greatsword/Dagger</v>
      </c>
      <c r="D12" s="16" t="s">
        <v>7</v>
      </c>
      <c r="E12" s="214" t="s">
        <v>98</v>
      </c>
      <c r="F12" s="16" t="s">
        <v>476</v>
      </c>
      <c r="G12" s="210">
        <v>47</v>
      </c>
      <c r="H12" s="210">
        <v>71</v>
      </c>
      <c r="I12" s="194">
        <f t="shared" si="0"/>
        <v>118</v>
      </c>
      <c r="J12" s="215">
        <v>2095462</v>
      </c>
      <c r="K12" s="215">
        <v>358759</v>
      </c>
      <c r="L12" s="215">
        <v>0</v>
      </c>
      <c r="M12" s="195">
        <f>I12/(HLOOKUP(F12,Team_Composition_23[[#All],[Yellow]:[Red]],10,FALSE)+HLOOKUP(F12,Team_Composition_23[[#All],[Yellow]:[Red]],11,FALSE))</f>
        <v>2.9492626843289179E-2</v>
      </c>
      <c r="N12" s="195">
        <f>J12/HLOOKUP(F12,Team_Composition_23[[#All],[Yellow]:[Red]],6,FALSE)</f>
        <v>4.7233822888683649E-2</v>
      </c>
      <c r="O12" s="195">
        <f>K12/HLOOKUP(F12,Team_Composition_23[[#All],[Yellow]:[Red]],8,FALSE)</f>
        <v>2.0478557761184395E-2</v>
      </c>
      <c r="P12" s="195">
        <f>L12/HLOOKUP(F12,Team_Composition_23[[#All],[Yellow]:[Red]],7,FALSE)</f>
        <v>0</v>
      </c>
      <c r="R12" s="201" t="s">
        <v>465</v>
      </c>
      <c r="S12" s="202">
        <f>SUMIFS(Scoreboard_12[Kills],Scoreboard_12[Team],"Yellow")</f>
        <v>889</v>
      </c>
      <c r="T12" s="203">
        <f>SUMIFS(Scoreboard_12[Kills],Scoreboard_12[Team],"Red")</f>
        <v>238</v>
      </c>
      <c r="V12" s="204" t="str">
        <f ca="1">IFERROR(__xludf.DUMMYFUNCTION("""COMPUTED_VALUE"""),"Prefire")</f>
        <v>Prefire</v>
      </c>
      <c r="W12" s="116">
        <f ca="1">IFERROR(__xludf.DUMMYFUNCTION("""COMPUTED_VALUE"""),133)</f>
        <v>133</v>
      </c>
      <c r="Y12" s="204" t="str">
        <f ca="1">IFERROR(__xludf.DUMMYFUNCTION("""COMPUTED_VALUE"""),"Jvspar")</f>
        <v>Jvspar</v>
      </c>
      <c r="Z12" s="116">
        <f ca="1">IFERROR(__xludf.DUMMYFUNCTION("""COMPUTED_VALUE"""),2706242)</f>
        <v>2706242</v>
      </c>
    </row>
    <row r="13" spans="1:26" ht="22.5" customHeight="1">
      <c r="A13" s="210">
        <v>12</v>
      </c>
      <c r="B13" s="115" t="str">
        <f>VLOOKUP(C13,Lists!I:J,2,FALSE)</f>
        <v>Ranged DPS</v>
      </c>
      <c r="C13" s="115" t="str">
        <f>VLOOKUP(E13,Lists!D:E,2,FALSE)</f>
        <v>Staff/Dagger</v>
      </c>
      <c r="D13" s="16" t="s">
        <v>7</v>
      </c>
      <c r="E13" s="214" t="s">
        <v>107</v>
      </c>
      <c r="F13" s="16" t="s">
        <v>476</v>
      </c>
      <c r="G13" s="210">
        <v>46</v>
      </c>
      <c r="H13" s="210">
        <v>185</v>
      </c>
      <c r="I13" s="194">
        <f t="shared" si="0"/>
        <v>231</v>
      </c>
      <c r="J13" s="215">
        <v>3839544</v>
      </c>
      <c r="K13" s="215">
        <v>780247</v>
      </c>
      <c r="L13" s="215">
        <v>166</v>
      </c>
      <c r="M13" s="195">
        <f>I13/(HLOOKUP(F13,Team_Composition_23[[#All],[Yellow]:[Red]],10,FALSE)+HLOOKUP(F13,Team_Composition_23[[#All],[Yellow]:[Red]],11,FALSE))</f>
        <v>5.7735566108472879E-2</v>
      </c>
      <c r="N13" s="195">
        <f>J13/HLOOKUP(F13,Team_Composition_23[[#All],[Yellow]:[Red]],6,FALSE)</f>
        <v>8.6547186858701317E-2</v>
      </c>
      <c r="O13" s="195">
        <f>K13/HLOOKUP(F13,Team_Composition_23[[#All],[Yellow]:[Red]],8,FALSE)</f>
        <v>4.4537790710451414E-2</v>
      </c>
      <c r="P13" s="195">
        <f>L13/HLOOKUP(F13,Team_Composition_23[[#All],[Yellow]:[Red]],7,FALSE)</f>
        <v>1.2823707853068736E-5</v>
      </c>
      <c r="R13" s="201" t="s">
        <v>466</v>
      </c>
      <c r="S13" s="202">
        <f>SUMIFS(Scoreboard_12[Assists],Scoreboard_12[Team],"Yellow")</f>
        <v>3594</v>
      </c>
      <c r="T13" s="203">
        <f>SUMIFS(Scoreboard_12[Assists],Scoreboard_12[Team],"Red")</f>
        <v>1068</v>
      </c>
      <c r="V13" s="204" t="str">
        <f ca="1">IFERROR(__xludf.DUMMYFUNCTION("""COMPUTED_VALUE"""),"Jawz")</f>
        <v>Jawz</v>
      </c>
      <c r="W13" s="116">
        <f ca="1">IFERROR(__xludf.DUMMYFUNCTION("""COMPUTED_VALUE"""),131)</f>
        <v>131</v>
      </c>
      <c r="Y13" s="204" t="str">
        <f ca="1">IFERROR(__xludf.DUMMYFUNCTION("""COMPUTED_VALUE"""),"Thundercats")</f>
        <v>Thundercats</v>
      </c>
      <c r="Z13" s="116">
        <f ca="1">IFERROR(__xludf.DUMMYFUNCTION("""COMPUTED_VALUE"""),2704860)</f>
        <v>2704860</v>
      </c>
    </row>
    <row r="14" spans="1:26" ht="22.5" customHeight="1">
      <c r="A14" s="210">
        <v>13</v>
      </c>
      <c r="B14" s="115" t="str">
        <f>VLOOKUP(C14,Lists!I:J,2,FALSE)</f>
        <v>Ranged DPS</v>
      </c>
      <c r="C14" s="115" t="str">
        <f>VLOOKUP(E14,Lists!D:E,2,FALSE)</f>
        <v>Crossbow/SnS</v>
      </c>
      <c r="D14" s="16" t="s">
        <v>7</v>
      </c>
      <c r="E14" s="113" t="s">
        <v>84</v>
      </c>
      <c r="F14" s="16" t="s">
        <v>476</v>
      </c>
      <c r="G14" s="210">
        <v>46</v>
      </c>
      <c r="H14" s="210">
        <v>108</v>
      </c>
      <c r="I14" s="194">
        <f t="shared" si="0"/>
        <v>154</v>
      </c>
      <c r="J14" s="215">
        <v>2981324</v>
      </c>
      <c r="K14" s="215">
        <v>386304</v>
      </c>
      <c r="L14" s="215">
        <v>12370</v>
      </c>
      <c r="M14" s="195">
        <f>I14/(HLOOKUP(F14,Team_Composition_23[[#All],[Yellow]:[Red]],10,FALSE)+HLOOKUP(F14,Team_Composition_23[[#All],[Yellow]:[Red]],11,FALSE))</f>
        <v>3.849037740564859E-2</v>
      </c>
      <c r="N14" s="195">
        <f>J14/HLOOKUP(F14,Team_Composition_23[[#All],[Yellow]:[Red]],6,FALSE)</f>
        <v>6.7202044126680363E-2</v>
      </c>
      <c r="O14" s="195">
        <f>K14/HLOOKUP(F14,Team_Composition_23[[#All],[Yellow]:[Red]],8,FALSE)</f>
        <v>2.2050871970812094E-2</v>
      </c>
      <c r="P14" s="195">
        <f>L14/HLOOKUP(F14,Team_Composition_23[[#All],[Yellow]:[Red]],7,FALSE)</f>
        <v>9.5559798881000163E-4</v>
      </c>
    </row>
    <row r="15" spans="1:26" ht="22.5" customHeight="1">
      <c r="A15" s="210">
        <v>14</v>
      </c>
      <c r="B15" s="115" t="str">
        <f>VLOOKUP(C15,Lists!I:J,2,FALSE)</f>
        <v>KS</v>
      </c>
      <c r="C15" s="115" t="str">
        <f>VLOOKUP(E15,Lists!D:E,2,FALSE)</f>
        <v>Crossbow/Dagger</v>
      </c>
      <c r="D15" s="16" t="s">
        <v>7</v>
      </c>
      <c r="E15" s="214" t="s">
        <v>95</v>
      </c>
      <c r="F15" s="16" t="s">
        <v>476</v>
      </c>
      <c r="G15" s="210">
        <v>40</v>
      </c>
      <c r="H15" s="210">
        <v>88</v>
      </c>
      <c r="I15" s="194">
        <f t="shared" si="0"/>
        <v>128</v>
      </c>
      <c r="J15" s="215">
        <v>2377373</v>
      </c>
      <c r="K15" s="215">
        <v>878576</v>
      </c>
      <c r="L15" s="215">
        <v>4847</v>
      </c>
      <c r="M15" s="195">
        <f>I15/(HLOOKUP(F15,Team_Composition_23[[#All],[Yellow]:[Red]],10,FALSE)+HLOOKUP(F15,Team_Composition_23[[#All],[Yellow]:[Red]],11,FALSE))</f>
        <v>3.1992001999500128E-2</v>
      </c>
      <c r="N15" s="195">
        <f>J15/HLOOKUP(F15,Team_Composition_23[[#All],[Yellow]:[Red]],6,FALSE)</f>
        <v>5.3588380615987558E-2</v>
      </c>
      <c r="O15" s="195">
        <f>K15/HLOOKUP(F15,Team_Composition_23[[#All],[Yellow]:[Red]],8,FALSE)</f>
        <v>5.0150572845811085E-2</v>
      </c>
      <c r="P15" s="195">
        <f>L15/HLOOKUP(F15,Team_Composition_23[[#All],[Yellow]:[Red]],7,FALSE)</f>
        <v>3.7443681905918172E-4</v>
      </c>
      <c r="R15" s="232" t="s">
        <v>25</v>
      </c>
      <c r="S15" s="228"/>
      <c r="T15" s="228"/>
      <c r="V15" s="233" t="s">
        <v>496</v>
      </c>
      <c r="W15" s="228"/>
      <c r="Y15" s="233" t="s">
        <v>497</v>
      </c>
      <c r="Z15" s="228"/>
    </row>
    <row r="16" spans="1:26" ht="22.5" customHeight="1">
      <c r="A16" s="210">
        <v>15</v>
      </c>
      <c r="B16" s="115" t="str">
        <f>VLOOKUP(C16,Lists!I:J,2,FALSE)</f>
        <v>KS</v>
      </c>
      <c r="C16" s="115" t="s">
        <v>69</v>
      </c>
      <c r="D16" s="16" t="s">
        <v>573</v>
      </c>
      <c r="E16" s="214" t="s">
        <v>574</v>
      </c>
      <c r="F16" s="16" t="s">
        <v>483</v>
      </c>
      <c r="G16" s="210">
        <v>38</v>
      </c>
      <c r="H16" s="210">
        <v>41</v>
      </c>
      <c r="I16" s="194">
        <f t="shared" si="0"/>
        <v>79</v>
      </c>
      <c r="J16" s="215">
        <v>2033870</v>
      </c>
      <c r="K16" s="215">
        <v>1064482</v>
      </c>
      <c r="L16" s="215">
        <v>26183</v>
      </c>
      <c r="M16" s="195">
        <f>I16/(HLOOKUP(F16,Team_Composition_23[[#All],[Yellow]:[Red]],10,FALSE)+HLOOKUP(F16,Team_Composition_23[[#All],[Yellow]:[Red]],11,FALSE))</f>
        <v>9.6224116930572479E-2</v>
      </c>
      <c r="N16" s="195">
        <f>J16/HLOOKUP(F16,Team_Composition_23[[#All],[Yellow]:[Red]],6,FALSE)</f>
        <v>0.11526343543829116</v>
      </c>
      <c r="O16" s="195">
        <f>K16/HLOOKUP(F16,Team_Composition_23[[#All],[Yellow]:[Red]],8,FALSE)</f>
        <v>2.4184012618338385E-2</v>
      </c>
      <c r="P16" s="195">
        <f>L16/HLOOKUP(F16,Team_Composition_23[[#All],[Yellow]:[Red]],7,FALSE)</f>
        <v>1.0788923163442647E-3</v>
      </c>
      <c r="R16" s="197" t="s">
        <v>482</v>
      </c>
      <c r="S16" s="198" t="s">
        <v>476</v>
      </c>
      <c r="T16" s="198" t="s">
        <v>483</v>
      </c>
      <c r="V16" s="199" t="s">
        <v>1</v>
      </c>
      <c r="W16" s="200" t="s">
        <v>498</v>
      </c>
      <c r="Y16" s="199" t="s">
        <v>1</v>
      </c>
      <c r="Z16" s="200" t="s">
        <v>499</v>
      </c>
    </row>
    <row r="17" spans="1:26" ht="22.5" customHeight="1">
      <c r="A17" s="210">
        <v>16</v>
      </c>
      <c r="B17" s="115" t="str">
        <f>VLOOKUP(C17,Lists!I:J,2,FALSE)</f>
        <v>KS</v>
      </c>
      <c r="C17" s="115" t="s">
        <v>54</v>
      </c>
      <c r="D17" s="16" t="s">
        <v>575</v>
      </c>
      <c r="E17" s="214" t="s">
        <v>504</v>
      </c>
      <c r="F17" s="16" t="s">
        <v>476</v>
      </c>
      <c r="G17" s="210">
        <v>37</v>
      </c>
      <c r="H17" s="210">
        <v>49</v>
      </c>
      <c r="I17" s="194">
        <f t="shared" si="0"/>
        <v>86</v>
      </c>
      <c r="J17" s="215">
        <v>1681747</v>
      </c>
      <c r="K17" s="215">
        <v>1360170</v>
      </c>
      <c r="L17" s="215">
        <v>0</v>
      </c>
      <c r="M17" s="195">
        <f>I17/(HLOOKUP(F17,Team_Composition_23[[#All],[Yellow]:[Red]],10,FALSE)+HLOOKUP(F17,Team_Composition_23[[#All],[Yellow]:[Red]],11,FALSE))</f>
        <v>2.1494626343414147E-2</v>
      </c>
      <c r="N17" s="195">
        <f>J17/HLOOKUP(F17,Team_Composition_23[[#All],[Yellow]:[Red]],6,FALSE)</f>
        <v>3.790827032013707E-2</v>
      </c>
      <c r="O17" s="195">
        <f>K17/HLOOKUP(F17,Team_Composition_23[[#All],[Yellow]:[Red]],8,FALSE)</f>
        <v>7.7640755799938621E-2</v>
      </c>
      <c r="P17" s="195">
        <f>L17/HLOOKUP(F17,Team_Composition_23[[#All],[Yellow]:[Red]],7,FALSE)</f>
        <v>0</v>
      </c>
      <c r="R17" s="201" t="s">
        <v>468</v>
      </c>
      <c r="S17" s="202">
        <f>SUMIFS(Scoreboard_12[Damage Dealt],Scoreboard_12[Role],"Melee DPS",Scoreboard_12[Team],"Yellow")</f>
        <v>12900177</v>
      </c>
      <c r="T17" s="203">
        <f>SUMIFS(Scoreboard_12[Damage Dealt],Scoreboard_12[Role],"Melee DPS",Scoreboard_12[Team],"Red")</f>
        <v>5360467</v>
      </c>
      <c r="V17" s="204" t="str">
        <f ca="1">IFERROR(__xludf.DUMMYFUNCTION("query(A1:P238, ""Select E,K Order by K Desc Limit 10"", 0)"),"JLube4")</f>
        <v>JLube4</v>
      </c>
      <c r="W17" s="116">
        <f ca="1">IFERROR(__xludf.DUMMYFUNCTION("""COMPUTED_VALUE"""),2065127)</f>
        <v>2065127</v>
      </c>
      <c r="Y17" s="204" t="str">
        <f ca="1">IFERROR(__xludf.DUMMYFUNCTION("query(A1:P238, ""Select E,L Order by L Desc Limit 10"", 0)"),"Zanax")</f>
        <v>Zanax</v>
      </c>
      <c r="Z17" s="116">
        <f ca="1">IFERROR(__xludf.DUMMYFUNCTION("""COMPUTED_VALUE"""),2687081)</f>
        <v>2687081</v>
      </c>
    </row>
    <row r="18" spans="1:26" ht="22.5" customHeight="1">
      <c r="A18" s="210">
        <v>17</v>
      </c>
      <c r="B18" s="115" t="str">
        <f>VLOOKUP(C18,Lists!I:J,2,FALSE)</f>
        <v>Ranged DPS</v>
      </c>
      <c r="C18" s="115" t="str">
        <f>VLOOKUP(E18,Lists!D:E,2,FALSE)</f>
        <v>Crossbow/SnS</v>
      </c>
      <c r="D18" s="16" t="s">
        <v>7</v>
      </c>
      <c r="E18" s="214" t="s">
        <v>83</v>
      </c>
      <c r="F18" s="16" t="s">
        <v>476</v>
      </c>
      <c r="G18" s="210">
        <v>34</v>
      </c>
      <c r="H18" s="210">
        <v>77</v>
      </c>
      <c r="I18" s="194">
        <f t="shared" si="0"/>
        <v>111</v>
      </c>
      <c r="J18" s="215">
        <v>1583898</v>
      </c>
      <c r="K18" s="215">
        <v>881807</v>
      </c>
      <c r="L18" s="215">
        <v>40209</v>
      </c>
      <c r="M18" s="195">
        <f>I18/(HLOOKUP(F18,Team_Composition_23[[#All],[Yellow]:[Red]],10,FALSE)+HLOOKUP(F18,Team_Composition_23[[#All],[Yellow]:[Red]],11,FALSE))</f>
        <v>2.7743064233941513E-2</v>
      </c>
      <c r="N18" s="195">
        <f>J18/HLOOKUP(F18,Team_Composition_23[[#All],[Yellow]:[Red]],6,FALSE)</f>
        <v>3.5702655359887349E-2</v>
      </c>
      <c r="O18" s="195">
        <f>K18/HLOOKUP(F18,Team_Composition_23[[#All],[Yellow]:[Red]],8,FALSE)</f>
        <v>5.0335003675773225E-2</v>
      </c>
      <c r="P18" s="195">
        <f>L18/HLOOKUP(F18,Team_Composition_23[[#All],[Yellow]:[Red]],7,FALSE)</f>
        <v>3.1061955967713302E-3</v>
      </c>
      <c r="R18" s="201" t="s">
        <v>469</v>
      </c>
      <c r="S18" s="202">
        <f>SUMIFS(Scoreboard_12[Damage Taken],Scoreboard_12[Role],"Melee DPS",Scoreboard_12[Team],"Yellow")</f>
        <v>4908445</v>
      </c>
      <c r="T18" s="203">
        <f>SUMIFS(Scoreboard_12[Damage Taken],Scoreboard_12[Role],"Melee DPS",Scoreboard_12[Team],"Red")</f>
        <v>3057311</v>
      </c>
      <c r="V18" s="204" t="str">
        <f ca="1">IFERROR(__xludf.DUMMYFUNCTION("""COMPUTED_VALUE"""),"Baozer")</f>
        <v>Baozer</v>
      </c>
      <c r="W18" s="116">
        <f ca="1">IFERROR(__xludf.DUMMYFUNCTION("""COMPUTED_VALUE"""),1761253)</f>
        <v>1761253</v>
      </c>
      <c r="Y18" s="204" t="str">
        <f ca="1">IFERROR(__xludf.DUMMYFUNCTION("""COMPUTED_VALUE"""),"Nucleus")</f>
        <v>Nucleus</v>
      </c>
      <c r="Z18" s="116">
        <f ca="1">IFERROR(__xludf.DUMMYFUNCTION("""COMPUTED_VALUE"""),2466755)</f>
        <v>2466755</v>
      </c>
    </row>
    <row r="19" spans="1:26" ht="22.5" customHeight="1">
      <c r="A19" s="210">
        <v>18</v>
      </c>
      <c r="B19" s="115" t="str">
        <f>VLOOKUP(C19,Lists!I:J,2,FALSE)</f>
        <v>KS</v>
      </c>
      <c r="C19" s="115" t="s">
        <v>69</v>
      </c>
      <c r="D19" s="16" t="s">
        <v>573</v>
      </c>
      <c r="E19" s="214" t="s">
        <v>576</v>
      </c>
      <c r="F19" s="16" t="s">
        <v>483</v>
      </c>
      <c r="G19" s="210">
        <v>27</v>
      </c>
      <c r="H19" s="210">
        <v>30</v>
      </c>
      <c r="I19" s="194">
        <f t="shared" si="0"/>
        <v>57</v>
      </c>
      <c r="J19" s="215">
        <v>1414795</v>
      </c>
      <c r="K19" s="215">
        <v>1475332</v>
      </c>
      <c r="L19" s="215">
        <v>51964</v>
      </c>
      <c r="M19" s="195">
        <f>I19/(HLOOKUP(F19,Team_Composition_23[[#All],[Yellow]:[Red]],10,FALSE)+HLOOKUP(F19,Team_Composition_23[[#All],[Yellow]:[Red]],11,FALSE))</f>
        <v>6.9427527405602929E-2</v>
      </c>
      <c r="N19" s="195">
        <f>J19/HLOOKUP(F19,Team_Composition_23[[#All],[Yellow]:[Red]],6,FALSE)</f>
        <v>8.0179230796912845E-2</v>
      </c>
      <c r="O19" s="195">
        <f>K19/HLOOKUP(F19,Team_Composition_23[[#All],[Yellow]:[Red]],8,FALSE)</f>
        <v>3.3518131545895946E-2</v>
      </c>
      <c r="P19" s="195">
        <f>L19/HLOOKUP(F19,Team_Composition_23[[#All],[Yellow]:[Red]],7,FALSE)</f>
        <v>2.1412198879621649E-3</v>
      </c>
      <c r="R19" s="201" t="s">
        <v>470</v>
      </c>
      <c r="S19" s="202">
        <f>SUMIFS(Scoreboard_12[Amount Healed],Scoreboard_12[Role],"Melee DPS",Scoreboard_12[Team],"Yellow")</f>
        <v>109967</v>
      </c>
      <c r="T19" s="203">
        <f>SUMIFS(Scoreboard_12[Amount Healed],Scoreboard_12[Role],"Melee DPS",Scoreboard_12[Team],"Red")</f>
        <v>127169</v>
      </c>
      <c r="V19" s="204" t="str">
        <f ca="1">IFERROR(__xludf.DUMMYFUNCTION("""COMPUTED_VALUE"""),"stepbro")</f>
        <v>stepbro</v>
      </c>
      <c r="W19" s="116">
        <f ca="1">IFERROR(__xludf.DUMMYFUNCTION("""COMPUTED_VALUE"""),1694938)</f>
        <v>1694938</v>
      </c>
      <c r="Y19" s="204" t="str">
        <f ca="1">IFERROR(__xludf.DUMMYFUNCTION("""COMPUTED_VALUE"""),"stepsis")</f>
        <v>stepsis</v>
      </c>
      <c r="Z19" s="116">
        <f ca="1">IFERROR(__xludf.DUMMYFUNCTION("""COMPUTED_VALUE"""),2447907)</f>
        <v>2447907</v>
      </c>
    </row>
    <row r="20" spans="1:26" ht="22.5" customHeight="1">
      <c r="A20" s="210">
        <v>19</v>
      </c>
      <c r="B20" s="115" t="str">
        <f>VLOOKUP(C20,Lists!I:J,2,FALSE)</f>
        <v>Ranged DPS</v>
      </c>
      <c r="C20" s="115" t="s">
        <v>45</v>
      </c>
      <c r="D20" s="16" t="s">
        <v>573</v>
      </c>
      <c r="E20" s="214" t="s">
        <v>535</v>
      </c>
      <c r="F20" s="16" t="s">
        <v>483</v>
      </c>
      <c r="G20" s="210">
        <v>25</v>
      </c>
      <c r="H20" s="210">
        <v>47</v>
      </c>
      <c r="I20" s="194">
        <f t="shared" si="0"/>
        <v>72</v>
      </c>
      <c r="J20" s="215">
        <v>2932656</v>
      </c>
      <c r="K20" s="215">
        <v>833028</v>
      </c>
      <c r="L20" s="215">
        <v>19499</v>
      </c>
      <c r="M20" s="195">
        <f>I20/(HLOOKUP(F20,Team_Composition_23[[#All],[Yellow]:[Red]],10,FALSE)+HLOOKUP(F20,Team_Composition_23[[#All],[Yellow]:[Red]],11,FALSE))</f>
        <v>8.76979293544458E-2</v>
      </c>
      <c r="N20" s="195">
        <f>J20/HLOOKUP(F20,Team_Composition_23[[#All],[Yellow]:[Red]],6,FALSE)</f>
        <v>0.16619941565523716</v>
      </c>
      <c r="O20" s="195">
        <f>K20/HLOOKUP(F20,Team_Composition_23[[#All],[Yellow]:[Red]],8,FALSE)</f>
        <v>1.8925599177279831E-2</v>
      </c>
      <c r="P20" s="195">
        <f>L20/HLOOKUP(F20,Team_Composition_23[[#All],[Yellow]:[Red]],7,FALSE)</f>
        <v>8.0347253089397002E-4</v>
      </c>
      <c r="R20" s="201" t="s">
        <v>465</v>
      </c>
      <c r="S20" s="202">
        <f>SUMIFS(Scoreboard_12[Kills],Scoreboard_12[Role],"Melee DPS",Scoreboard_12[Team],"Yellow")</f>
        <v>251</v>
      </c>
      <c r="T20" s="203">
        <f>SUMIFS(Scoreboard_12[Kills],Scoreboard_12[Role],"Melee DPS",Scoreboard_12[Team],"Red")</f>
        <v>44</v>
      </c>
      <c r="V20" s="204" t="str">
        <f ca="1">IFERROR(__xludf.DUMMYFUNCTION("""COMPUTED_VALUE"""),"Ellione")</f>
        <v>Ellione</v>
      </c>
      <c r="W20" s="116">
        <f ca="1">IFERROR(__xludf.DUMMYFUNCTION("""COMPUTED_VALUE"""),1600273)</f>
        <v>1600273</v>
      </c>
      <c r="Y20" s="204" t="str">
        <f ca="1">IFERROR(__xludf.DUMMYFUNCTION("""COMPUTED_VALUE"""),"Ellione")</f>
        <v>Ellione</v>
      </c>
      <c r="Z20" s="116">
        <f ca="1">IFERROR(__xludf.DUMMYFUNCTION("""COMPUTED_VALUE"""),2446248)</f>
        <v>2446248</v>
      </c>
    </row>
    <row r="21" spans="1:26" ht="22.5" customHeight="1">
      <c r="A21" s="210">
        <v>20</v>
      </c>
      <c r="B21" s="115" t="str">
        <f>VLOOKUP(C21,Lists!I:J,2,FALSE)</f>
        <v>Melee DPS</v>
      </c>
      <c r="C21" s="115" t="s">
        <v>23</v>
      </c>
      <c r="D21" s="16" t="s">
        <v>573</v>
      </c>
      <c r="E21" s="214" t="s">
        <v>577</v>
      </c>
      <c r="F21" s="16" t="s">
        <v>483</v>
      </c>
      <c r="G21" s="210">
        <v>19</v>
      </c>
      <c r="H21" s="210">
        <v>36</v>
      </c>
      <c r="I21" s="194">
        <f t="shared" si="0"/>
        <v>55</v>
      </c>
      <c r="J21" s="215">
        <v>2364451</v>
      </c>
      <c r="K21" s="215">
        <v>925461</v>
      </c>
      <c r="L21" s="215">
        <v>27969</v>
      </c>
      <c r="M21" s="195">
        <f>I21/(HLOOKUP(F21,Team_Composition_23[[#All],[Yellow]:[Red]],10,FALSE)+HLOOKUP(F21,Team_Composition_23[[#All],[Yellow]:[Red]],11,FALSE))</f>
        <v>6.6991473812423874E-2</v>
      </c>
      <c r="N21" s="195">
        <f>J21/HLOOKUP(F21,Team_Composition_23[[#All],[Yellow]:[Red]],6,FALSE)</f>
        <v>0.13399811452329941</v>
      </c>
      <c r="O21" s="195">
        <f>K21/HLOOKUP(F21,Team_Composition_23[[#All],[Yellow]:[Red]],8,FALSE)</f>
        <v>2.1025588503873302E-2</v>
      </c>
      <c r="P21" s="195">
        <f>L21/HLOOKUP(F21,Team_Composition_23[[#All],[Yellow]:[Red]],7,FALSE)</f>
        <v>1.1524859334618928E-3</v>
      </c>
      <c r="R21" s="201" t="s">
        <v>466</v>
      </c>
      <c r="S21" s="202">
        <f>SUMIFS(Scoreboard_12[Assists],Scoreboard_12[Role],"Melee DPS",Scoreboard_12[Team],"Yellow")</f>
        <v>623</v>
      </c>
      <c r="T21" s="203">
        <f>SUMIFS(Scoreboard_12[Assists],Scoreboard_12[Role],"Melee DPS",Scoreboard_12[Team],"Red")</f>
        <v>98</v>
      </c>
      <c r="V21" s="204" t="str">
        <f ca="1">IFERROR(__xludf.DUMMYFUNCTION("""COMPUTED_VALUE"""),"iOryx")</f>
        <v>iOryx</v>
      </c>
      <c r="W21" s="116">
        <f ca="1">IFERROR(__xludf.DUMMYFUNCTION("""COMPUTED_VALUE"""),1591992)</f>
        <v>1591992</v>
      </c>
      <c r="Y21" s="204" t="str">
        <f ca="1">IFERROR(__xludf.DUMMYFUNCTION("""COMPUTED_VALUE"""),"Curufinwei")</f>
        <v>Curufinwei</v>
      </c>
      <c r="Z21" s="116">
        <f ca="1">IFERROR(__xludf.DUMMYFUNCTION("""COMPUTED_VALUE"""),2372124)</f>
        <v>2372124</v>
      </c>
    </row>
    <row r="22" spans="1:26" ht="22.5" customHeight="1">
      <c r="A22" s="210">
        <v>21</v>
      </c>
      <c r="B22" s="115" t="str">
        <f>VLOOKUP(C22,Lists!I:J,2,FALSE)</f>
        <v>Ranged DPS</v>
      </c>
      <c r="C22" s="115" t="s">
        <v>45</v>
      </c>
      <c r="D22" s="16" t="s">
        <v>573</v>
      </c>
      <c r="E22" s="214" t="s">
        <v>141</v>
      </c>
      <c r="F22" s="16" t="s">
        <v>483</v>
      </c>
      <c r="G22" s="210">
        <v>18</v>
      </c>
      <c r="H22" s="210">
        <v>48</v>
      </c>
      <c r="I22" s="194">
        <f t="shared" si="0"/>
        <v>66</v>
      </c>
      <c r="J22" s="215">
        <v>2704860</v>
      </c>
      <c r="K22" s="215">
        <v>1190732</v>
      </c>
      <c r="L22" s="215">
        <v>103193</v>
      </c>
      <c r="M22" s="195">
        <f>I22/(HLOOKUP(F22,Team_Composition_23[[#All],[Yellow]:[Red]],10,FALSE)+HLOOKUP(F22,Team_Composition_23[[#All],[Yellow]:[Red]],11,FALSE))</f>
        <v>8.0389768574908649E-2</v>
      </c>
      <c r="N22" s="195">
        <f>J22/HLOOKUP(F22,Team_Composition_23[[#All],[Yellow]:[Red]],6,FALSE)</f>
        <v>0.15328976580588544</v>
      </c>
      <c r="O22" s="195">
        <f>K22/HLOOKUP(F22,Team_Composition_23[[#All],[Yellow]:[Red]],8,FALSE)</f>
        <v>2.7052291831199872E-2</v>
      </c>
      <c r="P22" s="195">
        <f>L22/HLOOKUP(F22,Team_Composition_23[[#All],[Yellow]:[Red]],7,FALSE)</f>
        <v>4.2521534889246341E-3</v>
      </c>
      <c r="R22" s="201" t="s">
        <v>24</v>
      </c>
      <c r="S22" s="202">
        <f t="shared" ref="S22:S25" si="1">COUNTIFS(C:C,R22,F:F,"Yellow")</f>
        <v>0</v>
      </c>
      <c r="T22" s="203">
        <f t="shared" ref="T22:T25" si="2">COUNTIFS(C:C,R22,F:F,"Red")</f>
        <v>1</v>
      </c>
      <c r="V22" s="204" t="str">
        <f ca="1">IFERROR(__xludf.DUMMYFUNCTION("""COMPUTED_VALUE"""),"Prefire")</f>
        <v>Prefire</v>
      </c>
      <c r="W22" s="116">
        <f ca="1">IFERROR(__xludf.DUMMYFUNCTION("""COMPUTED_VALUE"""),1532086)</f>
        <v>1532086</v>
      </c>
      <c r="Y22" s="204" t="str">
        <f ca="1">IFERROR(__xludf.DUMMYFUNCTION("""COMPUTED_VALUE"""),"hamstersprevail")</f>
        <v>hamstersprevail</v>
      </c>
      <c r="Z22" s="116">
        <f ca="1">IFERROR(__xludf.DUMMYFUNCTION("""COMPUTED_VALUE"""),2360077)</f>
        <v>2360077</v>
      </c>
    </row>
    <row r="23" spans="1:26" ht="22.5" customHeight="1">
      <c r="A23" s="210">
        <v>22</v>
      </c>
      <c r="B23" s="115" t="str">
        <f>VLOOKUP(C23,Lists!I:J,2,FALSE)</f>
        <v>Melee DPS</v>
      </c>
      <c r="C23" s="115" t="s">
        <v>24</v>
      </c>
      <c r="D23" s="16" t="s">
        <v>573</v>
      </c>
      <c r="E23" s="214" t="s">
        <v>578</v>
      </c>
      <c r="F23" s="16" t="s">
        <v>483</v>
      </c>
      <c r="G23" s="210">
        <v>17</v>
      </c>
      <c r="H23" s="210">
        <v>42</v>
      </c>
      <c r="I23" s="194">
        <f t="shared" si="0"/>
        <v>59</v>
      </c>
      <c r="J23" s="215">
        <v>2253426</v>
      </c>
      <c r="K23" s="215">
        <v>844803</v>
      </c>
      <c r="L23" s="215">
        <v>18795</v>
      </c>
      <c r="M23" s="195">
        <f>I23/(HLOOKUP(F23,Team_Composition_23[[#All],[Yellow]:[Red]],10,FALSE)+HLOOKUP(F23,Team_Composition_23[[#All],[Yellow]:[Red]],11,FALSE))</f>
        <v>7.186358099878197E-2</v>
      </c>
      <c r="N23" s="195">
        <f>J23/HLOOKUP(F23,Team_Composition_23[[#All],[Yellow]:[Red]],6,FALSE)</f>
        <v>0.1277061081907726</v>
      </c>
      <c r="O23" s="195">
        <f>K23/HLOOKUP(F23,Team_Composition_23[[#All],[Yellow]:[Red]],8,FALSE)</f>
        <v>1.9193115911786317E-2</v>
      </c>
      <c r="P23" s="195">
        <f>L23/HLOOKUP(F23,Team_Composition_23[[#All],[Yellow]:[Red]],7,FALSE)</f>
        <v>7.7446362470650633E-4</v>
      </c>
      <c r="R23" s="201" t="s">
        <v>69</v>
      </c>
      <c r="S23" s="202">
        <f t="shared" si="1"/>
        <v>5</v>
      </c>
      <c r="T23" s="203">
        <f t="shared" si="2"/>
        <v>5</v>
      </c>
      <c r="V23" s="204" t="str">
        <f ca="1">IFERROR(__xludf.DUMMYFUNCTION("""COMPUTED_VALUE"""),"Nucleus")</f>
        <v>Nucleus</v>
      </c>
      <c r="W23" s="116">
        <f ca="1">IFERROR(__xludf.DUMMYFUNCTION("""COMPUTED_VALUE"""),1486520)</f>
        <v>1486520</v>
      </c>
      <c r="Y23" s="204" t="str">
        <f ca="1">IFERROR(__xludf.DUMMYFUNCTION("""COMPUTED_VALUE"""),"soju·")</f>
        <v>soju·</v>
      </c>
      <c r="Z23" s="116">
        <f ca="1">IFERROR(__xludf.DUMMYFUNCTION("""COMPUTED_VALUE"""),2213672)</f>
        <v>2213672</v>
      </c>
    </row>
    <row r="24" spans="1:26" ht="22.5" customHeight="1">
      <c r="A24" s="210">
        <v>23</v>
      </c>
      <c r="B24" s="115" t="str">
        <f>VLOOKUP(C24,Lists!I:J,2,FALSE)</f>
        <v>KS</v>
      </c>
      <c r="C24" s="115" t="str">
        <f>VLOOKUP(E24,Lists!D:E,2,FALSE)</f>
        <v>Greatsword/Dagger</v>
      </c>
      <c r="D24" s="16" t="s">
        <v>7</v>
      </c>
      <c r="E24" s="214" t="s">
        <v>125</v>
      </c>
      <c r="F24" s="16" t="s">
        <v>476</v>
      </c>
      <c r="G24" s="210">
        <v>15</v>
      </c>
      <c r="H24" s="210">
        <v>34</v>
      </c>
      <c r="I24" s="194">
        <f t="shared" si="0"/>
        <v>49</v>
      </c>
      <c r="J24" s="215">
        <v>427990</v>
      </c>
      <c r="K24" s="215">
        <v>612693</v>
      </c>
      <c r="L24" s="215">
        <v>16106</v>
      </c>
      <c r="M24" s="195">
        <f>I24/(HLOOKUP(F24,Team_Composition_23[[#All],[Yellow]:[Red]],10,FALSE)+HLOOKUP(F24,Team_Composition_23[[#All],[Yellow]:[Red]],11,FALSE))</f>
        <v>1.2246938265433641E-2</v>
      </c>
      <c r="N24" s="195">
        <f>J24/HLOOKUP(F24,Team_Composition_23[[#All],[Yellow]:[Red]],6,FALSE)</f>
        <v>9.6473254385561341E-3</v>
      </c>
      <c r="O24" s="195">
        <f>K24/HLOOKUP(F24,Team_Composition_23[[#All],[Yellow]:[Red]],8,FALSE)</f>
        <v>3.4973530950786882E-2</v>
      </c>
      <c r="P24" s="195">
        <f>L24/HLOOKUP(F24,Team_Composition_23[[#All],[Yellow]:[Red]],7,FALSE)</f>
        <v>1.2442086667561751E-3</v>
      </c>
      <c r="R24" s="201" t="s">
        <v>23</v>
      </c>
      <c r="S24" s="202">
        <f t="shared" si="1"/>
        <v>4</v>
      </c>
      <c r="T24" s="203">
        <f t="shared" si="2"/>
        <v>2</v>
      </c>
      <c r="V24" s="204" t="str">
        <f ca="1">IFERROR(__xludf.DUMMYFUNCTION("""COMPUTED_VALUE"""),"ribbit")</f>
        <v>ribbit</v>
      </c>
      <c r="W24" s="116">
        <f ca="1">IFERROR(__xludf.DUMMYFUNCTION("""COMPUTED_VALUE"""),1475332)</f>
        <v>1475332</v>
      </c>
      <c r="Y24" s="204" t="str">
        <f ca="1">IFERROR(__xludf.DUMMYFUNCTION("""COMPUTED_VALUE"""),"Jenna")</f>
        <v>Jenna</v>
      </c>
      <c r="Z24" s="116">
        <f ca="1">IFERROR(__xludf.DUMMYFUNCTION("""COMPUTED_VALUE"""),2168146)</f>
        <v>2168146</v>
      </c>
    </row>
    <row r="25" spans="1:26" ht="22.5" customHeight="1">
      <c r="A25" s="210">
        <v>24</v>
      </c>
      <c r="B25" s="115" t="str">
        <f>VLOOKUP(C25,Lists!I:J,2,FALSE)</f>
        <v>Ranged DPS</v>
      </c>
      <c r="C25" s="115" t="s">
        <v>58</v>
      </c>
      <c r="D25" s="16" t="s">
        <v>573</v>
      </c>
      <c r="E25" s="214" t="s">
        <v>579</v>
      </c>
      <c r="F25" s="16" t="s">
        <v>483</v>
      </c>
      <c r="G25" s="210">
        <v>15</v>
      </c>
      <c r="H25" s="210">
        <v>30</v>
      </c>
      <c r="I25" s="194">
        <f t="shared" si="0"/>
        <v>45</v>
      </c>
      <c r="J25" s="215">
        <v>2706242</v>
      </c>
      <c r="K25" s="215">
        <v>1449693</v>
      </c>
      <c r="L25" s="215">
        <v>42352</v>
      </c>
      <c r="M25" s="195">
        <f>I25/(HLOOKUP(F25,Team_Composition_23[[#All],[Yellow]:[Red]],10,FALSE)+HLOOKUP(F25,Team_Composition_23[[#All],[Yellow]:[Red]],11,FALSE))</f>
        <v>5.4811205846528627E-2</v>
      </c>
      <c r="N25" s="195">
        <f>J25/HLOOKUP(F25,Team_Composition_23[[#All],[Yellow]:[Red]],6,FALSE)</f>
        <v>0.15336808647917122</v>
      </c>
      <c r="O25" s="195">
        <f>K25/HLOOKUP(F25,Team_Composition_23[[#All],[Yellow]:[Red]],8,FALSE)</f>
        <v>3.293563799549154E-2</v>
      </c>
      <c r="P25" s="195">
        <f>L25/HLOOKUP(F25,Team_Composition_23[[#All],[Yellow]:[Red]],7,FALSE)</f>
        <v>1.7451494245049192E-3</v>
      </c>
      <c r="R25" s="201" t="s">
        <v>33</v>
      </c>
      <c r="S25" s="202">
        <f t="shared" si="1"/>
        <v>0</v>
      </c>
      <c r="T25" s="203">
        <f t="shared" si="2"/>
        <v>0</v>
      </c>
      <c r="V25" s="204" t="str">
        <f ca="1">IFERROR(__xludf.DUMMYFUNCTION("""COMPUTED_VALUE"""),"Jvspar")</f>
        <v>Jvspar</v>
      </c>
      <c r="W25" s="116">
        <f ca="1">IFERROR(__xludf.DUMMYFUNCTION("""COMPUTED_VALUE"""),1449693)</f>
        <v>1449693</v>
      </c>
      <c r="Y25" s="204" t="str">
        <f ca="1">IFERROR(__xludf.DUMMYFUNCTION("""COMPUTED_VALUE"""),"Boharding")</f>
        <v>Boharding</v>
      </c>
      <c r="Z25" s="116">
        <f ca="1">IFERROR(__xludf.DUMMYFUNCTION("""COMPUTED_VALUE"""),2005830)</f>
        <v>2005830</v>
      </c>
    </row>
    <row r="26" spans="1:26" ht="22.5" customHeight="1">
      <c r="A26" s="210">
        <v>25</v>
      </c>
      <c r="B26" s="115" t="str">
        <f>VLOOKUP(C26,Lists!I:J,2,FALSE)</f>
        <v>Ranged DPS</v>
      </c>
      <c r="C26" s="115" t="s">
        <v>56</v>
      </c>
      <c r="D26" s="16" t="s">
        <v>573</v>
      </c>
      <c r="E26" s="214" t="s">
        <v>580</v>
      </c>
      <c r="F26" s="16" t="s">
        <v>483</v>
      </c>
      <c r="G26" s="210">
        <v>15</v>
      </c>
      <c r="H26" s="210">
        <v>19</v>
      </c>
      <c r="I26" s="194">
        <f t="shared" si="0"/>
        <v>34</v>
      </c>
      <c r="J26" s="215">
        <v>2040496</v>
      </c>
      <c r="K26" s="215">
        <v>1158450</v>
      </c>
      <c r="L26" s="215">
        <v>122864</v>
      </c>
      <c r="M26" s="195">
        <f>I26/(HLOOKUP(F26,Team_Composition_23[[#All],[Yellow]:[Red]],10,FALSE)+HLOOKUP(F26,Team_Composition_23[[#All],[Yellow]:[Red]],11,FALSE))</f>
        <v>4.1412911084043852E-2</v>
      </c>
      <c r="N26" s="195">
        <f>J26/HLOOKUP(F26,Team_Composition_23[[#All],[Yellow]:[Red]],6,FALSE)</f>
        <v>0.11563894396303173</v>
      </c>
      <c r="O26" s="195">
        <f>K26/HLOOKUP(F26,Team_Composition_23[[#All],[Yellow]:[Red]],8,FALSE)</f>
        <v>2.6318875676351598E-2</v>
      </c>
      <c r="P26" s="195">
        <f>L26/HLOOKUP(F26,Team_Composition_23[[#All],[Yellow]:[Red]],7,FALSE)</f>
        <v>5.0627134230348597E-3</v>
      </c>
      <c r="R26" s="204"/>
      <c r="S26" s="208"/>
      <c r="T26" s="208"/>
      <c r="V26" s="204" t="str">
        <f ca="1">IFERROR(__xludf.DUMMYFUNCTION("""COMPUTED_VALUE"""),"·Itty·")</f>
        <v>·Itty·</v>
      </c>
      <c r="W26" s="116">
        <f ca="1">IFERROR(__xludf.DUMMYFUNCTION("""COMPUTED_VALUE"""),1404470)</f>
        <v>1404470</v>
      </c>
      <c r="Y26" s="204" t="str">
        <f ca="1">IFERROR(__xludf.DUMMYFUNCTION("""COMPUTED_VALUE"""),"Kyraxi")</f>
        <v>Kyraxi</v>
      </c>
      <c r="Z26" s="116">
        <f ca="1">IFERROR(__xludf.DUMMYFUNCTION("""COMPUTED_VALUE"""),1966321)</f>
        <v>1966321</v>
      </c>
    </row>
    <row r="27" spans="1:26" ht="22.5" customHeight="1">
      <c r="A27" s="210">
        <v>26</v>
      </c>
      <c r="B27" s="115" t="str">
        <f>VLOOKUP(C27,Lists!I:J,2,FALSE)</f>
        <v>KS</v>
      </c>
      <c r="C27" s="115" t="s">
        <v>69</v>
      </c>
      <c r="D27" s="16" t="s">
        <v>573</v>
      </c>
      <c r="E27" s="214" t="s">
        <v>581</v>
      </c>
      <c r="F27" s="16" t="s">
        <v>483</v>
      </c>
      <c r="G27" s="210">
        <v>13</v>
      </c>
      <c r="H27" s="210">
        <v>27</v>
      </c>
      <c r="I27" s="194">
        <f t="shared" si="0"/>
        <v>40</v>
      </c>
      <c r="J27" s="215">
        <v>1235598</v>
      </c>
      <c r="K27" s="215">
        <v>1591992</v>
      </c>
      <c r="L27" s="215">
        <v>22501</v>
      </c>
      <c r="M27" s="195">
        <f>I27/(HLOOKUP(F27,Team_Composition_23[[#All],[Yellow]:[Red]],10,FALSE)+HLOOKUP(F27,Team_Composition_23[[#All],[Yellow]:[Red]],11,FALSE))</f>
        <v>4.8721071863580996E-2</v>
      </c>
      <c r="N27" s="195">
        <f>J27/HLOOKUP(F27,Team_Composition_23[[#All],[Yellow]:[Red]],6,FALSE)</f>
        <v>7.0023782395473494E-2</v>
      </c>
      <c r="O27" s="195">
        <f>K27/HLOOKUP(F27,Team_Composition_23[[#All],[Yellow]:[Red]],8,FALSE)</f>
        <v>3.6168535133796309E-2</v>
      </c>
      <c r="P27" s="195">
        <f>L27/HLOOKUP(F27,Team_Composition_23[[#All],[Yellow]:[Red]],7,FALSE)</f>
        <v>9.271724405172173E-4</v>
      </c>
      <c r="R27" s="6"/>
      <c r="S27" s="209"/>
      <c r="T27" s="209"/>
    </row>
    <row r="28" spans="1:26" ht="22.5" customHeight="1">
      <c r="A28" s="210">
        <v>27</v>
      </c>
      <c r="B28" s="115" t="str">
        <f>VLOOKUP(C28,Lists!I:J,2,FALSE)</f>
        <v>Ranged DPS</v>
      </c>
      <c r="C28" s="115" t="s">
        <v>32</v>
      </c>
      <c r="D28" s="16" t="s">
        <v>573</v>
      </c>
      <c r="E28" s="214" t="s">
        <v>582</v>
      </c>
      <c r="F28" s="16" t="s">
        <v>483</v>
      </c>
      <c r="G28" s="210">
        <v>9</v>
      </c>
      <c r="H28" s="210">
        <v>27</v>
      </c>
      <c r="I28" s="194">
        <f t="shared" si="0"/>
        <v>36</v>
      </c>
      <c r="J28" s="215">
        <v>1843869</v>
      </c>
      <c r="K28" s="215">
        <v>1404470</v>
      </c>
      <c r="L28" s="215">
        <v>30008</v>
      </c>
      <c r="M28" s="195">
        <f>I28/(HLOOKUP(F28,Team_Composition_23[[#All],[Yellow]:[Red]],10,FALSE)+HLOOKUP(F28,Team_Composition_23[[#All],[Yellow]:[Red]],11,FALSE))</f>
        <v>4.38489646772229E-2</v>
      </c>
      <c r="N28" s="195">
        <f>J28/HLOOKUP(F28,Team_Composition_23[[#All],[Yellow]:[Red]],6,FALSE)</f>
        <v>0.10449570298896511</v>
      </c>
      <c r="O28" s="195">
        <f>K28/HLOOKUP(F28,Team_Composition_23[[#All],[Yellow]:[Red]],8,FALSE)</f>
        <v>3.1908214701683743E-2</v>
      </c>
      <c r="P28" s="195">
        <f>L28/HLOOKUP(F28,Team_Composition_23[[#All],[Yellow]:[Red]],7,FALSE)</f>
        <v>1.2365046262406408E-3</v>
      </c>
      <c r="R28" s="232" t="s">
        <v>39</v>
      </c>
      <c r="S28" s="228"/>
      <c r="T28" s="228"/>
    </row>
    <row r="29" spans="1:26" ht="22.5" customHeight="1">
      <c r="A29" s="210">
        <v>28</v>
      </c>
      <c r="B29" s="115" t="str">
        <f>VLOOKUP(C29,Lists!I:J,2,FALSE)</f>
        <v>Melee DPS</v>
      </c>
      <c r="C29" s="115" t="s">
        <v>23</v>
      </c>
      <c r="D29" s="16" t="s">
        <v>583</v>
      </c>
      <c r="E29" s="214" t="s">
        <v>584</v>
      </c>
      <c r="F29" s="16" t="s">
        <v>483</v>
      </c>
      <c r="G29" s="210">
        <v>8</v>
      </c>
      <c r="H29" s="210">
        <v>20</v>
      </c>
      <c r="I29" s="194">
        <f t="shared" si="0"/>
        <v>28</v>
      </c>
      <c r="J29" s="215">
        <v>742590</v>
      </c>
      <c r="K29" s="215">
        <v>1287047</v>
      </c>
      <c r="L29" s="215">
        <v>80405</v>
      </c>
      <c r="M29" s="195">
        <f>I29/(HLOOKUP(F29,Team_Composition_23[[#All],[Yellow]:[Red]],10,FALSE)+HLOOKUP(F29,Team_Composition_23[[#All],[Yellow]:[Red]],11,FALSE))</f>
        <v>3.4104750304506701E-2</v>
      </c>
      <c r="N29" s="195">
        <f>J29/HLOOKUP(F29,Team_Composition_23[[#All],[Yellow]:[Red]],6,FALSE)</f>
        <v>4.2084043976321317E-2</v>
      </c>
      <c r="O29" s="195">
        <f>K29/HLOOKUP(F29,Team_Composition_23[[#All],[Yellow]:[Red]],8,FALSE)</f>
        <v>2.9240476483768221E-2</v>
      </c>
      <c r="P29" s="195">
        <f>L29/HLOOKUP(F29,Team_Composition_23[[#All],[Yellow]:[Red]],7,FALSE)</f>
        <v>3.3131549744361073E-3</v>
      </c>
      <c r="R29" s="197" t="s">
        <v>482</v>
      </c>
      <c r="S29" s="198" t="s">
        <v>476</v>
      </c>
      <c r="T29" s="198" t="s">
        <v>483</v>
      </c>
    </row>
    <row r="30" spans="1:26" ht="22.5" customHeight="1">
      <c r="A30" s="210">
        <v>29</v>
      </c>
      <c r="B30" s="115" t="str">
        <f>VLOOKUP(C30,Lists!I:J,2,FALSE)</f>
        <v>KS</v>
      </c>
      <c r="C30" s="115" t="s">
        <v>69</v>
      </c>
      <c r="D30" s="16" t="s">
        <v>583</v>
      </c>
      <c r="E30" s="214" t="s">
        <v>585</v>
      </c>
      <c r="F30" s="16" t="s">
        <v>483</v>
      </c>
      <c r="G30" s="210">
        <v>7</v>
      </c>
      <c r="H30" s="210">
        <v>23</v>
      </c>
      <c r="I30" s="194">
        <f t="shared" si="0"/>
        <v>30</v>
      </c>
      <c r="J30" s="215">
        <v>822003</v>
      </c>
      <c r="K30" s="215">
        <v>1171080</v>
      </c>
      <c r="L30" s="215">
        <v>75952</v>
      </c>
      <c r="M30" s="195">
        <f>I30/(HLOOKUP(F30,Team_Composition_23[[#All],[Yellow]:[Red]],10,FALSE)+HLOOKUP(F30,Team_Composition_23[[#All],[Yellow]:[Red]],11,FALSE))</f>
        <v>3.6540803897685749E-2</v>
      </c>
      <c r="N30" s="195">
        <f>J30/HLOOKUP(F30,Team_Composition_23[[#All],[Yellow]:[Red]],6,FALSE)</f>
        <v>4.6584535747408458E-2</v>
      </c>
      <c r="O30" s="195">
        <f>K30/HLOOKUP(F30,Team_Composition_23[[#All],[Yellow]:[Red]],8,FALSE)</f>
        <v>2.6605817192854098E-2</v>
      </c>
      <c r="P30" s="195">
        <f>L30/HLOOKUP(F30,Team_Composition_23[[#All],[Yellow]:[Red]],7,FALSE)</f>
        <v>3.1296654016338687E-3</v>
      </c>
      <c r="R30" s="201" t="s">
        <v>468</v>
      </c>
      <c r="S30" s="202">
        <f>SUMIFS(Scoreboard_12[Damage Dealt],Scoreboard_12[Role],"Ranged DPS",Scoreboard_12[Team],"Yellow")</f>
        <v>16959005</v>
      </c>
      <c r="T30" s="203">
        <f>SUMIFS(Scoreboard_12[Damage Dealt],Scoreboard_12[Role],"Ranged DPS",Scoreboard_12[Team],"Red")</f>
        <v>17007317</v>
      </c>
    </row>
    <row r="31" spans="1:26" ht="22.5" customHeight="1">
      <c r="A31" s="210">
        <v>30</v>
      </c>
      <c r="B31" s="115" t="str">
        <f>VLOOKUP(C31,Lists!I:J,2,FALSE)</f>
        <v>KS</v>
      </c>
      <c r="C31" s="115" t="s">
        <v>69</v>
      </c>
      <c r="D31" s="16" t="s">
        <v>573</v>
      </c>
      <c r="E31" s="214" t="s">
        <v>586</v>
      </c>
      <c r="F31" s="17" t="s">
        <v>483</v>
      </c>
      <c r="G31" s="210">
        <v>7</v>
      </c>
      <c r="H31" s="210">
        <v>13</v>
      </c>
      <c r="I31" s="194">
        <f t="shared" si="0"/>
        <v>20</v>
      </c>
      <c r="J31" s="215">
        <v>661124</v>
      </c>
      <c r="K31" s="215">
        <v>1242394</v>
      </c>
      <c r="L31" s="215">
        <v>30443</v>
      </c>
      <c r="M31" s="195">
        <f>I31/(HLOOKUP(F31,Team_Composition_23[[#All],[Yellow]:[Red]],10,FALSE)+HLOOKUP(F31,Team_Composition_23[[#All],[Yellow]:[Red]],11,FALSE))</f>
        <v>2.4360535931790498E-2</v>
      </c>
      <c r="N31" s="195">
        <f>J31/HLOOKUP(F31,Team_Composition_23[[#All],[Yellow]:[Red]],6,FALSE)</f>
        <v>3.7467204634861029E-2</v>
      </c>
      <c r="O31" s="195">
        <f>K31/HLOOKUP(F31,Team_Composition_23[[#All],[Yellow]:[Red]],8,FALSE)</f>
        <v>2.8226003044624425E-2</v>
      </c>
      <c r="P31" s="195">
        <f>L31/HLOOKUP(F31,Team_Composition_23[[#All],[Yellow]:[Red]],7,FALSE)</f>
        <v>1.2544291634445422E-3</v>
      </c>
      <c r="R31" s="201" t="s">
        <v>469</v>
      </c>
      <c r="S31" s="202">
        <f>SUMIFS(Scoreboard_12[Damage Taken],Scoreboard_12[Role],"Ranged DPS",Scoreboard_12[Team],"Yellow")</f>
        <v>3837165</v>
      </c>
      <c r="T31" s="203">
        <f>SUMIFS(Scoreboard_12[Damage Taken],Scoreboard_12[Role],"Ranged DPS",Scoreboard_12[Team],"Red")</f>
        <v>9570100</v>
      </c>
    </row>
    <row r="32" spans="1:26" ht="22.5" customHeight="1">
      <c r="A32" s="210">
        <v>31</v>
      </c>
      <c r="B32" s="115" t="str">
        <f>VLOOKUP(C32,Lists!I:J,2,FALSE)</f>
        <v>Tank</v>
      </c>
      <c r="C32" s="115" t="str">
        <f>VLOOKUP(E32,Lists!D:E,2,FALSE)</f>
        <v>SnS/Greatsword</v>
      </c>
      <c r="D32" s="16" t="s">
        <v>7</v>
      </c>
      <c r="E32" s="214" t="s">
        <v>37</v>
      </c>
      <c r="F32" s="16" t="s">
        <v>476</v>
      </c>
      <c r="G32" s="210">
        <v>6</v>
      </c>
      <c r="H32" s="210">
        <v>57</v>
      </c>
      <c r="I32" s="194">
        <f t="shared" si="0"/>
        <v>63</v>
      </c>
      <c r="J32" s="215">
        <v>384990</v>
      </c>
      <c r="K32" s="215">
        <v>811833</v>
      </c>
      <c r="L32" s="215">
        <v>37662</v>
      </c>
      <c r="M32" s="195">
        <f>I32/(HLOOKUP(F32,Team_Composition_23[[#All],[Yellow]:[Red]],10,FALSE)+HLOOKUP(F32,Team_Composition_23[[#All],[Yellow]:[Red]],11,FALSE))</f>
        <v>1.5746063484128967E-2</v>
      </c>
      <c r="N32" s="195">
        <f>J32/HLOOKUP(F32,Team_Composition_23[[#All],[Yellow]:[Red]],6,FALSE)</f>
        <v>8.6780621523627338E-3</v>
      </c>
      <c r="O32" s="195">
        <f>K32/HLOOKUP(F32,Team_Composition_23[[#All],[Yellow]:[Red]],8,FALSE)</f>
        <v>4.634077189125739E-2</v>
      </c>
      <c r="P32" s="195">
        <f>L32/HLOOKUP(F32,Team_Composition_23[[#All],[Yellow]:[Red]],7,FALSE)</f>
        <v>2.9094366576040646E-3</v>
      </c>
      <c r="R32" s="201" t="s">
        <v>470</v>
      </c>
      <c r="S32" s="202">
        <f>SUMIFS(Scoreboard_12[Amount Healed],Scoreboard_12[Role],"Ranged DPS",Scoreboard_12[Team],"Yellow")</f>
        <v>99493</v>
      </c>
      <c r="T32" s="203">
        <f>SUMIFS(Scoreboard_12[Amount Healed],Scoreboard_12[Role],"Ranged DPS",Scoreboard_12[Team],"Red")</f>
        <v>493078</v>
      </c>
    </row>
    <row r="33" spans="1:20" ht="22.5" customHeight="1">
      <c r="A33" s="210">
        <v>32</v>
      </c>
      <c r="B33" s="115" t="str">
        <f>VLOOKUP(C33,Lists!I:J,2,FALSE)</f>
        <v>Ranged DPS</v>
      </c>
      <c r="C33" s="115" t="s">
        <v>58</v>
      </c>
      <c r="D33" s="16" t="s">
        <v>573</v>
      </c>
      <c r="E33" s="214" t="s">
        <v>587</v>
      </c>
      <c r="F33" s="16" t="s">
        <v>483</v>
      </c>
      <c r="G33" s="210">
        <v>6</v>
      </c>
      <c r="H33" s="210">
        <v>31</v>
      </c>
      <c r="I33" s="194">
        <f t="shared" si="0"/>
        <v>37</v>
      </c>
      <c r="J33" s="215">
        <v>1458883</v>
      </c>
      <c r="K33" s="215">
        <v>1254836</v>
      </c>
      <c r="L33" s="215">
        <v>0</v>
      </c>
      <c r="M33" s="195">
        <f>I33/(HLOOKUP(F33,Team_Composition_23[[#All],[Yellow]:[Red]],10,FALSE)+HLOOKUP(F33,Team_Composition_23[[#All],[Yellow]:[Red]],11,FALSE))</f>
        <v>4.5066991473812421E-2</v>
      </c>
      <c r="N33" s="195">
        <f>J33/HLOOKUP(F33,Team_Composition_23[[#All],[Yellow]:[Red]],6,FALSE)</f>
        <v>8.2677784953079855E-2</v>
      </c>
      <c r="O33" s="195">
        <f>K33/HLOOKUP(F33,Team_Composition_23[[#All],[Yellow]:[Red]],8,FALSE)</f>
        <v>2.8508673380992132E-2</v>
      </c>
      <c r="P33" s="195">
        <f>L33/HLOOKUP(F33,Team_Composition_23[[#All],[Yellow]:[Red]],7,FALSE)</f>
        <v>0</v>
      </c>
      <c r="R33" s="201" t="s">
        <v>465</v>
      </c>
      <c r="S33" s="202">
        <f>SUMIFS(Scoreboard_12[Kills],Scoreboard_12[Role],"Ranged DPS",Scoreboard_12[Team],"Yellow")</f>
        <v>261</v>
      </c>
      <c r="T33" s="203">
        <f>SUMIFS(Scoreboard_12[Kills],Scoreboard_12[Role],"Ranged DPS",Scoreboard_12[Team],"Red")</f>
        <v>96</v>
      </c>
    </row>
    <row r="34" spans="1:20" ht="22.5" customHeight="1">
      <c r="A34" s="210">
        <v>33</v>
      </c>
      <c r="B34" s="115" t="str">
        <f>VLOOKUP(C34,Lists!I:J,2,FALSE)</f>
        <v>Healer</v>
      </c>
      <c r="C34" s="115" t="str">
        <f>VLOOKUP(E34,Lists!D:E,2,FALSE)</f>
        <v>Wand/Longbow</v>
      </c>
      <c r="D34" s="16" t="s">
        <v>7</v>
      </c>
      <c r="E34" s="214" t="s">
        <v>29</v>
      </c>
      <c r="F34" s="16" t="s">
        <v>476</v>
      </c>
      <c r="G34" s="210">
        <v>5</v>
      </c>
      <c r="H34" s="210">
        <v>83</v>
      </c>
      <c r="I34" s="194">
        <f t="shared" si="0"/>
        <v>88</v>
      </c>
      <c r="J34" s="215">
        <v>139655</v>
      </c>
      <c r="K34" s="215">
        <v>213048</v>
      </c>
      <c r="L34" s="215">
        <v>2005830</v>
      </c>
      <c r="M34" s="195">
        <f>I34/(HLOOKUP(F34,Team_Composition_23[[#All],[Yellow]:[Red]],10,FALSE)+HLOOKUP(F34,Team_Composition_23[[#All],[Yellow]:[Red]],11,FALSE))</f>
        <v>2.1994501374656337E-2</v>
      </c>
      <c r="N34" s="195">
        <f>J34/HLOOKUP(F34,Team_Composition_23[[#All],[Yellow]:[Red]],6,FALSE)</f>
        <v>3.1479642844962664E-3</v>
      </c>
      <c r="O34" s="195">
        <f>K34/HLOOKUP(F34,Team_Composition_23[[#All],[Yellow]:[Red]],8,FALSE)</f>
        <v>1.2161132609648295E-2</v>
      </c>
      <c r="P34" s="195">
        <f>L34/HLOOKUP(F34,Team_Composition_23[[#All],[Yellow]:[Red]],7,FALSE)</f>
        <v>0.15495287905374014</v>
      </c>
      <c r="R34" s="201" t="s">
        <v>466</v>
      </c>
      <c r="S34" s="202">
        <f>SUMIFS(Scoreboard_12[Assists],Scoreboard_12[Role],"Ranged DPS",Scoreboard_12[Team],"Yellow")</f>
        <v>615</v>
      </c>
      <c r="T34" s="203">
        <f>SUMIFS(Scoreboard_12[Assists],Scoreboard_12[Role],"Ranged DPS",Scoreboard_12[Team],"Red")</f>
        <v>255</v>
      </c>
    </row>
    <row r="35" spans="1:20" ht="22.5" customHeight="1">
      <c r="A35" s="210">
        <v>34</v>
      </c>
      <c r="B35" s="115" t="str">
        <f>VLOOKUP(C35,Lists!I:J,2,FALSE)</f>
        <v>Tank</v>
      </c>
      <c r="C35" s="115" t="str">
        <f>VLOOKUP(E35,Lists!D:E,2,FALSE)</f>
        <v>SnS/Spear</v>
      </c>
      <c r="D35" s="16" t="s">
        <v>7</v>
      </c>
      <c r="E35" s="214" t="s">
        <v>61</v>
      </c>
      <c r="F35" s="16" t="s">
        <v>476</v>
      </c>
      <c r="G35" s="210">
        <v>5</v>
      </c>
      <c r="H35" s="210">
        <v>47</v>
      </c>
      <c r="I35" s="194">
        <f t="shared" si="0"/>
        <v>52</v>
      </c>
      <c r="J35" s="215">
        <v>277704</v>
      </c>
      <c r="K35" s="215">
        <v>275999</v>
      </c>
      <c r="L35" s="215">
        <v>17999</v>
      </c>
      <c r="M35" s="195">
        <f>I35/(HLOOKUP(F35,Team_Composition_23[[#All],[Yellow]:[Red]],10,FALSE)+HLOOKUP(F35,Team_Composition_23[[#All],[Yellow]:[Red]],11,FALSE))</f>
        <v>1.2996750812296926E-2</v>
      </c>
      <c r="N35" s="195">
        <f>J35/HLOOKUP(F35,Team_Composition_23[[#All],[Yellow]:[Red]],6,FALSE)</f>
        <v>6.2597277123035422E-3</v>
      </c>
      <c r="O35" s="195">
        <f>K35/HLOOKUP(F35,Team_Composition_23[[#All],[Yellow]:[Red]],8,FALSE)</f>
        <v>1.5754479925323493E-2</v>
      </c>
      <c r="P35" s="195">
        <f>L35/HLOOKUP(F35,Team_Composition_23[[#All],[Yellow]:[Red]],7,FALSE)</f>
        <v>1.3904452870324348E-3</v>
      </c>
      <c r="R35" s="201" t="s">
        <v>54</v>
      </c>
      <c r="S35" s="202">
        <f t="shared" ref="S35:S46" si="3">COUNTIFS(C:C,R35,F:F,"Yellow")</f>
        <v>3</v>
      </c>
      <c r="T35" s="203">
        <f t="shared" ref="T35:T46" si="4">COUNTIFS(C:C,R35,F:F,"Red")</f>
        <v>0</v>
      </c>
    </row>
    <row r="36" spans="1:20" ht="22.5" customHeight="1">
      <c r="A36" s="210">
        <v>35</v>
      </c>
      <c r="B36" s="115" t="str">
        <f>VLOOKUP(C36,Lists!I:J,2,FALSE)</f>
        <v>Ranged DPS</v>
      </c>
      <c r="C36" s="115" t="s">
        <v>56</v>
      </c>
      <c r="D36" s="16" t="s">
        <v>573</v>
      </c>
      <c r="E36" s="214" t="s">
        <v>588</v>
      </c>
      <c r="F36" s="16" t="s">
        <v>483</v>
      </c>
      <c r="G36" s="210">
        <v>5</v>
      </c>
      <c r="H36" s="210">
        <v>24</v>
      </c>
      <c r="I36" s="194">
        <f t="shared" si="0"/>
        <v>29</v>
      </c>
      <c r="J36" s="215">
        <v>1047562</v>
      </c>
      <c r="K36" s="215">
        <v>1138087</v>
      </c>
      <c r="L36" s="215">
        <v>164980</v>
      </c>
      <c r="M36" s="195">
        <f>I36/(HLOOKUP(F36,Team_Composition_23[[#All],[Yellow]:[Red]],10,FALSE)+HLOOKUP(F36,Team_Composition_23[[#All],[Yellow]:[Red]],11,FALSE))</f>
        <v>3.5322777101096221E-2</v>
      </c>
      <c r="N36" s="195">
        <f>J36/HLOOKUP(F36,Team_Composition_23[[#All],[Yellow]:[Red]],6,FALSE)</f>
        <v>5.9367410382476345E-2</v>
      </c>
      <c r="O36" s="195">
        <f>K36/HLOOKUP(F36,Team_Composition_23[[#All],[Yellow]:[Red]],8,FALSE)</f>
        <v>2.5856247798240719E-2</v>
      </c>
      <c r="P36" s="195">
        <f>L36/HLOOKUP(F36,Team_Composition_23[[#All],[Yellow]:[Red]],7,FALSE)</f>
        <v>6.798138271033754E-3</v>
      </c>
      <c r="R36" s="201" t="s">
        <v>43</v>
      </c>
      <c r="S36" s="202">
        <f t="shared" si="3"/>
        <v>1</v>
      </c>
      <c r="T36" s="203">
        <f t="shared" si="4"/>
        <v>0</v>
      </c>
    </row>
    <row r="37" spans="1:20" ht="22.5" customHeight="1">
      <c r="A37" s="210">
        <v>36</v>
      </c>
      <c r="B37" s="115" t="str">
        <f>VLOOKUP(C37,Lists!I:J,2,FALSE)</f>
        <v>Ranged DPS</v>
      </c>
      <c r="C37" s="115" t="s">
        <v>58</v>
      </c>
      <c r="D37" s="16" t="s">
        <v>573</v>
      </c>
      <c r="E37" s="214" t="s">
        <v>589</v>
      </c>
      <c r="F37" s="16" t="s">
        <v>483</v>
      </c>
      <c r="G37" s="210">
        <v>3</v>
      </c>
      <c r="H37" s="210">
        <v>29</v>
      </c>
      <c r="I37" s="194">
        <f t="shared" si="0"/>
        <v>32</v>
      </c>
      <c r="J37" s="215">
        <v>2272749</v>
      </c>
      <c r="K37" s="215">
        <v>1140804</v>
      </c>
      <c r="L37" s="215">
        <v>10182</v>
      </c>
      <c r="M37" s="195">
        <f>I37/(HLOOKUP(F37,Team_Composition_23[[#All],[Yellow]:[Red]],10,FALSE)+HLOOKUP(F37,Team_Composition_23[[#All],[Yellow]:[Red]],11,FALSE))</f>
        <v>3.8976857490864797E-2</v>
      </c>
      <c r="N37" s="195">
        <f>J37/HLOOKUP(F37,Team_Composition_23[[#All],[Yellow]:[Red]],6,FALSE)</f>
        <v>0.12880118081732894</v>
      </c>
      <c r="O37" s="195">
        <f>K37/HLOOKUP(F37,Team_Composition_23[[#All],[Yellow]:[Red]],8,FALSE)</f>
        <v>2.5917975438805824E-2</v>
      </c>
      <c r="P37" s="195">
        <f>L37/HLOOKUP(F37,Team_Composition_23[[#All],[Yellow]:[Red]],7,FALSE)</f>
        <v>4.1955778806925496E-4</v>
      </c>
      <c r="R37" s="201" t="s">
        <v>45</v>
      </c>
      <c r="S37" s="202">
        <f t="shared" si="3"/>
        <v>2</v>
      </c>
      <c r="T37" s="203">
        <f t="shared" si="4"/>
        <v>2</v>
      </c>
    </row>
    <row r="38" spans="1:20" ht="22.5" customHeight="1">
      <c r="A38" s="210">
        <v>37</v>
      </c>
      <c r="B38" s="115" t="str">
        <f>VLOOKUP(C38,Lists!I:J,2,FALSE)</f>
        <v>Tank</v>
      </c>
      <c r="C38" s="115" t="s">
        <v>14</v>
      </c>
      <c r="D38" s="16" t="s">
        <v>573</v>
      </c>
      <c r="E38" s="214" t="s">
        <v>590</v>
      </c>
      <c r="F38" s="16" t="s">
        <v>483</v>
      </c>
      <c r="G38" s="210">
        <v>3</v>
      </c>
      <c r="H38" s="210">
        <v>19</v>
      </c>
      <c r="I38" s="194">
        <f t="shared" si="0"/>
        <v>22</v>
      </c>
      <c r="J38" s="215">
        <v>411989</v>
      </c>
      <c r="K38" s="215">
        <v>913650</v>
      </c>
      <c r="L38" s="215">
        <v>38612</v>
      </c>
      <c r="M38" s="195">
        <f>I38/(HLOOKUP(F38,Team_Composition_23[[#All],[Yellow]:[Red]],10,FALSE)+HLOOKUP(F38,Team_Composition_23[[#All],[Yellow]:[Red]],11,FALSE))</f>
        <v>2.679658952496955E-2</v>
      </c>
      <c r="N38" s="195">
        <f>J38/HLOOKUP(F38,Team_Composition_23[[#All],[Yellow]:[Red]],6,FALSE)</f>
        <v>2.3348231451757556E-2</v>
      </c>
      <c r="O38" s="195">
        <f>K38/HLOOKUP(F38,Team_Composition_23[[#All],[Yellow]:[Red]],8,FALSE)</f>
        <v>2.0757253883809088E-2</v>
      </c>
      <c r="P38" s="195">
        <f>L38/HLOOKUP(F38,Team_Composition_23[[#All],[Yellow]:[Red]],7,FALSE)</f>
        <v>1.5910396103840181E-3</v>
      </c>
      <c r="R38" s="201" t="s">
        <v>81</v>
      </c>
      <c r="S38" s="202">
        <f t="shared" si="3"/>
        <v>0</v>
      </c>
      <c r="T38" s="203">
        <f t="shared" si="4"/>
        <v>0</v>
      </c>
    </row>
    <row r="39" spans="1:20" ht="22.5" customHeight="1">
      <c r="A39" s="210">
        <v>38</v>
      </c>
      <c r="B39" s="115" t="str">
        <f>VLOOKUP(C39,Lists!I:J,2,FALSE)</f>
        <v>Healer</v>
      </c>
      <c r="C39" s="115" t="str">
        <f>VLOOKUP(E39,Lists!D:E,2,FALSE)</f>
        <v>Wand/Longbow</v>
      </c>
      <c r="D39" s="16" t="s">
        <v>7</v>
      </c>
      <c r="E39" s="211" t="s">
        <v>124</v>
      </c>
      <c r="F39" s="16" t="s">
        <v>476</v>
      </c>
      <c r="G39" s="210">
        <v>2</v>
      </c>
      <c r="H39" s="210">
        <v>94</v>
      </c>
      <c r="I39" s="194">
        <f t="shared" si="0"/>
        <v>96</v>
      </c>
      <c r="J39" s="215">
        <v>50432</v>
      </c>
      <c r="K39" s="215">
        <v>401449</v>
      </c>
      <c r="L39" s="215">
        <v>2447907</v>
      </c>
      <c r="M39" s="195">
        <f>I39/(HLOOKUP(F39,Team_Composition_23[[#All],[Yellow]:[Red]],10,FALSE)+HLOOKUP(F39,Team_Composition_23[[#All],[Yellow]:[Red]],11,FALSE))</f>
        <v>2.3994001499625092E-2</v>
      </c>
      <c r="N39" s="195">
        <f>J39/HLOOKUP(F39,Team_Composition_23[[#All],[Yellow]:[Red]],6,FALSE)</f>
        <v>1.13678804765827E-3</v>
      </c>
      <c r="O39" s="195">
        <f>K39/HLOOKUP(F39,Team_Composition_23[[#All],[Yellow]:[Red]],8,FALSE)</f>
        <v>2.2915373648242175E-2</v>
      </c>
      <c r="P39" s="195">
        <f>L39/HLOOKUP(F39,Team_Composition_23[[#All],[Yellow]:[Red]],7,FALSE)</f>
        <v>0.18910388084025259</v>
      </c>
      <c r="R39" s="201" t="s">
        <v>48</v>
      </c>
      <c r="S39" s="202">
        <f t="shared" si="3"/>
        <v>0</v>
      </c>
      <c r="T39" s="203">
        <f t="shared" si="4"/>
        <v>0</v>
      </c>
    </row>
    <row r="40" spans="1:20" ht="22.5" customHeight="1">
      <c r="A40" s="210">
        <v>39</v>
      </c>
      <c r="B40" s="115" t="str">
        <f>VLOOKUP(C40,Lists!I:J,2,FALSE)</f>
        <v>Healer</v>
      </c>
      <c r="C40" s="115" t="str">
        <f>VLOOKUP(E40,Lists!D:E,2,FALSE)</f>
        <v>Wand/Longbow</v>
      </c>
      <c r="D40" s="16" t="s">
        <v>7</v>
      </c>
      <c r="E40" s="214" t="s">
        <v>101</v>
      </c>
      <c r="F40" s="16" t="s">
        <v>476</v>
      </c>
      <c r="G40" s="210">
        <v>1</v>
      </c>
      <c r="H40" s="210">
        <v>122</v>
      </c>
      <c r="I40" s="194">
        <f t="shared" si="0"/>
        <v>123</v>
      </c>
      <c r="J40" s="215">
        <v>71198</v>
      </c>
      <c r="K40" s="215">
        <v>291223</v>
      </c>
      <c r="L40" s="215">
        <v>2213672</v>
      </c>
      <c r="M40" s="195">
        <f>I40/(HLOOKUP(F40,Team_Composition_23[[#All],[Yellow]:[Red]],10,FALSE)+HLOOKUP(F40,Team_Composition_23[[#All],[Yellow]:[Red]],11,FALSE))</f>
        <v>3.0742314421394652E-2</v>
      </c>
      <c r="N40" s="195">
        <f>J40/HLOOKUP(F40,Team_Composition_23[[#All],[Yellow]:[Red]],6,FALSE)</f>
        <v>1.6048745918697158E-3</v>
      </c>
      <c r="O40" s="195">
        <f>K40/HLOOKUP(F40,Team_Composition_23[[#All],[Yellow]:[Red]],8,FALSE)</f>
        <v>1.6623491053563543E-2</v>
      </c>
      <c r="P40" s="195">
        <f>L40/HLOOKUP(F40,Team_Composition_23[[#All],[Yellow]:[Red]],7,FALSE)</f>
        <v>0.17100893379830348</v>
      </c>
      <c r="R40" s="201" t="s">
        <v>50</v>
      </c>
      <c r="S40" s="202">
        <f t="shared" si="3"/>
        <v>0</v>
      </c>
      <c r="T40" s="203">
        <f t="shared" si="4"/>
        <v>0</v>
      </c>
    </row>
    <row r="41" spans="1:20" ht="22.5" customHeight="1">
      <c r="A41" s="210">
        <v>40</v>
      </c>
      <c r="B41" s="115" t="str">
        <f>VLOOKUP(C41,Lists!I:J,2,FALSE)</f>
        <v>Healer</v>
      </c>
      <c r="C41" s="115" t="str">
        <f>VLOOKUP(E41,Lists!D:E,2,FALSE)</f>
        <v>Wand/Longbow</v>
      </c>
      <c r="D41" s="16" t="s">
        <v>7</v>
      </c>
      <c r="E41" s="214" t="s">
        <v>115</v>
      </c>
      <c r="F41" s="16" t="s">
        <v>476</v>
      </c>
      <c r="G41" s="210">
        <v>1</v>
      </c>
      <c r="H41" s="210">
        <v>92</v>
      </c>
      <c r="I41" s="194">
        <f t="shared" si="0"/>
        <v>93</v>
      </c>
      <c r="J41" s="215">
        <v>89338</v>
      </c>
      <c r="K41" s="215">
        <v>758199</v>
      </c>
      <c r="L41" s="215">
        <v>2687081</v>
      </c>
      <c r="M41" s="195">
        <f>I41/(HLOOKUP(F41,Team_Composition_23[[#All],[Yellow]:[Red]],10,FALSE)+HLOOKUP(F41,Team_Composition_23[[#All],[Yellow]:[Red]],11,FALSE))</f>
        <v>2.3244188952761809E-2</v>
      </c>
      <c r="N41" s="195">
        <f>J41/HLOOKUP(F41,Team_Composition_23[[#All],[Yellow]:[Red]],6,FALSE)</f>
        <v>2.013768452603397E-3</v>
      </c>
      <c r="O41" s="195">
        <f>K41/HLOOKUP(F41,Team_Composition_23[[#All],[Yellow]:[Red]],8,FALSE)</f>
        <v>4.3279254362879389E-2</v>
      </c>
      <c r="P41" s="195">
        <f>L41/HLOOKUP(F41,Team_Composition_23[[#All],[Yellow]:[Red]],7,FALSE)</f>
        <v>0.20758037181645658</v>
      </c>
      <c r="R41" s="201" t="s">
        <v>52</v>
      </c>
      <c r="S41" s="202">
        <f t="shared" si="3"/>
        <v>0</v>
      </c>
      <c r="T41" s="203">
        <f t="shared" si="4"/>
        <v>0</v>
      </c>
    </row>
    <row r="42" spans="1:20" ht="22.5" customHeight="1">
      <c r="A42" s="210">
        <v>41</v>
      </c>
      <c r="B42" s="115" t="str">
        <f>VLOOKUP(C42,Lists!I:J,2,FALSE)</f>
        <v>Tank</v>
      </c>
      <c r="C42" s="115" t="str">
        <f>VLOOKUP(E42,Lists!D:E,2,FALSE)</f>
        <v>SnS/Greatsword</v>
      </c>
      <c r="D42" s="16" t="s">
        <v>7</v>
      </c>
      <c r="E42" s="211" t="s">
        <v>122</v>
      </c>
      <c r="F42" s="16" t="s">
        <v>476</v>
      </c>
      <c r="G42" s="210">
        <v>1</v>
      </c>
      <c r="H42" s="210">
        <v>63</v>
      </c>
      <c r="I42" s="194">
        <f t="shared" si="0"/>
        <v>64</v>
      </c>
      <c r="J42" s="215">
        <v>148126</v>
      </c>
      <c r="K42" s="215">
        <v>289493</v>
      </c>
      <c r="L42" s="215">
        <v>46084</v>
      </c>
      <c r="M42" s="195">
        <f>I42/(HLOOKUP(F42,Team_Composition_23[[#All],[Yellow]:[Red]],10,FALSE)+HLOOKUP(F42,Team_Composition_23[[#All],[Yellow]:[Red]],11,FALSE))</f>
        <v>1.5996000999750064E-2</v>
      </c>
      <c r="N42" s="195">
        <f>J42/HLOOKUP(F42,Team_Composition_23[[#All],[Yellow]:[Red]],6,FALSE)</f>
        <v>3.3389091518763662E-3</v>
      </c>
      <c r="O42" s="195">
        <f>K42/HLOOKUP(F42,Team_Composition_23[[#All],[Yellow]:[Red]],8,FALSE)</f>
        <v>1.652473978899081E-2</v>
      </c>
      <c r="P42" s="195">
        <f>L42/HLOOKUP(F42,Team_Composition_23[[#All],[Yellow]:[Red]],7,FALSE)</f>
        <v>3.5600467030169856E-3</v>
      </c>
      <c r="R42" s="201" t="s">
        <v>32</v>
      </c>
      <c r="S42" s="202">
        <f t="shared" si="3"/>
        <v>2</v>
      </c>
      <c r="T42" s="203">
        <f t="shared" si="4"/>
        <v>1</v>
      </c>
    </row>
    <row r="43" spans="1:20" ht="22.5" customHeight="1">
      <c r="A43" s="210">
        <v>42</v>
      </c>
      <c r="B43" s="115" t="str">
        <f>VLOOKUP(C43,Lists!I:J,2,FALSE)</f>
        <v>Healer</v>
      </c>
      <c r="C43" s="115" t="str">
        <f>VLOOKUP(E43,Lists!D:E,2,FALSE)</f>
        <v>Wand/Longbow</v>
      </c>
      <c r="D43" s="16" t="s">
        <v>7</v>
      </c>
      <c r="E43" s="214" t="s">
        <v>106</v>
      </c>
      <c r="F43" s="16" t="s">
        <v>476</v>
      </c>
      <c r="G43" s="210">
        <v>1</v>
      </c>
      <c r="H43" s="210">
        <v>55</v>
      </c>
      <c r="I43" s="194">
        <f t="shared" si="0"/>
        <v>56</v>
      </c>
      <c r="J43" s="215">
        <v>98363</v>
      </c>
      <c r="K43" s="215">
        <v>457315</v>
      </c>
      <c r="L43" s="215">
        <v>1873271</v>
      </c>
      <c r="M43" s="195">
        <f>I43/(HLOOKUP(F43,Team_Composition_23[[#All],[Yellow]:[Red]],10,FALSE)+HLOOKUP(F43,Team_Composition_23[[#All],[Yellow]:[Red]],11,FALSE))</f>
        <v>1.3996500874781305E-2</v>
      </c>
      <c r="N43" s="195">
        <f>J43/HLOOKUP(F43,Team_Composition_23[[#All],[Yellow]:[Red]],6,FALSE)</f>
        <v>2.2172010376707331E-3</v>
      </c>
      <c r="O43" s="195">
        <f>K43/HLOOKUP(F43,Team_Composition_23[[#All],[Yellow]:[Red]],8,FALSE)</f>
        <v>2.6104297432415748E-2</v>
      </c>
      <c r="P43" s="195">
        <f>L43/HLOOKUP(F43,Team_Composition_23[[#All],[Yellow]:[Red]],7,FALSE)</f>
        <v>0.14471253032304773</v>
      </c>
      <c r="R43" s="201" t="s">
        <v>56</v>
      </c>
      <c r="S43" s="202">
        <f t="shared" si="3"/>
        <v>0</v>
      </c>
      <c r="T43" s="203">
        <f t="shared" si="4"/>
        <v>2</v>
      </c>
    </row>
    <row r="44" spans="1:20" ht="22.5" customHeight="1">
      <c r="A44" s="210">
        <v>43</v>
      </c>
      <c r="B44" s="115" t="str">
        <f>VLOOKUP(C44,Lists!I:J,2,FALSE)</f>
        <v>Tank</v>
      </c>
      <c r="C44" s="115" t="str">
        <f>VLOOKUP(E44,Lists!D:E,2,FALSE)</f>
        <v>SnS/Greatsword</v>
      </c>
      <c r="D44" s="16" t="s">
        <v>7</v>
      </c>
      <c r="E44" s="214" t="s">
        <v>64</v>
      </c>
      <c r="F44" s="16" t="s">
        <v>476</v>
      </c>
      <c r="G44" s="210">
        <v>1</v>
      </c>
      <c r="H44" s="210">
        <v>47</v>
      </c>
      <c r="I44" s="194">
        <f t="shared" si="0"/>
        <v>48</v>
      </c>
      <c r="J44" s="215">
        <v>114990</v>
      </c>
      <c r="K44" s="215">
        <v>297920</v>
      </c>
      <c r="L44" s="215">
        <v>39541</v>
      </c>
      <c r="M44" s="195">
        <f>I44/(HLOOKUP(F44,Team_Composition_23[[#All],[Yellow]:[Red]],10,FALSE)+HLOOKUP(F44,Team_Composition_23[[#All],[Yellow]:[Red]],11,FALSE))</f>
        <v>1.1997000749812546E-2</v>
      </c>
      <c r="N44" s="195">
        <f>J44/HLOOKUP(F44,Team_Composition_23[[#All],[Yellow]:[Red]],6,FALSE)</f>
        <v>2.5919903553344001E-3</v>
      </c>
      <c r="O44" s="195">
        <f>K44/HLOOKUP(F44,Team_Composition_23[[#All],[Yellow]:[Red]],8,FALSE)</f>
        <v>1.7005766902606079E-2</v>
      </c>
      <c r="P44" s="195">
        <f>L44/HLOOKUP(F44,Team_Composition_23[[#All],[Yellow]:[Red]],7,FALSE)</f>
        <v>3.0545917603505474E-3</v>
      </c>
      <c r="R44" s="201" t="s">
        <v>58</v>
      </c>
      <c r="S44" s="202">
        <f t="shared" si="3"/>
        <v>0</v>
      </c>
      <c r="T44" s="203">
        <f t="shared" si="4"/>
        <v>3</v>
      </c>
    </row>
    <row r="45" spans="1:20" ht="22.5" customHeight="1">
      <c r="A45" s="210">
        <v>44</v>
      </c>
      <c r="B45" s="115" t="str">
        <f>VLOOKUP(C45,Lists!I:J,2,FALSE)</f>
        <v>Healer</v>
      </c>
      <c r="C45" s="115" t="s">
        <v>10</v>
      </c>
      <c r="D45" s="16" t="s">
        <v>573</v>
      </c>
      <c r="E45" s="214" t="s">
        <v>591</v>
      </c>
      <c r="F45" s="16" t="s">
        <v>483</v>
      </c>
      <c r="G45" s="210">
        <v>1</v>
      </c>
      <c r="H45" s="210">
        <v>44</v>
      </c>
      <c r="I45" s="194">
        <f t="shared" si="0"/>
        <v>45</v>
      </c>
      <c r="J45" s="215">
        <v>66437</v>
      </c>
      <c r="K45" s="215">
        <v>1010607</v>
      </c>
      <c r="L45" s="215">
        <v>1260064</v>
      </c>
      <c r="M45" s="195">
        <f>I45/(HLOOKUP(F45,Team_Composition_23[[#All],[Yellow]:[Red]],10,FALSE)+HLOOKUP(F45,Team_Composition_23[[#All],[Yellow]:[Red]],11,FALSE))</f>
        <v>5.4811205846528627E-2</v>
      </c>
      <c r="N45" s="195">
        <f>J45/HLOOKUP(F45,Team_Composition_23[[#All],[Yellow]:[Red]],6,FALSE)</f>
        <v>3.7651161874720359E-3</v>
      </c>
      <c r="O45" s="195">
        <f>K45/HLOOKUP(F45,Team_Composition_23[[#All],[Yellow]:[Red]],8,FALSE)</f>
        <v>2.2960024162156898E-2</v>
      </c>
      <c r="P45" s="195">
        <f>L45/HLOOKUP(F45,Team_Composition_23[[#All],[Yellow]:[Red]],7,FALSE)</f>
        <v>5.192198631562539E-2</v>
      </c>
      <c r="R45" s="201" t="s">
        <v>60</v>
      </c>
      <c r="S45" s="202">
        <f t="shared" si="3"/>
        <v>0</v>
      </c>
      <c r="T45" s="203">
        <f t="shared" si="4"/>
        <v>0</v>
      </c>
    </row>
    <row r="46" spans="1:20" ht="22.5" customHeight="1">
      <c r="A46" s="210">
        <v>45</v>
      </c>
      <c r="B46" s="115" t="str">
        <f>VLOOKUP(C46,Lists!I:J,2,FALSE)</f>
        <v>Tank</v>
      </c>
      <c r="C46" s="115" t="str">
        <f>VLOOKUP(E46,Lists!D:E,2,FALSE)</f>
        <v>SnS/Greatsword</v>
      </c>
      <c r="D46" s="16" t="s">
        <v>7</v>
      </c>
      <c r="E46" s="214" t="s">
        <v>85</v>
      </c>
      <c r="F46" s="16" t="s">
        <v>476</v>
      </c>
      <c r="G46" s="210">
        <v>1</v>
      </c>
      <c r="H46" s="210">
        <v>39</v>
      </c>
      <c r="I46" s="194">
        <f t="shared" si="0"/>
        <v>40</v>
      </c>
      <c r="J46" s="215">
        <v>192689</v>
      </c>
      <c r="K46" s="215">
        <v>707849</v>
      </c>
      <c r="L46" s="215">
        <v>52421</v>
      </c>
      <c r="M46" s="195">
        <f>I46/(HLOOKUP(F46,Team_Composition_23[[#All],[Yellow]:[Red]],10,FALSE)+HLOOKUP(F46,Team_Composition_23[[#All],[Yellow]:[Red]],11,FALSE))</f>
        <v>9.997500624843789E-3</v>
      </c>
      <c r="N46" s="195">
        <f>J46/HLOOKUP(F46,Team_Composition_23[[#All],[Yellow]:[Red]],6,FALSE)</f>
        <v>4.3434040314725654E-3</v>
      </c>
      <c r="O46" s="195">
        <f>K46/HLOOKUP(F46,Team_Composition_23[[#All],[Yellow]:[Red]],8,FALSE)</f>
        <v>4.040519299222211E-2</v>
      </c>
      <c r="P46" s="195">
        <f>L46/HLOOKUP(F46,Team_Composition_23[[#All],[Yellow]:[Red]],7,FALSE)</f>
        <v>4.0495878877452787E-3</v>
      </c>
      <c r="R46" s="201" t="s">
        <v>63</v>
      </c>
      <c r="S46" s="202">
        <f t="shared" si="3"/>
        <v>0</v>
      </c>
      <c r="T46" s="203">
        <f t="shared" si="4"/>
        <v>0</v>
      </c>
    </row>
    <row r="47" spans="1:20" ht="22.5" customHeight="1">
      <c r="A47" s="210">
        <v>46</v>
      </c>
      <c r="B47" s="115" t="str">
        <f>VLOOKUP(C47,Lists!I:J,2,FALSE)</f>
        <v>Tank</v>
      </c>
      <c r="C47" s="115" t="str">
        <f>VLOOKUP(E47,Lists!D:E,2,FALSE)</f>
        <v>SnS/Greatsword</v>
      </c>
      <c r="D47" s="16" t="s">
        <v>7</v>
      </c>
      <c r="E47" s="214" t="s">
        <v>111</v>
      </c>
      <c r="F47" s="16" t="s">
        <v>476</v>
      </c>
      <c r="G47" s="210">
        <v>1</v>
      </c>
      <c r="H47" s="210">
        <v>20</v>
      </c>
      <c r="I47" s="194">
        <f t="shared" si="0"/>
        <v>21</v>
      </c>
      <c r="J47" s="215">
        <v>63034</v>
      </c>
      <c r="K47" s="215">
        <v>589883</v>
      </c>
      <c r="L47" s="215">
        <v>29460</v>
      </c>
      <c r="M47" s="195">
        <f>I47/(HLOOKUP(F47,Team_Composition_23[[#All],[Yellow]:[Red]],10,FALSE)+HLOOKUP(F47,Team_Composition_23[[#All],[Yellow]:[Red]],11,FALSE))</f>
        <v>5.2486878280429894E-3</v>
      </c>
      <c r="N47" s="195">
        <f>J47/HLOOKUP(F47,Team_Composition_23[[#All],[Yellow]:[Red]],6,FALSE)</f>
        <v>1.4208498135329037E-3</v>
      </c>
      <c r="O47" s="195">
        <f>K47/HLOOKUP(F47,Team_Composition_23[[#All],[Yellow]:[Red]],8,FALSE)</f>
        <v>3.367149838147819E-2</v>
      </c>
      <c r="P47" s="195">
        <f>L47/HLOOKUP(F47,Team_Composition_23[[#All],[Yellow]:[Red]],7,FALSE)</f>
        <v>2.275821887659066E-3</v>
      </c>
      <c r="R47" s="204"/>
      <c r="S47" s="208"/>
      <c r="T47" s="208"/>
    </row>
    <row r="48" spans="1:20" ht="22.5" customHeight="1">
      <c r="A48" s="210">
        <v>47</v>
      </c>
      <c r="B48" s="115" t="str">
        <f>VLOOKUP(C48,Lists!I:J,2,FALSE)</f>
        <v>Tank</v>
      </c>
      <c r="C48" s="115" t="str">
        <f>VLOOKUP(E48,Lists!D:E,2,FALSE)</f>
        <v>SnS/Spear</v>
      </c>
      <c r="D48" s="16" t="s">
        <v>7</v>
      </c>
      <c r="E48" s="214" t="s">
        <v>89</v>
      </c>
      <c r="F48" s="16" t="s">
        <v>476</v>
      </c>
      <c r="G48" s="210">
        <v>1</v>
      </c>
      <c r="H48" s="210">
        <v>18</v>
      </c>
      <c r="I48" s="194">
        <f t="shared" si="0"/>
        <v>19</v>
      </c>
      <c r="J48" s="215">
        <v>190021</v>
      </c>
      <c r="K48" s="215">
        <v>594592</v>
      </c>
      <c r="L48" s="215">
        <v>32481</v>
      </c>
      <c r="M48" s="195">
        <f>I48/(HLOOKUP(F48,Team_Composition_23[[#All],[Yellow]:[Red]],10,FALSE)+HLOOKUP(F48,Team_Composition_23[[#All],[Yellow]:[Red]],11,FALSE))</f>
        <v>4.7488127968007996E-3</v>
      </c>
      <c r="N48" s="195">
        <f>J48/HLOOKUP(F48,Team_Composition_23[[#All],[Yellow]:[Red]],6,FALSE)</f>
        <v>4.2832646257152628E-3</v>
      </c>
      <c r="O48" s="195">
        <f>K48/HLOOKUP(F48,Team_Composition_23[[#All],[Yellow]:[Red]],8,FALSE)</f>
        <v>3.3940295898745816E-2</v>
      </c>
      <c r="P48" s="195">
        <f>L48/HLOOKUP(F48,Team_Composition_23[[#All],[Yellow]:[Red]],7,FALSE)</f>
        <v>2.5091979203344917E-3</v>
      </c>
      <c r="R48" s="6"/>
      <c r="S48" s="209"/>
      <c r="T48" s="209"/>
    </row>
    <row r="49" spans="1:20" ht="22.5" customHeight="1">
      <c r="A49" s="210">
        <v>48</v>
      </c>
      <c r="B49" s="115" t="str">
        <f>VLOOKUP(C49,Lists!I:J,2,FALSE)</f>
        <v>Tank</v>
      </c>
      <c r="C49" s="115" t="str">
        <f>VLOOKUP(E49,Lists!D:E,2,FALSE)</f>
        <v>SnS/Greatsword</v>
      </c>
      <c r="D49" s="16" t="s">
        <v>7</v>
      </c>
      <c r="E49" s="214" t="s">
        <v>109</v>
      </c>
      <c r="F49" s="17" t="s">
        <v>476</v>
      </c>
      <c r="G49" s="210">
        <v>1</v>
      </c>
      <c r="H49" s="210">
        <v>18</v>
      </c>
      <c r="I49" s="194">
        <f t="shared" si="0"/>
        <v>19</v>
      </c>
      <c r="J49" s="215">
        <v>67468</v>
      </c>
      <c r="K49" s="215">
        <v>1137218</v>
      </c>
      <c r="L49" s="215">
        <v>58554</v>
      </c>
      <c r="M49" s="195">
        <f>I49/(HLOOKUP(F49,Team_Composition_23[[#All],[Yellow]:[Red]],10,FALSE)+HLOOKUP(F49,Team_Composition_23[[#All],[Yellow]:[Red]],11,FALSE))</f>
        <v>4.7488127968007996E-3</v>
      </c>
      <c r="N49" s="195">
        <f>J49/HLOOKUP(F49,Team_Composition_23[[#All],[Yellow]:[Red]],6,FALSE)</f>
        <v>1.5207966370441022E-3</v>
      </c>
      <c r="O49" s="195">
        <f>K49/HLOOKUP(F49,Team_Composition_23[[#All],[Yellow]:[Red]],8,FALSE)</f>
        <v>6.4914286471025387E-2</v>
      </c>
      <c r="P49" s="195">
        <f>L49/HLOOKUP(F49,Team_Composition_23[[#All],[Yellow]:[Red]],7,FALSE)</f>
        <v>4.5233698170396791E-3</v>
      </c>
      <c r="R49" s="232" t="s">
        <v>67</v>
      </c>
      <c r="S49" s="228"/>
      <c r="T49" s="228"/>
    </row>
    <row r="50" spans="1:20" ht="22.5" customHeight="1">
      <c r="A50" s="210">
        <v>49</v>
      </c>
      <c r="B50" s="115" t="str">
        <f>VLOOKUP(C50,Lists!I:J,2,FALSE)</f>
        <v>Tank</v>
      </c>
      <c r="C50" s="115" t="str">
        <f>VLOOKUP(E50,Lists!D:E,2,FALSE)</f>
        <v>SnS/Greatsword</v>
      </c>
      <c r="D50" s="16" t="s">
        <v>7</v>
      </c>
      <c r="E50" s="211" t="s">
        <v>118</v>
      </c>
      <c r="F50" s="16" t="s">
        <v>476</v>
      </c>
      <c r="G50" s="210">
        <v>1</v>
      </c>
      <c r="H50" s="210">
        <v>15</v>
      </c>
      <c r="I50" s="194">
        <f t="shared" si="0"/>
        <v>16</v>
      </c>
      <c r="J50" s="215">
        <v>33380</v>
      </c>
      <c r="K50" s="215">
        <v>629786</v>
      </c>
      <c r="L50" s="215">
        <v>84906</v>
      </c>
      <c r="M50" s="195">
        <f>I50/(HLOOKUP(F50,Team_Composition_23[[#All],[Yellow]:[Red]],10,FALSE)+HLOOKUP(F50,Team_Composition_23[[#All],[Yellow]:[Red]],11,FALSE))</f>
        <v>3.9990002499375159E-3</v>
      </c>
      <c r="N50" s="195">
        <f>J50/HLOOKUP(F50,Team_Composition_23[[#All],[Yellow]:[Red]],6,FALSE)</f>
        <v>7.5241880216594731E-4</v>
      </c>
      <c r="O50" s="195">
        <f>K50/HLOOKUP(F50,Team_Composition_23[[#All],[Yellow]:[Red]],8,FALSE)</f>
        <v>3.5949227693758974E-2</v>
      </c>
      <c r="P50" s="195">
        <f>L50/HLOOKUP(F50,Team_Composition_23[[#All],[Yellow]:[Red]],7,FALSE)</f>
        <v>6.5590948130882778E-3</v>
      </c>
      <c r="R50" s="197" t="s">
        <v>482</v>
      </c>
      <c r="S50" s="198" t="s">
        <v>476</v>
      </c>
      <c r="T50" s="198" t="s">
        <v>483</v>
      </c>
    </row>
    <row r="51" spans="1:20" ht="22.5" customHeight="1">
      <c r="A51" s="210">
        <v>50</v>
      </c>
      <c r="B51" s="115" t="str">
        <f>VLOOKUP(C51,Lists!I:J,2,FALSE)</f>
        <v>Tank</v>
      </c>
      <c r="C51" s="115" t="str">
        <f>VLOOKUP(E51,Lists!D:E,2,FALSE)</f>
        <v>SnS/Greatsword</v>
      </c>
      <c r="D51" s="16" t="s">
        <v>7</v>
      </c>
      <c r="E51" s="214" t="s">
        <v>57</v>
      </c>
      <c r="F51" s="16" t="s">
        <v>476</v>
      </c>
      <c r="G51" s="210">
        <v>1</v>
      </c>
      <c r="H51" s="210">
        <v>12</v>
      </c>
      <c r="I51" s="194">
        <f t="shared" si="0"/>
        <v>13</v>
      </c>
      <c r="J51" s="215">
        <v>32707</v>
      </c>
      <c r="K51" s="215">
        <v>521243</v>
      </c>
      <c r="L51" s="215">
        <v>33155</v>
      </c>
      <c r="M51" s="195">
        <f>I51/(HLOOKUP(F51,Team_Composition_23[[#All],[Yellow]:[Red]],10,FALSE)+HLOOKUP(F51,Team_Composition_23[[#All],[Yellow]:[Red]],11,FALSE))</f>
        <v>3.2491877030742314E-3</v>
      </c>
      <c r="N51" s="195">
        <f>J51/HLOOKUP(F51,Team_Composition_23[[#All],[Yellow]:[Red]],6,FALSE)</f>
        <v>7.3724870468668783E-4</v>
      </c>
      <c r="O51" s="195">
        <f>K51/HLOOKUP(F51,Team_Composition_23[[#All],[Yellow]:[Red]],8,FALSE)</f>
        <v>2.9753413525829421E-2</v>
      </c>
      <c r="P51" s="195">
        <f>L51/HLOOKUP(F51,Team_Composition_23[[#All],[Yellow]:[Red]],7,FALSE)</f>
        <v>2.5612652642680359E-3</v>
      </c>
      <c r="R51" s="201" t="s">
        <v>468</v>
      </c>
      <c r="S51" s="202">
        <f>SUMIFS(Scoreboard_12[Damage Dealt],Scoreboard_12[Role],"Tank",Scoreboard_12[Team],"Yellow")</f>
        <v>1886578</v>
      </c>
      <c r="T51" s="203">
        <f>SUMIFS(Scoreboard_12[Damage Dealt],Scoreboard_12[Role],"Tank",Scoreboard_12[Team],"Red")</f>
        <v>1913141</v>
      </c>
    </row>
    <row r="52" spans="1:20" ht="22.5" customHeight="1">
      <c r="A52" s="210">
        <v>51</v>
      </c>
      <c r="B52" s="115" t="str">
        <f>VLOOKUP(C52,Lists!I:J,2,FALSE)</f>
        <v>Tank</v>
      </c>
      <c r="C52" s="115" t="s">
        <v>62</v>
      </c>
      <c r="D52" s="16" t="s">
        <v>573</v>
      </c>
      <c r="E52" s="214" t="s">
        <v>421</v>
      </c>
      <c r="F52" s="16" t="s">
        <v>483</v>
      </c>
      <c r="G52" s="210">
        <v>1</v>
      </c>
      <c r="H52" s="210">
        <v>6</v>
      </c>
      <c r="I52" s="194">
        <f t="shared" si="0"/>
        <v>7</v>
      </c>
      <c r="J52" s="215">
        <v>158200</v>
      </c>
      <c r="K52" s="215">
        <v>1216554</v>
      </c>
      <c r="L52" s="215">
        <v>66760</v>
      </c>
      <c r="M52" s="195">
        <f>I52/(HLOOKUP(F52,Team_Composition_23[[#All],[Yellow]:[Red]],10,FALSE)+HLOOKUP(F52,Team_Composition_23[[#All],[Yellow]:[Red]],11,FALSE))</f>
        <v>8.5261875761266752E-3</v>
      </c>
      <c r="N52" s="195">
        <f>J52/HLOOKUP(F52,Team_Composition_23[[#All],[Yellow]:[Red]],6,FALSE)</f>
        <v>8.9655068840868209E-3</v>
      </c>
      <c r="O52" s="195">
        <f>K52/HLOOKUP(F52,Team_Composition_23[[#All],[Yellow]:[Red]],8,FALSE)</f>
        <v>2.7638942966522716E-2</v>
      </c>
      <c r="P52" s="195">
        <f>L52/HLOOKUP(F52,Team_Composition_23[[#All],[Yellow]:[Red]],7,FALSE)</f>
        <v>2.7509013878907348E-3</v>
      </c>
      <c r="R52" s="201" t="s">
        <v>469</v>
      </c>
      <c r="S52" s="202">
        <f>SUMIFS(Scoreboard_12[Damage Taken],Scoreboard_12[Role],"Tank",Scoreboard_12[Team],"Yellow")</f>
        <v>8855161</v>
      </c>
      <c r="T52" s="203">
        <f>SUMIFS(Scoreboard_12[Damage Taken],Scoreboard_12[Role],"Tank",Scoreboard_12[Team],"Red")</f>
        <v>12003783</v>
      </c>
    </row>
    <row r="53" spans="1:20" ht="22.5" customHeight="1">
      <c r="A53" s="210">
        <v>52</v>
      </c>
      <c r="B53" s="115" t="str">
        <f>VLOOKUP(C53,Lists!I:J,2,FALSE)</f>
        <v>Tank</v>
      </c>
      <c r="C53" s="115" t="s">
        <v>14</v>
      </c>
      <c r="D53" s="16" t="s">
        <v>573</v>
      </c>
      <c r="E53" s="214" t="s">
        <v>408</v>
      </c>
      <c r="F53" s="16" t="s">
        <v>483</v>
      </c>
      <c r="G53" s="210">
        <v>1</v>
      </c>
      <c r="H53" s="210">
        <v>6</v>
      </c>
      <c r="I53" s="194">
        <f t="shared" si="0"/>
        <v>7</v>
      </c>
      <c r="J53" s="215">
        <v>109740</v>
      </c>
      <c r="K53" s="215">
        <v>784525</v>
      </c>
      <c r="L53" s="215">
        <v>56504</v>
      </c>
      <c r="M53" s="195">
        <f>I53/(HLOOKUP(F53,Team_Composition_23[[#All],[Yellow]:[Red]],10,FALSE)+HLOOKUP(F53,Team_Composition_23[[#All],[Yellow]:[Red]],11,FALSE))</f>
        <v>8.5261875761266752E-3</v>
      </c>
      <c r="N53" s="195">
        <f>J53/HLOOKUP(F53,Team_Composition_23[[#All],[Yellow]:[Red]],6,FALSE)</f>
        <v>6.2191828410852572E-3</v>
      </c>
      <c r="O53" s="195">
        <f>K53/HLOOKUP(F53,Team_Composition_23[[#All],[Yellow]:[Red]],8,FALSE)</f>
        <v>1.7823657421545805E-2</v>
      </c>
      <c r="P53" s="195">
        <f>L53/HLOOKUP(F53,Team_Composition_23[[#All],[Yellow]:[Red]],7,FALSE)</f>
        <v>2.3282943682051841E-3</v>
      </c>
      <c r="R53" s="201" t="s">
        <v>470</v>
      </c>
      <c r="S53" s="202">
        <f>SUMIFS(Scoreboard_12[Amount Healed],Scoreboard_12[Role],"Tank",Scoreboard_12[Team],"Yellow")</f>
        <v>536498</v>
      </c>
      <c r="T53" s="203">
        <f>SUMIFS(Scoreboard_12[Amount Healed],Scoreboard_12[Role],"Tank",Scoreboard_12[Team],"Red")</f>
        <v>881995</v>
      </c>
    </row>
    <row r="54" spans="1:20" ht="22.5" customHeight="1">
      <c r="A54" s="210">
        <v>53</v>
      </c>
      <c r="B54" s="115" t="str">
        <f>VLOOKUP(C54,Lists!I:J,2,FALSE)</f>
        <v>Healer</v>
      </c>
      <c r="C54" s="115" t="str">
        <f>VLOOKUP(E54,Lists!D:E,2,FALSE)</f>
        <v>Wand/Orb</v>
      </c>
      <c r="D54" s="16" t="s">
        <v>7</v>
      </c>
      <c r="E54" s="214" t="s">
        <v>87</v>
      </c>
      <c r="F54" s="16" t="s">
        <v>476</v>
      </c>
      <c r="G54" s="210">
        <v>0</v>
      </c>
      <c r="H54" s="210">
        <v>128</v>
      </c>
      <c r="I54" s="194">
        <f t="shared" si="0"/>
        <v>128</v>
      </c>
      <c r="J54" s="215">
        <v>3414</v>
      </c>
      <c r="K54" s="215">
        <v>226847</v>
      </c>
      <c r="L54" s="215">
        <v>814417</v>
      </c>
      <c r="M54" s="195">
        <f>I54/(HLOOKUP(F54,Team_Composition_23[[#All],[Yellow]:[Red]],10,FALSE)+HLOOKUP(F54,Team_Composition_23[[#All],[Yellow]:[Red]],11,FALSE))</f>
        <v>3.1992001999500128E-2</v>
      </c>
      <c r="N54" s="195">
        <f>J54/HLOOKUP(F54,Team_Composition_23[[#All],[Yellow]:[Red]],6,FALSE)</f>
        <v>7.6954996722424928E-5</v>
      </c>
      <c r="O54" s="195">
        <f>K54/HLOOKUP(F54,Team_Composition_23[[#All],[Yellow]:[Red]],8,FALSE)</f>
        <v>1.2948802378341439E-2</v>
      </c>
      <c r="P54" s="195">
        <f>L54/HLOOKUP(F54,Team_Composition_23[[#All],[Yellow]:[Red]],7,FALSE)</f>
        <v>6.291473300344988E-2</v>
      </c>
      <c r="R54" s="201" t="s">
        <v>465</v>
      </c>
      <c r="S54" s="202">
        <f>SUMIFS(Scoreboard_12[Kills],Scoreboard_12[Role],"Tank",Scoreboard_12[Team],"Yellow")</f>
        <v>19</v>
      </c>
      <c r="T54" s="203">
        <f>SUMIFS(Scoreboard_12[Kills],Scoreboard_12[Role],"Tank",Scoreboard_12[Team],"Red")</f>
        <v>5</v>
      </c>
    </row>
    <row r="55" spans="1:20" ht="22.5" customHeight="1">
      <c r="A55" s="210">
        <v>54</v>
      </c>
      <c r="B55" s="115" t="str">
        <f>VLOOKUP(C55,Lists!I:J,2,FALSE)</f>
        <v>Healer</v>
      </c>
      <c r="C55" s="115" t="str">
        <f>VLOOKUP(E55,Lists!D:E,2,FALSE)</f>
        <v>Wand/Orb</v>
      </c>
      <c r="D55" s="16" t="s">
        <v>7</v>
      </c>
      <c r="E55" s="214" t="s">
        <v>92</v>
      </c>
      <c r="F55" s="16" t="s">
        <v>476</v>
      </c>
      <c r="G55" s="210">
        <v>0</v>
      </c>
      <c r="H55" s="210">
        <v>115</v>
      </c>
      <c r="I55" s="194">
        <f t="shared" si="0"/>
        <v>115</v>
      </c>
      <c r="J55" s="215">
        <v>63463</v>
      </c>
      <c r="K55" s="215">
        <v>232059</v>
      </c>
      <c r="L55" s="215">
        <v>353811</v>
      </c>
      <c r="M55" s="195">
        <f>I55/(HLOOKUP(F55,Team_Composition_23[[#All],[Yellow]:[Red]],10,FALSE)+HLOOKUP(F55,Team_Composition_23[[#All],[Yellow]:[Red]],11,FALSE))</f>
        <v>2.8742814296425893E-2</v>
      </c>
      <c r="N55" s="195">
        <f>J55/HLOOKUP(F55,Team_Composition_23[[#All],[Yellow]:[Red]],6,FALSE)</f>
        <v>1.4305199053881818E-3</v>
      </c>
      <c r="O55" s="195">
        <f>K55/HLOOKUP(F55,Team_Composition_23[[#All],[Yellow]:[Red]],8,FALSE)</f>
        <v>1.3246311968487729E-2</v>
      </c>
      <c r="P55" s="195">
        <f>L55/HLOOKUP(F55,Team_Composition_23[[#All],[Yellow]:[Red]],7,FALSE)</f>
        <v>2.7332342766277728E-2</v>
      </c>
      <c r="R55" s="201" t="s">
        <v>466</v>
      </c>
      <c r="S55" s="202">
        <f>SUMIFS(Scoreboard_12[Assists],Scoreboard_12[Role],"Tank",Scoreboard_12[Team],"Yellow")</f>
        <v>432</v>
      </c>
      <c r="T55" s="203">
        <f>SUMIFS(Scoreboard_12[Assists],Scoreboard_12[Role],"Tank",Scoreboard_12[Team],"Red")</f>
        <v>132</v>
      </c>
    </row>
    <row r="56" spans="1:20" ht="22.5" customHeight="1">
      <c r="A56" s="210">
        <v>55</v>
      </c>
      <c r="B56" s="115" t="str">
        <f>VLOOKUP(C56,Lists!I:J,2,FALSE)</f>
        <v>Healer</v>
      </c>
      <c r="C56" s="115" t="str">
        <f>VLOOKUP(E56,Lists!D:E,2,FALSE)</f>
        <v>Wand/Longbow</v>
      </c>
      <c r="D56" s="16" t="s">
        <v>7</v>
      </c>
      <c r="E56" s="214" t="s">
        <v>126</v>
      </c>
      <c r="F56" s="16" t="s">
        <v>476</v>
      </c>
      <c r="G56" s="210">
        <v>0</v>
      </c>
      <c r="H56" s="210">
        <v>105</v>
      </c>
      <c r="I56" s="194">
        <f t="shared" si="0"/>
        <v>105</v>
      </c>
      <c r="J56" s="215">
        <v>54897</v>
      </c>
      <c r="K56" s="215">
        <v>592051</v>
      </c>
      <c r="L56" s="215">
        <v>2360077</v>
      </c>
      <c r="M56" s="195">
        <f>I56/(HLOOKUP(F56,Team_Composition_23[[#All],[Yellow]:[Red]],10,FALSE)+HLOOKUP(F56,Team_Composition_23[[#All],[Yellow]:[Red]],11,FALSE))</f>
        <v>2.6243439140214948E-2</v>
      </c>
      <c r="N56" s="195">
        <f>J56/HLOOKUP(F56,Team_Composition_23[[#All],[Yellow]:[Red]],6,FALSE)</f>
        <v>1.2374336423757941E-3</v>
      </c>
      <c r="O56" s="195">
        <f>K56/HLOOKUP(F56,Team_Composition_23[[#All],[Yellow]:[Red]],8,FALSE)</f>
        <v>3.379525141130113E-2</v>
      </c>
      <c r="P56" s="195">
        <f>L56/HLOOKUP(F56,Team_Composition_23[[#All],[Yellow]:[Red]],7,FALSE)</f>
        <v>0.1823189033659452</v>
      </c>
      <c r="R56" s="201" t="s">
        <v>62</v>
      </c>
      <c r="S56" s="202">
        <f t="shared" ref="S56:S60" si="5">COUNTIFS(C:C,R56,F:F,"Yellow")</f>
        <v>3</v>
      </c>
      <c r="T56" s="203">
        <f t="shared" ref="T56:T60" si="6">COUNTIFS(C:C,R56,F:F,"Red")</f>
        <v>2</v>
      </c>
    </row>
    <row r="57" spans="1:20" ht="22.5" customHeight="1">
      <c r="A57" s="210">
        <v>56</v>
      </c>
      <c r="B57" s="115" t="str">
        <f>VLOOKUP(C57,Lists!I:J,2,FALSE)</f>
        <v>Healer</v>
      </c>
      <c r="C57" s="115" t="str">
        <f>VLOOKUP(E57,Lists!D:E,2,FALSE)</f>
        <v>Wand/Orb</v>
      </c>
      <c r="D57" s="16" t="s">
        <v>7</v>
      </c>
      <c r="E57" s="214" t="s">
        <v>41</v>
      </c>
      <c r="F57" s="16" t="s">
        <v>476</v>
      </c>
      <c r="G57" s="210">
        <v>0</v>
      </c>
      <c r="H57" s="210">
        <v>103</v>
      </c>
      <c r="I57" s="194">
        <f t="shared" si="0"/>
        <v>103</v>
      </c>
      <c r="J57" s="215">
        <v>796</v>
      </c>
      <c r="K57" s="215">
        <v>232902</v>
      </c>
      <c r="L57" s="215">
        <v>1196886</v>
      </c>
      <c r="M57" s="195">
        <f>I57/(HLOOKUP(F57,Team_Composition_23[[#All],[Yellow]:[Red]],10,FALSE)+HLOOKUP(F57,Team_Composition_23[[#All],[Yellow]:[Red]],11,FALSE))</f>
        <v>2.5743564108972758E-2</v>
      </c>
      <c r="N57" s="195">
        <f>J57/HLOOKUP(F57,Team_Composition_23[[#All],[Yellow]:[Red]],6,FALSE)</f>
        <v>1.7942641297905752E-5</v>
      </c>
      <c r="O57" s="195">
        <f>K57/HLOOKUP(F57,Team_Composition_23[[#All],[Yellow]:[Red]],8,FALSE)</f>
        <v>1.3294431804346004E-2</v>
      </c>
      <c r="P57" s="195">
        <f>L57/HLOOKUP(F57,Team_Composition_23[[#All],[Yellow]:[Red]],7,FALSE)</f>
        <v>9.2460942153180889E-2</v>
      </c>
      <c r="R57" s="201" t="s">
        <v>70</v>
      </c>
      <c r="S57" s="202">
        <f t="shared" si="5"/>
        <v>0</v>
      </c>
      <c r="T57" s="203">
        <f t="shared" si="6"/>
        <v>0</v>
      </c>
    </row>
    <row r="58" spans="1:20" ht="22.5" customHeight="1">
      <c r="A58" s="210">
        <v>57</v>
      </c>
      <c r="B58" s="115" t="str">
        <f>VLOOKUP(C58,Lists!I:J,2,FALSE)</f>
        <v>Healer</v>
      </c>
      <c r="C58" s="115" t="str">
        <f>VLOOKUP(E58,Lists!D:E,2,FALSE)</f>
        <v>Wand/Orb</v>
      </c>
      <c r="D58" s="16" t="s">
        <v>7</v>
      </c>
      <c r="E58" s="214" t="s">
        <v>121</v>
      </c>
      <c r="F58" s="16" t="s">
        <v>476</v>
      </c>
      <c r="G58" s="210">
        <v>0</v>
      </c>
      <c r="H58" s="210">
        <v>102</v>
      </c>
      <c r="I58" s="194">
        <f t="shared" si="0"/>
        <v>102</v>
      </c>
      <c r="J58" s="215">
        <v>49952</v>
      </c>
      <c r="K58" s="215">
        <v>235226</v>
      </c>
      <c r="L58" s="215">
        <v>681413</v>
      </c>
      <c r="M58" s="195">
        <f>I58/(HLOOKUP(F58,Team_Composition_23[[#All],[Yellow]:[Red]],10,FALSE)+HLOOKUP(F58,Team_Composition_23[[#All],[Yellow]:[Red]],11,FALSE))</f>
        <v>2.5493626593351661E-2</v>
      </c>
      <c r="N58" s="195">
        <f>J58/HLOOKUP(F58,Team_Composition_23[[#All],[Yellow]:[Red]],6,FALSE)</f>
        <v>1.1259683644635531E-3</v>
      </c>
      <c r="O58" s="195">
        <f>K58/HLOOKUP(F58,Team_Composition_23[[#All],[Yellow]:[Red]],8,FALSE)</f>
        <v>1.3427089572477235E-2</v>
      </c>
      <c r="P58" s="195">
        <f>L58/HLOOKUP(F58,Team_Composition_23[[#All],[Yellow]:[Red]],7,FALSE)</f>
        <v>5.2640007465561009E-2</v>
      </c>
      <c r="R58" s="201" t="s">
        <v>14</v>
      </c>
      <c r="S58" s="202">
        <f t="shared" si="5"/>
        <v>11</v>
      </c>
      <c r="T58" s="203">
        <f t="shared" si="6"/>
        <v>10</v>
      </c>
    </row>
    <row r="59" spans="1:20" ht="22.5" customHeight="1">
      <c r="A59" s="210">
        <v>58</v>
      </c>
      <c r="B59" s="115" t="str">
        <f>VLOOKUP(C59,Lists!I:J,2,FALSE)</f>
        <v>Healer</v>
      </c>
      <c r="C59" s="115" t="str">
        <f>VLOOKUP(E59,Lists!D:E,2,FALSE)</f>
        <v>Wand/Longbow</v>
      </c>
      <c r="D59" s="16" t="s">
        <v>7</v>
      </c>
      <c r="E59" s="214" t="s">
        <v>108</v>
      </c>
      <c r="F59" s="16" t="s">
        <v>476</v>
      </c>
      <c r="G59" s="210">
        <v>0</v>
      </c>
      <c r="H59" s="210">
        <v>100</v>
      </c>
      <c r="I59" s="194">
        <f t="shared" si="0"/>
        <v>100</v>
      </c>
      <c r="J59" s="215">
        <v>73731</v>
      </c>
      <c r="K59" s="215">
        <v>463385</v>
      </c>
      <c r="L59" s="215">
        <v>1564986</v>
      </c>
      <c r="M59" s="195">
        <f>I59/(HLOOKUP(F59,Team_Composition_23[[#All],[Yellow]:[Red]],10,FALSE)+HLOOKUP(F59,Team_Composition_23[[#All],[Yellow]:[Red]],11,FALSE))</f>
        <v>2.4993751562109472E-2</v>
      </c>
      <c r="N59" s="195">
        <f>J59/HLOOKUP(F59,Team_Composition_23[[#All],[Yellow]:[Red]],6,FALSE)</f>
        <v>1.6619709617285039E-3</v>
      </c>
      <c r="O59" s="195">
        <f>K59/HLOOKUP(F59,Team_Composition_23[[#All],[Yellow]:[Red]],8,FALSE)</f>
        <v>2.6450783083257649E-2</v>
      </c>
      <c r="P59" s="195">
        <f>L59/HLOOKUP(F59,Team_Composition_23[[#All],[Yellow]:[Red]],7,FALSE)</f>
        <v>0.12089712806110017</v>
      </c>
      <c r="R59" s="201" t="s">
        <v>73</v>
      </c>
      <c r="S59" s="202">
        <f t="shared" si="5"/>
        <v>1</v>
      </c>
      <c r="T59" s="203">
        <f t="shared" si="6"/>
        <v>0</v>
      </c>
    </row>
    <row r="60" spans="1:20" ht="22.5" customHeight="1">
      <c r="A60" s="210">
        <v>59</v>
      </c>
      <c r="B60" s="115" t="str">
        <f>VLOOKUP(C60,Lists!I:J,2,FALSE)</f>
        <v>Healer</v>
      </c>
      <c r="C60" s="115" t="str">
        <f>VLOOKUP(E60,Lists!D:E,2,FALSE)</f>
        <v>Wand/Orb</v>
      </c>
      <c r="D60" s="16" t="s">
        <v>7</v>
      </c>
      <c r="E60" s="214" t="s">
        <v>91</v>
      </c>
      <c r="F60" s="16" t="s">
        <v>476</v>
      </c>
      <c r="G60" s="210">
        <v>0</v>
      </c>
      <c r="H60" s="210">
        <v>95</v>
      </c>
      <c r="I60" s="194">
        <f t="shared" si="0"/>
        <v>95</v>
      </c>
      <c r="J60" s="215">
        <v>8886</v>
      </c>
      <c r="K60" s="215">
        <v>314355</v>
      </c>
      <c r="L60" s="215">
        <v>1939585</v>
      </c>
      <c r="M60" s="195">
        <f>I60/(HLOOKUP(F60,Team_Composition_23[[#All],[Yellow]:[Red]],10,FALSE)+HLOOKUP(F60,Team_Composition_23[[#All],[Yellow]:[Red]],11,FALSE))</f>
        <v>2.3744063984003999E-2</v>
      </c>
      <c r="N60" s="195">
        <f>J60/HLOOKUP(F60,Team_Composition_23[[#All],[Yellow]:[Red]],6,FALSE)</f>
        <v>2.0029938514219914E-4</v>
      </c>
      <c r="O60" s="195">
        <f>K60/HLOOKUP(F60,Team_Composition_23[[#All],[Yellow]:[Red]],8,FALSE)</f>
        <v>1.7943903916047041E-2</v>
      </c>
      <c r="P60" s="195">
        <f>L60/HLOOKUP(F60,Team_Composition_23[[#All],[Yellow]:[Red]],7,FALSE)</f>
        <v>0.14983536985659232</v>
      </c>
      <c r="R60" s="201" t="s">
        <v>75</v>
      </c>
      <c r="S60" s="202">
        <f t="shared" si="5"/>
        <v>0</v>
      </c>
      <c r="T60" s="203">
        <f t="shared" si="6"/>
        <v>0</v>
      </c>
    </row>
    <row r="61" spans="1:20" ht="22.5" customHeight="1">
      <c r="A61" s="210">
        <v>60</v>
      </c>
      <c r="B61" s="115" t="str">
        <f>VLOOKUP(C61,Lists!I:J,2,FALSE)</f>
        <v>Healer</v>
      </c>
      <c r="C61" s="115" t="str">
        <f>VLOOKUP(E61,Lists!D:E,2,FALSE)</f>
        <v>Wand/Orb</v>
      </c>
      <c r="D61" s="16" t="s">
        <v>7</v>
      </c>
      <c r="E61" s="211" t="s">
        <v>46</v>
      </c>
      <c r="F61" s="16" t="s">
        <v>476</v>
      </c>
      <c r="G61" s="210">
        <v>0</v>
      </c>
      <c r="H61" s="210">
        <v>73</v>
      </c>
      <c r="I61" s="194">
        <f t="shared" si="0"/>
        <v>73</v>
      </c>
      <c r="J61" s="215">
        <v>390</v>
      </c>
      <c r="K61" s="215">
        <v>408646</v>
      </c>
      <c r="L61" s="215">
        <v>404222</v>
      </c>
      <c r="M61" s="195">
        <f>I61/(HLOOKUP(F61,Team_Composition_23[[#All],[Yellow]:[Red]],10,FALSE)+HLOOKUP(F61,Team_Composition_23[[#All],[Yellow]:[Red]],11,FALSE))</f>
        <v>1.8245438640339916E-2</v>
      </c>
      <c r="N61" s="195">
        <f>J61/HLOOKUP(F61,Team_Composition_23[[#All],[Yellow]:[Red]],6,FALSE)</f>
        <v>8.7909925957075932E-6</v>
      </c>
      <c r="O61" s="195">
        <f>K61/HLOOKUP(F61,Team_Composition_23[[#All],[Yellow]:[Red]],8,FALSE)</f>
        <v>2.3326190325195905E-2</v>
      </c>
      <c r="P61" s="195">
        <f>L61/HLOOKUP(F61,Team_Composition_23[[#All],[Yellow]:[Red]],7,FALSE)</f>
        <v>3.1226655637247896E-2</v>
      </c>
      <c r="R61" s="204"/>
      <c r="S61" s="208"/>
      <c r="T61" s="208"/>
    </row>
    <row r="62" spans="1:20" ht="22.5" customHeight="1">
      <c r="A62" s="210">
        <v>61</v>
      </c>
      <c r="B62" s="115" t="str">
        <f>VLOOKUP(C62,Lists!I:J,2,FALSE)</f>
        <v>Healer</v>
      </c>
      <c r="C62" s="115" t="s">
        <v>9</v>
      </c>
      <c r="D62" s="16" t="s">
        <v>573</v>
      </c>
      <c r="E62" s="214" t="s">
        <v>592</v>
      </c>
      <c r="F62" s="16" t="s">
        <v>483</v>
      </c>
      <c r="G62" s="210">
        <v>0</v>
      </c>
      <c r="H62" s="210">
        <v>61</v>
      </c>
      <c r="I62" s="194">
        <f t="shared" si="0"/>
        <v>61</v>
      </c>
      <c r="J62" s="215">
        <v>30201</v>
      </c>
      <c r="K62" s="215">
        <v>471644</v>
      </c>
      <c r="L62" s="215">
        <v>992506</v>
      </c>
      <c r="M62" s="195">
        <f>I62/(HLOOKUP(F62,Team_Composition_23[[#All],[Yellow]:[Red]],10,FALSE)+HLOOKUP(F62,Team_Composition_23[[#All],[Yellow]:[Red]],11,FALSE))</f>
        <v>7.4299634591961025E-2</v>
      </c>
      <c r="N62" s="195">
        <f>J62/HLOOKUP(F62,Team_Composition_23[[#All],[Yellow]:[Red]],6,FALSE)</f>
        <v>1.7115504007983947E-3</v>
      </c>
      <c r="O62" s="195">
        <f>K62/HLOOKUP(F62,Team_Composition_23[[#All],[Yellow]:[Red]],8,FALSE)</f>
        <v>1.0715300444125489E-2</v>
      </c>
      <c r="P62" s="195">
        <f>L62/HLOOKUP(F62,Team_Composition_23[[#All],[Yellow]:[Red]],7,FALSE)</f>
        <v>4.089703614274838E-2</v>
      </c>
      <c r="R62" s="6"/>
      <c r="S62" s="209"/>
      <c r="T62" s="209"/>
    </row>
    <row r="63" spans="1:20" ht="22.5" customHeight="1">
      <c r="A63" s="210">
        <v>62</v>
      </c>
      <c r="B63" s="115" t="str">
        <f>VLOOKUP(C63,Lists!I:J,2,FALSE)</f>
        <v>Healer</v>
      </c>
      <c r="C63" s="115" t="str">
        <f>VLOOKUP(E63,Lists!D:E,2,FALSE)</f>
        <v>Wand/Orb</v>
      </c>
      <c r="D63" s="16" t="s">
        <v>7</v>
      </c>
      <c r="E63" s="214" t="s">
        <v>96</v>
      </c>
      <c r="F63" s="16" t="s">
        <v>476</v>
      </c>
      <c r="G63" s="210">
        <v>0</v>
      </c>
      <c r="H63" s="210">
        <v>61</v>
      </c>
      <c r="I63" s="194">
        <f t="shared" si="0"/>
        <v>61</v>
      </c>
      <c r="J63" s="215">
        <v>17809</v>
      </c>
      <c r="K63" s="215">
        <v>265420</v>
      </c>
      <c r="L63" s="215">
        <v>1081863</v>
      </c>
      <c r="M63" s="195">
        <f>I63/(HLOOKUP(F63,Team_Composition_23[[#All],[Yellow]:[Red]],10,FALSE)+HLOOKUP(F63,Team_Composition_23[[#All],[Yellow]:[Red]],11,FALSE))</f>
        <v>1.5246188452886777E-2</v>
      </c>
      <c r="N63" s="195">
        <f>J63/HLOOKUP(F63,Team_Composition_23[[#All],[Yellow]:[Red]],6,FALSE)</f>
        <v>4.0143278753065773E-4</v>
      </c>
      <c r="O63" s="195">
        <f>K63/HLOOKUP(F63,Team_Composition_23[[#All],[Yellow]:[Red]],8,FALSE)</f>
        <v>1.5150613088378444E-2</v>
      </c>
      <c r="P63" s="195">
        <f>L63/HLOOKUP(F63,Team_Composition_23[[#All],[Yellow]:[Red]],7,FALSE)</f>
        <v>8.3575271379786154E-2</v>
      </c>
      <c r="R63" s="232" t="s">
        <v>11</v>
      </c>
      <c r="S63" s="228"/>
      <c r="T63" s="228"/>
    </row>
    <row r="64" spans="1:20" ht="22.5" customHeight="1">
      <c r="A64" s="210">
        <v>63</v>
      </c>
      <c r="B64" s="115" t="str">
        <f>VLOOKUP(C64,Lists!I:J,2,FALSE)</f>
        <v>Healer</v>
      </c>
      <c r="C64" s="115" t="s">
        <v>10</v>
      </c>
      <c r="D64" s="16" t="s">
        <v>573</v>
      </c>
      <c r="E64" s="214" t="s">
        <v>593</v>
      </c>
      <c r="F64" s="16" t="s">
        <v>483</v>
      </c>
      <c r="G64" s="210">
        <v>0</v>
      </c>
      <c r="H64" s="210">
        <v>46</v>
      </c>
      <c r="I64" s="194">
        <f t="shared" si="0"/>
        <v>46</v>
      </c>
      <c r="J64" s="215">
        <v>62538</v>
      </c>
      <c r="K64" s="215">
        <v>905548</v>
      </c>
      <c r="L64" s="215">
        <v>1064926</v>
      </c>
      <c r="M64" s="195">
        <f>I64/(HLOOKUP(F64,Team_Composition_23[[#All],[Yellow]:[Red]],10,FALSE)+HLOOKUP(F64,Team_Composition_23[[#All],[Yellow]:[Red]],11,FALSE))</f>
        <v>5.6029232643118147E-2</v>
      </c>
      <c r="N64" s="195">
        <f>J64/HLOOKUP(F64,Team_Composition_23[[#All],[Yellow]:[Red]],6,FALSE)</f>
        <v>3.5441521461252942E-3</v>
      </c>
      <c r="O64" s="195">
        <f>K64/HLOOKUP(F64,Team_Composition_23[[#All],[Yellow]:[Red]],8,FALSE)</f>
        <v>2.0573184195234007E-2</v>
      </c>
      <c r="P64" s="195">
        <f>L64/HLOOKUP(F64,Team_Composition_23[[#All],[Yellow]:[Red]],7,FALSE)</f>
        <v>4.3881162543453096E-2</v>
      </c>
      <c r="R64" s="197" t="s">
        <v>482</v>
      </c>
      <c r="S64" s="198" t="s">
        <v>476</v>
      </c>
      <c r="T64" s="198" t="s">
        <v>483</v>
      </c>
    </row>
    <row r="65" spans="1:20" ht="22.5" customHeight="1">
      <c r="A65" s="210">
        <v>64</v>
      </c>
      <c r="B65" s="115" t="str">
        <f>VLOOKUP(C65,Lists!I:J,2,FALSE)</f>
        <v>Healer</v>
      </c>
      <c r="C65" s="115" t="s">
        <v>9</v>
      </c>
      <c r="D65" s="16" t="s">
        <v>573</v>
      </c>
      <c r="E65" s="214" t="s">
        <v>594</v>
      </c>
      <c r="F65" s="16" t="s">
        <v>483</v>
      </c>
      <c r="G65" s="210">
        <v>0</v>
      </c>
      <c r="H65" s="210">
        <v>35</v>
      </c>
      <c r="I65" s="194">
        <f t="shared" si="0"/>
        <v>35</v>
      </c>
      <c r="J65" s="215">
        <v>4311</v>
      </c>
      <c r="K65" s="215">
        <v>503293</v>
      </c>
      <c r="L65" s="215">
        <v>1543256</v>
      </c>
      <c r="M65" s="195">
        <f>I65/(HLOOKUP(F65,Team_Composition_23[[#All],[Yellow]:[Red]],10,FALSE)+HLOOKUP(F65,Team_Composition_23[[#All],[Yellow]:[Red]],11,FALSE))</f>
        <v>4.2630937880633372E-2</v>
      </c>
      <c r="N65" s="195">
        <f>J65/HLOOKUP(F65,Team_Composition_23[[#All],[Yellow]:[Red]],6,FALSE)</f>
        <v>2.443128961902546E-4</v>
      </c>
      <c r="O65" s="195">
        <f>K65/HLOOKUP(F65,Team_Composition_23[[#All],[Yellow]:[Red]],8,FALSE)</f>
        <v>1.1434335444583733E-2</v>
      </c>
      <c r="P65" s="195">
        <f>L65/HLOOKUP(F65,Team_Composition_23[[#All],[Yellow]:[Red]],7,FALSE)</f>
        <v>6.359114847619389E-2</v>
      </c>
      <c r="R65" s="201" t="s">
        <v>468</v>
      </c>
      <c r="S65" s="202">
        <f>SUMIFS(Scoreboard_12[Damage Dealt],Scoreboard_12[Role],"Healer",Scoreboard_12[Team],"Yellow")</f>
        <v>865674</v>
      </c>
      <c r="T65" s="203">
        <f>SUMIFS(Scoreboard_12[Damage Dealt],Scoreboard_12[Role],"Healer",Scoreboard_12[Team],"Red")</f>
        <v>527316</v>
      </c>
    </row>
    <row r="66" spans="1:20" ht="22.5" customHeight="1">
      <c r="A66" s="210">
        <v>65</v>
      </c>
      <c r="B66" s="115" t="str">
        <f>VLOOKUP(C66,Lists!I:J,2,FALSE)</f>
        <v>Tank</v>
      </c>
      <c r="C66" s="115" t="s">
        <v>14</v>
      </c>
      <c r="D66" s="16" t="s">
        <v>7</v>
      </c>
      <c r="E66" s="214" t="s">
        <v>595</v>
      </c>
      <c r="F66" s="16" t="s">
        <v>476</v>
      </c>
      <c r="G66" s="210">
        <v>0</v>
      </c>
      <c r="H66" s="210">
        <v>33</v>
      </c>
      <c r="I66" s="194">
        <f t="shared" si="0"/>
        <v>33</v>
      </c>
      <c r="J66" s="215">
        <v>86272</v>
      </c>
      <c r="K66" s="215">
        <v>1027197</v>
      </c>
      <c r="L66" s="215">
        <v>28099</v>
      </c>
      <c r="M66" s="195">
        <f>I66/(HLOOKUP(F66,Team_Composition_23[[#All],[Yellow]:[Red]],10,FALSE)+HLOOKUP(F66,Team_Composition_23[[#All],[Yellow]:[Red]],11,FALSE))</f>
        <v>8.2479380154961267E-3</v>
      </c>
      <c r="N66" s="195">
        <f>J66/HLOOKUP(F66,Team_Composition_23[[#All],[Yellow]:[Red]],6,FALSE)</f>
        <v>1.9446577261971422E-3</v>
      </c>
      <c r="O66" s="195">
        <f>K66/HLOOKUP(F66,Team_Composition_23[[#All],[Yellow]:[Red]],8,FALSE)</f>
        <v>5.8634105615790341E-2</v>
      </c>
      <c r="P66" s="195">
        <f>L66/HLOOKUP(F66,Team_Composition_23[[#All],[Yellow]:[Red]],7,FALSE)</f>
        <v>2.1706829335143281E-3</v>
      </c>
      <c r="R66" s="201" t="s">
        <v>469</v>
      </c>
      <c r="S66" s="202">
        <f>SUMIFS(Scoreboard_12[Damage Taken],Scoreboard_12[Role],"Healer",Scoreboard_12[Team],"Yellow")</f>
        <v>5551060</v>
      </c>
      <c r="T66" s="203">
        <f>SUMIFS(Scoreboard_12[Damage Taken],Scoreboard_12[Role],"Healer",Scoreboard_12[Team],"Red")</f>
        <v>16438143</v>
      </c>
    </row>
    <row r="67" spans="1:20" ht="22.5" customHeight="1">
      <c r="A67" s="210">
        <v>66</v>
      </c>
      <c r="B67" s="115" t="str">
        <f>VLOOKUP(C67,Lists!I:J,2,FALSE)</f>
        <v>Healer</v>
      </c>
      <c r="C67" s="115" t="s">
        <v>9</v>
      </c>
      <c r="D67" s="16" t="s">
        <v>573</v>
      </c>
      <c r="E67" s="214" t="s">
        <v>596</v>
      </c>
      <c r="F67" s="16" t="s">
        <v>483</v>
      </c>
      <c r="G67" s="210">
        <v>0</v>
      </c>
      <c r="H67" s="210">
        <v>32</v>
      </c>
      <c r="I67" s="194">
        <f t="shared" si="0"/>
        <v>32</v>
      </c>
      <c r="J67" s="215">
        <v>1595</v>
      </c>
      <c r="K67" s="215">
        <v>376944</v>
      </c>
      <c r="L67" s="215">
        <v>1043866</v>
      </c>
      <c r="M67" s="195">
        <f>I67/(HLOOKUP(F67,Team_Composition_23[[#All],[Yellow]:[Red]],10,FALSE)+HLOOKUP(F67,Team_Composition_23[[#All],[Yellow]:[Red]],11,FALSE))</f>
        <v>3.8976857490864797E-2</v>
      </c>
      <c r="N67" s="195">
        <f>J67/HLOOKUP(F67,Team_Composition_23[[#All],[Yellow]:[Red]],6,FALSE)</f>
        <v>9.0391804551949933E-5</v>
      </c>
      <c r="O67" s="195">
        <f>K67/HLOOKUP(F67,Team_Composition_23[[#All],[Yellow]:[Red]],8,FALSE)</f>
        <v>8.5638070464384968E-3</v>
      </c>
      <c r="P67" s="195">
        <f>L67/HLOOKUP(F67,Team_Composition_23[[#All],[Yellow]:[Red]],7,FALSE)</f>
        <v>4.3013367707788346E-2</v>
      </c>
      <c r="R67" s="201" t="s">
        <v>470</v>
      </c>
      <c r="S67" s="202">
        <f>SUMIFS(Scoreboard_12[Amount Healed],Scoreboard_12[Role],"Healer",Scoreboard_12[Team],"Yellow")</f>
        <v>23236746</v>
      </c>
      <c r="T67" s="203">
        <f>SUMIFS(Scoreboard_12[Amount Healed],Scoreboard_12[Role],"Healer",Scoreboard_12[Team],"Red")</f>
        <v>26375251</v>
      </c>
    </row>
    <row r="68" spans="1:20" ht="22.5" customHeight="1">
      <c r="A68" s="210">
        <v>67</v>
      </c>
      <c r="B68" s="115" t="str">
        <f>VLOOKUP(C68,Lists!I:J,2,FALSE)</f>
        <v>Healer</v>
      </c>
      <c r="C68" s="115" t="s">
        <v>10</v>
      </c>
      <c r="D68" s="16" t="s">
        <v>573</v>
      </c>
      <c r="E68" s="214" t="s">
        <v>597</v>
      </c>
      <c r="F68" s="16" t="s">
        <v>483</v>
      </c>
      <c r="G68" s="210">
        <v>0</v>
      </c>
      <c r="H68" s="210">
        <v>31</v>
      </c>
      <c r="I68" s="194">
        <f t="shared" si="0"/>
        <v>31</v>
      </c>
      <c r="J68" s="215">
        <v>77086</v>
      </c>
      <c r="K68" s="215">
        <v>1600273</v>
      </c>
      <c r="L68" s="215">
        <v>2446248</v>
      </c>
      <c r="M68" s="195">
        <f>I68/(HLOOKUP(F68,Team_Composition_23[[#All],[Yellow]:[Red]],10,FALSE)+HLOOKUP(F68,Team_Composition_23[[#All],[Yellow]:[Red]],11,FALSE))</f>
        <v>3.7758830694275276E-2</v>
      </c>
      <c r="N68" s="195">
        <f>J68/HLOOKUP(F68,Team_Composition_23[[#All],[Yellow]:[Red]],6,FALSE)</f>
        <v>4.3686160788035189E-3</v>
      </c>
      <c r="O68" s="195">
        <f>K68/HLOOKUP(F68,Team_Composition_23[[#All],[Yellow]:[Red]],8,FALSE)</f>
        <v>3.6356671531116748E-2</v>
      </c>
      <c r="P68" s="195">
        <f>L68/HLOOKUP(F68,Team_Composition_23[[#All],[Yellow]:[Red]],7,FALSE)</f>
        <v>0.10079968571487319</v>
      </c>
      <c r="R68" s="201" t="s">
        <v>465</v>
      </c>
      <c r="S68" s="202">
        <f>SUMIFS(Scoreboard_12[Kills],Scoreboard_12[Role],"Healer",Scoreboard_12[Team],"Yellow")</f>
        <v>10</v>
      </c>
      <c r="T68" s="203">
        <f>SUMIFS(Scoreboard_12[Kills],Scoreboard_12[Role],"Healer",Scoreboard_12[Team],"Red")</f>
        <v>1</v>
      </c>
    </row>
    <row r="69" spans="1:20" ht="22.5" customHeight="1">
      <c r="A69" s="210">
        <v>68</v>
      </c>
      <c r="B69" s="115" t="str">
        <f>VLOOKUP(C69,Lists!I:J,2,FALSE)</f>
        <v>Healer</v>
      </c>
      <c r="C69" s="115" t="s">
        <v>9</v>
      </c>
      <c r="D69" s="16" t="s">
        <v>573</v>
      </c>
      <c r="E69" s="214" t="s">
        <v>598</v>
      </c>
      <c r="F69" s="16" t="s">
        <v>483</v>
      </c>
      <c r="G69" s="210">
        <v>0</v>
      </c>
      <c r="H69" s="210">
        <v>31</v>
      </c>
      <c r="I69" s="194">
        <f t="shared" si="0"/>
        <v>31</v>
      </c>
      <c r="J69" s="215">
        <v>3639</v>
      </c>
      <c r="K69" s="215">
        <v>901522</v>
      </c>
      <c r="L69" s="215">
        <v>1361801</v>
      </c>
      <c r="M69" s="195">
        <f>I69/(HLOOKUP(F69,Team_Composition_23[[#All],[Yellow]:[Red]],10,FALSE)+HLOOKUP(F69,Team_Composition_23[[#All],[Yellow]:[Red]],11,FALSE))</f>
        <v>3.7758830694275276E-2</v>
      </c>
      <c r="N69" s="195">
        <f>J69/HLOOKUP(F69,Team_Composition_23[[#All],[Yellow]:[Red]],6,FALSE)</f>
        <v>2.0622932712510708E-4</v>
      </c>
      <c r="O69" s="195">
        <f>K69/HLOOKUP(F69,Team_Composition_23[[#All],[Yellow]:[Red]],8,FALSE)</f>
        <v>2.0481717327028224E-2</v>
      </c>
      <c r="P69" s="195">
        <f>L69/HLOOKUP(F69,Team_Composition_23[[#All],[Yellow]:[Red]],7,FALSE)</f>
        <v>5.6114144112207769E-2</v>
      </c>
      <c r="R69" s="201" t="s">
        <v>466</v>
      </c>
      <c r="S69" s="202">
        <f>SUMIFS(Scoreboard_12[Assists],Scoreboard_12[Role],"Healer",Scoreboard_12[Team],"Yellow")</f>
        <v>1359</v>
      </c>
      <c r="T69" s="203">
        <f>SUMIFS(Scoreboard_12[Assists],Scoreboard_12[Role],"Healer",Scoreboard_12[Team],"Red")</f>
        <v>449</v>
      </c>
    </row>
    <row r="70" spans="1:20" ht="22.5" customHeight="1">
      <c r="A70" s="210">
        <v>69</v>
      </c>
      <c r="B70" s="115" t="str">
        <f>VLOOKUP(C70,Lists!I:J,2,FALSE)</f>
        <v>Healer</v>
      </c>
      <c r="C70" s="115" t="s">
        <v>10</v>
      </c>
      <c r="D70" s="16" t="s">
        <v>573</v>
      </c>
      <c r="E70" s="214" t="s">
        <v>144</v>
      </c>
      <c r="F70" s="16" t="s">
        <v>483</v>
      </c>
      <c r="G70" s="210">
        <v>0</v>
      </c>
      <c r="H70" s="210">
        <v>21</v>
      </c>
      <c r="I70" s="194">
        <f t="shared" si="0"/>
        <v>21</v>
      </c>
      <c r="J70" s="215">
        <v>62710</v>
      </c>
      <c r="K70" s="215">
        <v>1138427</v>
      </c>
      <c r="L70" s="215">
        <v>2372124</v>
      </c>
      <c r="M70" s="195">
        <f>I70/(HLOOKUP(F70,Team_Composition_23[[#All],[Yellow]:[Red]],10,FALSE)+HLOOKUP(F70,Team_Composition_23[[#All],[Yellow]:[Red]],11,FALSE))</f>
        <v>2.5578562728380026E-2</v>
      </c>
      <c r="N70" s="195">
        <f>J70/HLOOKUP(F70,Team_Composition_23[[#All],[Yellow]:[Red]],6,FALSE)</f>
        <v>3.5538997263026835E-3</v>
      </c>
      <c r="O70" s="195">
        <f>K70/HLOOKUP(F70,Team_Composition_23[[#All],[Yellow]:[Red]],8,FALSE)</f>
        <v>2.5863972272952583E-2</v>
      </c>
      <c r="P70" s="195">
        <f>L70/HLOOKUP(F70,Team_Composition_23[[#All],[Yellow]:[Red]],7,FALSE)</f>
        <v>9.7745344575328366E-2</v>
      </c>
      <c r="R70" s="201" t="s">
        <v>10</v>
      </c>
      <c r="S70" s="202">
        <f t="shared" ref="S70:S72" si="7">COUNTIFS(C:C,R70,F:F,"Yellow")</f>
        <v>8</v>
      </c>
      <c r="T70" s="203">
        <f t="shared" ref="T70:T72" si="8">COUNTIFS(C:C,R70,F:F,"Red")</f>
        <v>5</v>
      </c>
    </row>
    <row r="71" spans="1:20" ht="22.5" customHeight="1">
      <c r="A71" s="210">
        <v>70</v>
      </c>
      <c r="B71" s="115" t="str">
        <f>VLOOKUP(C71,Lists!I:J,2,FALSE)</f>
        <v>Tank</v>
      </c>
      <c r="C71" s="115" t="str">
        <f>VLOOKUP(E71,Lists!D:E,2,FALSE)</f>
        <v>SnS/Spear</v>
      </c>
      <c r="D71" s="16" t="s">
        <v>7</v>
      </c>
      <c r="E71" s="214" t="s">
        <v>79</v>
      </c>
      <c r="F71" s="16" t="s">
        <v>476</v>
      </c>
      <c r="G71" s="210">
        <v>0</v>
      </c>
      <c r="H71" s="210">
        <v>19</v>
      </c>
      <c r="I71" s="194">
        <f t="shared" si="0"/>
        <v>19</v>
      </c>
      <c r="J71" s="215">
        <v>130043</v>
      </c>
      <c r="K71" s="215">
        <v>398774</v>
      </c>
      <c r="L71" s="215">
        <v>10254</v>
      </c>
      <c r="M71" s="195">
        <f>I71/(HLOOKUP(F71,Team_Composition_23[[#All],[Yellow]:[Red]],10,FALSE)+HLOOKUP(F71,Team_Composition_23[[#All],[Yellow]:[Red]],11,FALSE))</f>
        <v>4.7488127968007996E-3</v>
      </c>
      <c r="N71" s="195">
        <f>J71/HLOOKUP(F71,Team_Composition_23[[#All],[Yellow]:[Red]],6,FALSE)</f>
        <v>2.9313001285220575E-3</v>
      </c>
      <c r="O71" s="195">
        <f>K71/HLOOKUP(F71,Team_Composition_23[[#All],[Yellow]:[Red]],8,FALSE)</f>
        <v>2.2762680218917284E-2</v>
      </c>
      <c r="P71" s="195">
        <f>L71/HLOOKUP(F71,Team_Composition_23[[#All],[Yellow]:[Red]],7,FALSE)</f>
        <v>7.9213433930943873E-4</v>
      </c>
      <c r="R71" s="201" t="s">
        <v>9</v>
      </c>
      <c r="S71" s="202">
        <f t="shared" si="7"/>
        <v>8</v>
      </c>
      <c r="T71" s="203">
        <f t="shared" si="8"/>
        <v>14</v>
      </c>
    </row>
    <row r="72" spans="1:20" ht="22.5" customHeight="1">
      <c r="A72" s="210">
        <v>71</v>
      </c>
      <c r="B72" s="115" t="str">
        <f>VLOOKUP(C72,Lists!I:J,2,FALSE)</f>
        <v>Tank</v>
      </c>
      <c r="C72" s="115" t="s">
        <v>14</v>
      </c>
      <c r="D72" s="16" t="s">
        <v>573</v>
      </c>
      <c r="E72" s="214" t="s">
        <v>599</v>
      </c>
      <c r="F72" s="16" t="s">
        <v>483</v>
      </c>
      <c r="G72" s="210">
        <v>0</v>
      </c>
      <c r="H72" s="210">
        <v>18</v>
      </c>
      <c r="I72" s="194">
        <f t="shared" si="0"/>
        <v>18</v>
      </c>
      <c r="J72" s="215">
        <v>97915</v>
      </c>
      <c r="K72" s="215">
        <v>549099</v>
      </c>
      <c r="L72" s="215">
        <v>65541</v>
      </c>
      <c r="M72" s="195">
        <f>I72/(HLOOKUP(F72,Team_Composition_23[[#All],[Yellow]:[Red]],10,FALSE)+HLOOKUP(F72,Team_Composition_23[[#All],[Yellow]:[Red]],11,FALSE))</f>
        <v>2.192448233861145E-2</v>
      </c>
      <c r="N72" s="195">
        <f>J72/HLOOKUP(F72,Team_Composition_23[[#All],[Yellow]:[Red]],6,FALSE)</f>
        <v>5.5490367038897662E-3</v>
      </c>
      <c r="O72" s="195">
        <f>K72/HLOOKUP(F72,Team_Composition_23[[#All],[Yellow]:[Red]],8,FALSE)</f>
        <v>1.2475003940618056E-2</v>
      </c>
      <c r="P72" s="195">
        <f>L72/HLOOKUP(F72,Team_Composition_23[[#All],[Yellow]:[Red]],7,FALSE)</f>
        <v>2.7006714778871578E-3</v>
      </c>
      <c r="R72" s="201" t="s">
        <v>18</v>
      </c>
      <c r="S72" s="202">
        <f t="shared" si="7"/>
        <v>0</v>
      </c>
      <c r="T72" s="203">
        <f t="shared" si="8"/>
        <v>0</v>
      </c>
    </row>
    <row r="73" spans="1:20" ht="22.5" customHeight="1">
      <c r="A73" s="210">
        <v>72</v>
      </c>
      <c r="B73" s="115" t="str">
        <f>VLOOKUP(C73,Lists!I:J,2,FALSE)</f>
        <v>Tank</v>
      </c>
      <c r="C73" s="115" t="str">
        <f>VLOOKUP(E73,Lists!D:E,2,FALSE)</f>
        <v>SnS/Greatsword</v>
      </c>
      <c r="D73" s="16" t="s">
        <v>7</v>
      </c>
      <c r="E73" s="214" t="s">
        <v>82</v>
      </c>
      <c r="F73" s="16" t="s">
        <v>476</v>
      </c>
      <c r="G73" s="210">
        <v>0</v>
      </c>
      <c r="H73" s="210">
        <v>18</v>
      </c>
      <c r="I73" s="194">
        <f t="shared" si="0"/>
        <v>18</v>
      </c>
      <c r="J73" s="215">
        <v>79030</v>
      </c>
      <c r="K73" s="215">
        <v>744334</v>
      </c>
      <c r="L73" s="215">
        <v>17175</v>
      </c>
      <c r="M73" s="195">
        <f>I73/(HLOOKUP(F73,Team_Composition_23[[#All],[Yellow]:[Red]],10,FALSE)+HLOOKUP(F73,Team_Composition_23[[#All],[Yellow]:[Red]],11,FALSE))</f>
        <v>4.4988752811797048E-3</v>
      </c>
      <c r="N73" s="195">
        <f>J73/HLOOKUP(F73,Team_Composition_23[[#All],[Yellow]:[Red]],6,FALSE)</f>
        <v>1.7814157559968488E-3</v>
      </c>
      <c r="O73" s="195">
        <f>K73/HLOOKUP(F73,Team_Composition_23[[#All],[Yellow]:[Red]],8,FALSE)</f>
        <v>4.2487817204901968E-2</v>
      </c>
      <c r="P73" s="195">
        <f>L73/HLOOKUP(F73,Team_Composition_23[[#All],[Yellow]:[Red]],7,FALSE)</f>
        <v>1.3267902552798526E-3</v>
      </c>
    </row>
    <row r="74" spans="1:20" ht="22.5" customHeight="1">
      <c r="A74" s="210">
        <v>73</v>
      </c>
      <c r="B74" s="115" t="str">
        <f>VLOOKUP(C74,Lists!I:J,2,FALSE)</f>
        <v>Healer</v>
      </c>
      <c r="C74" s="115" t="str">
        <f>VLOOKUP(E74,Lists!D:E,2,FALSE)</f>
        <v>Wand/Longbow</v>
      </c>
      <c r="D74" s="16" t="s">
        <v>7</v>
      </c>
      <c r="E74" s="214" t="s">
        <v>49</v>
      </c>
      <c r="F74" s="16" t="s">
        <v>476</v>
      </c>
      <c r="G74" s="210">
        <v>0</v>
      </c>
      <c r="H74" s="210">
        <v>18</v>
      </c>
      <c r="I74" s="194">
        <f t="shared" si="0"/>
        <v>18</v>
      </c>
      <c r="J74" s="215">
        <v>71843</v>
      </c>
      <c r="K74" s="215">
        <v>376385</v>
      </c>
      <c r="L74" s="215">
        <v>1112743</v>
      </c>
      <c r="M74" s="195">
        <f>I74/(HLOOKUP(F74,Team_Composition_23[[#All],[Yellow]:[Red]],10,FALSE)+HLOOKUP(F74,Team_Composition_23[[#All],[Yellow]:[Red]],11,FALSE))</f>
        <v>4.4988752811797048E-3</v>
      </c>
      <c r="N74" s="195">
        <f>J74/HLOOKUP(F74,Team_Composition_23[[#All],[Yellow]:[Red]],6,FALSE)</f>
        <v>1.619413541162617E-3</v>
      </c>
      <c r="O74" s="195">
        <f>K74/HLOOKUP(F74,Team_Composition_23[[#All],[Yellow]:[Red]],8,FALSE)</f>
        <v>2.1484679026709818E-2</v>
      </c>
      <c r="P74" s="195">
        <f>L74/HLOOKUP(F74,Team_Composition_23[[#All],[Yellow]:[Red]],7,FALSE)</f>
        <v>8.5960790045465446E-2</v>
      </c>
    </row>
    <row r="75" spans="1:20" ht="22.5" customHeight="1">
      <c r="A75" s="210">
        <v>74</v>
      </c>
      <c r="B75" s="115" t="str">
        <f>VLOOKUP(C75,Lists!I:J,2,FALSE)</f>
        <v>Tank</v>
      </c>
      <c r="C75" s="115" t="s">
        <v>14</v>
      </c>
      <c r="D75" s="16" t="s">
        <v>573</v>
      </c>
      <c r="E75" s="214" t="s">
        <v>600</v>
      </c>
      <c r="F75" s="16" t="s">
        <v>483</v>
      </c>
      <c r="G75" s="210">
        <v>0</v>
      </c>
      <c r="H75" s="210">
        <v>18</v>
      </c>
      <c r="I75" s="194">
        <f t="shared" si="0"/>
        <v>18</v>
      </c>
      <c r="J75" s="215">
        <v>36672</v>
      </c>
      <c r="K75" s="215">
        <v>383744</v>
      </c>
      <c r="L75" s="215">
        <v>64555</v>
      </c>
      <c r="M75" s="195">
        <f>I75/(HLOOKUP(F75,Team_Composition_23[[#All],[Yellow]:[Red]],10,FALSE)+HLOOKUP(F75,Team_Composition_23[[#All],[Yellow]:[Red]],11,FALSE))</f>
        <v>2.192448233861145E-2</v>
      </c>
      <c r="N75" s="195">
        <f>J75/HLOOKUP(F75,Team_Composition_23[[#All],[Yellow]:[Red]],6,FALSE)</f>
        <v>2.0782747689837666E-3</v>
      </c>
      <c r="O75" s="195">
        <f>K75/HLOOKUP(F75,Team_Composition_23[[#All],[Yellow]:[Red]],8,FALSE)</f>
        <v>8.7182965406757892E-3</v>
      </c>
      <c r="P75" s="195">
        <f>L75/HLOOKUP(F75,Team_Composition_23[[#All],[Yellow]:[Red]],7,FALSE)</f>
        <v>2.6600425268916475E-3</v>
      </c>
    </row>
    <row r="76" spans="1:20" ht="22.5" customHeight="1">
      <c r="A76" s="210">
        <v>75</v>
      </c>
      <c r="B76" s="115" t="str">
        <f>VLOOKUP(C76,Lists!I:J,2,FALSE)</f>
        <v>Tank</v>
      </c>
      <c r="C76" s="115" t="s">
        <v>14</v>
      </c>
      <c r="D76" s="16" t="s">
        <v>573</v>
      </c>
      <c r="E76" s="214" t="s">
        <v>601</v>
      </c>
      <c r="F76" s="16" t="s">
        <v>483</v>
      </c>
      <c r="G76" s="210">
        <v>0</v>
      </c>
      <c r="H76" s="210">
        <v>17</v>
      </c>
      <c r="I76" s="194">
        <f t="shared" si="0"/>
        <v>17</v>
      </c>
      <c r="J76" s="215">
        <v>394602</v>
      </c>
      <c r="K76" s="215">
        <v>788510</v>
      </c>
      <c r="L76" s="215">
        <v>35683</v>
      </c>
      <c r="M76" s="195">
        <f>I76/(HLOOKUP(F76,Team_Composition_23[[#All],[Yellow]:[Red]],10,FALSE)+HLOOKUP(F76,Team_Composition_23[[#All],[Yellow]:[Red]],11,FALSE))</f>
        <v>2.0706455542021926E-2</v>
      </c>
      <c r="N76" s="195">
        <f>J76/HLOOKUP(F76,Team_Composition_23[[#All],[Yellow]:[Red]],6,FALSE)</f>
        <v>2.2362875774174635E-2</v>
      </c>
      <c r="O76" s="195">
        <f>K76/HLOOKUP(F76,Team_Composition_23[[#All],[Yellow]:[Red]],8,FALSE)</f>
        <v>1.7914192808977512E-2</v>
      </c>
      <c r="P76" s="195">
        <f>L76/HLOOKUP(F76,Team_Composition_23[[#All],[Yellow]:[Red]],7,FALSE)</f>
        <v>1.4703477265444141E-3</v>
      </c>
    </row>
    <row r="77" spans="1:20" ht="22.5" customHeight="1">
      <c r="A77" s="210">
        <v>76</v>
      </c>
      <c r="B77" s="115" t="str">
        <f>VLOOKUP(C77,Lists!I:J,2,FALSE)</f>
        <v>Healer</v>
      </c>
      <c r="C77" s="115" t="s">
        <v>9</v>
      </c>
      <c r="D77" s="16" t="s">
        <v>573</v>
      </c>
      <c r="E77" s="214" t="s">
        <v>164</v>
      </c>
      <c r="F77" s="16" t="s">
        <v>483</v>
      </c>
      <c r="G77" s="210">
        <v>0</v>
      </c>
      <c r="H77" s="210">
        <v>17</v>
      </c>
      <c r="I77" s="194">
        <f t="shared" si="0"/>
        <v>17</v>
      </c>
      <c r="J77" s="215">
        <v>31466</v>
      </c>
      <c r="K77" s="215">
        <v>733547</v>
      </c>
      <c r="L77" s="215">
        <v>651995</v>
      </c>
      <c r="M77" s="195">
        <f>I77/(HLOOKUP(F77,Team_Composition_23[[#All],[Yellow]:[Red]],10,FALSE)+HLOOKUP(F77,Team_Composition_23[[#All],[Yellow]:[Red]],11,FALSE))</f>
        <v>2.0706455542021926E-2</v>
      </c>
      <c r="N77" s="195">
        <f>J77/HLOOKUP(F77,Team_Composition_23[[#All],[Yellow]:[Red]],6,FALSE)</f>
        <v>1.783240452684424E-3</v>
      </c>
      <c r="O77" s="195">
        <f>K77/HLOOKUP(F77,Team_Composition_23[[#All],[Yellow]:[Red]],8,FALSE)</f>
        <v>1.666548603371806E-2</v>
      </c>
      <c r="P77" s="195">
        <f>L77/HLOOKUP(F77,Team_Composition_23[[#All],[Yellow]:[Red]],7,FALSE)</f>
        <v>2.6865996860362788E-2</v>
      </c>
    </row>
    <row r="78" spans="1:20" ht="22.5" customHeight="1">
      <c r="A78" s="210">
        <v>77</v>
      </c>
      <c r="B78" s="115" t="str">
        <f>VLOOKUP(C78,Lists!I:J,2,FALSE)</f>
        <v>Healer</v>
      </c>
      <c r="C78" s="115" t="s">
        <v>9</v>
      </c>
      <c r="D78" s="16" t="s">
        <v>573</v>
      </c>
      <c r="E78" s="214" t="s">
        <v>602</v>
      </c>
      <c r="F78" s="16" t="s">
        <v>483</v>
      </c>
      <c r="G78" s="210">
        <v>0</v>
      </c>
      <c r="H78" s="210">
        <v>17</v>
      </c>
      <c r="I78" s="194">
        <f t="shared" si="0"/>
        <v>17</v>
      </c>
      <c r="J78" s="215">
        <v>26329</v>
      </c>
      <c r="K78" s="215">
        <v>814219</v>
      </c>
      <c r="L78" s="215">
        <v>1119790</v>
      </c>
      <c r="M78" s="195">
        <f>I78/(HLOOKUP(F78,Team_Composition_23[[#All],[Yellow]:[Red]],10,FALSE)+HLOOKUP(F78,Team_Composition_23[[#All],[Yellow]:[Red]],11,FALSE))</f>
        <v>2.0706455542021926E-2</v>
      </c>
      <c r="N78" s="195">
        <f>J78/HLOOKUP(F78,Team_Composition_23[[#All],[Yellow]:[Red]],6,FALSE)</f>
        <v>1.4921165028515923E-3</v>
      </c>
      <c r="O78" s="195">
        <f>K78/HLOOKUP(F78,Team_Composition_23[[#All],[Yellow]:[Red]],8,FALSE)</f>
        <v>1.8498276692410828E-2</v>
      </c>
      <c r="P78" s="195">
        <f>L78/HLOOKUP(F78,Team_Composition_23[[#All],[Yellow]:[Red]],7,FALSE)</f>
        <v>4.6141879346107938E-2</v>
      </c>
    </row>
    <row r="79" spans="1:20" ht="22.5" customHeight="1">
      <c r="A79" s="210">
        <v>78</v>
      </c>
      <c r="B79" s="115" t="str">
        <f>VLOOKUP(C79,Lists!I:J,2,FALSE)</f>
        <v>Healer</v>
      </c>
      <c r="C79" s="115" t="s">
        <v>9</v>
      </c>
      <c r="D79" s="16" t="s">
        <v>573</v>
      </c>
      <c r="E79" s="214" t="s">
        <v>603</v>
      </c>
      <c r="F79" s="16" t="s">
        <v>483</v>
      </c>
      <c r="G79" s="210">
        <v>0</v>
      </c>
      <c r="H79" s="210">
        <v>17</v>
      </c>
      <c r="I79" s="194">
        <f t="shared" si="0"/>
        <v>17</v>
      </c>
      <c r="J79" s="215">
        <v>934</v>
      </c>
      <c r="K79" s="215">
        <v>723309</v>
      </c>
      <c r="L79" s="215">
        <v>1966321</v>
      </c>
      <c r="M79" s="195">
        <f>I79/(HLOOKUP(F79,Team_Composition_23[[#All],[Yellow]:[Red]],10,FALSE)+HLOOKUP(F79,Team_Composition_23[[#All],[Yellow]:[Red]],11,FALSE))</f>
        <v>2.0706455542021926E-2</v>
      </c>
      <c r="N79" s="195">
        <f>J79/HLOOKUP(F79,Team_Composition_23[[#All],[Yellow]:[Red]],6,FALSE)</f>
        <v>5.2931627242333064E-5</v>
      </c>
      <c r="O79" s="195">
        <f>K79/HLOOKUP(F79,Team_Composition_23[[#All],[Yellow]:[Red]],8,FALSE)</f>
        <v>1.6432888468717852E-2</v>
      </c>
      <c r="P79" s="195">
        <f>L79/HLOOKUP(F79,Team_Composition_23[[#All],[Yellow]:[Red]],7,FALSE)</f>
        <v>8.1023894067386124E-2</v>
      </c>
    </row>
    <row r="80" spans="1:20" ht="22.5" customHeight="1">
      <c r="A80" s="210">
        <v>79</v>
      </c>
      <c r="B80" s="115" t="str">
        <f>VLOOKUP(C80,Lists!I:J,2,FALSE)</f>
        <v>Tank</v>
      </c>
      <c r="C80" s="115" t="str">
        <f>VLOOKUP(E80,Lists!D:E,2,FALSE)</f>
        <v>SnS/Greatsword</v>
      </c>
      <c r="D80" s="16" t="s">
        <v>7</v>
      </c>
      <c r="E80" s="214" t="s">
        <v>35</v>
      </c>
      <c r="F80" s="16" t="s">
        <v>476</v>
      </c>
      <c r="G80" s="210">
        <v>0</v>
      </c>
      <c r="H80" s="210">
        <v>16</v>
      </c>
      <c r="I80" s="194">
        <f t="shared" si="0"/>
        <v>16</v>
      </c>
      <c r="J80" s="215">
        <v>36341</v>
      </c>
      <c r="K80" s="215">
        <v>435441</v>
      </c>
      <c r="L80" s="215">
        <v>17059</v>
      </c>
      <c r="M80" s="195">
        <f>I80/(HLOOKUP(F80,Team_Composition_23[[#All],[Yellow]:[Red]],10,FALSE)+HLOOKUP(F80,Team_Composition_23[[#All],[Yellow]:[Red]],11,FALSE))</f>
        <v>3.9990002499375159E-3</v>
      </c>
      <c r="N80" s="195">
        <f>J80/HLOOKUP(F80,Team_Composition_23[[#All],[Yellow]:[Red]],6,FALSE)</f>
        <v>8.1916272287335798E-4</v>
      </c>
      <c r="O80" s="195">
        <f>K80/HLOOKUP(F80,Team_Composition_23[[#All],[Yellow]:[Red]],8,FALSE)</f>
        <v>2.4855693292956813E-2</v>
      </c>
      <c r="P80" s="195">
        <f>L80/HLOOKUP(F80,Team_Composition_23[[#All],[Yellow]:[Red]],7,FALSE)</f>
        <v>1.3178291100331299E-3</v>
      </c>
    </row>
    <row r="81" spans="1:16" ht="22.5" customHeight="1">
      <c r="A81" s="210">
        <v>80</v>
      </c>
      <c r="B81" s="115" t="str">
        <f>VLOOKUP(C81,Lists!I:J,2,FALSE)</f>
        <v>Healer</v>
      </c>
      <c r="C81" s="115" t="s">
        <v>9</v>
      </c>
      <c r="D81" s="16" t="s">
        <v>573</v>
      </c>
      <c r="E81" s="214" t="s">
        <v>604</v>
      </c>
      <c r="F81" s="16" t="s">
        <v>483</v>
      </c>
      <c r="G81" s="210">
        <v>0</v>
      </c>
      <c r="H81" s="210">
        <v>16</v>
      </c>
      <c r="I81" s="194">
        <f t="shared" si="0"/>
        <v>16</v>
      </c>
      <c r="J81" s="215">
        <v>3953</v>
      </c>
      <c r="K81" s="215">
        <v>609748</v>
      </c>
      <c r="L81" s="215">
        <v>1884160</v>
      </c>
      <c r="M81" s="195">
        <f>I81/(HLOOKUP(F81,Team_Composition_23[[#All],[Yellow]:[Red]],10,FALSE)+HLOOKUP(F81,Team_Composition_23[[#All],[Yellow]:[Red]],11,FALSE))</f>
        <v>1.9488428745432398E-2</v>
      </c>
      <c r="N81" s="195">
        <f>J81/HLOOKUP(F81,Team_Composition_23[[#All],[Yellow]:[Red]],6,FALSE)</f>
        <v>2.2402432814661946E-4</v>
      </c>
      <c r="O81" s="195">
        <f>K81/HLOOKUP(F81,Team_Composition_23[[#All],[Yellow]:[Red]],8,FALSE)</f>
        <v>1.3852891195911808E-2</v>
      </c>
      <c r="P81" s="195">
        <f>L81/HLOOKUP(F81,Team_Composition_23[[#All],[Yellow]:[Red]],7,FALSE)</f>
        <v>7.7638381650811966E-2</v>
      </c>
    </row>
    <row r="82" spans="1:16" ht="22.5" customHeight="1">
      <c r="A82" s="210">
        <v>81</v>
      </c>
      <c r="B82" s="115" t="str">
        <f>VLOOKUP(C82,Lists!I:J,2,FALSE)</f>
        <v>Healer</v>
      </c>
      <c r="C82" s="115" t="s">
        <v>9</v>
      </c>
      <c r="D82" s="16" t="s">
        <v>573</v>
      </c>
      <c r="E82" s="214" t="s">
        <v>605</v>
      </c>
      <c r="F82" s="16" t="s">
        <v>483</v>
      </c>
      <c r="G82" s="210">
        <v>0</v>
      </c>
      <c r="H82" s="210">
        <v>16</v>
      </c>
      <c r="I82" s="194">
        <f t="shared" si="0"/>
        <v>16</v>
      </c>
      <c r="J82" s="215">
        <v>751</v>
      </c>
      <c r="K82" s="215">
        <v>934281</v>
      </c>
      <c r="L82" s="215">
        <v>549935</v>
      </c>
      <c r="M82" s="195">
        <f>I82/(HLOOKUP(F82,Team_Composition_23[[#All],[Yellow]:[Red]],10,FALSE)+HLOOKUP(F82,Team_Composition_23[[#All],[Yellow]:[Red]],11,FALSE))</f>
        <v>1.9488428745432398E-2</v>
      </c>
      <c r="N82" s="195">
        <f>J82/HLOOKUP(F82,Team_Composition_23[[#All],[Yellow]:[Red]],6,FALSE)</f>
        <v>4.2560655309413415E-5</v>
      </c>
      <c r="O82" s="195">
        <f>K82/HLOOKUP(F82,Team_Composition_23[[#All],[Yellow]:[Red]],8,FALSE)</f>
        <v>2.1225970465516376E-2</v>
      </c>
      <c r="P82" s="195">
        <f>L82/HLOOKUP(F82,Team_Composition_23[[#All],[Yellow]:[Red]],7,FALSE)</f>
        <v>2.2660529579833603E-2</v>
      </c>
    </row>
    <row r="83" spans="1:16" ht="22.5" customHeight="1">
      <c r="A83" s="210">
        <v>82</v>
      </c>
      <c r="B83" s="115" t="str">
        <f>VLOOKUP(C83,Lists!I:J,2,FALSE)</f>
        <v>Tank</v>
      </c>
      <c r="C83" s="115" t="s">
        <v>14</v>
      </c>
      <c r="D83" s="16" t="s">
        <v>573</v>
      </c>
      <c r="E83" s="214" t="s">
        <v>606</v>
      </c>
      <c r="F83" s="16" t="s">
        <v>483</v>
      </c>
      <c r="G83" s="210">
        <v>0</v>
      </c>
      <c r="H83" s="210">
        <v>15</v>
      </c>
      <c r="I83" s="194">
        <f t="shared" si="0"/>
        <v>15</v>
      </c>
      <c r="J83" s="215">
        <v>33616</v>
      </c>
      <c r="K83" s="215">
        <v>1231484</v>
      </c>
      <c r="L83" s="215">
        <v>150124</v>
      </c>
      <c r="M83" s="195">
        <f>I83/(HLOOKUP(F83,Team_Composition_23[[#All],[Yellow]:[Red]],10,FALSE)+HLOOKUP(F83,Team_Composition_23[[#All],[Yellow]:[Red]],11,FALSE))</f>
        <v>1.8270401948842874E-2</v>
      </c>
      <c r="N83" s="195">
        <f>J83/HLOOKUP(F83,Team_Composition_23[[#All],[Yellow]:[Red]],6,FALSE)</f>
        <v>1.905085204901786E-3</v>
      </c>
      <c r="O83" s="195">
        <f>K83/HLOOKUP(F83,Team_Composition_23[[#All],[Yellow]:[Red]],8,FALSE)</f>
        <v>2.7978138282546652E-2</v>
      </c>
      <c r="P83" s="195">
        <f>L83/HLOOKUP(F83,Team_Composition_23[[#All],[Yellow]:[Red]],7,FALSE)</f>
        <v>6.1859844211460254E-3</v>
      </c>
    </row>
    <row r="84" spans="1:16" ht="22.5" customHeight="1">
      <c r="A84" s="210">
        <v>83</v>
      </c>
      <c r="B84" s="115" t="str">
        <f>VLOOKUP(C84,Lists!I:J,2,FALSE)</f>
        <v>Healer</v>
      </c>
      <c r="C84" s="115" t="s">
        <v>9</v>
      </c>
      <c r="D84" s="16" t="s">
        <v>573</v>
      </c>
      <c r="E84" s="214" t="s">
        <v>607</v>
      </c>
      <c r="F84" s="16" t="s">
        <v>483</v>
      </c>
      <c r="G84" s="210">
        <v>0</v>
      </c>
      <c r="H84" s="210">
        <v>15</v>
      </c>
      <c r="I84" s="194">
        <f t="shared" si="0"/>
        <v>15</v>
      </c>
      <c r="J84" s="215">
        <v>31931</v>
      </c>
      <c r="K84" s="215">
        <v>1071544</v>
      </c>
      <c r="L84" s="215">
        <v>2168146</v>
      </c>
      <c r="M84" s="195">
        <f>I84/(HLOOKUP(F84,Team_Composition_23[[#All],[Yellow]:[Red]],10,FALSE)+HLOOKUP(F84,Team_Composition_23[[#All],[Yellow]:[Red]],11,FALSE))</f>
        <v>1.8270401948842874E-2</v>
      </c>
      <c r="N84" s="195">
        <f>J84/HLOOKUP(F84,Team_Composition_23[[#All],[Yellow]:[Red]],6,FALSE)</f>
        <v>1.8095929223500395E-3</v>
      </c>
      <c r="O84" s="195">
        <f>K84/HLOOKUP(F84,Team_Composition_23[[#All],[Yellow]:[Red]],8,FALSE)</f>
        <v>2.4344454501912468E-2</v>
      </c>
      <c r="P84" s="195">
        <f>L84/HLOOKUP(F84,Team_Composition_23[[#All],[Yellow]:[Red]],7,FALSE)</f>
        <v>8.9340261242506672E-2</v>
      </c>
    </row>
    <row r="85" spans="1:16" ht="22.5" customHeight="1">
      <c r="A85" s="210">
        <v>84</v>
      </c>
      <c r="B85" s="115" t="str">
        <f>VLOOKUP(C85,Lists!I:J,2,FALSE)</f>
        <v>Tank</v>
      </c>
      <c r="C85" s="115" t="s">
        <v>14</v>
      </c>
      <c r="D85" s="16" t="s">
        <v>573</v>
      </c>
      <c r="E85" s="214" t="s">
        <v>176</v>
      </c>
      <c r="F85" s="16" t="s">
        <v>483</v>
      </c>
      <c r="G85" s="210">
        <v>0</v>
      </c>
      <c r="H85" s="210">
        <v>14</v>
      </c>
      <c r="I85" s="194">
        <f t="shared" si="0"/>
        <v>14</v>
      </c>
      <c r="J85" s="215">
        <v>47811</v>
      </c>
      <c r="K85" s="215">
        <v>1008345</v>
      </c>
      <c r="L85" s="215">
        <v>78744</v>
      </c>
      <c r="M85" s="195">
        <f>I85/(HLOOKUP(F85,Team_Composition_23[[#All],[Yellow]:[Red]],10,FALSE)+HLOOKUP(F85,Team_Composition_23[[#All],[Yellow]:[Red]],11,FALSE))</f>
        <v>1.705237515225335E-2</v>
      </c>
      <c r="N85" s="195">
        <f>J85/HLOOKUP(F85,Team_Composition_23[[#All],[Yellow]:[Red]],6,FALSE)</f>
        <v>2.7095439294252525E-3</v>
      </c>
      <c r="O85" s="195">
        <f>K85/HLOOKUP(F85,Team_Composition_23[[#All],[Yellow]:[Red]],8,FALSE)</f>
        <v>2.2908633686279729E-2</v>
      </c>
      <c r="P85" s="195">
        <f>L85/HLOOKUP(F85,Team_Composition_23[[#All],[Yellow]:[Red]],7,FALSE)</f>
        <v>3.2447120864000601E-3</v>
      </c>
    </row>
    <row r="86" spans="1:16" ht="22.5" customHeight="1">
      <c r="A86" s="210">
        <v>85</v>
      </c>
      <c r="B86" s="115" t="str">
        <f>VLOOKUP(C86,Lists!I:J,2,FALSE)</f>
        <v>Healer</v>
      </c>
      <c r="C86" s="115" t="s">
        <v>9</v>
      </c>
      <c r="D86" s="16" t="s">
        <v>573</v>
      </c>
      <c r="E86" s="214" t="s">
        <v>608</v>
      </c>
      <c r="F86" s="16" t="s">
        <v>483</v>
      </c>
      <c r="G86" s="210">
        <v>0</v>
      </c>
      <c r="H86" s="210">
        <v>14</v>
      </c>
      <c r="I86" s="194">
        <f t="shared" si="0"/>
        <v>14</v>
      </c>
      <c r="J86" s="215">
        <v>9524</v>
      </c>
      <c r="K86" s="215">
        <v>1032914</v>
      </c>
      <c r="L86" s="215">
        <v>1247767</v>
      </c>
      <c r="M86" s="195">
        <f>I86/(HLOOKUP(F86,Team_Composition_23[[#All],[Yellow]:[Red]],10,FALSE)+HLOOKUP(F86,Team_Composition_23[[#All],[Yellow]:[Red]],11,FALSE))</f>
        <v>1.705237515225335E-2</v>
      </c>
      <c r="N86" s="195">
        <f>J86/HLOOKUP(F86,Team_Composition_23[[#All],[Yellow]:[Red]],6,FALSE)</f>
        <v>5.3974391633402577E-4</v>
      </c>
      <c r="O86" s="195">
        <f>K86/HLOOKUP(F86,Team_Composition_23[[#All],[Yellow]:[Red]],8,FALSE)</f>
        <v>2.3466817860385028E-2</v>
      </c>
      <c r="P86" s="195">
        <f>L86/HLOOKUP(F86,Team_Composition_23[[#All],[Yellow]:[Red]],7,FALSE)</f>
        <v>5.1415278191495786E-2</v>
      </c>
    </row>
    <row r="87" spans="1:16" ht="22.5" customHeight="1">
      <c r="A87" s="210">
        <v>86</v>
      </c>
      <c r="B87" s="115" t="str">
        <f>VLOOKUP(C87,Lists!I:J,2,FALSE)</f>
        <v>Healer</v>
      </c>
      <c r="C87" s="115" t="str">
        <f>VLOOKUP(E87,Lists!D:E,2,FALSE)</f>
        <v>Wand/Orb</v>
      </c>
      <c r="D87" s="16" t="s">
        <v>7</v>
      </c>
      <c r="E87" s="214" t="s">
        <v>99</v>
      </c>
      <c r="F87" s="16" t="s">
        <v>476</v>
      </c>
      <c r="G87" s="210">
        <v>0</v>
      </c>
      <c r="H87" s="210">
        <v>13</v>
      </c>
      <c r="I87" s="194">
        <f t="shared" si="0"/>
        <v>13</v>
      </c>
      <c r="J87" s="215">
        <v>71507</v>
      </c>
      <c r="K87" s="215">
        <v>82550</v>
      </c>
      <c r="L87" s="215">
        <v>498982</v>
      </c>
      <c r="M87" s="195">
        <f>I87/(HLOOKUP(F87,Team_Composition_23[[#All],[Yellow]:[Red]],10,FALSE)+HLOOKUP(F87,Team_Composition_23[[#All],[Yellow]:[Red]],11,FALSE))</f>
        <v>3.2491877030742314E-3</v>
      </c>
      <c r="N87" s="195">
        <f>J87/HLOOKUP(F87,Team_Composition_23[[#All],[Yellow]:[Red]],6,FALSE)</f>
        <v>1.6118397629263149E-3</v>
      </c>
      <c r="O87" s="195">
        <f>K87/HLOOKUP(F87,Team_Composition_23[[#All],[Yellow]:[Red]],8,FALSE)</f>
        <v>4.7120906881381978E-3</v>
      </c>
      <c r="P87" s="195">
        <f>L87/HLOOKUP(F87,Team_Composition_23[[#All],[Yellow]:[Red]],7,FALSE)</f>
        <v>3.8546984288794842E-2</v>
      </c>
    </row>
    <row r="88" spans="1:16" ht="22.5" customHeight="1">
      <c r="A88" s="210">
        <v>87</v>
      </c>
      <c r="B88" s="115" t="str">
        <f>VLOOKUP(C88,Lists!I:J,2,FALSE)</f>
        <v>Healer</v>
      </c>
      <c r="C88" s="115" t="s">
        <v>10</v>
      </c>
      <c r="D88" s="16" t="s">
        <v>573</v>
      </c>
      <c r="E88" s="214" t="s">
        <v>609</v>
      </c>
      <c r="F88" s="17" t="s">
        <v>483</v>
      </c>
      <c r="G88" s="210">
        <v>0</v>
      </c>
      <c r="H88" s="210">
        <v>11</v>
      </c>
      <c r="I88" s="194">
        <f t="shared" si="0"/>
        <v>11</v>
      </c>
      <c r="J88" s="215">
        <v>73259</v>
      </c>
      <c r="K88" s="215">
        <v>1486520</v>
      </c>
      <c r="L88" s="215">
        <v>2466755</v>
      </c>
      <c r="M88" s="195">
        <f>I88/(HLOOKUP(F88,Team_Composition_23[[#All],[Yellow]:[Red]],10,FALSE)+HLOOKUP(F88,Team_Composition_23[[#All],[Yellow]:[Red]],11,FALSE))</f>
        <v>1.3398294762484775E-2</v>
      </c>
      <c r="N88" s="195">
        <f>J88/HLOOKUP(F88,Team_Composition_23[[#All],[Yellow]:[Red]],6,FALSE)</f>
        <v>4.1517324198566139E-3</v>
      </c>
      <c r="O88" s="195">
        <f>K88/HLOOKUP(F88,Team_Composition_23[[#All],[Yellow]:[Red]],8,FALSE)</f>
        <v>3.377231220200283E-2</v>
      </c>
      <c r="P88" s="195">
        <f>L88/HLOOKUP(F88,Team_Composition_23[[#All],[Yellow]:[Red]],7,FALSE)</f>
        <v>0.10164469372508103</v>
      </c>
    </row>
    <row r="89" spans="1:16" ht="22.5" customHeight="1">
      <c r="A89" s="210">
        <v>88</v>
      </c>
      <c r="B89" s="115" t="str">
        <f>VLOOKUP(C89,Lists!I:J,2,FALSE)</f>
        <v>Healer</v>
      </c>
      <c r="C89" s="115" t="s">
        <v>9</v>
      </c>
      <c r="D89" s="16" t="s">
        <v>573</v>
      </c>
      <c r="E89" s="214" t="s">
        <v>610</v>
      </c>
      <c r="F89" s="16" t="s">
        <v>483</v>
      </c>
      <c r="G89" s="210">
        <v>0</v>
      </c>
      <c r="H89" s="210">
        <v>11</v>
      </c>
      <c r="I89" s="194">
        <f t="shared" si="0"/>
        <v>11</v>
      </c>
      <c r="J89" s="215">
        <v>9323</v>
      </c>
      <c r="K89" s="215">
        <v>465856</v>
      </c>
      <c r="L89" s="215">
        <v>674372</v>
      </c>
      <c r="M89" s="195">
        <f>I89/(HLOOKUP(F89,Team_Composition_23[[#All],[Yellow]:[Red]],10,FALSE)+HLOOKUP(F89,Team_Composition_23[[#All],[Yellow]:[Red]],11,FALSE))</f>
        <v>1.3398294762484775E-2</v>
      </c>
      <c r="N89" s="195">
        <f>J89/HLOOKUP(F89,Team_Composition_23[[#All],[Yellow]:[Red]],6,FALSE)</f>
        <v>5.2835284880114683E-4</v>
      </c>
      <c r="O89" s="195">
        <f>K89/HLOOKUP(F89,Team_Composition_23[[#All],[Yellow]:[Red]],8,FALSE)</f>
        <v>1.0583802621677629E-2</v>
      </c>
      <c r="P89" s="195">
        <f>L89/HLOOKUP(F89,Team_Composition_23[[#All],[Yellow]:[Red]],7,FALSE)</f>
        <v>2.7788059777631074E-2</v>
      </c>
    </row>
    <row r="90" spans="1:16" ht="22.5" customHeight="1">
      <c r="A90" s="210">
        <v>89</v>
      </c>
      <c r="B90" s="115" t="str">
        <f>VLOOKUP(C90,Lists!I:J,2,FALSE)</f>
        <v>Tank</v>
      </c>
      <c r="C90" s="115" t="str">
        <f>VLOOKUP(E90,Lists!D:E,2,FALSE)</f>
        <v>SnS/Longbow</v>
      </c>
      <c r="D90" s="16" t="s">
        <v>7</v>
      </c>
      <c r="E90" s="214" t="s">
        <v>114</v>
      </c>
      <c r="F90" s="16" t="s">
        <v>476</v>
      </c>
      <c r="G90" s="210">
        <v>0</v>
      </c>
      <c r="H90" s="210">
        <v>10</v>
      </c>
      <c r="I90" s="194">
        <f t="shared" si="0"/>
        <v>10</v>
      </c>
      <c r="J90" s="215">
        <v>49783</v>
      </c>
      <c r="K90" s="215">
        <v>393599</v>
      </c>
      <c r="L90" s="215">
        <v>31648</v>
      </c>
      <c r="M90" s="195">
        <f>I90/(HLOOKUP(F90,Team_Composition_23[[#All],[Yellow]:[Red]],10,FALSE)+HLOOKUP(F90,Team_Composition_23[[#All],[Yellow]:[Red]],11,FALSE))</f>
        <v>2.4993751562109472E-3</v>
      </c>
      <c r="N90" s="195">
        <f>J90/HLOOKUP(F90,Team_Composition_23[[#All],[Yellow]:[Red]],6,FALSE)</f>
        <v>1.1221589343387464E-3</v>
      </c>
      <c r="O90" s="195">
        <f>K90/HLOOKUP(F90,Team_Composition_23[[#All],[Yellow]:[Red]],8,FALSE)</f>
        <v>2.2467282650036422E-2</v>
      </c>
      <c r="P90" s="195">
        <f>L90/HLOOKUP(F90,Team_Composition_23[[#All],[Yellow]:[Red]],7,FALSE)</f>
        <v>2.4448476273127673E-3</v>
      </c>
    </row>
    <row r="91" spans="1:16" ht="22.5" customHeight="1">
      <c r="A91" s="210">
        <v>90</v>
      </c>
      <c r="B91" s="115" t="str">
        <f>VLOOKUP(C91,Lists!I:J,2,FALSE)</f>
        <v>Healer</v>
      </c>
      <c r="C91" s="115" t="s">
        <v>9</v>
      </c>
      <c r="D91" s="17" t="s">
        <v>573</v>
      </c>
      <c r="E91" s="214" t="s">
        <v>611</v>
      </c>
      <c r="F91" s="16" t="s">
        <v>483</v>
      </c>
      <c r="G91" s="210">
        <v>0</v>
      </c>
      <c r="H91" s="210">
        <v>8</v>
      </c>
      <c r="I91" s="194">
        <f t="shared" si="0"/>
        <v>8</v>
      </c>
      <c r="J91" s="215">
        <v>22099</v>
      </c>
      <c r="K91" s="215">
        <v>617201</v>
      </c>
      <c r="L91" s="215">
        <v>1438327</v>
      </c>
      <c r="M91" s="195">
        <f>I91/(HLOOKUP(F91,Team_Composition_23[[#All],[Yellow]:[Red]],10,FALSE)+HLOOKUP(F91,Team_Composition_23[[#All],[Yellow]:[Red]],11,FALSE))</f>
        <v>9.7442143727161992E-3</v>
      </c>
      <c r="N91" s="195">
        <f>J91/HLOOKUP(F91,Team_Composition_23[[#All],[Yellow]:[Red]],6,FALSE)</f>
        <v>1.2523940368611545E-3</v>
      </c>
      <c r="O91" s="195">
        <f>K91/HLOOKUP(F91,Team_Composition_23[[#All],[Yellow]:[Red]],8,FALSE)</f>
        <v>1.4022216225404534E-2</v>
      </c>
      <c r="P91" s="195">
        <f>L91/HLOOKUP(F91,Team_Composition_23[[#All],[Yellow]:[Red]],7,FALSE)</f>
        <v>5.9267461661784253E-2</v>
      </c>
    </row>
    <row r="92" spans="1:16" ht="22.5" customHeight="1">
      <c r="A92" s="212">
        <v>91</v>
      </c>
      <c r="B92" s="115" t="str">
        <f>VLOOKUP(C92,Lists!I:J,2,FALSE)</f>
        <v>Tank</v>
      </c>
      <c r="C92" s="115" t="s">
        <v>62</v>
      </c>
      <c r="D92" s="17" t="s">
        <v>573</v>
      </c>
      <c r="E92" s="211" t="s">
        <v>612</v>
      </c>
      <c r="F92" s="17" t="s">
        <v>483</v>
      </c>
      <c r="G92" s="212">
        <v>0</v>
      </c>
      <c r="H92" s="212">
        <v>7</v>
      </c>
      <c r="I92" s="194">
        <f t="shared" si="0"/>
        <v>7</v>
      </c>
      <c r="J92" s="116">
        <v>42443</v>
      </c>
      <c r="K92" s="116">
        <v>873881</v>
      </c>
      <c r="L92" s="116">
        <v>49101</v>
      </c>
      <c r="M92" s="195">
        <f>I92/(HLOOKUP(F92,Team_Composition_23[[#All],[Yellow]:[Red]],10,FALSE)+HLOOKUP(F92,Team_Composition_23[[#All],[Yellow]:[Red]],11,FALSE))</f>
        <v>8.5261875761266752E-3</v>
      </c>
      <c r="N92" s="195">
        <f>J92/HLOOKUP(F92,Team_Composition_23[[#All],[Yellow]:[Red]],6,FALSE)</f>
        <v>2.4053287527262763E-3</v>
      </c>
      <c r="O92" s="195">
        <f>K92/HLOOKUP(F92,Team_Composition_23[[#All],[Yellow]:[Red]],8,FALSE)</f>
        <v>1.9853740251996901E-2</v>
      </c>
      <c r="P92" s="195">
        <f>L92/HLOOKUP(F92,Team_Composition_23[[#All],[Yellow]:[Red]],7,FALSE)</f>
        <v>2.0232475890776358E-3</v>
      </c>
    </row>
    <row r="93" spans="1:16" ht="22.5" customHeight="1">
      <c r="A93" s="212">
        <v>92</v>
      </c>
      <c r="B93" s="115" t="str">
        <f>VLOOKUP(C93,Lists!I:J,2,FALSE)</f>
        <v>Healer</v>
      </c>
      <c r="C93" s="115" t="s">
        <v>9</v>
      </c>
      <c r="D93" s="16" t="s">
        <v>573</v>
      </c>
      <c r="E93" s="211" t="s">
        <v>613</v>
      </c>
      <c r="F93" s="17" t="s">
        <v>483</v>
      </c>
      <c r="G93" s="212">
        <v>0</v>
      </c>
      <c r="H93" s="212">
        <v>6</v>
      </c>
      <c r="I93" s="194">
        <f t="shared" si="0"/>
        <v>6</v>
      </c>
      <c r="J93" s="213">
        <v>9230</v>
      </c>
      <c r="K93" s="215">
        <v>1040746</v>
      </c>
      <c r="L93" s="215">
        <v>122892</v>
      </c>
      <c r="M93" s="195">
        <f>I93/(HLOOKUP(F93,Team_Composition_23[[#All],[Yellow]:[Red]],10,FALSE)+HLOOKUP(F93,Team_Composition_23[[#All],[Yellow]:[Red]],11,FALSE))</f>
        <v>7.3081607795371494E-3</v>
      </c>
      <c r="N93" s="195">
        <f>J93/HLOOKUP(F93,Team_Composition_23[[#All],[Yellow]:[Red]],6,FALSE)</f>
        <v>5.2308235486802376E-4</v>
      </c>
      <c r="O93" s="195">
        <f>K93/HLOOKUP(F93,Team_Composition_23[[#All],[Yellow]:[Red]],8,FALSE)</f>
        <v>2.3644753407277154E-2</v>
      </c>
      <c r="P93" s="195">
        <f>L93/HLOOKUP(F93,Team_Composition_23[[#All],[Yellow]:[Red]],7,FALSE)</f>
        <v>5.0638671863491337E-3</v>
      </c>
    </row>
    <row r="94" spans="1:16" ht="22.5" customHeight="1">
      <c r="A94" s="212">
        <v>93</v>
      </c>
      <c r="B94" s="115" t="str">
        <f>VLOOKUP(C94,Lists!I:J,2,FALSE)</f>
        <v>Tank</v>
      </c>
      <c r="C94" s="115" t="s">
        <v>14</v>
      </c>
      <c r="D94" s="17" t="s">
        <v>573</v>
      </c>
      <c r="E94" s="211" t="s">
        <v>614</v>
      </c>
      <c r="F94" s="17" t="s">
        <v>483</v>
      </c>
      <c r="G94" s="212">
        <v>0</v>
      </c>
      <c r="H94" s="212">
        <v>4</v>
      </c>
      <c r="I94" s="194">
        <f t="shared" si="0"/>
        <v>4</v>
      </c>
      <c r="J94" s="213">
        <v>437777</v>
      </c>
      <c r="K94" s="213">
        <v>2065127</v>
      </c>
      <c r="L94" s="213">
        <v>127367</v>
      </c>
      <c r="M94" s="195">
        <f>I94/(HLOOKUP(F94,Team_Composition_23[[#All],[Yellow]:[Red]],10,FALSE)+HLOOKUP(F94,Team_Composition_23[[#All],[Yellow]:[Red]],11,FALSE))</f>
        <v>4.8721071863580996E-3</v>
      </c>
      <c r="N94" s="195">
        <f>J94/HLOOKUP(F94,Team_Composition_23[[#All],[Yellow]:[Red]],6,FALSE)</f>
        <v>2.4809688414632592E-2</v>
      </c>
      <c r="O94" s="195">
        <f>K94/HLOOKUP(F94,Team_Composition_23[[#All],[Yellow]:[Red]],8,FALSE)</f>
        <v>4.691770967143765E-2</v>
      </c>
      <c r="P94" s="195">
        <f>L94/HLOOKUP(F94,Team_Composition_23[[#All],[Yellow]:[Red]],7,FALSE)</f>
        <v>5.2482632874697307E-3</v>
      </c>
    </row>
    <row r="95" spans="1:16" ht="22.5" customHeight="1">
      <c r="A95" s="212">
        <v>94</v>
      </c>
      <c r="B95" s="115" t="str">
        <f>VLOOKUP(C95,Lists!I:J,2,FALSE)</f>
        <v>Tank</v>
      </c>
      <c r="C95" s="115" t="s">
        <v>14</v>
      </c>
      <c r="D95" s="17" t="s">
        <v>573</v>
      </c>
      <c r="E95" s="211" t="s">
        <v>615</v>
      </c>
      <c r="F95" s="17" t="s">
        <v>483</v>
      </c>
      <c r="G95" s="212">
        <v>0</v>
      </c>
      <c r="H95" s="212">
        <v>4</v>
      </c>
      <c r="I95" s="194">
        <f t="shared" si="0"/>
        <v>4</v>
      </c>
      <c r="J95" s="213">
        <v>117954</v>
      </c>
      <c r="K95" s="213">
        <v>1275457</v>
      </c>
      <c r="L95" s="213">
        <v>91196</v>
      </c>
      <c r="M95" s="195">
        <f>I95/(HLOOKUP(F95,Team_Composition_23[[#All],[Yellow]:[Red]],10,FALSE)+HLOOKUP(F95,Team_Composition_23[[#All],[Yellow]:[Red]],11,FALSE))</f>
        <v>4.8721071863580996E-3</v>
      </c>
      <c r="N95" s="195">
        <f>J95/HLOOKUP(F95,Team_Composition_23[[#All],[Yellow]:[Red]],6,FALSE)</f>
        <v>6.6846864665333549E-3</v>
      </c>
      <c r="O95" s="195">
        <f>K95/HLOOKUP(F95,Team_Composition_23[[#All],[Yellow]:[Red]],8,FALSE)</f>
        <v>2.897716277226672E-2</v>
      </c>
      <c r="P95" s="195">
        <f>L95/HLOOKUP(F95,Team_Composition_23[[#All],[Yellow]:[Red]],7,FALSE)</f>
        <v>3.7578071145908248E-3</v>
      </c>
    </row>
    <row r="96" spans="1:16" ht="22.5" customHeight="1">
      <c r="A96" s="212">
        <v>95</v>
      </c>
      <c r="B96" s="115" t="str">
        <f>VLOOKUP(C96,Lists!I:J,2,FALSE)</f>
        <v>Tank</v>
      </c>
      <c r="C96" s="115" t="s">
        <v>14</v>
      </c>
      <c r="D96" s="17" t="s">
        <v>573</v>
      </c>
      <c r="E96" s="211" t="s">
        <v>616</v>
      </c>
      <c r="F96" s="17" t="s">
        <v>483</v>
      </c>
      <c r="G96" s="212">
        <v>0</v>
      </c>
      <c r="H96" s="212">
        <v>4</v>
      </c>
      <c r="I96" s="194">
        <f t="shared" si="0"/>
        <v>4</v>
      </c>
      <c r="J96" s="213">
        <v>24422</v>
      </c>
      <c r="K96" s="213">
        <v>913407</v>
      </c>
      <c r="L96" s="213">
        <v>57808</v>
      </c>
      <c r="M96" s="195">
        <f>I96/(HLOOKUP(F96,Team_Composition_23[[#All],[Yellow]:[Red]],10,FALSE)+HLOOKUP(F96,Team_Composition_23[[#All],[Yellow]:[Red]],11,FALSE))</f>
        <v>4.8721071863580996E-3</v>
      </c>
      <c r="N96" s="195">
        <f>J96/HLOOKUP(F96,Team_Composition_23[[#All],[Yellow]:[Red]],6,FALSE)</f>
        <v>1.3840430412336809E-3</v>
      </c>
      <c r="O96" s="195">
        <f>K96/HLOOKUP(F96,Team_Composition_23[[#All],[Yellow]:[Red]],8,FALSE)</f>
        <v>2.075173315629443E-2</v>
      </c>
      <c r="P96" s="195">
        <f>L96/HLOOKUP(F96,Team_Composition_23[[#All],[Yellow]:[Red]],7,FALSE)</f>
        <v>2.3820267739842358E-3</v>
      </c>
    </row>
    <row r="97" spans="1:16" ht="22.5" customHeight="1">
      <c r="A97" s="210"/>
      <c r="B97" s="115" t="e">
        <f>VLOOKUP(C97,Lists!I:J,2,FALSE)</f>
        <v>#N/A</v>
      </c>
      <c r="C97" s="115"/>
      <c r="D97" s="17"/>
      <c r="E97" s="211"/>
      <c r="F97" s="17"/>
      <c r="G97" s="212"/>
      <c r="H97" s="212"/>
      <c r="I97" s="194">
        <f t="shared" si="0"/>
        <v>0</v>
      </c>
      <c r="J97" s="213"/>
      <c r="K97" s="213"/>
      <c r="L97" s="213"/>
      <c r="M97" s="195" t="e">
        <f>I97/(HLOOKUP(F97,Team_Composition_23[[#All],[Yellow]:[Red]],10,FALSE)+HLOOKUP(F97,Team_Composition_23[[#All],[Yellow]:[Red]],11,FALSE))</f>
        <v>#N/A</v>
      </c>
      <c r="N97" s="195" t="e">
        <f>J97/HLOOKUP(F97,Team_Composition_23[[#All],[Yellow]:[Red]],6,FALSE)</f>
        <v>#N/A</v>
      </c>
      <c r="O97" s="195" t="e">
        <f>K97/HLOOKUP(F97,Team_Composition_23[[#All],[Yellow]:[Red]],8,FALSE)</f>
        <v>#N/A</v>
      </c>
      <c r="P97" s="195" t="e">
        <f>L97/HLOOKUP(F97,Team_Composition_23[[#All],[Yellow]:[Red]],7,FALSE)</f>
        <v>#N/A</v>
      </c>
    </row>
    <row r="98" spans="1:16" ht="22.5" customHeight="1">
      <c r="A98" s="210"/>
      <c r="B98" s="115" t="e">
        <f>VLOOKUP(C98,Lists!I:J,2,FALSE)</f>
        <v>#N/A</v>
      </c>
      <c r="C98" s="115"/>
      <c r="D98" s="17"/>
      <c r="E98" s="211"/>
      <c r="F98" s="17"/>
      <c r="G98" s="212"/>
      <c r="H98" s="212"/>
      <c r="I98" s="194">
        <f t="shared" si="0"/>
        <v>0</v>
      </c>
      <c r="J98" s="213"/>
      <c r="K98" s="213"/>
      <c r="L98" s="213"/>
      <c r="M98" s="195" t="e">
        <f>I98/(HLOOKUP(F98,Team_Composition_23[[#All],[Yellow]:[Red]],10,FALSE)+HLOOKUP(F98,Team_Composition_23[[#All],[Yellow]:[Red]],11,FALSE))</f>
        <v>#N/A</v>
      </c>
      <c r="N98" s="195" t="e">
        <f>J98/HLOOKUP(F98,Team_Composition_23[[#All],[Yellow]:[Red]],6,FALSE)</f>
        <v>#N/A</v>
      </c>
      <c r="O98" s="195" t="e">
        <f>K98/HLOOKUP(F98,Team_Composition_23[[#All],[Yellow]:[Red]],8,FALSE)</f>
        <v>#N/A</v>
      </c>
      <c r="P98" s="195" t="e">
        <f>L98/HLOOKUP(F98,Team_Composition_23[[#All],[Yellow]:[Red]],7,FALSE)</f>
        <v>#N/A</v>
      </c>
    </row>
    <row r="99" spans="1:16" ht="22.5" customHeight="1">
      <c r="A99" s="210"/>
      <c r="B99" s="115" t="e">
        <f>VLOOKUP(C99,Lists!I:J,2,FALSE)</f>
        <v>#N/A</v>
      </c>
      <c r="C99" s="115"/>
      <c r="D99" s="17"/>
      <c r="E99" s="211"/>
      <c r="F99" s="17"/>
      <c r="G99" s="212"/>
      <c r="H99" s="212"/>
      <c r="I99" s="194">
        <f t="shared" si="0"/>
        <v>0</v>
      </c>
      <c r="J99" s="213"/>
      <c r="K99" s="213"/>
      <c r="L99" s="213"/>
      <c r="M99" s="195" t="e">
        <f>I99/(HLOOKUP(F99,Team_Composition_23[[#All],[Yellow]:[Red]],10,FALSE)+HLOOKUP(F99,Team_Composition_23[[#All],[Yellow]:[Red]],11,FALSE))</f>
        <v>#N/A</v>
      </c>
      <c r="N99" s="195" t="e">
        <f>J99/HLOOKUP(F99,Team_Composition_23[[#All],[Yellow]:[Red]],6,FALSE)</f>
        <v>#N/A</v>
      </c>
      <c r="O99" s="195" t="e">
        <f>K99/HLOOKUP(F99,Team_Composition_23[[#All],[Yellow]:[Red]],8,FALSE)</f>
        <v>#N/A</v>
      </c>
      <c r="P99" s="195" t="e">
        <f>L99/HLOOKUP(F99,Team_Composition_23[[#All],[Yellow]:[Red]],7,FALSE)</f>
        <v>#N/A</v>
      </c>
    </row>
    <row r="100" spans="1:16" ht="22.5" customHeight="1">
      <c r="A100" s="210"/>
      <c r="B100" s="115" t="e">
        <f>VLOOKUP(C100,Lists!I:J,2,FALSE)</f>
        <v>#N/A</v>
      </c>
      <c r="C100" s="115"/>
      <c r="D100" s="17"/>
      <c r="E100" s="211"/>
      <c r="F100" s="17"/>
      <c r="G100" s="212"/>
      <c r="H100" s="212"/>
      <c r="I100" s="194">
        <f t="shared" si="0"/>
        <v>0</v>
      </c>
      <c r="J100" s="213"/>
      <c r="K100" s="213"/>
      <c r="L100" s="213"/>
      <c r="M100" s="195" t="e">
        <f>I100/(HLOOKUP(F100,Team_Composition_23[[#All],[Yellow]:[Red]],10,FALSE)+HLOOKUP(F100,Team_Composition_23[[#All],[Yellow]:[Red]],11,FALSE))</f>
        <v>#N/A</v>
      </c>
      <c r="N100" s="195" t="e">
        <f>J100/HLOOKUP(F100,Team_Composition_23[[#All],[Yellow]:[Red]],6,FALSE)</f>
        <v>#N/A</v>
      </c>
      <c r="O100" s="195" t="e">
        <f>K100/HLOOKUP(F100,Team_Composition_23[[#All],[Yellow]:[Red]],8,FALSE)</f>
        <v>#N/A</v>
      </c>
      <c r="P100" s="195" t="e">
        <f>L100/HLOOKUP(F100,Team_Composition_23[[#All],[Yellow]:[Red]],7,FALSE)</f>
        <v>#N/A</v>
      </c>
    </row>
    <row r="101" spans="1:16" ht="22.5" customHeight="1">
      <c r="A101" s="210"/>
      <c r="B101" s="115" t="e">
        <f>VLOOKUP(C101,Lists!I:J,2,FALSE)</f>
        <v>#N/A</v>
      </c>
      <c r="C101" s="115"/>
      <c r="D101" s="17"/>
      <c r="E101" s="211"/>
      <c r="F101" s="17"/>
      <c r="G101" s="212"/>
      <c r="H101" s="212"/>
      <c r="I101" s="194">
        <f t="shared" si="0"/>
        <v>0</v>
      </c>
      <c r="J101" s="213"/>
      <c r="K101" s="213"/>
      <c r="L101" s="213"/>
      <c r="M101" s="195" t="e">
        <f>I101/(HLOOKUP(F101,Team_Composition_23[[#All],[Yellow]:[Red]],10,FALSE)+HLOOKUP(F101,Team_Composition_23[[#All],[Yellow]:[Red]],11,FALSE))</f>
        <v>#N/A</v>
      </c>
      <c r="N101" s="195" t="e">
        <f>J101/HLOOKUP(F101,Team_Composition_23[[#All],[Yellow]:[Red]],6,FALSE)</f>
        <v>#N/A</v>
      </c>
      <c r="O101" s="195" t="e">
        <f>K101/HLOOKUP(F101,Team_Composition_23[[#All],[Yellow]:[Red]],8,FALSE)</f>
        <v>#N/A</v>
      </c>
      <c r="P101" s="195" t="e">
        <f>L101/HLOOKUP(F101,Team_Composition_23[[#All],[Yellow]:[Red]],7,FALSE)</f>
        <v>#N/A</v>
      </c>
    </row>
    <row r="102" spans="1:16" ht="22.5" customHeight="1">
      <c r="A102" s="210"/>
      <c r="B102" s="115" t="e">
        <f>VLOOKUP(C102,Lists!I:J,2,FALSE)</f>
        <v>#N/A</v>
      </c>
      <c r="C102" s="115"/>
      <c r="D102" s="17"/>
      <c r="E102" s="211"/>
      <c r="F102" s="17"/>
      <c r="G102" s="212"/>
      <c r="H102" s="212"/>
      <c r="I102" s="194">
        <f t="shared" si="0"/>
        <v>0</v>
      </c>
      <c r="J102" s="213"/>
      <c r="K102" s="213"/>
      <c r="L102" s="213"/>
      <c r="M102" s="195" t="e">
        <f>I102/(HLOOKUP(F102,Team_Composition_23[[#All],[Yellow]:[Red]],10,FALSE)+HLOOKUP(F102,Team_Composition_23[[#All],[Yellow]:[Red]],11,FALSE))</f>
        <v>#N/A</v>
      </c>
      <c r="N102" s="195" t="e">
        <f>J102/HLOOKUP(F102,Team_Composition_23[[#All],[Yellow]:[Red]],6,FALSE)</f>
        <v>#N/A</v>
      </c>
      <c r="O102" s="195" t="e">
        <f>K102/HLOOKUP(F102,Team_Composition_23[[#All],[Yellow]:[Red]],8,FALSE)</f>
        <v>#N/A</v>
      </c>
      <c r="P102" s="195" t="e">
        <f>L102/HLOOKUP(F102,Team_Composition_23[[#All],[Yellow]:[Red]],7,FALSE)</f>
        <v>#N/A</v>
      </c>
    </row>
    <row r="103" spans="1:16" ht="22.5" customHeight="1">
      <c r="A103" s="210"/>
      <c r="B103" s="115" t="e">
        <f>VLOOKUP(C103,Lists!I:J,2,FALSE)</f>
        <v>#N/A</v>
      </c>
      <c r="C103" s="115"/>
      <c r="D103" s="17"/>
      <c r="E103" s="211"/>
      <c r="F103" s="17"/>
      <c r="G103" s="212"/>
      <c r="H103" s="212"/>
      <c r="I103" s="194">
        <f t="shared" si="0"/>
        <v>0</v>
      </c>
      <c r="J103" s="213"/>
      <c r="K103" s="213"/>
      <c r="L103" s="213"/>
      <c r="M103" s="195" t="e">
        <f>I103/(HLOOKUP(F103,Team_Composition_23[[#All],[Yellow]:[Red]],10,FALSE)+HLOOKUP(F103,Team_Composition_23[[#All],[Yellow]:[Red]],11,FALSE))</f>
        <v>#N/A</v>
      </c>
      <c r="N103" s="195" t="e">
        <f>J103/HLOOKUP(F103,Team_Composition_23[[#All],[Yellow]:[Red]],6,FALSE)</f>
        <v>#N/A</v>
      </c>
      <c r="O103" s="195" t="e">
        <f>K103/HLOOKUP(F103,Team_Composition_23[[#All],[Yellow]:[Red]],8,FALSE)</f>
        <v>#N/A</v>
      </c>
      <c r="P103" s="195" t="e">
        <f>L103/HLOOKUP(F103,Team_Composition_23[[#All],[Yellow]:[Red]],7,FALSE)</f>
        <v>#N/A</v>
      </c>
    </row>
    <row r="104" spans="1:16" ht="22.5" customHeight="1">
      <c r="A104" s="210"/>
      <c r="B104" s="115" t="e">
        <f>VLOOKUP(C104,Lists!I:J,2,FALSE)</f>
        <v>#N/A</v>
      </c>
      <c r="C104" s="115"/>
      <c r="D104" s="17"/>
      <c r="E104" s="211"/>
      <c r="F104" s="17"/>
      <c r="G104" s="212"/>
      <c r="H104" s="212"/>
      <c r="I104" s="116"/>
      <c r="J104" s="213"/>
      <c r="K104" s="213"/>
      <c r="L104" s="213"/>
    </row>
    <row r="105" spans="1:16" ht="22.5" customHeight="1">
      <c r="A105" s="210"/>
      <c r="B105" s="115" t="e">
        <f>VLOOKUP(C105,Lists!I:J,2,FALSE)</f>
        <v>#N/A</v>
      </c>
      <c r="C105" s="115"/>
      <c r="D105" s="17"/>
      <c r="E105" s="211"/>
      <c r="F105" s="17"/>
      <c r="G105" s="212"/>
      <c r="H105" s="212"/>
      <c r="I105" s="116"/>
      <c r="J105" s="213"/>
      <c r="K105" s="213"/>
      <c r="L105" s="213"/>
    </row>
    <row r="106" spans="1:16" ht="22.5" customHeight="1">
      <c r="A106" s="210"/>
      <c r="B106" s="115" t="e">
        <f>VLOOKUP(C106,Lists!I:J,2,FALSE)</f>
        <v>#N/A</v>
      </c>
      <c r="C106" s="115"/>
      <c r="D106" s="17"/>
      <c r="E106" s="211"/>
      <c r="F106" s="17"/>
      <c r="G106" s="212"/>
      <c r="H106" s="212"/>
      <c r="I106" s="116"/>
      <c r="J106" s="213"/>
      <c r="K106" s="213"/>
      <c r="L106" s="213"/>
    </row>
    <row r="107" spans="1:16" ht="22.5" customHeight="1">
      <c r="A107" s="210"/>
      <c r="B107" s="115" t="e">
        <f>VLOOKUP(C107,Lists!I:J,2,FALSE)</f>
        <v>#N/A</v>
      </c>
      <c r="C107" s="115"/>
      <c r="D107" s="17"/>
      <c r="E107" s="211"/>
      <c r="F107" s="17"/>
      <c r="G107" s="212"/>
      <c r="H107" s="212"/>
      <c r="I107" s="116"/>
      <c r="J107" s="213"/>
      <c r="K107" s="213"/>
      <c r="L107" s="213"/>
    </row>
    <row r="108" spans="1:16" ht="22.5" customHeight="1">
      <c r="A108" s="210"/>
      <c r="B108" s="115" t="e">
        <f>VLOOKUP(C108,Lists!I:J,2,FALSE)</f>
        <v>#N/A</v>
      </c>
      <c r="C108" s="115"/>
      <c r="D108" s="17"/>
      <c r="E108" s="211"/>
      <c r="F108" s="17"/>
      <c r="G108" s="212"/>
      <c r="H108" s="212"/>
      <c r="I108" s="116"/>
      <c r="J108" s="213"/>
      <c r="K108" s="213"/>
      <c r="L108" s="213"/>
    </row>
    <row r="109" spans="1:16" ht="22.5" customHeight="1">
      <c r="A109" s="210"/>
      <c r="B109" s="115" t="e">
        <f>VLOOKUP(C109,Lists!I:J,2,FALSE)</f>
        <v>#N/A</v>
      </c>
      <c r="C109" s="115"/>
      <c r="D109" s="17"/>
      <c r="E109" s="211"/>
      <c r="F109" s="17"/>
      <c r="G109" s="212"/>
      <c r="H109" s="212"/>
      <c r="I109" s="116"/>
      <c r="J109" s="213"/>
      <c r="K109" s="213"/>
      <c r="L109" s="213"/>
    </row>
    <row r="110" spans="1:16" ht="22.5" customHeight="1">
      <c r="A110" s="210"/>
      <c r="B110" s="115" t="e">
        <f>VLOOKUP(C110,Lists!I:J,2,FALSE)</f>
        <v>#N/A</v>
      </c>
      <c r="C110" s="115"/>
      <c r="D110" s="17"/>
      <c r="E110" s="211"/>
      <c r="F110" s="17"/>
      <c r="G110" s="212"/>
      <c r="H110" s="212"/>
      <c r="I110" s="116"/>
      <c r="J110" s="213"/>
      <c r="K110" s="213"/>
      <c r="L110" s="213"/>
    </row>
    <row r="111" spans="1:16" ht="22.5" customHeight="1">
      <c r="A111" s="210"/>
      <c r="B111" s="115" t="e">
        <f>VLOOKUP(C111,Lists!I:J,2,FALSE)</f>
        <v>#N/A</v>
      </c>
      <c r="C111" s="115"/>
      <c r="D111" s="17"/>
      <c r="E111" s="211"/>
      <c r="F111" s="17"/>
      <c r="G111" s="212"/>
      <c r="H111" s="212"/>
      <c r="I111" s="116"/>
      <c r="J111" s="213"/>
      <c r="K111" s="213"/>
      <c r="L111" s="213"/>
    </row>
    <row r="112" spans="1:16" ht="22.5" customHeight="1">
      <c r="A112" s="210"/>
      <c r="B112" s="115" t="e">
        <f>VLOOKUP(C112,Lists!I:J,2,FALSE)</f>
        <v>#N/A</v>
      </c>
      <c r="C112" s="115"/>
      <c r="D112" s="17"/>
      <c r="E112" s="211"/>
      <c r="F112" s="17"/>
      <c r="G112" s="212"/>
      <c r="H112" s="212"/>
      <c r="I112" s="116"/>
      <c r="J112" s="213"/>
      <c r="K112" s="213"/>
      <c r="L112" s="213"/>
    </row>
    <row r="113" spans="1:12" ht="22.5" customHeight="1">
      <c r="A113" s="210"/>
      <c r="B113" s="115" t="e">
        <f>VLOOKUP(C113,Lists!I:J,2,FALSE)</f>
        <v>#N/A</v>
      </c>
      <c r="C113" s="115"/>
      <c r="D113" s="17"/>
      <c r="E113" s="211"/>
      <c r="F113" s="17"/>
      <c r="G113" s="212"/>
      <c r="H113" s="212"/>
      <c r="I113" s="116"/>
      <c r="J113" s="213"/>
      <c r="K113" s="213"/>
      <c r="L113" s="213"/>
    </row>
    <row r="114" spans="1:12" ht="22.5" customHeight="1">
      <c r="A114" s="210"/>
      <c r="B114" s="115" t="e">
        <f>VLOOKUP(C114,Lists!I:J,2,FALSE)</f>
        <v>#N/A</v>
      </c>
      <c r="C114" s="115"/>
      <c r="D114" s="17"/>
      <c r="E114" s="211"/>
      <c r="F114" s="17"/>
      <c r="G114" s="212"/>
      <c r="H114" s="212"/>
      <c r="I114" s="116"/>
      <c r="J114" s="213"/>
      <c r="K114" s="213"/>
      <c r="L114" s="213"/>
    </row>
    <row r="115" spans="1:12" ht="22.5" customHeight="1">
      <c r="A115" s="210"/>
      <c r="B115" s="115" t="e">
        <f>VLOOKUP(C115,Lists!I:J,2,FALSE)</f>
        <v>#N/A</v>
      </c>
      <c r="C115" s="115"/>
      <c r="D115" s="17"/>
      <c r="E115" s="211"/>
      <c r="F115" s="17"/>
      <c r="G115" s="212"/>
      <c r="H115" s="212"/>
      <c r="I115" s="116"/>
      <c r="J115" s="213"/>
      <c r="K115" s="213"/>
      <c r="L115" s="213"/>
    </row>
    <row r="116" spans="1:12" ht="22.5" customHeight="1">
      <c r="A116" s="210"/>
      <c r="B116" s="115" t="e">
        <f>VLOOKUP(C116,Lists!I:J,2,FALSE)</f>
        <v>#N/A</v>
      </c>
      <c r="C116" s="115"/>
      <c r="D116" s="17"/>
      <c r="E116" s="211"/>
      <c r="F116" s="17"/>
      <c r="G116" s="212"/>
      <c r="H116" s="212"/>
      <c r="I116" s="116"/>
      <c r="J116" s="213"/>
      <c r="K116" s="213"/>
      <c r="L116" s="213"/>
    </row>
    <row r="117" spans="1:12" ht="22.5" customHeight="1">
      <c r="A117" s="210"/>
      <c r="B117" s="115" t="e">
        <f>VLOOKUP(C117,Lists!I:J,2,FALSE)</f>
        <v>#N/A</v>
      </c>
      <c r="C117" s="115"/>
      <c r="D117" s="17"/>
      <c r="E117" s="211"/>
      <c r="F117" s="17"/>
      <c r="G117" s="212"/>
      <c r="H117" s="212"/>
      <c r="I117" s="116"/>
      <c r="J117" s="213"/>
      <c r="K117" s="213"/>
      <c r="L117" s="213"/>
    </row>
    <row r="118" spans="1:12" ht="22.5" customHeight="1">
      <c r="A118" s="210"/>
      <c r="B118" s="115" t="e">
        <f>VLOOKUP(C118,Lists!I:J,2,FALSE)</f>
        <v>#N/A</v>
      </c>
      <c r="C118" s="115"/>
      <c r="D118" s="17"/>
      <c r="E118" s="211"/>
      <c r="F118" s="17"/>
      <c r="G118" s="212"/>
      <c r="H118" s="212"/>
      <c r="I118" s="116"/>
      <c r="J118" s="213"/>
      <c r="K118" s="213"/>
      <c r="L118" s="213"/>
    </row>
    <row r="119" spans="1:12" ht="22.5" customHeight="1">
      <c r="A119" s="210"/>
      <c r="B119" s="115" t="e">
        <f>VLOOKUP(C119,Lists!I:J,2,FALSE)</f>
        <v>#N/A</v>
      </c>
      <c r="C119" s="115"/>
      <c r="D119" s="17"/>
      <c r="E119" s="211"/>
      <c r="F119" s="17"/>
      <c r="G119" s="212"/>
      <c r="H119" s="212"/>
      <c r="I119" s="116"/>
      <c r="J119" s="213"/>
      <c r="K119" s="213"/>
      <c r="L119" s="213"/>
    </row>
    <row r="120" spans="1:12" ht="22.5" customHeight="1">
      <c r="A120" s="210"/>
      <c r="B120" s="115" t="e">
        <f>VLOOKUP(C120,Lists!I:J,2,FALSE)</f>
        <v>#N/A</v>
      </c>
      <c r="C120" s="115"/>
      <c r="D120" s="17"/>
      <c r="E120" s="211"/>
      <c r="F120" s="17"/>
      <c r="G120" s="212"/>
      <c r="H120" s="212"/>
      <c r="I120" s="116"/>
      <c r="J120" s="213"/>
      <c r="K120" s="213"/>
      <c r="L120" s="213"/>
    </row>
    <row r="121" spans="1:12" ht="22.5" customHeight="1">
      <c r="A121" s="210"/>
      <c r="B121" s="115" t="e">
        <f>VLOOKUP(C121,Lists!I:J,2,FALSE)</f>
        <v>#N/A</v>
      </c>
      <c r="C121" s="115"/>
      <c r="D121" s="17"/>
      <c r="E121" s="211"/>
      <c r="F121" s="17"/>
      <c r="G121" s="212"/>
      <c r="H121" s="212"/>
      <c r="I121" s="116"/>
      <c r="J121" s="213"/>
      <c r="K121" s="213"/>
      <c r="L121" s="213"/>
    </row>
    <row r="122" spans="1:12" ht="22.5" customHeight="1">
      <c r="A122" s="210"/>
      <c r="B122" s="115" t="e">
        <f>VLOOKUP(C122,Lists!I:J,2,FALSE)</f>
        <v>#N/A</v>
      </c>
      <c r="C122" s="115"/>
      <c r="D122" s="17"/>
      <c r="E122" s="211"/>
      <c r="F122" s="17"/>
      <c r="G122" s="212"/>
      <c r="H122" s="212"/>
      <c r="I122" s="116"/>
      <c r="J122" s="213"/>
      <c r="K122" s="213"/>
      <c r="L122" s="213"/>
    </row>
    <row r="123" spans="1:12" ht="22.5" customHeight="1">
      <c r="A123" s="210"/>
      <c r="B123" s="115" t="e">
        <f>VLOOKUP(C123,Lists!I:J,2,FALSE)</f>
        <v>#N/A</v>
      </c>
      <c r="C123" s="115"/>
      <c r="D123" s="17"/>
      <c r="E123" s="211"/>
      <c r="F123" s="17"/>
      <c r="G123" s="212"/>
      <c r="H123" s="212"/>
      <c r="I123" s="116"/>
      <c r="J123" s="213"/>
      <c r="K123" s="213"/>
      <c r="L123" s="213"/>
    </row>
    <row r="124" spans="1:12" ht="22.5" customHeight="1">
      <c r="A124" s="210"/>
      <c r="B124" s="115" t="e">
        <f>VLOOKUP(C124,Lists!I:J,2,FALSE)</f>
        <v>#N/A</v>
      </c>
      <c r="C124" s="115"/>
      <c r="D124" s="17"/>
      <c r="E124" s="211"/>
      <c r="F124" s="17"/>
      <c r="G124" s="212"/>
      <c r="H124" s="212"/>
      <c r="I124" s="116"/>
      <c r="J124" s="213"/>
      <c r="K124" s="213"/>
      <c r="L124" s="213"/>
    </row>
    <row r="125" spans="1:12" ht="22.5" customHeight="1">
      <c r="A125" s="210"/>
      <c r="B125" s="115" t="e">
        <f>VLOOKUP(C125,Lists!I:J,2,FALSE)</f>
        <v>#N/A</v>
      </c>
      <c r="C125" s="115"/>
      <c r="D125" s="17"/>
      <c r="E125" s="211"/>
      <c r="F125" s="17"/>
      <c r="G125" s="212"/>
      <c r="H125" s="212"/>
      <c r="I125" s="116"/>
      <c r="J125" s="213"/>
      <c r="K125" s="213"/>
      <c r="L125" s="213"/>
    </row>
    <row r="126" spans="1:12" ht="22.5" customHeight="1">
      <c r="A126" s="210"/>
      <c r="B126" s="115" t="e">
        <f>VLOOKUP(C126,Lists!I:J,2,FALSE)</f>
        <v>#N/A</v>
      </c>
      <c r="C126" s="115"/>
      <c r="D126" s="17"/>
      <c r="E126" s="211"/>
      <c r="F126" s="17"/>
      <c r="G126" s="212"/>
      <c r="H126" s="212"/>
      <c r="I126" s="116"/>
      <c r="J126" s="213"/>
      <c r="K126" s="213"/>
      <c r="L126" s="213"/>
    </row>
    <row r="127" spans="1:12" ht="22.5" customHeight="1">
      <c r="A127" s="210"/>
      <c r="B127" s="115" t="e">
        <f>VLOOKUP(C127,Lists!I:J,2,FALSE)</f>
        <v>#N/A</v>
      </c>
      <c r="C127" s="115"/>
      <c r="D127" s="17"/>
      <c r="E127" s="211"/>
      <c r="F127" s="17"/>
      <c r="G127" s="212"/>
      <c r="H127" s="212"/>
      <c r="I127" s="116"/>
      <c r="J127" s="213"/>
      <c r="K127" s="213"/>
      <c r="L127" s="213"/>
    </row>
    <row r="128" spans="1:12" ht="22.5" customHeight="1">
      <c r="A128" s="210"/>
      <c r="B128" s="115" t="e">
        <f>VLOOKUP(C128,Lists!I:J,2,FALSE)</f>
        <v>#N/A</v>
      </c>
      <c r="C128" s="115"/>
      <c r="D128" s="17"/>
      <c r="E128" s="211"/>
      <c r="F128" s="17"/>
      <c r="G128" s="212"/>
      <c r="H128" s="212"/>
      <c r="I128" s="116"/>
      <c r="J128" s="213"/>
      <c r="K128" s="213"/>
      <c r="L128" s="213"/>
    </row>
    <row r="129" spans="1:12" ht="22.5" customHeight="1">
      <c r="A129" s="210"/>
      <c r="B129" s="115" t="e">
        <f>VLOOKUP(C129,Lists!I:J,2,FALSE)</f>
        <v>#N/A</v>
      </c>
      <c r="C129" s="115"/>
      <c r="D129" s="17"/>
      <c r="E129" s="211"/>
      <c r="F129" s="17"/>
      <c r="G129" s="212"/>
      <c r="H129" s="212"/>
      <c r="I129" s="116"/>
      <c r="J129" s="213"/>
      <c r="K129" s="213"/>
      <c r="L129" s="213"/>
    </row>
    <row r="130" spans="1:12" ht="22.5" customHeight="1">
      <c r="A130" s="210"/>
      <c r="B130" s="115" t="e">
        <f>VLOOKUP(C130,Lists!I:J,2,FALSE)</f>
        <v>#N/A</v>
      </c>
      <c r="C130" s="115"/>
      <c r="D130" s="17"/>
      <c r="E130" s="211"/>
      <c r="F130" s="17"/>
      <c r="G130" s="212"/>
      <c r="H130" s="212"/>
      <c r="I130" s="116"/>
      <c r="J130" s="213"/>
      <c r="K130" s="213"/>
      <c r="L130" s="213"/>
    </row>
    <row r="131" spans="1:12" ht="22.5" customHeight="1">
      <c r="A131" s="210"/>
      <c r="B131" s="115" t="e">
        <f>VLOOKUP(C131,Lists!I:J,2,FALSE)</f>
        <v>#N/A</v>
      </c>
      <c r="C131" s="115"/>
      <c r="D131" s="17"/>
      <c r="E131" s="211"/>
      <c r="F131" s="17"/>
      <c r="G131" s="212"/>
      <c r="H131" s="212"/>
      <c r="I131" s="116"/>
      <c r="J131" s="213"/>
      <c r="K131" s="213"/>
      <c r="L131" s="213"/>
    </row>
    <row r="132" spans="1:12" ht="22.5" customHeight="1">
      <c r="A132" s="210"/>
      <c r="B132" s="115" t="e">
        <f>VLOOKUP(C132,Lists!I:J,2,FALSE)</f>
        <v>#N/A</v>
      </c>
      <c r="C132" s="115"/>
      <c r="D132" s="17"/>
      <c r="E132" s="211"/>
      <c r="F132" s="17"/>
      <c r="G132" s="212"/>
      <c r="H132" s="212"/>
      <c r="I132" s="116"/>
      <c r="J132" s="213"/>
      <c r="K132" s="213"/>
      <c r="L132" s="213"/>
    </row>
    <row r="133" spans="1:12" ht="22.5" customHeight="1">
      <c r="A133" s="210"/>
      <c r="B133" s="115" t="e">
        <f>VLOOKUP(C133,Lists!I:J,2,FALSE)</f>
        <v>#N/A</v>
      </c>
      <c r="C133" s="115"/>
      <c r="D133" s="17"/>
      <c r="E133" s="211"/>
      <c r="F133" s="17"/>
      <c r="G133" s="212"/>
      <c r="H133" s="212"/>
      <c r="I133" s="116"/>
      <c r="J133" s="213"/>
      <c r="K133" s="213"/>
      <c r="L133" s="213"/>
    </row>
    <row r="134" spans="1:12" ht="22.5" customHeight="1">
      <c r="A134" s="210"/>
      <c r="B134" s="115" t="e">
        <f>VLOOKUP(C134,Lists!I:J,2,FALSE)</f>
        <v>#N/A</v>
      </c>
      <c r="C134" s="115"/>
      <c r="D134" s="17"/>
      <c r="E134" s="211"/>
      <c r="F134" s="17"/>
      <c r="G134" s="212"/>
      <c r="H134" s="212"/>
      <c r="I134" s="116"/>
      <c r="J134" s="213"/>
      <c r="K134" s="213"/>
      <c r="L134" s="213"/>
    </row>
    <row r="135" spans="1:12" ht="22.5" customHeight="1">
      <c r="A135" s="210"/>
      <c r="B135" s="115" t="e">
        <f>VLOOKUP(C135,Lists!I:J,2,FALSE)</f>
        <v>#N/A</v>
      </c>
      <c r="C135" s="115"/>
      <c r="D135" s="17"/>
      <c r="E135" s="211"/>
      <c r="F135" s="17"/>
      <c r="G135" s="212"/>
      <c r="H135" s="212"/>
      <c r="I135" s="116"/>
      <c r="J135" s="213"/>
      <c r="K135" s="213"/>
      <c r="L135" s="213"/>
    </row>
    <row r="136" spans="1:12" ht="22.5" customHeight="1">
      <c r="A136" s="210"/>
      <c r="B136" s="115" t="e">
        <f>VLOOKUP(C136,Lists!I:J,2,FALSE)</f>
        <v>#N/A</v>
      </c>
      <c r="C136" s="115"/>
      <c r="D136" s="17"/>
      <c r="E136" s="211"/>
      <c r="F136" s="17"/>
      <c r="G136" s="212"/>
      <c r="H136" s="212"/>
      <c r="I136" s="116"/>
      <c r="J136" s="213"/>
      <c r="K136" s="213"/>
      <c r="L136" s="213"/>
    </row>
    <row r="137" spans="1:12" ht="22.5" customHeight="1">
      <c r="A137" s="210"/>
      <c r="B137" s="115" t="e">
        <f>VLOOKUP(C137,Lists!I:J,2,FALSE)</f>
        <v>#N/A</v>
      </c>
      <c r="C137" s="115"/>
      <c r="D137" s="17"/>
      <c r="E137" s="211"/>
      <c r="F137" s="17"/>
      <c r="G137" s="212"/>
      <c r="H137" s="212"/>
      <c r="I137" s="116"/>
      <c r="J137" s="213"/>
      <c r="K137" s="213"/>
      <c r="L137" s="213"/>
    </row>
    <row r="138" spans="1:12" ht="22.5" customHeight="1">
      <c r="A138" s="210"/>
      <c r="B138" s="115" t="e">
        <f>VLOOKUP(C138,Lists!I:J,2,FALSE)</f>
        <v>#N/A</v>
      </c>
      <c r="C138" s="115"/>
      <c r="D138" s="17"/>
      <c r="E138" s="211"/>
      <c r="F138" s="17"/>
      <c r="G138" s="212"/>
      <c r="H138" s="212"/>
      <c r="I138" s="116"/>
      <c r="J138" s="213"/>
      <c r="K138" s="213"/>
      <c r="L138" s="213"/>
    </row>
    <row r="139" spans="1:12" ht="22.5" customHeight="1">
      <c r="A139" s="210"/>
      <c r="B139" s="115" t="e">
        <f>VLOOKUP(C139,Lists!I:J,2,FALSE)</f>
        <v>#N/A</v>
      </c>
      <c r="C139" s="115"/>
      <c r="D139" s="17"/>
      <c r="E139" s="211"/>
      <c r="F139" s="17"/>
      <c r="G139" s="212"/>
      <c r="H139" s="212"/>
      <c r="I139" s="116"/>
      <c r="J139" s="213"/>
      <c r="K139" s="213"/>
      <c r="L139" s="213"/>
    </row>
    <row r="140" spans="1:12" ht="22.5" customHeight="1">
      <c r="A140" s="210"/>
      <c r="B140" s="115" t="e">
        <f>VLOOKUP(C140,Lists!I:J,2,FALSE)</f>
        <v>#N/A</v>
      </c>
      <c r="C140" s="115"/>
      <c r="D140" s="17"/>
      <c r="E140" s="211"/>
      <c r="F140" s="17"/>
      <c r="G140" s="212"/>
      <c r="H140" s="212"/>
      <c r="I140" s="116"/>
      <c r="J140" s="213"/>
      <c r="K140" s="213"/>
      <c r="L140" s="213"/>
    </row>
    <row r="141" spans="1:12" ht="22.5" customHeight="1">
      <c r="A141" s="210"/>
      <c r="B141" s="115" t="e">
        <f>VLOOKUP(C141,Lists!I:J,2,FALSE)</f>
        <v>#N/A</v>
      </c>
      <c r="C141" s="115"/>
      <c r="D141" s="17"/>
      <c r="E141" s="211"/>
      <c r="F141" s="17"/>
      <c r="G141" s="212"/>
      <c r="H141" s="212"/>
      <c r="I141" s="116"/>
      <c r="J141" s="213"/>
      <c r="K141" s="213"/>
      <c r="L141" s="213"/>
    </row>
    <row r="142" spans="1:12" ht="22.5" customHeight="1">
      <c r="A142" s="210"/>
      <c r="B142" s="115" t="e">
        <f>VLOOKUP(C142,Lists!I:J,2,FALSE)</f>
        <v>#N/A</v>
      </c>
      <c r="C142" s="115"/>
      <c r="D142" s="17"/>
      <c r="E142" s="211"/>
      <c r="F142" s="17"/>
      <c r="G142" s="212"/>
      <c r="H142" s="212"/>
      <c r="I142" s="116"/>
      <c r="J142" s="213"/>
      <c r="K142" s="213"/>
      <c r="L142" s="213"/>
    </row>
    <row r="143" spans="1:12" ht="22.5" customHeight="1">
      <c r="A143" s="210"/>
      <c r="B143" s="115" t="e">
        <f>VLOOKUP(C143,Lists!I:J,2,FALSE)</f>
        <v>#N/A</v>
      </c>
      <c r="C143" s="115"/>
      <c r="D143" s="17"/>
      <c r="E143" s="211"/>
      <c r="F143" s="17"/>
      <c r="G143" s="212"/>
      <c r="H143" s="212"/>
      <c r="I143" s="116"/>
      <c r="J143" s="213"/>
      <c r="K143" s="213"/>
      <c r="L143" s="213"/>
    </row>
    <row r="144" spans="1:12" ht="22.5" customHeight="1">
      <c r="A144" s="210"/>
      <c r="B144" s="115" t="e">
        <f>VLOOKUP(C144,Lists!I:J,2,FALSE)</f>
        <v>#N/A</v>
      </c>
      <c r="C144" s="115"/>
      <c r="D144" s="17"/>
      <c r="E144" s="211"/>
      <c r="F144" s="17"/>
      <c r="G144" s="212"/>
      <c r="H144" s="212"/>
      <c r="I144" s="116"/>
      <c r="J144" s="213"/>
      <c r="K144" s="213"/>
      <c r="L144" s="213"/>
    </row>
    <row r="145" spans="1:12" ht="22.5" customHeight="1">
      <c r="A145" s="210"/>
      <c r="B145" s="115" t="e">
        <f>VLOOKUP(C145,Lists!I:J,2,FALSE)</f>
        <v>#N/A</v>
      </c>
      <c r="C145" s="115"/>
      <c r="D145" s="17"/>
      <c r="E145" s="211"/>
      <c r="F145" s="17"/>
      <c r="G145" s="212"/>
      <c r="H145" s="212"/>
      <c r="I145" s="116"/>
      <c r="J145" s="213"/>
      <c r="K145" s="213"/>
      <c r="L145" s="213"/>
    </row>
    <row r="146" spans="1:12" ht="22.5" customHeight="1">
      <c r="A146" s="210"/>
      <c r="B146" s="115" t="e">
        <f>VLOOKUP(C146,Lists!I:J,2,FALSE)</f>
        <v>#N/A</v>
      </c>
      <c r="C146" s="115"/>
      <c r="D146" s="17"/>
      <c r="E146" s="211"/>
      <c r="F146" s="17"/>
      <c r="G146" s="212"/>
      <c r="H146" s="212"/>
      <c r="I146" s="116"/>
      <c r="J146" s="213"/>
      <c r="K146" s="213"/>
      <c r="L146" s="213"/>
    </row>
    <row r="147" spans="1:12" ht="22.5" customHeight="1">
      <c r="A147" s="210"/>
      <c r="B147" s="115" t="e">
        <f>VLOOKUP(C147,Lists!I:J,2,FALSE)</f>
        <v>#N/A</v>
      </c>
      <c r="C147" s="115"/>
      <c r="D147" s="17"/>
      <c r="E147" s="211"/>
      <c r="F147" s="17"/>
      <c r="G147" s="212"/>
      <c r="H147" s="212"/>
      <c r="I147" s="116"/>
      <c r="J147" s="213"/>
      <c r="K147" s="213"/>
      <c r="L147" s="213"/>
    </row>
    <row r="148" spans="1:12" ht="22.5" customHeight="1">
      <c r="A148" s="210"/>
      <c r="B148" s="115" t="e">
        <f>VLOOKUP(C148,Lists!I:J,2,FALSE)</f>
        <v>#N/A</v>
      </c>
      <c r="C148" s="115"/>
      <c r="D148" s="17"/>
      <c r="E148" s="211"/>
      <c r="F148" s="17"/>
      <c r="G148" s="212"/>
      <c r="H148" s="212"/>
      <c r="I148" s="116"/>
      <c r="J148" s="213"/>
      <c r="K148" s="213"/>
      <c r="L148" s="213"/>
    </row>
    <row r="149" spans="1:12" ht="22.5" customHeight="1">
      <c r="A149" s="210"/>
      <c r="B149" s="115" t="e">
        <f>VLOOKUP(C149,Lists!I:J,2,FALSE)</f>
        <v>#N/A</v>
      </c>
      <c r="C149" s="115"/>
      <c r="D149" s="17"/>
      <c r="E149" s="211"/>
      <c r="F149" s="17"/>
      <c r="G149" s="212"/>
      <c r="H149" s="212"/>
      <c r="I149" s="116"/>
      <c r="J149" s="213"/>
      <c r="K149" s="213"/>
      <c r="L149" s="213"/>
    </row>
    <row r="150" spans="1:12" ht="22.5" customHeight="1">
      <c r="A150" s="210"/>
      <c r="B150" s="115" t="e">
        <f>VLOOKUP(C150,Lists!I:J,2,FALSE)</f>
        <v>#N/A</v>
      </c>
      <c r="C150" s="115"/>
      <c r="D150" s="17"/>
      <c r="E150" s="211"/>
      <c r="F150" s="17"/>
      <c r="G150" s="212"/>
      <c r="H150" s="212"/>
      <c r="I150" s="116"/>
      <c r="J150" s="213"/>
      <c r="K150" s="213"/>
      <c r="L150" s="213"/>
    </row>
    <row r="151" spans="1:12" ht="22.5" customHeight="1">
      <c r="A151" s="210"/>
      <c r="B151" s="115" t="e">
        <f>VLOOKUP(C151,Lists!I:J,2,FALSE)</f>
        <v>#N/A</v>
      </c>
      <c r="C151" s="115"/>
      <c r="D151" s="17"/>
      <c r="E151" s="211"/>
      <c r="F151" s="17"/>
      <c r="G151" s="212"/>
      <c r="H151" s="212"/>
      <c r="I151" s="116"/>
      <c r="J151" s="213"/>
      <c r="K151" s="213"/>
      <c r="L151" s="213"/>
    </row>
    <row r="152" spans="1:12" ht="22.5" customHeight="1">
      <c r="A152" s="210"/>
      <c r="B152" s="115" t="e">
        <f>VLOOKUP(C152,Lists!I:J,2,FALSE)</f>
        <v>#N/A</v>
      </c>
      <c r="C152" s="115"/>
      <c r="D152" s="17"/>
      <c r="E152" s="211"/>
      <c r="F152" s="17"/>
      <c r="G152" s="212"/>
      <c r="H152" s="212"/>
      <c r="I152" s="116"/>
      <c r="J152" s="213"/>
      <c r="K152" s="213"/>
      <c r="L152" s="213"/>
    </row>
    <row r="153" spans="1:12" ht="22.5" customHeight="1">
      <c r="A153" s="210"/>
      <c r="B153" s="115" t="e">
        <f>VLOOKUP(C153,Lists!I:J,2,FALSE)</f>
        <v>#N/A</v>
      </c>
      <c r="C153" s="115"/>
      <c r="D153" s="17"/>
      <c r="E153" s="211"/>
      <c r="F153" s="17"/>
      <c r="G153" s="212"/>
      <c r="H153" s="212"/>
      <c r="I153" s="116"/>
      <c r="J153" s="213"/>
      <c r="K153" s="213"/>
      <c r="L153" s="213"/>
    </row>
    <row r="154" spans="1:12" ht="22.5" customHeight="1">
      <c r="A154" s="210"/>
      <c r="B154" s="115" t="e">
        <f>VLOOKUP(C154,Lists!I:J,2,FALSE)</f>
        <v>#N/A</v>
      </c>
      <c r="C154" s="115"/>
      <c r="D154" s="17"/>
      <c r="E154" s="211"/>
      <c r="F154" s="17"/>
      <c r="G154" s="212"/>
      <c r="H154" s="212"/>
      <c r="I154" s="116"/>
      <c r="J154" s="213"/>
      <c r="K154" s="213"/>
      <c r="L154" s="213"/>
    </row>
    <row r="155" spans="1:12" ht="22.5" customHeight="1">
      <c r="A155" s="210"/>
      <c r="B155" s="115" t="e">
        <f>VLOOKUP(C155,Lists!I:J,2,FALSE)</f>
        <v>#N/A</v>
      </c>
      <c r="C155" s="115"/>
      <c r="D155" s="17"/>
      <c r="E155" s="211"/>
      <c r="F155" s="17"/>
      <c r="G155" s="212"/>
      <c r="H155" s="212"/>
      <c r="I155" s="116"/>
      <c r="J155" s="213"/>
      <c r="K155" s="213"/>
      <c r="L155" s="213"/>
    </row>
    <row r="156" spans="1:12" ht="22.5" customHeight="1">
      <c r="A156" s="210"/>
      <c r="B156" s="115" t="e">
        <f>VLOOKUP(C156,Lists!I:J,2,FALSE)</f>
        <v>#N/A</v>
      </c>
      <c r="C156" s="115"/>
      <c r="D156" s="17"/>
      <c r="E156" s="211"/>
      <c r="F156" s="17"/>
      <c r="G156" s="212"/>
      <c r="H156" s="212"/>
      <c r="I156" s="116"/>
      <c r="J156" s="213"/>
      <c r="K156" s="213"/>
      <c r="L156" s="213"/>
    </row>
    <row r="157" spans="1:12" ht="22.5" customHeight="1">
      <c r="A157" s="210"/>
      <c r="B157" s="115" t="e">
        <f>VLOOKUP(C157,Lists!I:J,2,FALSE)</f>
        <v>#N/A</v>
      </c>
      <c r="C157" s="115"/>
      <c r="D157" s="17"/>
      <c r="E157" s="211"/>
      <c r="F157" s="17"/>
      <c r="G157" s="212"/>
      <c r="H157" s="212"/>
      <c r="I157" s="116"/>
      <c r="J157" s="213"/>
      <c r="K157" s="213"/>
      <c r="L157" s="213"/>
    </row>
    <row r="158" spans="1:12" ht="22.5" customHeight="1">
      <c r="A158" s="210"/>
      <c r="B158" s="115" t="e">
        <f>VLOOKUP(C158,Lists!I:J,2,FALSE)</f>
        <v>#N/A</v>
      </c>
      <c r="C158" s="115"/>
      <c r="D158" s="17"/>
      <c r="E158" s="211"/>
      <c r="F158" s="17"/>
      <c r="G158" s="212"/>
      <c r="H158" s="212"/>
      <c r="I158" s="116"/>
      <c r="J158" s="213"/>
      <c r="K158" s="213"/>
      <c r="L158" s="213"/>
    </row>
    <row r="159" spans="1:12" ht="22.5" customHeight="1">
      <c r="A159" s="210"/>
      <c r="B159" s="115" t="e">
        <f>VLOOKUP(C159,Lists!I:J,2,FALSE)</f>
        <v>#N/A</v>
      </c>
      <c r="C159" s="115"/>
      <c r="D159" s="17"/>
      <c r="E159" s="211"/>
      <c r="F159" s="17"/>
      <c r="G159" s="212"/>
      <c r="H159" s="212"/>
      <c r="I159" s="116"/>
      <c r="J159" s="213"/>
      <c r="K159" s="213"/>
      <c r="L159" s="213"/>
    </row>
    <row r="160" spans="1:12" ht="22.5" customHeight="1">
      <c r="A160" s="210"/>
      <c r="B160" s="115" t="e">
        <f>VLOOKUP(C160,Lists!I:J,2,FALSE)</f>
        <v>#N/A</v>
      </c>
      <c r="C160" s="115"/>
      <c r="D160" s="17"/>
      <c r="E160" s="211"/>
      <c r="F160" s="17"/>
      <c r="G160" s="212"/>
      <c r="H160" s="212"/>
      <c r="I160" s="116"/>
      <c r="J160" s="213"/>
      <c r="K160" s="213"/>
      <c r="L160" s="213"/>
    </row>
    <row r="161" spans="1:12" ht="22.5" customHeight="1">
      <c r="A161" s="210"/>
      <c r="B161" s="115" t="e">
        <f>VLOOKUP(C161,Lists!I:J,2,FALSE)</f>
        <v>#N/A</v>
      </c>
      <c r="C161" s="115"/>
      <c r="D161" s="17"/>
      <c r="E161" s="211"/>
      <c r="F161" s="17"/>
      <c r="G161" s="212"/>
      <c r="H161" s="212"/>
      <c r="I161" s="116"/>
      <c r="J161" s="213"/>
      <c r="K161" s="213"/>
      <c r="L161" s="213"/>
    </row>
    <row r="162" spans="1:12" ht="22.5" customHeight="1">
      <c r="A162" s="210"/>
      <c r="B162" s="115" t="e">
        <f>VLOOKUP(C162,Lists!I:J,2,FALSE)</f>
        <v>#N/A</v>
      </c>
      <c r="C162" s="115"/>
      <c r="D162" s="17"/>
      <c r="E162" s="211"/>
      <c r="F162" s="17"/>
      <c r="G162" s="212"/>
      <c r="H162" s="212"/>
      <c r="I162" s="116"/>
      <c r="J162" s="213"/>
      <c r="K162" s="213"/>
      <c r="L162" s="213"/>
    </row>
    <row r="163" spans="1:12" ht="22.5" customHeight="1">
      <c r="A163" s="210"/>
      <c r="B163" s="115" t="e">
        <f>VLOOKUP(C163,Lists!I:J,2,FALSE)</f>
        <v>#N/A</v>
      </c>
      <c r="C163" s="115"/>
      <c r="D163" s="17"/>
      <c r="E163" s="211"/>
      <c r="F163" s="17"/>
      <c r="G163" s="212"/>
      <c r="H163" s="212"/>
      <c r="I163" s="116"/>
      <c r="J163" s="213"/>
      <c r="K163" s="213"/>
      <c r="L163" s="213"/>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63" xr:uid="{00000000-0002-0000-1500-000000000000}">
      <formula1>#REF!</formula1>
    </dataValidation>
    <dataValidation type="list" allowBlank="1" sqref="F2:F163" xr:uid="{00000000-0002-0000-1500-000002000000}">
      <formula1>"Yellow,Red"</formula1>
    </dataValidation>
    <dataValidation type="custom" allowBlank="1" showDropDown="1" sqref="S4:T13 S17:T25 S30:T46 S51:T60 S65:T72 A2:A163 G2:L163" xr:uid="{00000000-0002-0000-1500-000003000000}">
      <formula1>AND(ISNUMBER(A2),(NOT(OR(NOT(ISERROR(DATEVALUE(A2))), AND(ISNUMBER(A2), LEFT(CELL("format", A2))="D")))))</formula1>
    </dataValidation>
    <dataValidation allowBlank="1" showDropDown="1" sqref="E2:E163" xr:uid="{00000000-0002-0000-15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216">
        <v>1</v>
      </c>
      <c r="B2" s="115" t="str">
        <f>VLOOKUP(C2,Lists!I:J,2,FALSE)</f>
        <v>Ranged DPS</v>
      </c>
      <c r="C2" s="115" t="str">
        <f>VLOOKUP(E2,Lists!D:E,2,FALSE)</f>
        <v>Staff/Dagger</v>
      </c>
      <c r="D2" s="15" t="s">
        <v>7</v>
      </c>
      <c r="E2" s="217" t="s">
        <v>42</v>
      </c>
      <c r="F2" s="15" t="s">
        <v>476</v>
      </c>
      <c r="G2" s="216">
        <v>104</v>
      </c>
      <c r="H2" s="216">
        <v>210</v>
      </c>
      <c r="I2" s="194">
        <f t="shared" ref="I2:I103" si="0">SUM(G2:H2)</f>
        <v>314</v>
      </c>
      <c r="J2" s="218">
        <v>5807411</v>
      </c>
      <c r="K2" s="218">
        <v>342218</v>
      </c>
      <c r="L2" s="218">
        <v>151</v>
      </c>
      <c r="M2" s="195">
        <f>I2/(HLOOKUP(F2,Team_Composition_23[[#All],[Yellow]:[Red]],10,FALSE)+HLOOKUP(F2,Team_Composition_23[[#All],[Yellow]:[Red]],11,FALSE))</f>
        <v>7.8480379905023739E-2</v>
      </c>
      <c r="N2" s="195">
        <f>J2/HLOOKUP(F2,Team_Composition_23[[#All],[Yellow]:[Red]],6,FALSE)</f>
        <v>0.13090489000315597</v>
      </c>
      <c r="O2" s="195">
        <f>K2/HLOOKUP(F2,Team_Composition_23[[#All],[Yellow]:[Red]],8,FALSE)</f>
        <v>1.953437009222626E-2</v>
      </c>
      <c r="P2" s="195">
        <f>L2/HLOOKUP(F2,Team_Composition_23[[#All],[Yellow]:[Red]],7,FALSE)</f>
        <v>1.1664939071164936E-5</v>
      </c>
      <c r="R2" s="232" t="s">
        <v>477</v>
      </c>
      <c r="S2" s="228"/>
      <c r="T2" s="228"/>
      <c r="V2" s="233" t="s">
        <v>478</v>
      </c>
      <c r="W2" s="228"/>
      <c r="X2" s="196"/>
      <c r="Y2" s="233" t="s">
        <v>479</v>
      </c>
      <c r="Z2" s="228"/>
    </row>
    <row r="3" spans="1:26" ht="22.5" customHeight="1">
      <c r="A3" s="216">
        <v>5</v>
      </c>
      <c r="B3" s="115" t="str">
        <f>VLOOKUP(C3,Lists!I:J,2,FALSE)</f>
        <v>Ranged DPS</v>
      </c>
      <c r="C3" s="115" t="str">
        <f>VLOOKUP(E3,Lists!D:E,2,FALSE)</f>
        <v>Staff/Dagger</v>
      </c>
      <c r="D3" s="15" t="s">
        <v>7</v>
      </c>
      <c r="E3" s="217" t="s">
        <v>86</v>
      </c>
      <c r="F3" s="15" t="s">
        <v>476</v>
      </c>
      <c r="G3" s="216">
        <v>53</v>
      </c>
      <c r="H3" s="216">
        <v>235</v>
      </c>
      <c r="I3" s="194">
        <f t="shared" si="0"/>
        <v>288</v>
      </c>
      <c r="J3" s="218">
        <v>4391075</v>
      </c>
      <c r="K3" s="218">
        <v>412078</v>
      </c>
      <c r="L3" s="218">
        <v>0</v>
      </c>
      <c r="M3" s="195">
        <f>I3/(HLOOKUP(F3,Team_Composition_23[[#All],[Yellow]:[Red]],10,FALSE)+HLOOKUP(F3,Team_Composition_23[[#All],[Yellow]:[Red]],11,FALSE))</f>
        <v>7.1982004498875277E-2</v>
      </c>
      <c r="N3" s="195">
        <f>J3/HLOOKUP(F3,Team_Composition_23[[#All],[Yellow]:[Red]],6,FALSE)</f>
        <v>9.8979250800504404E-2</v>
      </c>
      <c r="O3" s="195">
        <f>K3/HLOOKUP(F3,Team_Composition_23[[#All],[Yellow]:[Red]],8,FALSE)</f>
        <v>2.3522094567978345E-2</v>
      </c>
      <c r="P3" s="195">
        <f>L3/HLOOKUP(F3,Team_Composition_23[[#All],[Yellow]:[Red]],7,FALSE)</f>
        <v>0</v>
      </c>
      <c r="R3" s="197" t="s">
        <v>482</v>
      </c>
      <c r="S3" s="198" t="s">
        <v>476</v>
      </c>
      <c r="T3" s="198" t="s">
        <v>483</v>
      </c>
      <c r="V3" s="199" t="s">
        <v>1</v>
      </c>
      <c r="W3" s="200" t="s">
        <v>467</v>
      </c>
      <c r="Y3" s="199" t="s">
        <v>1</v>
      </c>
      <c r="Z3" s="200" t="s">
        <v>484</v>
      </c>
    </row>
    <row r="4" spans="1:26" ht="22.5" customHeight="1">
      <c r="A4" s="216">
        <v>4</v>
      </c>
      <c r="B4" s="115" t="str">
        <f>VLOOKUP(C4,Lists!I:J,2,FALSE)</f>
        <v>Ranged DPS</v>
      </c>
      <c r="C4" s="115" t="str">
        <f>VLOOKUP(E4,Lists!D:E,2,FALSE)</f>
        <v>Staff/Dagger</v>
      </c>
      <c r="D4" s="15" t="s">
        <v>7</v>
      </c>
      <c r="E4" s="217" t="s">
        <v>107</v>
      </c>
      <c r="F4" s="15" t="s">
        <v>476</v>
      </c>
      <c r="G4" s="216">
        <v>59</v>
      </c>
      <c r="H4" s="216">
        <v>144</v>
      </c>
      <c r="I4" s="194">
        <f t="shared" si="0"/>
        <v>203</v>
      </c>
      <c r="J4" s="218">
        <v>3310800</v>
      </c>
      <c r="K4" s="218">
        <v>309786</v>
      </c>
      <c r="L4" s="218">
        <v>5799</v>
      </c>
      <c r="M4" s="195">
        <f>I4/(HLOOKUP(F4,Team_Composition_23[[#All],[Yellow]:[Red]],10,FALSE)+HLOOKUP(F4,Team_Composition_23[[#All],[Yellow]:[Red]],11,FALSE))</f>
        <v>5.073731567108223E-2</v>
      </c>
      <c r="N4" s="195">
        <f>J4/HLOOKUP(F4,Team_Composition_23[[#All],[Yellow]:[Red]],6,FALSE)</f>
        <v>7.462876483556076E-2</v>
      </c>
      <c r="O4" s="195">
        <f>K4/HLOOKUP(F4,Team_Composition_23[[#All],[Yellow]:[Red]],8,FALSE)</f>
        <v>1.7683097830594546E-2</v>
      </c>
      <c r="P4" s="195">
        <f>L4/HLOOKUP(F4,Team_Composition_23[[#All],[Yellow]:[Red]],7,FALSE)</f>
        <v>4.4798001108400964E-4</v>
      </c>
      <c r="R4" s="201" t="s">
        <v>25</v>
      </c>
      <c r="S4" s="202">
        <f>COUNTIFS(Scoreboard_23[Role],R4,Scoreboard_23[Team],"Yellow")</f>
        <v>4</v>
      </c>
      <c r="T4" s="203">
        <f>COUNTIFS(Scoreboard_23[Role],R4,Scoreboard_23[Team],"Red")</f>
        <v>4</v>
      </c>
      <c r="V4" s="204" t="str">
        <f ca="1">IFERROR(__xludf.DUMMYFUNCTION("query(A1:P238, ""Select E,I where B!='Healer' Order by I Desc Limit 10"", 0)"),"edmun")</f>
        <v>edmun</v>
      </c>
      <c r="W4" s="116">
        <f ca="1">IFERROR(__xludf.DUMMYFUNCTION("""COMPUTED_VALUE"""),314)</f>
        <v>314</v>
      </c>
      <c r="Y4" s="204" t="str">
        <f ca="1">IFERROR(__xludf.DUMMYFUNCTION("query(A1:P238, ""Select E,J Order by J Desc Limit 10"", 0)"),"edmun")</f>
        <v>edmun</v>
      </c>
      <c r="Z4" s="116">
        <f ca="1">IFERROR(__xludf.DUMMYFUNCTION("""COMPUTED_VALUE"""),5807411)</f>
        <v>5807411</v>
      </c>
    </row>
    <row r="5" spans="1:26" ht="22.5" customHeight="1">
      <c r="A5" s="216">
        <v>10</v>
      </c>
      <c r="B5" s="115" t="str">
        <f>VLOOKUP(C5,Lists!I:J,2,FALSE)</f>
        <v>Ranged DPS</v>
      </c>
      <c r="C5" s="115" t="str">
        <f>VLOOKUP(E5,Lists!D:E,2,FALSE)</f>
        <v>Staff/Dagger</v>
      </c>
      <c r="D5" s="15" t="s">
        <v>7</v>
      </c>
      <c r="E5" s="217" t="s">
        <v>76</v>
      </c>
      <c r="F5" s="15" t="s">
        <v>476</v>
      </c>
      <c r="G5" s="216">
        <v>45</v>
      </c>
      <c r="H5" s="216">
        <v>157</v>
      </c>
      <c r="I5" s="194">
        <f t="shared" si="0"/>
        <v>202</v>
      </c>
      <c r="J5" s="218">
        <v>2756240</v>
      </c>
      <c r="K5" s="218">
        <v>183574</v>
      </c>
      <c r="L5" s="218">
        <v>0</v>
      </c>
      <c r="M5" s="195">
        <f>I5/(HLOOKUP(F5,Team_Composition_23[[#All],[Yellow]:[Red]],10,FALSE)+HLOOKUP(F5,Team_Composition_23[[#All],[Yellow]:[Red]],11,FALSE))</f>
        <v>5.0487378155461136E-2</v>
      </c>
      <c r="N5" s="195">
        <f>J5/HLOOKUP(F5,Team_Composition_23[[#All],[Yellow]:[Red]],6,FALSE)</f>
        <v>6.2128424184597679E-2</v>
      </c>
      <c r="O5" s="195">
        <f>K5/HLOOKUP(F5,Team_Composition_23[[#All],[Yellow]:[Red]],8,FALSE)</f>
        <v>1.0478707885939208E-2</v>
      </c>
      <c r="P5" s="195">
        <f>L5/HLOOKUP(F5,Team_Composition_23[[#All],[Yellow]:[Red]],7,FALSE)</f>
        <v>0</v>
      </c>
      <c r="R5" s="201" t="s">
        <v>39</v>
      </c>
      <c r="S5" s="202">
        <f>COUNTIFS(Scoreboard_23[Role],R5,Scoreboard_23[Team],"Yellow")</f>
        <v>8</v>
      </c>
      <c r="T5" s="203">
        <f>COUNTIFS(Scoreboard_23[Role],R5,Scoreboard_23[Team],"Red")</f>
        <v>13</v>
      </c>
      <c r="V5" s="204" t="str">
        <f ca="1">IFERROR(__xludf.DUMMYFUNCTION("""COMPUTED_VALUE"""),"Nsin")</f>
        <v>Nsin</v>
      </c>
      <c r="W5" s="116">
        <f ca="1">IFERROR(__xludf.DUMMYFUNCTION("""COMPUTED_VALUE"""),288)</f>
        <v>288</v>
      </c>
      <c r="Y5" s="204" t="str">
        <f ca="1">IFERROR(__xludf.DUMMYFUNCTION("""COMPUTED_VALUE"""),"Nsin")</f>
        <v>Nsin</v>
      </c>
      <c r="Z5" s="116">
        <f ca="1">IFERROR(__xludf.DUMMYFUNCTION("""COMPUTED_VALUE"""),4391075)</f>
        <v>4391075</v>
      </c>
    </row>
    <row r="6" spans="1:26" ht="22.5" customHeight="1">
      <c r="A6" s="216">
        <v>3</v>
      </c>
      <c r="B6" s="115" t="str">
        <f>VLOOKUP(C6,Lists!I:J,2,FALSE)</f>
        <v>Melee DPS</v>
      </c>
      <c r="C6" s="115" t="str">
        <f>VLOOKUP(E6,Lists!D:E,2,FALSE)</f>
        <v>Greatsword/Spear</v>
      </c>
      <c r="D6" s="15" t="s">
        <v>7</v>
      </c>
      <c r="E6" s="217" t="s">
        <v>77</v>
      </c>
      <c r="F6" s="15" t="s">
        <v>476</v>
      </c>
      <c r="G6" s="216">
        <v>62</v>
      </c>
      <c r="H6" s="216">
        <v>139</v>
      </c>
      <c r="I6" s="194">
        <f t="shared" si="0"/>
        <v>201</v>
      </c>
      <c r="J6" s="218">
        <v>2782113</v>
      </c>
      <c r="K6" s="218">
        <v>193744</v>
      </c>
      <c r="L6" s="218">
        <v>2245</v>
      </c>
      <c r="M6" s="195">
        <f>I6/(HLOOKUP(F6,Team_Composition_23[[#All],[Yellow]:[Red]],10,FALSE)+HLOOKUP(F6,Team_Composition_23[[#All],[Yellow]:[Red]],11,FALSE))</f>
        <v>5.0237440639840043E-2</v>
      </c>
      <c r="N6" s="195">
        <f>J6/HLOOKUP(F6,Team_Composition_23[[#All],[Yellow]:[Red]],6,FALSE)</f>
        <v>6.2711627649799581E-2</v>
      </c>
      <c r="O6" s="195">
        <f>K6/HLOOKUP(F6,Team_Composition_23[[#All],[Yellow]:[Red]],8,FALSE)</f>
        <v>1.1059228325652901E-2</v>
      </c>
      <c r="P6" s="195">
        <f>L6/HLOOKUP(F6,Team_Composition_23[[#All],[Yellow]:[Red]],7,FALSE)</f>
        <v>1.7342906102493563E-4</v>
      </c>
      <c r="R6" s="201" t="s">
        <v>67</v>
      </c>
      <c r="S6" s="202">
        <f>COUNTIFS(Scoreboard_23[Role],R6,Scoreboard_23[Team],"Yellow")</f>
        <v>14</v>
      </c>
      <c r="T6" s="203">
        <f>COUNTIFS(Scoreboard_23[Role],R6,Scoreboard_23[Team],"Red")</f>
        <v>16</v>
      </c>
      <c r="V6" s="204" t="str">
        <f ca="1">IFERROR(__xludf.DUMMYFUNCTION("""COMPUTED_VALUE"""),"TanksVicious")</f>
        <v>TanksVicious</v>
      </c>
      <c r="W6" s="116">
        <f ca="1">IFERROR(__xludf.DUMMYFUNCTION("""COMPUTED_VALUE"""),203)</f>
        <v>203</v>
      </c>
      <c r="Y6" s="204" t="str">
        <f ca="1">IFERROR(__xludf.DUMMYFUNCTION("""COMPUTED_VALUE"""),"Spot·")</f>
        <v>Spot·</v>
      </c>
      <c r="Z6" s="116">
        <f ca="1">IFERROR(__xludf.DUMMYFUNCTION("""COMPUTED_VALUE"""),3403260)</f>
        <v>3403260</v>
      </c>
    </row>
    <row r="7" spans="1:26" ht="22.5" customHeight="1">
      <c r="A7" s="216">
        <v>6</v>
      </c>
      <c r="B7" s="115" t="str">
        <f>VLOOKUP(C7,Lists!I:J,2,FALSE)</f>
        <v>Melee DPS</v>
      </c>
      <c r="C7" s="115" t="str">
        <f>VLOOKUP(E7,Lists!D:E,2,FALSE)</f>
        <v>Greatsword/Spear</v>
      </c>
      <c r="D7" s="15" t="s">
        <v>7</v>
      </c>
      <c r="E7" s="217" t="s">
        <v>47</v>
      </c>
      <c r="F7" s="15" t="s">
        <v>476</v>
      </c>
      <c r="G7" s="216">
        <v>50</v>
      </c>
      <c r="H7" s="216">
        <v>128</v>
      </c>
      <c r="I7" s="194">
        <f t="shared" si="0"/>
        <v>178</v>
      </c>
      <c r="J7" s="218">
        <v>2651924</v>
      </c>
      <c r="K7" s="218">
        <v>820548</v>
      </c>
      <c r="L7" s="218">
        <v>30414</v>
      </c>
      <c r="M7" s="195">
        <f>I7/(HLOOKUP(F7,Team_Composition_23[[#All],[Yellow]:[Red]],10,FALSE)+HLOOKUP(F7,Team_Composition_23[[#All],[Yellow]:[Red]],11,FALSE))</f>
        <v>4.448887778055486E-2</v>
      </c>
      <c r="N7" s="195">
        <f>J7/HLOOKUP(F7,Team_Composition_23[[#All],[Yellow]:[Red]],6,FALSE)</f>
        <v>5.97770365343058E-2</v>
      </c>
      <c r="O7" s="195">
        <f>K7/HLOOKUP(F7,Team_Composition_23[[#All],[Yellow]:[Red]],8,FALSE)</f>
        <v>4.6838238521749509E-2</v>
      </c>
      <c r="P7" s="195">
        <f>L7/HLOOKUP(F7,Team_Composition_23[[#All],[Yellow]:[Red]],7,FALSE)</f>
        <v>2.349519582188148E-3</v>
      </c>
      <c r="R7" s="201" t="s">
        <v>11</v>
      </c>
      <c r="S7" s="202">
        <f>COUNTIFS(Scoreboard_23[Role],R7,Scoreboard_23[Team],"Yellow")</f>
        <v>15</v>
      </c>
      <c r="T7" s="203">
        <f>COUNTIFS(Scoreboard_23[Role],R7,Scoreboard_23[Team],"Red")</f>
        <v>17</v>
      </c>
      <c r="V7" s="204" t="str">
        <f ca="1">IFERROR(__xludf.DUMMYFUNCTION("""COMPUTED_VALUE"""),"Kiefblunt")</f>
        <v>Kiefblunt</v>
      </c>
      <c r="W7" s="116">
        <f ca="1">IFERROR(__xludf.DUMMYFUNCTION("""COMPUTED_VALUE"""),202)</f>
        <v>202</v>
      </c>
      <c r="Y7" s="204" t="str">
        <f ca="1">IFERROR(__xludf.DUMMYFUNCTION("""COMPUTED_VALUE"""),"TanksVicious")</f>
        <v>TanksVicious</v>
      </c>
      <c r="Z7" s="116">
        <f ca="1">IFERROR(__xludf.DUMMYFUNCTION("""COMPUTED_VALUE"""),3310800)</f>
        <v>3310800</v>
      </c>
    </row>
    <row r="8" spans="1:26" ht="22.5" customHeight="1">
      <c r="A8" s="216">
        <v>2</v>
      </c>
      <c r="B8" s="115" t="str">
        <f>VLOOKUP(C8,Lists!I:J,2,FALSE)</f>
        <v>KS</v>
      </c>
      <c r="C8" s="115" t="str">
        <f>VLOOKUP(E8,Lists!D:E,2,FALSE)</f>
        <v>Crossbow/Dagger</v>
      </c>
      <c r="D8" s="15" t="s">
        <v>7</v>
      </c>
      <c r="E8" s="217" t="s">
        <v>103</v>
      </c>
      <c r="F8" s="15" t="s">
        <v>476</v>
      </c>
      <c r="G8" s="216">
        <v>74</v>
      </c>
      <c r="H8" s="216">
        <v>92</v>
      </c>
      <c r="I8" s="194">
        <f t="shared" si="0"/>
        <v>166</v>
      </c>
      <c r="J8" s="218">
        <v>3403260</v>
      </c>
      <c r="K8" s="218">
        <v>253525</v>
      </c>
      <c r="L8" s="218">
        <v>2698</v>
      </c>
      <c r="M8" s="195">
        <f>I8/(HLOOKUP(F8,Team_Composition_23[[#All],[Yellow]:[Red]],10,FALSE)+HLOOKUP(F8,Team_Composition_23[[#All],[Yellow]:[Red]],11,FALSE))</f>
        <v>4.1489627593101722E-2</v>
      </c>
      <c r="N8" s="195">
        <f>J8/HLOOKUP(F8,Team_Composition_23[[#All],[Yellow]:[Red]],6,FALSE)</f>
        <v>7.671290631094313E-2</v>
      </c>
      <c r="O8" s="195">
        <f>K8/HLOOKUP(F8,Team_Composition_23[[#All],[Yellow]:[Red]],8,FALSE)</f>
        <v>1.4471626792371128E-2</v>
      </c>
      <c r="P8" s="195">
        <f>L8/HLOOKUP(F8,Team_Composition_23[[#All],[Yellow]:[Red]],7,FALSE)</f>
        <v>2.0842387823843042E-4</v>
      </c>
      <c r="R8" s="201" t="s">
        <v>468</v>
      </c>
      <c r="S8" s="202">
        <f>SUMIFS(Scoreboard_23[Damage Dealt],Scoreboard_23[Team],"Yellow")</f>
        <v>44363591</v>
      </c>
      <c r="T8" s="203">
        <f>SUMIFS(Scoreboard_23[Damage Dealt],Scoreboard_23[Team],"Red")</f>
        <v>17645405</v>
      </c>
      <c r="V8" s="204" t="str">
        <f ca="1">IFERROR(__xludf.DUMMYFUNCTION("""COMPUTED_VALUE"""),"Kyu")</f>
        <v>Kyu</v>
      </c>
      <c r="W8" s="116">
        <f ca="1">IFERROR(__xludf.DUMMYFUNCTION("""COMPUTED_VALUE"""),201)</f>
        <v>201</v>
      </c>
      <c r="Y8" s="204" t="str">
        <f ca="1">IFERROR(__xludf.DUMMYFUNCTION("""COMPUTED_VALUE"""),"Kyu")</f>
        <v>Kyu</v>
      </c>
      <c r="Z8" s="116">
        <f ca="1">IFERROR(__xludf.DUMMYFUNCTION("""COMPUTED_VALUE"""),2782113)</f>
        <v>2782113</v>
      </c>
    </row>
    <row r="9" spans="1:26" ht="22.5" customHeight="1">
      <c r="A9" s="216">
        <v>9</v>
      </c>
      <c r="B9" s="115" t="str">
        <f>VLOOKUP(C9,Lists!I:J,2,FALSE)</f>
        <v>Ranged DPS</v>
      </c>
      <c r="C9" s="115" t="str">
        <f>VLOOKUP(E9,Lists!D:E,2,FALSE)</f>
        <v>Crossbow/SnS</v>
      </c>
      <c r="D9" s="15" t="s">
        <v>7</v>
      </c>
      <c r="E9" s="217" t="s">
        <v>84</v>
      </c>
      <c r="F9" s="15" t="s">
        <v>476</v>
      </c>
      <c r="G9" s="216">
        <v>46</v>
      </c>
      <c r="H9" s="216">
        <v>98</v>
      </c>
      <c r="I9" s="194">
        <f t="shared" si="0"/>
        <v>144</v>
      </c>
      <c r="J9" s="218">
        <v>2337356</v>
      </c>
      <c r="K9" s="218">
        <v>253525</v>
      </c>
      <c r="L9" s="218">
        <v>9279</v>
      </c>
      <c r="M9" s="195">
        <f>I9/(HLOOKUP(F9,Team_Composition_23[[#All],[Yellow]:[Red]],10,FALSE)+HLOOKUP(F9,Team_Composition_23[[#All],[Yellow]:[Red]],11,FALSE))</f>
        <v>3.5991002249437638E-2</v>
      </c>
      <c r="N9" s="195">
        <f>J9/HLOOKUP(F9,Team_Composition_23[[#All],[Yellow]:[Red]],6,FALSE)</f>
        <v>5.2686357152647988E-2</v>
      </c>
      <c r="O9" s="195">
        <f>K9/HLOOKUP(F9,Team_Composition_23[[#All],[Yellow]:[Red]],8,FALSE)</f>
        <v>1.4471626792371128E-2</v>
      </c>
      <c r="P9" s="195">
        <f>L9/HLOOKUP(F9,Team_Composition_23[[#All],[Yellow]:[Red]],7,FALSE)</f>
        <v>7.1681436848569158E-4</v>
      </c>
      <c r="R9" s="201" t="s">
        <v>470</v>
      </c>
      <c r="S9" s="202">
        <f>SUMIFS(Scoreboard_23[Amount Healed],Scoreboard_23[Team],"Yellow")</f>
        <v>12944774</v>
      </c>
      <c r="T9" s="203">
        <f>SUMIFS(Scoreboard_23[Amount Healed],Scoreboard_23[Team],"Red")</f>
        <v>24268409</v>
      </c>
      <c r="V9" s="204" t="str">
        <f ca="1">IFERROR(__xludf.DUMMYFUNCTION("""COMPUTED_VALUE"""),"Fadeふち")</f>
        <v>Fadeふち</v>
      </c>
      <c r="W9" s="116">
        <f ca="1">IFERROR(__xludf.DUMMYFUNCTION("""COMPUTED_VALUE"""),178)</f>
        <v>178</v>
      </c>
      <c r="Y9" s="204" t="str">
        <f ca="1">IFERROR(__xludf.DUMMYFUNCTION("""COMPUTED_VALUE"""),"Kiefblunt")</f>
        <v>Kiefblunt</v>
      </c>
      <c r="Z9" s="116">
        <f ca="1">IFERROR(__xludf.DUMMYFUNCTION("""COMPUTED_VALUE"""),2756240)</f>
        <v>2756240</v>
      </c>
    </row>
    <row r="10" spans="1:26" ht="22.5" customHeight="1">
      <c r="A10" s="216">
        <v>62</v>
      </c>
      <c r="B10" s="115" t="str">
        <f>VLOOKUP(C10,Lists!I:J,2,FALSE)</f>
        <v>Healer</v>
      </c>
      <c r="C10" s="115" t="str">
        <f>VLOOKUP(E10,Lists!D:E,2,FALSE)</f>
        <v>Wand/Orb</v>
      </c>
      <c r="D10" s="15" t="s">
        <v>7</v>
      </c>
      <c r="E10" s="217" t="s">
        <v>87</v>
      </c>
      <c r="F10" s="15" t="s">
        <v>476</v>
      </c>
      <c r="G10" s="216">
        <v>0</v>
      </c>
      <c r="H10" s="216">
        <v>129</v>
      </c>
      <c r="I10" s="194">
        <f t="shared" si="0"/>
        <v>129</v>
      </c>
      <c r="J10" s="218">
        <v>5846</v>
      </c>
      <c r="K10" s="218">
        <v>87614</v>
      </c>
      <c r="L10" s="218">
        <v>561604</v>
      </c>
      <c r="M10" s="195">
        <f>I10/(HLOOKUP(F10,Team_Composition_23[[#All],[Yellow]:[Red]],10,FALSE)+HLOOKUP(F10,Team_Composition_23[[#All],[Yellow]:[Red]],11,FALSE))</f>
        <v>3.2241939515121221E-2</v>
      </c>
      <c r="N10" s="195">
        <f>J10/HLOOKUP(F10,Team_Composition_23[[#All],[Yellow]:[Red]],6,FALSE)</f>
        <v>1.3177472490899126E-4</v>
      </c>
      <c r="O10" s="195">
        <f>K10/HLOOKUP(F10,Team_Composition_23[[#All],[Yellow]:[Red]],8,FALSE)</f>
        <v>5.0011521932227746E-3</v>
      </c>
      <c r="P10" s="195">
        <f>L10/HLOOKUP(F10,Team_Composition_23[[#All],[Yellow]:[Red]],7,FALSE)</f>
        <v>4.3384612199486833E-2</v>
      </c>
      <c r="R10" s="201" t="s">
        <v>469</v>
      </c>
      <c r="S10" s="202">
        <f>SUMIFS(Scoreboard_23[Damage Taken],Scoreboard_23[Team],"Yellow")</f>
        <v>17518763</v>
      </c>
      <c r="T10" s="203">
        <f>SUMIFS(Scoreboard_23[Damage Taken],Scoreboard_23[Team],"Red")</f>
        <v>44015938</v>
      </c>
      <c r="V10" s="204" t="str">
        <f ca="1">IFERROR(__xludf.DUMMYFUNCTION("""COMPUTED_VALUE"""),"Spot·")</f>
        <v>Spot·</v>
      </c>
      <c r="W10" s="116">
        <f ca="1">IFERROR(__xludf.DUMMYFUNCTION("""COMPUTED_VALUE"""),166)</f>
        <v>166</v>
      </c>
      <c r="Y10" s="204" t="str">
        <f ca="1">IFERROR(__xludf.DUMMYFUNCTION("""COMPUTED_VALUE"""),"Fadeふち")</f>
        <v>Fadeふち</v>
      </c>
      <c r="Z10" s="116">
        <f ca="1">IFERROR(__xludf.DUMMYFUNCTION("""COMPUTED_VALUE"""),2651924)</f>
        <v>2651924</v>
      </c>
    </row>
    <row r="11" spans="1:26" ht="22.5" customHeight="1">
      <c r="A11" s="216">
        <v>63</v>
      </c>
      <c r="B11" s="115" t="str">
        <f>VLOOKUP(C11,Lists!I:J,2,FALSE)</f>
        <v>Healer</v>
      </c>
      <c r="C11" s="115" t="str">
        <f>VLOOKUP(E11,Lists!D:E,2,FALSE)</f>
        <v>Wand/Orb</v>
      </c>
      <c r="D11" s="15" t="s">
        <v>7</v>
      </c>
      <c r="E11" s="217" t="s">
        <v>92</v>
      </c>
      <c r="F11" s="15" t="s">
        <v>476</v>
      </c>
      <c r="G11" s="216">
        <v>0</v>
      </c>
      <c r="H11" s="216">
        <v>118</v>
      </c>
      <c r="I11" s="194">
        <f t="shared" si="0"/>
        <v>118</v>
      </c>
      <c r="J11" s="218">
        <v>9130</v>
      </c>
      <c r="K11" s="218">
        <v>191314</v>
      </c>
      <c r="L11" s="218">
        <v>283398</v>
      </c>
      <c r="M11" s="195">
        <f>I11/(HLOOKUP(F11,Team_Composition_23[[#All],[Yellow]:[Red]],10,FALSE)+HLOOKUP(F11,Team_Composition_23[[#All],[Yellow]:[Red]],11,FALSE))</f>
        <v>2.9492626843289179E-2</v>
      </c>
      <c r="N11" s="195">
        <f>J11/HLOOKUP(F11,Team_Composition_23[[#All],[Yellow]:[Red]],6,FALSE)</f>
        <v>2.0579939076618032E-4</v>
      </c>
      <c r="O11" s="195">
        <f>K11/HLOOKUP(F11,Team_Composition_23[[#All],[Yellow]:[Red]],8,FALSE)</f>
        <v>1.0920519902004497E-2</v>
      </c>
      <c r="P11" s="195">
        <f>L11/HLOOKUP(F11,Team_Composition_23[[#All],[Yellow]:[Red]],7,FALSE)</f>
        <v>2.1892850350264902E-2</v>
      </c>
      <c r="R11" s="201" t="s">
        <v>495</v>
      </c>
      <c r="S11" s="202">
        <f ca="1">IFERROR(DIVIDE(SUMIFS(Scoreboard_23[Amount Healed],Scoreboard_23[Team],"Yellow"), SUMIFS(Scoreboard_23[Damage Taken],Scoreboard_23[Team],"Yellow"))*(100),0)</f>
        <v>0</v>
      </c>
      <c r="T11" s="203">
        <f ca="1">IFERROR(DIVIDE(SUMIFS(Scoreboard_23[Amount Healed],Scoreboard_23[Team],"Red"), SUMIFS(Scoreboard_23[Damage Taken],Scoreboard_23[Team],"Red"))*(100),0)</f>
        <v>0</v>
      </c>
      <c r="V11" s="204" t="str">
        <f ca="1">IFERROR(__xludf.DUMMYFUNCTION("""COMPUTED_VALUE"""),"Nengja")</f>
        <v>Nengja</v>
      </c>
      <c r="W11" s="116">
        <f ca="1">IFERROR(__xludf.DUMMYFUNCTION("""COMPUTED_VALUE"""),144)</f>
        <v>144</v>
      </c>
      <c r="Y11" s="204" t="str">
        <f ca="1">IFERROR(__xludf.DUMMYFUNCTION("""COMPUTED_VALUE"""),"Nengja")</f>
        <v>Nengja</v>
      </c>
      <c r="Z11" s="116">
        <f ca="1">IFERROR(__xludf.DUMMYFUNCTION("""COMPUTED_VALUE"""),2337356)</f>
        <v>2337356</v>
      </c>
    </row>
    <row r="12" spans="1:26" ht="22.5" customHeight="1">
      <c r="A12" s="216">
        <v>11</v>
      </c>
      <c r="B12" s="115" t="str">
        <f>VLOOKUP(C12,Lists!I:J,2,FALSE)</f>
        <v>KS</v>
      </c>
      <c r="C12" s="115" t="str">
        <f>VLOOKUP(E12,Lists!D:E,2,FALSE)</f>
        <v>Greatsword/Dagger</v>
      </c>
      <c r="D12" s="15" t="s">
        <v>7</v>
      </c>
      <c r="E12" s="217" t="s">
        <v>68</v>
      </c>
      <c r="F12" s="15" t="s">
        <v>476</v>
      </c>
      <c r="G12" s="216">
        <v>44</v>
      </c>
      <c r="H12" s="216">
        <v>68</v>
      </c>
      <c r="I12" s="194">
        <f t="shared" si="0"/>
        <v>112</v>
      </c>
      <c r="J12" s="218">
        <v>1967977</v>
      </c>
      <c r="K12" s="218">
        <v>295821</v>
      </c>
      <c r="L12" s="218">
        <v>18814</v>
      </c>
      <c r="M12" s="195">
        <f>I12/(HLOOKUP(F12,Team_Composition_23[[#All],[Yellow]:[Red]],10,FALSE)+HLOOKUP(F12,Team_Composition_23[[#All],[Yellow]:[Red]],11,FALSE))</f>
        <v>2.799300174956261E-2</v>
      </c>
      <c r="N12" s="195">
        <f>J12/HLOOKUP(F12,Team_Composition_23[[#All],[Yellow]:[Red]],6,FALSE)</f>
        <v>4.4360182655186771E-2</v>
      </c>
      <c r="O12" s="195">
        <f>K12/HLOOKUP(F12,Team_Composition_23[[#All],[Yellow]:[Red]],8,FALSE)</f>
        <v>1.6885952507034886E-2</v>
      </c>
      <c r="P12" s="195">
        <f>L12/HLOOKUP(F12,Team_Composition_23[[#All],[Yellow]:[Red]],7,FALSE)</f>
        <v>1.4534050575158747E-3</v>
      </c>
      <c r="R12" s="201" t="s">
        <v>465</v>
      </c>
      <c r="S12" s="202">
        <f>SUMIFS(Scoreboard_23[Kills],Scoreboard_23[Team],"Yellow")</f>
        <v>831</v>
      </c>
      <c r="T12" s="203">
        <f>SUMIFS(Scoreboard_23[Kills],Scoreboard_23[Team],"Red")</f>
        <v>179</v>
      </c>
      <c r="V12" s="204" t="str">
        <f ca="1">IFERROR(__xludf.DUMMYFUNCTION("""COMPUTED_VALUE"""),"Jawz")</f>
        <v>Jawz</v>
      </c>
      <c r="W12" s="116">
        <f ca="1">IFERROR(__xludf.DUMMYFUNCTION("""COMPUTED_VALUE"""),112)</f>
        <v>112</v>
      </c>
      <c r="Y12" s="204" t="str">
        <f ca="1">IFERROR(__xludf.DUMMYFUNCTION("""COMPUTED_VALUE"""),"Jawz")</f>
        <v>Jawz</v>
      </c>
      <c r="Z12" s="116">
        <f ca="1">IFERROR(__xludf.DUMMYFUNCTION("""COMPUTED_VALUE"""),1967977)</f>
        <v>1967977</v>
      </c>
    </row>
    <row r="13" spans="1:26" ht="22.5" customHeight="1">
      <c r="A13" s="216">
        <v>7</v>
      </c>
      <c r="B13" s="115" t="str">
        <f>VLOOKUP(C13,Lists!I:J,2,FALSE)</f>
        <v>KS</v>
      </c>
      <c r="C13" s="115" t="str">
        <f>VLOOKUP(E13,Lists!D:E,2,FALSE)</f>
        <v>Greatsword/Dagger</v>
      </c>
      <c r="D13" s="15" t="s">
        <v>7</v>
      </c>
      <c r="E13" s="217" t="s">
        <v>120</v>
      </c>
      <c r="F13" s="15" t="s">
        <v>476</v>
      </c>
      <c r="G13" s="216">
        <v>50</v>
      </c>
      <c r="H13" s="216">
        <v>60</v>
      </c>
      <c r="I13" s="194">
        <f t="shared" si="0"/>
        <v>110</v>
      </c>
      <c r="J13" s="218">
        <v>1961092</v>
      </c>
      <c r="K13" s="218">
        <v>1177244</v>
      </c>
      <c r="L13" s="218">
        <v>33301</v>
      </c>
      <c r="M13" s="195">
        <f>I13/(HLOOKUP(F13,Team_Composition_23[[#All],[Yellow]:[Red]],10,FALSE)+HLOOKUP(F13,Team_Composition_23[[#All],[Yellow]:[Red]],11,FALSE))</f>
        <v>2.749312671832042E-2</v>
      </c>
      <c r="N13" s="195">
        <f>J13/HLOOKUP(F13,Team_Composition_23[[#All],[Yellow]:[Red]],6,FALSE)</f>
        <v>4.4204987824362552E-2</v>
      </c>
      <c r="O13" s="195">
        <f>K13/HLOOKUP(F13,Team_Composition_23[[#All],[Yellow]:[Red]],8,FALSE)</f>
        <v>6.7199036826972314E-2</v>
      </c>
      <c r="P13" s="195">
        <f>L13/HLOOKUP(F13,Team_Composition_23[[#All],[Yellow]:[Red]],7,FALSE)</f>
        <v>2.5725439470785662E-3</v>
      </c>
      <c r="R13" s="201" t="s">
        <v>466</v>
      </c>
      <c r="S13" s="202">
        <f>SUMIFS(Scoreboard_23[Assists],Scoreboard_23[Team],"Yellow")</f>
        <v>3170</v>
      </c>
      <c r="T13" s="203">
        <f>SUMIFS(Scoreboard_23[Assists],Scoreboard_23[Team],"Red")</f>
        <v>642</v>
      </c>
      <c r="V13" s="204" t="str">
        <f ca="1">IFERROR(__xludf.DUMMYFUNCTION("""COMPUTED_VALUE"""),"stepbro")</f>
        <v>stepbro</v>
      </c>
      <c r="W13" s="116">
        <f ca="1">IFERROR(__xludf.DUMMYFUNCTION("""COMPUTED_VALUE"""),110)</f>
        <v>110</v>
      </c>
      <c r="Y13" s="204" t="str">
        <f ca="1">IFERROR(__xludf.DUMMYFUNCTION("""COMPUTED_VALUE"""),"stepbro")</f>
        <v>stepbro</v>
      </c>
      <c r="Z13" s="116">
        <f ca="1">IFERROR(__xludf.DUMMYFUNCTION("""COMPUTED_VALUE"""),1961092)</f>
        <v>1961092</v>
      </c>
    </row>
    <row r="14" spans="1:26" ht="22.5" customHeight="1">
      <c r="A14" s="216">
        <v>13</v>
      </c>
      <c r="B14" s="115" t="str">
        <f>VLOOKUP(C14,Lists!I:J,2,FALSE)</f>
        <v>Melee DPS</v>
      </c>
      <c r="C14" s="115" t="str">
        <f>VLOOKUP(E14,Lists!D:E,2,FALSE)</f>
        <v>Spear/Dagger</v>
      </c>
      <c r="D14" s="15" t="s">
        <v>7</v>
      </c>
      <c r="E14" s="217" t="s">
        <v>104</v>
      </c>
      <c r="F14" s="15" t="s">
        <v>476</v>
      </c>
      <c r="G14" s="216">
        <v>32</v>
      </c>
      <c r="H14" s="216">
        <v>68</v>
      </c>
      <c r="I14" s="194">
        <f t="shared" si="0"/>
        <v>100</v>
      </c>
      <c r="J14" s="218">
        <v>1648745</v>
      </c>
      <c r="K14" s="218">
        <v>627939</v>
      </c>
      <c r="L14" s="218">
        <v>53703</v>
      </c>
      <c r="M14" s="195">
        <f>I14/(HLOOKUP(F14,Team_Composition_23[[#All],[Yellow]:[Red]],10,FALSE)+HLOOKUP(F14,Team_Composition_23[[#All],[Yellow]:[Red]],11,FALSE))</f>
        <v>2.4993751562109472E-2</v>
      </c>
      <c r="N14" s="195">
        <f>J14/HLOOKUP(F14,Team_Composition_23[[#All],[Yellow]:[Red]],6,FALSE)</f>
        <v>3.7164372018486963E-2</v>
      </c>
      <c r="O14" s="195">
        <f>K14/HLOOKUP(F14,Team_Composition_23[[#All],[Yellow]:[Red]],8,FALSE)</f>
        <v>3.5843797875455018E-2</v>
      </c>
      <c r="P14" s="195">
        <f>L14/HLOOKUP(F14,Team_Composition_23[[#All],[Yellow]:[Red]],7,FALSE)</f>
        <v>4.1486239929719899E-3</v>
      </c>
      <c r="R14" s="204"/>
      <c r="S14" s="207">
        <f t="shared" ref="S14:T14" si="1">SUM(S4:S7)</f>
        <v>41</v>
      </c>
      <c r="T14" s="219">
        <f t="shared" si="1"/>
        <v>50</v>
      </c>
    </row>
    <row r="15" spans="1:26" ht="22.5" customHeight="1">
      <c r="A15" s="216">
        <v>64</v>
      </c>
      <c r="B15" s="115" t="str">
        <f>VLOOKUP(C15,Lists!I:J,2,FALSE)</f>
        <v>Healer</v>
      </c>
      <c r="C15" s="115" t="str">
        <f>VLOOKUP(E15,Lists!D:E,2,FALSE)</f>
        <v>Wand/Orb</v>
      </c>
      <c r="D15" s="15" t="s">
        <v>7</v>
      </c>
      <c r="E15" s="217" t="s">
        <v>41</v>
      </c>
      <c r="F15" s="15" t="s">
        <v>476</v>
      </c>
      <c r="G15" s="216">
        <v>0</v>
      </c>
      <c r="H15" s="216">
        <v>97</v>
      </c>
      <c r="I15" s="194">
        <f t="shared" si="0"/>
        <v>97</v>
      </c>
      <c r="J15" s="218">
        <v>0</v>
      </c>
      <c r="K15" s="218">
        <v>97599</v>
      </c>
      <c r="L15" s="218">
        <v>620365</v>
      </c>
      <c r="M15" s="195">
        <f>I15/(HLOOKUP(F15,Team_Composition_23[[#All],[Yellow]:[Red]],10,FALSE)+HLOOKUP(F15,Team_Composition_23[[#All],[Yellow]:[Red]],11,FALSE))</f>
        <v>2.4243939015246189E-2</v>
      </c>
      <c r="N15" s="195">
        <f>J15/HLOOKUP(F15,Team_Composition_23[[#All],[Yellow]:[Red]],6,FALSE)</f>
        <v>0</v>
      </c>
      <c r="O15" s="195">
        <f>K15/HLOOKUP(F15,Team_Composition_23[[#All],[Yellow]:[Red]],8,FALSE)</f>
        <v>5.5711125266093278E-3</v>
      </c>
      <c r="P15" s="195">
        <f>L15/HLOOKUP(F15,Team_Composition_23[[#All],[Yellow]:[Red]],7,FALSE)</f>
        <v>4.7923973025716785E-2</v>
      </c>
      <c r="R15" s="232" t="s">
        <v>25</v>
      </c>
      <c r="S15" s="228"/>
      <c r="T15" s="228"/>
      <c r="V15" s="233" t="s">
        <v>496</v>
      </c>
      <c r="W15" s="228"/>
      <c r="Y15" s="233" t="s">
        <v>497</v>
      </c>
      <c r="Z15" s="228"/>
    </row>
    <row r="16" spans="1:26" ht="22.5" customHeight="1">
      <c r="A16" s="216">
        <v>65</v>
      </c>
      <c r="B16" s="115" t="str">
        <f>VLOOKUP(C16,Lists!I:J,2,FALSE)</f>
        <v>Healer</v>
      </c>
      <c r="C16" s="115" t="str">
        <f>VLOOKUP(E16,Lists!D:E,2,FALSE)</f>
        <v>Wand/Longbow</v>
      </c>
      <c r="D16" s="15" t="s">
        <v>7</v>
      </c>
      <c r="E16" s="217" t="s">
        <v>101</v>
      </c>
      <c r="F16" s="15" t="s">
        <v>476</v>
      </c>
      <c r="G16" s="216">
        <v>0</v>
      </c>
      <c r="H16" s="216">
        <v>95</v>
      </c>
      <c r="I16" s="194">
        <f t="shared" si="0"/>
        <v>95</v>
      </c>
      <c r="J16" s="218">
        <v>42290</v>
      </c>
      <c r="K16" s="218">
        <v>244677</v>
      </c>
      <c r="L16" s="218">
        <v>795486</v>
      </c>
      <c r="M16" s="195">
        <f>I16/(HLOOKUP(F16,Team_Composition_23[[#All],[Yellow]:[Red]],10,FALSE)+HLOOKUP(F16,Team_Composition_23[[#All],[Yellow]:[Red]],11,FALSE))</f>
        <v>2.3744063984003999E-2</v>
      </c>
      <c r="N16" s="195">
        <f>J16/HLOOKUP(F16,Team_Composition_23[[#All],[Yellow]:[Red]],6,FALSE)</f>
        <v>9.5325917146788235E-4</v>
      </c>
      <c r="O16" s="195">
        <f>K16/HLOOKUP(F16,Team_Composition_23[[#All],[Yellow]:[Red]],8,FALSE)</f>
        <v>1.3966568301654632E-2</v>
      </c>
      <c r="P16" s="195">
        <f>L16/HLOOKUP(F16,Team_Composition_23[[#All],[Yellow]:[Red]],7,FALSE)</f>
        <v>6.1452289549435164E-2</v>
      </c>
      <c r="R16" s="197" t="s">
        <v>482</v>
      </c>
      <c r="S16" s="198" t="s">
        <v>476</v>
      </c>
      <c r="T16" s="198" t="s">
        <v>483</v>
      </c>
      <c r="V16" s="199" t="s">
        <v>1</v>
      </c>
      <c r="W16" s="200" t="s">
        <v>498</v>
      </c>
      <c r="Y16" s="199" t="s">
        <v>1</v>
      </c>
      <c r="Z16" s="200" t="s">
        <v>499</v>
      </c>
    </row>
    <row r="17" spans="1:26" ht="22.5" customHeight="1">
      <c r="A17" s="216">
        <v>66</v>
      </c>
      <c r="B17" s="115" t="str">
        <f>VLOOKUP(C17,Lists!I:J,2,FALSE)</f>
        <v>Healer</v>
      </c>
      <c r="C17" s="115" t="str">
        <f>VLOOKUP(E17,Lists!D:E,2,FALSE)</f>
        <v>Wand/Longbow</v>
      </c>
      <c r="D17" s="15" t="s">
        <v>7</v>
      </c>
      <c r="E17" s="217" t="s">
        <v>29</v>
      </c>
      <c r="F17" s="15" t="s">
        <v>476</v>
      </c>
      <c r="G17" s="216">
        <v>0</v>
      </c>
      <c r="H17" s="216">
        <v>93</v>
      </c>
      <c r="I17" s="194">
        <f t="shared" si="0"/>
        <v>93</v>
      </c>
      <c r="J17" s="218">
        <v>110819</v>
      </c>
      <c r="K17" s="218">
        <v>158757</v>
      </c>
      <c r="L17" s="218">
        <v>1086520</v>
      </c>
      <c r="M17" s="195">
        <f>I17/(HLOOKUP(F17,Team_Composition_23[[#All],[Yellow]:[Red]],10,FALSE)+HLOOKUP(F17,Team_Composition_23[[#All],[Yellow]:[Red]],11,FALSE))</f>
        <v>2.3244188952761809E-2</v>
      </c>
      <c r="N17" s="195">
        <f>J17/HLOOKUP(F17,Team_Composition_23[[#All],[Yellow]:[Red]],6,FALSE)</f>
        <v>2.4979718165736402E-3</v>
      </c>
      <c r="O17" s="195">
        <f>K17/HLOOKUP(F17,Team_Composition_23[[#All],[Yellow]:[Red]],8,FALSE)</f>
        <v>9.0621124333949837E-3</v>
      </c>
      <c r="P17" s="195">
        <f>L17/HLOOKUP(F17,Team_Composition_23[[#All],[Yellow]:[Red]],7,FALSE)</f>
        <v>8.3935030460941223E-2</v>
      </c>
      <c r="R17" s="201" t="s">
        <v>468</v>
      </c>
      <c r="S17" s="202">
        <f>SUMIFS(Scoreboard_23[Damage Dealt],Scoreboard_23[Role],"Melee DPS",Scoreboard_23[Team],"Yellow")</f>
        <v>8139593</v>
      </c>
      <c r="T17" s="203">
        <f>SUMIFS(Scoreboard_23[Damage Dealt],Scoreboard_23[Role],"Melee DPS",Scoreboard_23[Team],"Red")</f>
        <v>1695534</v>
      </c>
      <c r="V17" s="204" t="str">
        <f ca="1">IFERROR(__xludf.DUMMYFUNCTION("query(A1:P238, ""Select E,K Order by K Desc Limit 10"", 0)"),"Papa·Heights✗")</f>
        <v>Papa·Heights✗</v>
      </c>
      <c r="W17" s="116">
        <f ca="1">IFERROR(__xludf.DUMMYFUNCTION("""COMPUTED_VALUE"""),1426036)</f>
        <v>1426036</v>
      </c>
      <c r="Y17" s="204" t="str">
        <f ca="1">IFERROR(__xludf.DUMMYFUNCTION("query(A1:P238, ""Select E,L Order by L Desc Limit 10"", 0)"),"Glaceonツ")</f>
        <v>Glaceonツ</v>
      </c>
      <c r="Z17" s="116">
        <f ca="1">IFERROR(__xludf.DUMMYFUNCTION("""COMPUTED_VALUE"""),2490770)</f>
        <v>2490770</v>
      </c>
    </row>
    <row r="18" spans="1:26" ht="22.5" customHeight="1">
      <c r="A18" s="216">
        <v>8</v>
      </c>
      <c r="B18" s="115" t="str">
        <f>VLOOKUP(C18,Lists!I:J,2,FALSE)</f>
        <v>KS</v>
      </c>
      <c r="C18" s="115" t="str">
        <f>VLOOKUP(E18,Lists!D:E,2,FALSE)</f>
        <v>Crossbow/Dagger</v>
      </c>
      <c r="D18" s="15" t="s">
        <v>7</v>
      </c>
      <c r="E18" s="217" t="s">
        <v>95</v>
      </c>
      <c r="F18" s="15" t="s">
        <v>476</v>
      </c>
      <c r="G18" s="216">
        <v>48</v>
      </c>
      <c r="H18" s="216">
        <v>42</v>
      </c>
      <c r="I18" s="194">
        <f t="shared" si="0"/>
        <v>90</v>
      </c>
      <c r="J18" s="218">
        <v>1948863</v>
      </c>
      <c r="K18" s="218">
        <v>812565</v>
      </c>
      <c r="L18" s="218">
        <v>8194</v>
      </c>
      <c r="M18" s="195">
        <f>I18/(HLOOKUP(F18,Team_Composition_23[[#All],[Yellow]:[Red]],10,FALSE)+HLOOKUP(F18,Team_Composition_23[[#All],[Yellow]:[Red]],11,FALSE))</f>
        <v>2.2494376405898527E-2</v>
      </c>
      <c r="N18" s="195">
        <f>J18/HLOOKUP(F18,Team_Composition_23[[#All],[Yellow]:[Red]],6,FALSE)</f>
        <v>4.3929333853970479E-2</v>
      </c>
      <c r="O18" s="195">
        <f>K18/HLOOKUP(F18,Team_Composition_23[[#All],[Yellow]:[Red]],8,FALSE)</f>
        <v>4.6382555663319378E-2</v>
      </c>
      <c r="P18" s="195">
        <f>L18/HLOOKUP(F18,Team_Composition_23[[#All],[Yellow]:[Red]],7,FALSE)</f>
        <v>6.3299675992798332E-4</v>
      </c>
      <c r="R18" s="201" t="s">
        <v>469</v>
      </c>
      <c r="S18" s="202">
        <f>SUMIFS(Scoreboard_23[Damage Taken],Scoreboard_23[Role],"Melee DPS",Scoreboard_23[Team],"Yellow")</f>
        <v>2263249</v>
      </c>
      <c r="T18" s="203">
        <f>SUMIFS(Scoreboard_23[Damage Taken],Scoreboard_23[Role],"Melee DPS",Scoreboard_23[Team],"Red")</f>
        <v>3622403</v>
      </c>
      <c r="V18" s="204" t="str">
        <f ca="1">IFERROR(__xludf.DUMMYFUNCTION("""COMPUTED_VALUE"""),"Revic")</f>
        <v>Revic</v>
      </c>
      <c r="W18" s="116">
        <f ca="1">IFERROR(__xludf.DUMMYFUNCTION("""COMPUTED_VALUE"""),1388536)</f>
        <v>1388536</v>
      </c>
      <c r="Y18" s="204" t="str">
        <f ca="1">IFERROR(__xludf.DUMMYFUNCTION("""COMPUTED_VALUE"""),"stepsis")</f>
        <v>stepsis</v>
      </c>
      <c r="Z18" s="116">
        <f ca="1">IFERROR(__xludf.DUMMYFUNCTION("""COMPUTED_VALUE"""),2034465)</f>
        <v>2034465</v>
      </c>
    </row>
    <row r="19" spans="1:26" ht="22.5" customHeight="1">
      <c r="A19" s="216">
        <v>12</v>
      </c>
      <c r="B19" s="115" t="str">
        <f>VLOOKUP(C19,Lists!I:J,2,FALSE)</f>
        <v>KS</v>
      </c>
      <c r="C19" s="115" t="str">
        <f>VLOOKUP(E19,Lists!D:E,2,FALSE)</f>
        <v>Greatsword/Dagger</v>
      </c>
      <c r="D19" s="15" t="s">
        <v>7</v>
      </c>
      <c r="E19" s="217" t="s">
        <v>90</v>
      </c>
      <c r="F19" s="15" t="s">
        <v>476</v>
      </c>
      <c r="G19" s="216">
        <v>41</v>
      </c>
      <c r="H19" s="216">
        <v>48</v>
      </c>
      <c r="I19" s="194">
        <f t="shared" si="0"/>
        <v>89</v>
      </c>
      <c r="J19" s="218">
        <v>1385034</v>
      </c>
      <c r="K19" s="218">
        <v>558120</v>
      </c>
      <c r="L19" s="218">
        <v>55642</v>
      </c>
      <c r="M19" s="195">
        <f>I19/(HLOOKUP(F19,Team_Composition_23[[#All],[Yellow]:[Red]],10,FALSE)+HLOOKUP(F19,Team_Composition_23[[#All],[Yellow]:[Red]],11,FALSE))</f>
        <v>2.224443889027743E-2</v>
      </c>
      <c r="N19" s="195">
        <f>J19/HLOOKUP(F19,Team_Composition_23[[#All],[Yellow]:[Red]],6,FALSE)</f>
        <v>3.1220060612316077E-2</v>
      </c>
      <c r="O19" s="195">
        <f>K19/HLOOKUP(F19,Team_Composition_23[[#All],[Yellow]:[Red]],8,FALSE)</f>
        <v>3.185841374759165E-2</v>
      </c>
      <c r="P19" s="195">
        <f>L19/HLOOKUP(F19,Team_Composition_23[[#All],[Yellow]:[Red]],7,FALSE)</f>
        <v>4.2984141708460885E-3</v>
      </c>
      <c r="R19" s="201" t="s">
        <v>470</v>
      </c>
      <c r="S19" s="202">
        <f>SUMIFS(Scoreboard_23[Amount Healed],Scoreboard_23[Role],"Melee DPS",Scoreboard_23[Team],"Yellow")</f>
        <v>130569</v>
      </c>
      <c r="T19" s="203">
        <f>SUMIFS(Scoreboard_23[Amount Healed],Scoreboard_23[Role],"Melee DPS",Scoreboard_23[Team],"Red")</f>
        <v>125157</v>
      </c>
      <c r="V19" s="204" t="str">
        <f ca="1">IFERROR(__xludf.DUMMYFUNCTION("""COMPUTED_VALUE"""),"KoeKaine")</f>
        <v>KoeKaine</v>
      </c>
      <c r="W19" s="116">
        <f ca="1">IFERROR(__xludf.DUMMYFUNCTION("""COMPUTED_VALUE"""),1274556)</f>
        <v>1274556</v>
      </c>
      <c r="Y19" s="204" t="str">
        <f ca="1">IFERROR(__xludf.DUMMYFUNCTION("""COMPUTED_VALUE"""),"Cinglez")</f>
        <v>Cinglez</v>
      </c>
      <c r="Z19" s="116">
        <f ca="1">IFERROR(__xludf.DUMMYFUNCTION("""COMPUTED_VALUE"""),1844278)</f>
        <v>1844278</v>
      </c>
    </row>
    <row r="20" spans="1:26" ht="22.5" customHeight="1">
      <c r="A20" s="216">
        <v>67</v>
      </c>
      <c r="B20" s="115" t="str">
        <f>VLOOKUP(C20,Lists!I:J,2,FALSE)</f>
        <v>Healer</v>
      </c>
      <c r="C20" s="115" t="str">
        <f>VLOOKUP(E20,Lists!D:E,2,FALSE)</f>
        <v>Wand/Longbow</v>
      </c>
      <c r="D20" s="15" t="s">
        <v>7</v>
      </c>
      <c r="E20" s="217" t="s">
        <v>105</v>
      </c>
      <c r="F20" s="15" t="s">
        <v>476</v>
      </c>
      <c r="G20" s="216">
        <v>0</v>
      </c>
      <c r="H20" s="216">
        <v>89</v>
      </c>
      <c r="I20" s="194">
        <f t="shared" si="0"/>
        <v>89</v>
      </c>
      <c r="J20" s="218">
        <v>48647</v>
      </c>
      <c r="K20" s="218">
        <v>377681</v>
      </c>
      <c r="L20" s="218">
        <v>985398</v>
      </c>
      <c r="M20" s="195">
        <f>I20/(HLOOKUP(F20,Team_Composition_23[[#All],[Yellow]:[Red]],10,FALSE)+HLOOKUP(F20,Team_Composition_23[[#All],[Yellow]:[Red]],11,FALSE))</f>
        <v>2.224443889027743E-2</v>
      </c>
      <c r="N20" s="195">
        <f>J20/HLOOKUP(F20,Team_Composition_23[[#All],[Yellow]:[Red]],6,FALSE)</f>
        <v>1.096552350777916E-3</v>
      </c>
      <c r="O20" s="195">
        <f>K20/HLOOKUP(F20,Team_Composition_23[[#All],[Yellow]:[Red]],8,FALSE)</f>
        <v>2.1558656852655636E-2</v>
      </c>
      <c r="P20" s="195">
        <f>L20/HLOOKUP(F20,Team_Composition_23[[#All],[Yellow]:[Red]],7,FALSE)</f>
        <v>7.6123229343362811E-2</v>
      </c>
      <c r="R20" s="201" t="s">
        <v>465</v>
      </c>
      <c r="S20" s="202">
        <f>SUMIFS(Scoreboard_23[Kills],Scoreboard_23[Role],"Melee DPS",Scoreboard_23[Team],"Yellow")</f>
        <v>161</v>
      </c>
      <c r="T20" s="203">
        <f>SUMIFS(Scoreboard_23[Kills],Scoreboard_23[Role],"Melee DPS",Scoreboard_23[Team],"Red")</f>
        <v>24</v>
      </c>
      <c r="V20" s="204" t="str">
        <f ca="1">IFERROR(__xludf.DUMMYFUNCTION("""COMPUTED_VALUE"""),"Lewps")</f>
        <v>Lewps</v>
      </c>
      <c r="W20" s="116">
        <f ca="1">IFERROR(__xludf.DUMMYFUNCTION("""COMPUTED_VALUE"""),1229836)</f>
        <v>1229836</v>
      </c>
      <c r="Y20" s="204" t="str">
        <f ca="1">IFERROR(__xludf.DUMMYFUNCTION("""COMPUTED_VALUE"""),"KoeKaine")</f>
        <v>KoeKaine</v>
      </c>
      <c r="Z20" s="116">
        <f ca="1">IFERROR(__xludf.DUMMYFUNCTION("""COMPUTED_VALUE"""),1814905)</f>
        <v>1814905</v>
      </c>
    </row>
    <row r="21" spans="1:26" ht="22.5" customHeight="1">
      <c r="A21" s="216">
        <v>25</v>
      </c>
      <c r="B21" s="115" t="str">
        <f>VLOOKUP(C21,Lists!I:J,2,FALSE)</f>
        <v>Ranged DPS</v>
      </c>
      <c r="C21" s="115" t="str">
        <f>VLOOKUP(E21,Lists!D:E,2,FALSE)</f>
        <v>SnS/Wand</v>
      </c>
      <c r="D21" s="15" t="s">
        <v>7</v>
      </c>
      <c r="E21" s="217" t="s">
        <v>65</v>
      </c>
      <c r="F21" s="15" t="s">
        <v>476</v>
      </c>
      <c r="G21" s="216">
        <v>10</v>
      </c>
      <c r="H21" s="216">
        <v>78</v>
      </c>
      <c r="I21" s="194">
        <f t="shared" si="0"/>
        <v>88</v>
      </c>
      <c r="J21" s="218">
        <v>1277277</v>
      </c>
      <c r="K21" s="218">
        <v>367604</v>
      </c>
      <c r="L21" s="218">
        <v>190652</v>
      </c>
      <c r="M21" s="195">
        <f>I21/(HLOOKUP(F21,Team_Composition_23[[#All],[Yellow]:[Red]],10,FALSE)+HLOOKUP(F21,Team_Composition_23[[#All],[Yellow]:[Red]],11,FALSE))</f>
        <v>2.1994501374656337E-2</v>
      </c>
      <c r="N21" s="195">
        <f>J21/HLOOKUP(F21,Team_Composition_23[[#All],[Yellow]:[Red]],6,FALSE)</f>
        <v>2.8791109358122069E-2</v>
      </c>
      <c r="O21" s="195">
        <f>K21/HLOOKUP(F21,Team_Composition_23[[#All],[Yellow]:[Red]],8,FALSE)</f>
        <v>2.0983445006933422E-2</v>
      </c>
      <c r="P21" s="195">
        <f>L21/HLOOKUP(F21,Team_Composition_23[[#All],[Yellow]:[Red]],7,FALSE)</f>
        <v>1.4728105720501572E-2</v>
      </c>
      <c r="R21" s="201" t="s">
        <v>466</v>
      </c>
      <c r="S21" s="202">
        <f>SUMIFS(Scoreboard_23[Assists],Scoreboard_23[Role],"Melee DPS",Scoreboard_23[Team],"Yellow")</f>
        <v>394</v>
      </c>
      <c r="T21" s="203">
        <f>SUMIFS(Scoreboard_23[Assists],Scoreboard_23[Role],"Melee DPS",Scoreboard_23[Team],"Red")</f>
        <v>60</v>
      </c>
      <c r="V21" s="204" t="str">
        <f ca="1">IFERROR(__xludf.DUMMYFUNCTION("""COMPUTED_VALUE"""),"Marruh")</f>
        <v>Marruh</v>
      </c>
      <c r="W21" s="116">
        <f ca="1">IFERROR(__xludf.DUMMYFUNCTION("""COMPUTED_VALUE"""),1182230)</f>
        <v>1182230</v>
      </c>
      <c r="Y21" s="204" t="str">
        <f ca="1">IFERROR(__xludf.DUMMYFUNCTION("""COMPUTED_VALUE"""),"ChouxCreme")</f>
        <v>ChouxCreme</v>
      </c>
      <c r="Z21" s="116">
        <f ca="1">IFERROR(__xludf.DUMMYFUNCTION("""COMPUTED_VALUE"""),1762607)</f>
        <v>1762607</v>
      </c>
    </row>
    <row r="22" spans="1:26" ht="22.5" customHeight="1">
      <c r="A22" s="216">
        <v>14</v>
      </c>
      <c r="B22" s="115" t="str">
        <f>VLOOKUP(C22,Lists!I:J,2,FALSE)</f>
        <v>KS</v>
      </c>
      <c r="C22" s="115" t="str">
        <f>VLOOKUP(E22,Lists!D:E,2,FALSE)</f>
        <v>Greatsword/Dagger</v>
      </c>
      <c r="D22" s="15" t="s">
        <v>7</v>
      </c>
      <c r="E22" s="217" t="s">
        <v>125</v>
      </c>
      <c r="F22" s="15" t="s">
        <v>476</v>
      </c>
      <c r="G22" s="216">
        <v>30</v>
      </c>
      <c r="H22" s="216">
        <v>52</v>
      </c>
      <c r="I22" s="194">
        <f t="shared" si="0"/>
        <v>82</v>
      </c>
      <c r="J22" s="218">
        <v>1227085</v>
      </c>
      <c r="K22" s="218">
        <v>734501</v>
      </c>
      <c r="L22" s="218">
        <v>26984</v>
      </c>
      <c r="M22" s="195">
        <f>I22/(HLOOKUP(F22,Team_Composition_23[[#All],[Yellow]:[Red]],10,FALSE)+HLOOKUP(F22,Team_Composition_23[[#All],[Yellow]:[Red]],11,FALSE))</f>
        <v>2.0494876280929768E-2</v>
      </c>
      <c r="N22" s="195">
        <f>J22/HLOOKUP(F22,Team_Composition_23[[#All],[Yellow]:[Red]],6,FALSE)</f>
        <v>2.7659731152061159E-2</v>
      </c>
      <c r="O22" s="195">
        <f>K22/HLOOKUP(F22,Team_Composition_23[[#All],[Yellow]:[Red]],8,FALSE)</f>
        <v>4.1926533283200416E-2</v>
      </c>
      <c r="P22" s="195">
        <f>L22/HLOOKUP(F22,Team_Composition_23[[#All],[Yellow]:[Red]],7,FALSE)</f>
        <v>2.0845477873928119E-3</v>
      </c>
      <c r="R22" s="201" t="s">
        <v>24</v>
      </c>
      <c r="S22" s="202">
        <f t="shared" ref="S22:S25" si="2">COUNTIFS(C:C,R22,F:F,"Yellow")</f>
        <v>1</v>
      </c>
      <c r="T22" s="203">
        <f t="shared" ref="T22:T25" si="3">COUNTIFS(C:C,R22,F:F,"Red")</f>
        <v>0</v>
      </c>
      <c r="V22" s="204" t="str">
        <f ca="1">IFERROR(__xludf.DUMMYFUNCTION("""COMPUTED_VALUE"""),"stepbro")</f>
        <v>stepbro</v>
      </c>
      <c r="W22" s="116">
        <f ca="1">IFERROR(__xludf.DUMMYFUNCTION("""COMPUTED_VALUE"""),1177244)</f>
        <v>1177244</v>
      </c>
      <c r="Y22" s="204" t="str">
        <f ca="1">IFERROR(__xludf.DUMMYFUNCTION("""COMPUTED_VALUE"""),"Yellowfever69")</f>
        <v>Yellowfever69</v>
      </c>
      <c r="Z22" s="116">
        <f ca="1">IFERROR(__xludf.DUMMYFUNCTION("""COMPUTED_VALUE"""),1546184)</f>
        <v>1546184</v>
      </c>
    </row>
    <row r="23" spans="1:26" ht="22.5" customHeight="1">
      <c r="A23" s="216">
        <v>51</v>
      </c>
      <c r="B23" s="115" t="str">
        <f>VLOOKUP(C23,Lists!I:J,2,FALSE)</f>
        <v>Healer</v>
      </c>
      <c r="C23" s="115" t="str">
        <f>VLOOKUP(E23,Lists!D:E,2,FALSE)</f>
        <v>Wand/Longbow</v>
      </c>
      <c r="D23" s="15" t="s">
        <v>7</v>
      </c>
      <c r="E23" s="217" t="s">
        <v>108</v>
      </c>
      <c r="F23" s="15" t="s">
        <v>476</v>
      </c>
      <c r="G23" s="216">
        <v>1</v>
      </c>
      <c r="H23" s="216">
        <v>81</v>
      </c>
      <c r="I23" s="194">
        <f t="shared" si="0"/>
        <v>82</v>
      </c>
      <c r="J23" s="218">
        <v>62563</v>
      </c>
      <c r="K23" s="218">
        <v>373001</v>
      </c>
      <c r="L23" s="218">
        <v>920160</v>
      </c>
      <c r="M23" s="195">
        <f>I23/(HLOOKUP(F23,Team_Composition_23[[#All],[Yellow]:[Red]],10,FALSE)+HLOOKUP(F23,Team_Composition_23[[#All],[Yellow]:[Red]],11,FALSE))</f>
        <v>2.0494876280929768E-2</v>
      </c>
      <c r="N23" s="195">
        <f>J23/HLOOKUP(F23,Team_Composition_23[[#All],[Yellow]:[Red]],6,FALSE)</f>
        <v>1.4102329993980875E-3</v>
      </c>
      <c r="O23" s="195">
        <f>K23/HLOOKUP(F23,Team_Composition_23[[#All],[Yellow]:[Red]],8,FALSE)</f>
        <v>2.1291514703406855E-2</v>
      </c>
      <c r="P23" s="195">
        <f>L23/HLOOKUP(F23,Team_Composition_23[[#All],[Yellow]:[Red]],7,FALSE)</f>
        <v>7.1083512157106801E-2</v>
      </c>
      <c r="R23" s="201" t="s">
        <v>69</v>
      </c>
      <c r="S23" s="202">
        <f t="shared" si="2"/>
        <v>4</v>
      </c>
      <c r="T23" s="203">
        <f t="shared" si="3"/>
        <v>2</v>
      </c>
      <c r="V23" s="204" t="str">
        <f ca="1">IFERROR(__xludf.DUMMYFUNCTION("""COMPUTED_VALUE"""),"chotty")</f>
        <v>chotty</v>
      </c>
      <c r="W23" s="116">
        <f ca="1">IFERROR(__xludf.DUMMYFUNCTION("""COMPUTED_VALUE"""),1124569)</f>
        <v>1124569</v>
      </c>
      <c r="Y23" s="204" t="str">
        <f ca="1">IFERROR(__xludf.DUMMYFUNCTION("""COMPUTED_VALUE"""),"Breedable")</f>
        <v>Breedable</v>
      </c>
      <c r="Z23" s="116">
        <f ca="1">IFERROR(__xludf.DUMMYFUNCTION("""COMPUTED_VALUE"""),1396169)</f>
        <v>1396169</v>
      </c>
    </row>
    <row r="24" spans="1:26" ht="22.5" customHeight="1">
      <c r="A24" s="216">
        <v>68</v>
      </c>
      <c r="B24" s="115" t="str">
        <f>VLOOKUP(C24,Lists!I:J,2,FALSE)</f>
        <v>Healer</v>
      </c>
      <c r="C24" s="115" t="str">
        <f>VLOOKUP(E24,Lists!D:E,2,FALSE)</f>
        <v>Wand/Longbow</v>
      </c>
      <c r="D24" s="15" t="s">
        <v>7</v>
      </c>
      <c r="E24" s="217" t="s">
        <v>124</v>
      </c>
      <c r="F24" s="15" t="s">
        <v>476</v>
      </c>
      <c r="G24" s="216">
        <v>0</v>
      </c>
      <c r="H24" s="216">
        <v>80</v>
      </c>
      <c r="I24" s="194">
        <f t="shared" si="0"/>
        <v>80</v>
      </c>
      <c r="J24" s="218">
        <v>40517</v>
      </c>
      <c r="K24" s="218">
        <v>615923</v>
      </c>
      <c r="L24" s="218">
        <v>2034465</v>
      </c>
      <c r="M24" s="195">
        <f>I24/(HLOOKUP(F24,Team_Composition_23[[#All],[Yellow]:[Red]],10,FALSE)+HLOOKUP(F24,Team_Composition_23[[#All],[Yellow]:[Red]],11,FALSE))</f>
        <v>1.9995001249687578E-2</v>
      </c>
      <c r="N24" s="195">
        <f>J24/HLOOKUP(F24,Team_Composition_23[[#All],[Yellow]:[Red]],6,FALSE)</f>
        <v>9.1329396666739622E-4</v>
      </c>
      <c r="O24" s="195">
        <f>K24/HLOOKUP(F24,Team_Composition_23[[#All],[Yellow]:[Red]],8,FALSE)</f>
        <v>3.5157904699093197E-2</v>
      </c>
      <c r="P24" s="195">
        <f>L24/HLOOKUP(F24,Team_Composition_23[[#All],[Yellow]:[Red]],7,FALSE)</f>
        <v>0.15716496865839449</v>
      </c>
      <c r="R24" s="201" t="s">
        <v>23</v>
      </c>
      <c r="S24" s="202">
        <f t="shared" si="2"/>
        <v>3</v>
      </c>
      <c r="T24" s="203">
        <f t="shared" si="3"/>
        <v>4</v>
      </c>
      <c r="V24" s="204" t="str">
        <f ca="1">IFERROR(__xludf.DUMMYFUNCTION("""COMPUTED_VALUE"""),"ChouxCreme")</f>
        <v>ChouxCreme</v>
      </c>
      <c r="W24" s="116">
        <f ca="1">IFERROR(__xludf.DUMMYFUNCTION("""COMPUTED_VALUE"""),1088942)</f>
        <v>1088942</v>
      </c>
      <c r="Y24" s="204" t="str">
        <f ca="1">IFERROR(__xludf.DUMMYFUNCTION("""COMPUTED_VALUE"""),"·MoonCake·")</f>
        <v>·MoonCake·</v>
      </c>
      <c r="Z24" s="116">
        <f ca="1">IFERROR(__xludf.DUMMYFUNCTION("""COMPUTED_VALUE"""),1344550)</f>
        <v>1344550</v>
      </c>
    </row>
    <row r="25" spans="1:26" ht="22.5" customHeight="1">
      <c r="A25" s="216">
        <v>19</v>
      </c>
      <c r="B25" s="115" t="str">
        <f>VLOOKUP(C25,Lists!I:J,2,FALSE)</f>
        <v>Ranged DPS</v>
      </c>
      <c r="C25" s="115" t="str">
        <f>VLOOKUP(E25,Lists!D:E,2,FALSE)</f>
        <v>Crossbow/SnS</v>
      </c>
      <c r="D25" s="15" t="s">
        <v>7</v>
      </c>
      <c r="E25" s="217" t="s">
        <v>83</v>
      </c>
      <c r="F25" s="15" t="s">
        <v>476</v>
      </c>
      <c r="G25" s="216">
        <v>13</v>
      </c>
      <c r="H25" s="216">
        <v>66</v>
      </c>
      <c r="I25" s="194">
        <f t="shared" si="0"/>
        <v>79</v>
      </c>
      <c r="J25" s="218">
        <v>986741</v>
      </c>
      <c r="K25" s="218">
        <v>262994</v>
      </c>
      <c r="L25" s="218">
        <v>2624</v>
      </c>
      <c r="M25" s="195">
        <f>I25/(HLOOKUP(F25,Team_Composition_23[[#All],[Yellow]:[Red]],10,FALSE)+HLOOKUP(F25,Team_Composition_23[[#All],[Yellow]:[Red]],11,FALSE))</f>
        <v>1.9745063734066485E-2</v>
      </c>
      <c r="N25" s="195">
        <f>J25/HLOOKUP(F25,Team_Composition_23[[#All],[Yellow]:[Red]],6,FALSE)</f>
        <v>2.2242135448413091E-2</v>
      </c>
      <c r="O25" s="195">
        <f>K25/HLOOKUP(F25,Team_Composition_23[[#All],[Yellow]:[Red]],8,FALSE)</f>
        <v>1.5012132991353329E-2</v>
      </c>
      <c r="P25" s="195">
        <f>L25/HLOOKUP(F25,Team_Composition_23[[#All],[Yellow]:[Red]],7,FALSE)</f>
        <v>2.0270728558103833E-4</v>
      </c>
      <c r="R25" s="201" t="s">
        <v>33</v>
      </c>
      <c r="S25" s="202">
        <f t="shared" si="2"/>
        <v>0</v>
      </c>
      <c r="T25" s="203">
        <f t="shared" si="3"/>
        <v>0</v>
      </c>
      <c r="V25" s="204" t="str">
        <f ca="1">IFERROR(__xludf.DUMMYFUNCTION("""COMPUTED_VALUE"""),"tToast")</f>
        <v>tToast</v>
      </c>
      <c r="W25" s="116">
        <f ca="1">IFERROR(__xludf.DUMMYFUNCTION("""COMPUTED_VALUE"""),1084595)</f>
        <v>1084595</v>
      </c>
      <c r="Y25" s="204" t="str">
        <f ca="1">IFERROR(__xludf.DUMMYFUNCTION("""COMPUTED_VALUE"""),"主Tony")</f>
        <v>主Tony</v>
      </c>
      <c r="Z25" s="116">
        <f ca="1">IFERROR(__xludf.DUMMYFUNCTION("""COMPUTED_VALUE"""),1268256)</f>
        <v>1268256</v>
      </c>
    </row>
    <row r="26" spans="1:26" ht="22.5" customHeight="1">
      <c r="A26" s="216">
        <v>69</v>
      </c>
      <c r="B26" s="115" t="str">
        <f>VLOOKUP(C26,Lists!I:J,2,FALSE)</f>
        <v>Healer</v>
      </c>
      <c r="C26" s="115" t="str">
        <f>VLOOKUP(E26,Lists!D:E,2,FALSE)</f>
        <v>Wand/Orb</v>
      </c>
      <c r="D26" s="15" t="s">
        <v>7</v>
      </c>
      <c r="E26" s="217" t="s">
        <v>74</v>
      </c>
      <c r="F26" s="15" t="s">
        <v>476</v>
      </c>
      <c r="G26" s="216">
        <v>0</v>
      </c>
      <c r="H26" s="216">
        <v>79</v>
      </c>
      <c r="I26" s="194">
        <f t="shared" si="0"/>
        <v>79</v>
      </c>
      <c r="J26" s="218">
        <v>948</v>
      </c>
      <c r="K26" s="218">
        <v>122438</v>
      </c>
      <c r="L26" s="218">
        <v>281071</v>
      </c>
      <c r="M26" s="195">
        <f>I26/(HLOOKUP(F26,Team_Composition_23[[#All],[Yellow]:[Red]],10,FALSE)+HLOOKUP(F26,Team_Composition_23[[#All],[Yellow]:[Red]],11,FALSE))</f>
        <v>1.9745063734066485E-2</v>
      </c>
      <c r="N26" s="195">
        <f>J26/HLOOKUP(F26,Team_Composition_23[[#All],[Yellow]:[Red]],6,FALSE)</f>
        <v>2.1368874309566148E-5</v>
      </c>
      <c r="O26" s="195">
        <f>K26/HLOOKUP(F26,Team_Composition_23[[#All],[Yellow]:[Red]],8,FALSE)</f>
        <v>6.9889637755816431E-3</v>
      </c>
      <c r="P26" s="195">
        <f>L26/HLOOKUP(F26,Team_Composition_23[[#All],[Yellow]:[Red]],7,FALSE)</f>
        <v>2.1713086686565561E-2</v>
      </c>
      <c r="R26" s="204"/>
      <c r="S26" s="208"/>
      <c r="T26" s="208"/>
      <c r="V26" s="204" t="str">
        <f ca="1">IFERROR(__xludf.DUMMYFUNCTION("""COMPUTED_VALUE"""),"Cinglez")</f>
        <v>Cinglez</v>
      </c>
      <c r="W26" s="116">
        <f ca="1">IFERROR(__xludf.DUMMYFUNCTION("""COMPUTED_VALUE"""),1034295)</f>
        <v>1034295</v>
      </c>
      <c r="Y26" s="204" t="str">
        <f ca="1">IFERROR(__xludf.DUMMYFUNCTION("""COMPUTED_VALUE"""),"foxgloves")</f>
        <v>foxgloves</v>
      </c>
      <c r="Z26" s="116">
        <f ca="1">IFERROR(__xludf.DUMMYFUNCTION("""COMPUTED_VALUE"""),1261850)</f>
        <v>1261850</v>
      </c>
    </row>
    <row r="27" spans="1:26" ht="22.5" customHeight="1">
      <c r="A27" s="216">
        <v>17</v>
      </c>
      <c r="B27" s="115" t="str">
        <f>VLOOKUP(C27,Lists!I:J,2,FALSE)</f>
        <v>Melee DPS</v>
      </c>
      <c r="C27" s="115" t="str">
        <f>VLOOKUP(E27,Lists!D:E,2,FALSE)</f>
        <v>Greatsword/Spear</v>
      </c>
      <c r="D27" s="15" t="s">
        <v>7</v>
      </c>
      <c r="E27" s="217" t="s">
        <v>113</v>
      </c>
      <c r="F27" s="15" t="s">
        <v>476</v>
      </c>
      <c r="G27" s="216">
        <v>17</v>
      </c>
      <c r="H27" s="216">
        <v>59</v>
      </c>
      <c r="I27" s="194">
        <f t="shared" si="0"/>
        <v>76</v>
      </c>
      <c r="J27" s="218">
        <v>1056811</v>
      </c>
      <c r="K27" s="218">
        <v>621018</v>
      </c>
      <c r="L27" s="218">
        <v>44207</v>
      </c>
      <c r="M27" s="195">
        <f>I27/(HLOOKUP(F27,Team_Composition_23[[#All],[Yellow]:[Red]],10,FALSE)+HLOOKUP(F27,Team_Composition_23[[#All],[Yellow]:[Red]],11,FALSE))</f>
        <v>1.8995251187203199E-2</v>
      </c>
      <c r="N27" s="195">
        <f>J27/HLOOKUP(F27,Team_Composition_23[[#All],[Yellow]:[Red]],6,FALSE)</f>
        <v>2.3821583784775221E-2</v>
      </c>
      <c r="O27" s="195">
        <f>K27/HLOOKUP(F27,Team_Composition_23[[#All],[Yellow]:[Red]],8,FALSE)</f>
        <v>3.5448735735508267E-2</v>
      </c>
      <c r="P27" s="195">
        <f>L27/HLOOKUP(F27,Team_Composition_23[[#All],[Yellow]:[Red]],7,FALSE)</f>
        <v>3.4150461027747567E-3</v>
      </c>
      <c r="R27" s="6"/>
      <c r="S27" s="209"/>
      <c r="T27" s="209"/>
    </row>
    <row r="28" spans="1:26" ht="22.5" customHeight="1">
      <c r="A28" s="216">
        <v>34</v>
      </c>
      <c r="B28" s="115" t="str">
        <f>VLOOKUP(C28,Lists!I:J,2,FALSE)</f>
        <v>Tank</v>
      </c>
      <c r="C28" s="115" t="str">
        <f>VLOOKUP(E28,Lists!D:E,2,FALSE)</f>
        <v>SnS/Greatsword</v>
      </c>
      <c r="D28" s="15" t="s">
        <v>7</v>
      </c>
      <c r="E28" s="217" t="s">
        <v>122</v>
      </c>
      <c r="F28" s="15" t="s">
        <v>476</v>
      </c>
      <c r="G28" s="216">
        <v>4</v>
      </c>
      <c r="H28" s="216">
        <v>63</v>
      </c>
      <c r="I28" s="194">
        <f t="shared" si="0"/>
        <v>67</v>
      </c>
      <c r="J28" s="218">
        <v>234574</v>
      </c>
      <c r="K28" s="218">
        <v>358399</v>
      </c>
      <c r="L28" s="218">
        <v>47542</v>
      </c>
      <c r="M28" s="195">
        <f>I28/(HLOOKUP(F28,Team_Composition_23[[#All],[Yellow]:[Red]],10,FALSE)+HLOOKUP(F28,Team_Composition_23[[#All],[Yellow]:[Red]],11,FALSE))</f>
        <v>1.6745813546613347E-2</v>
      </c>
      <c r="N28" s="195">
        <f>J28/HLOOKUP(F28,Team_Composition_23[[#All],[Yellow]:[Red]],6,FALSE)</f>
        <v>5.2875340952449048E-3</v>
      </c>
      <c r="O28" s="195">
        <f>K28/HLOOKUP(F28,Team_Composition_23[[#All],[Yellow]:[Red]],8,FALSE)</f>
        <v>2.0458008365088334E-2</v>
      </c>
      <c r="P28" s="195">
        <f>L28/HLOOKUP(F28,Team_Composition_23[[#All],[Yellow]:[Red]],7,FALSE)</f>
        <v>3.6726790286180353E-3</v>
      </c>
      <c r="R28" s="232" t="s">
        <v>39</v>
      </c>
      <c r="S28" s="228"/>
      <c r="T28" s="228"/>
    </row>
    <row r="29" spans="1:26" ht="22.5" customHeight="1">
      <c r="A29" s="216">
        <v>70</v>
      </c>
      <c r="B29" s="115" t="str">
        <f>VLOOKUP(C29,Lists!I:J,2,FALSE)</f>
        <v>Healer</v>
      </c>
      <c r="C29" s="115" t="str">
        <f>VLOOKUP(E29,Lists!D:E,2,FALSE)</f>
        <v>Wand/Orb</v>
      </c>
      <c r="D29" s="15" t="s">
        <v>7</v>
      </c>
      <c r="E29" s="217" t="s">
        <v>46</v>
      </c>
      <c r="F29" s="15" t="s">
        <v>476</v>
      </c>
      <c r="G29" s="216">
        <v>0</v>
      </c>
      <c r="H29" s="216">
        <v>58</v>
      </c>
      <c r="I29" s="194">
        <f t="shared" si="0"/>
        <v>58</v>
      </c>
      <c r="J29" s="218">
        <v>210</v>
      </c>
      <c r="K29" s="218">
        <v>528230</v>
      </c>
      <c r="L29" s="218">
        <v>510593</v>
      </c>
      <c r="M29" s="195">
        <f>I29/(HLOOKUP(F29,Team_Composition_23[[#All],[Yellow]:[Red]],10,FALSE)+HLOOKUP(F29,Team_Composition_23[[#All],[Yellow]:[Red]],11,FALSE))</f>
        <v>1.4496375906023495E-2</v>
      </c>
      <c r="N29" s="195">
        <f>J29/HLOOKUP(F29,Team_Composition_23[[#All],[Yellow]:[Red]],6,FALSE)</f>
        <v>4.7336113976887035E-6</v>
      </c>
      <c r="O29" s="195">
        <f>K29/HLOOKUP(F29,Team_Composition_23[[#All],[Yellow]:[Red]],8,FALSE)</f>
        <v>3.0152243055060451E-2</v>
      </c>
      <c r="P29" s="195">
        <f>L29/HLOOKUP(F29,Team_Composition_23[[#All],[Yellow]:[Red]],7,FALSE)</f>
        <v>3.9443948577240512E-2</v>
      </c>
      <c r="R29" s="197" t="s">
        <v>482</v>
      </c>
      <c r="S29" s="198" t="s">
        <v>476</v>
      </c>
      <c r="T29" s="198" t="s">
        <v>483</v>
      </c>
    </row>
    <row r="30" spans="1:26" ht="22.5" customHeight="1">
      <c r="A30" s="216">
        <v>15</v>
      </c>
      <c r="B30" s="115" t="str">
        <f>VLOOKUP(C30,Lists!I:J,2,FALSE)</f>
        <v>Ranged DPS</v>
      </c>
      <c r="C30" s="115" t="str">
        <f>VLOOKUP(E30,Lists!D:E,2,FALSE)</f>
        <v>Orb/Wand</v>
      </c>
      <c r="D30" s="15" t="s">
        <v>7</v>
      </c>
      <c r="E30" s="217" t="s">
        <v>94</v>
      </c>
      <c r="F30" s="15" t="s">
        <v>476</v>
      </c>
      <c r="G30" s="216">
        <v>23</v>
      </c>
      <c r="H30" s="216">
        <v>31</v>
      </c>
      <c r="I30" s="194">
        <f t="shared" si="0"/>
        <v>54</v>
      </c>
      <c r="J30" s="218">
        <v>1283976</v>
      </c>
      <c r="K30" s="218">
        <v>655583</v>
      </c>
      <c r="L30" s="218">
        <v>330374</v>
      </c>
      <c r="M30" s="195">
        <f>I30/(HLOOKUP(F30,Team_Composition_23[[#All],[Yellow]:[Red]],10,FALSE)+HLOOKUP(F30,Team_Composition_23[[#All],[Yellow]:[Red]],11,FALSE))</f>
        <v>1.3496625843539115E-2</v>
      </c>
      <c r="N30" s="195">
        <f>J30/HLOOKUP(F30,Team_Composition_23[[#All],[Yellow]:[Red]],6,FALSE)</f>
        <v>2.8942111561708339E-2</v>
      </c>
      <c r="O30" s="195">
        <f>K30/HLOOKUP(F30,Team_Composition_23[[#All],[Yellow]:[Red]],8,FALSE)</f>
        <v>3.7421763169009137E-2</v>
      </c>
      <c r="P30" s="195">
        <f>L30/HLOOKUP(F30,Team_Composition_23[[#All],[Yellow]:[Red]],7,FALSE)</f>
        <v>2.5521805170179102E-2</v>
      </c>
      <c r="R30" s="201" t="s">
        <v>468</v>
      </c>
      <c r="S30" s="202">
        <f>SUMIFS(Scoreboard_23[Damage Dealt],Scoreboard_23[Role],"Ranged DPS",Scoreboard_23[Team],"Yellow")</f>
        <v>22150876</v>
      </c>
      <c r="T30" s="203">
        <f>SUMIFS(Scoreboard_23[Damage Dealt],Scoreboard_23[Role],"Ranged DPS",Scoreboard_23[Team],"Red")</f>
        <v>9382447</v>
      </c>
    </row>
    <row r="31" spans="1:26" ht="22.5" customHeight="1">
      <c r="A31" s="216">
        <v>27</v>
      </c>
      <c r="B31" s="115" t="str">
        <f>VLOOKUP(C31,Lists!I:J,2,FALSE)</f>
        <v>Tank</v>
      </c>
      <c r="C31" s="115" t="str">
        <f>VLOOKUP(E31,Lists!D:E,2,FALSE)</f>
        <v>SnS/Greatsword</v>
      </c>
      <c r="D31" s="15" t="s">
        <v>7</v>
      </c>
      <c r="E31" s="217" t="s">
        <v>37</v>
      </c>
      <c r="F31" s="15" t="s">
        <v>476</v>
      </c>
      <c r="G31" s="216">
        <v>9</v>
      </c>
      <c r="H31" s="216">
        <v>35</v>
      </c>
      <c r="I31" s="194">
        <f t="shared" si="0"/>
        <v>44</v>
      </c>
      <c r="J31" s="218">
        <v>447589</v>
      </c>
      <c r="K31" s="218">
        <v>508783</v>
      </c>
      <c r="L31" s="218">
        <v>24075</v>
      </c>
      <c r="M31" s="195">
        <f>I31/(HLOOKUP(F31,Team_Composition_23[[#All],[Yellow]:[Red]],10,FALSE)+HLOOKUP(F31,Team_Composition_23[[#All],[Yellow]:[Red]],11,FALSE))</f>
        <v>1.0997250687328168E-2</v>
      </c>
      <c r="N31" s="195">
        <f>J31/HLOOKUP(F31,Team_Composition_23[[#All],[Yellow]:[Red]],6,FALSE)</f>
        <v>1.0089106628000425E-2</v>
      </c>
      <c r="O31" s="195">
        <f>K31/HLOOKUP(F31,Team_Composition_23[[#All],[Yellow]:[Red]],8,FALSE)</f>
        <v>2.9042176094282456E-2</v>
      </c>
      <c r="P31" s="195">
        <f>L31/HLOOKUP(F31,Team_Composition_23[[#All],[Yellow]:[Red]],7,FALSE)</f>
        <v>1.8598238949556014E-3</v>
      </c>
      <c r="R31" s="201" t="s">
        <v>469</v>
      </c>
      <c r="S31" s="202">
        <f>SUMIFS(Scoreboard_23[Damage Taken],Scoreboard_23[Role],"Ranged DPS",Scoreboard_23[Team],"Yellow")</f>
        <v>2787362</v>
      </c>
      <c r="T31" s="203">
        <f>SUMIFS(Scoreboard_23[Damage Taken],Scoreboard_23[Role],"Ranged DPS",Scoreboard_23[Team],"Red")</f>
        <v>8649135</v>
      </c>
    </row>
    <row r="32" spans="1:26" ht="22.5" customHeight="1">
      <c r="A32" s="216">
        <v>43</v>
      </c>
      <c r="B32" s="115" t="str">
        <f>VLOOKUP(C32,Lists!I:J,2,FALSE)</f>
        <v>Healer</v>
      </c>
      <c r="C32" s="115" t="str">
        <f>VLOOKUP(E32,Lists!D:E,2,FALSE)</f>
        <v>Wand/Longbow</v>
      </c>
      <c r="D32" s="15" t="s">
        <v>7</v>
      </c>
      <c r="E32" s="217" t="s">
        <v>106</v>
      </c>
      <c r="F32" s="15" t="s">
        <v>476</v>
      </c>
      <c r="G32" s="216">
        <v>2</v>
      </c>
      <c r="H32" s="216">
        <v>41</v>
      </c>
      <c r="I32" s="194">
        <f t="shared" si="0"/>
        <v>43</v>
      </c>
      <c r="J32" s="218">
        <v>80615</v>
      </c>
      <c r="K32" s="218">
        <v>507165</v>
      </c>
      <c r="L32" s="218">
        <v>1168038</v>
      </c>
      <c r="M32" s="195">
        <f>I32/(HLOOKUP(F32,Team_Composition_23[[#All],[Yellow]:[Red]],10,FALSE)+HLOOKUP(F32,Team_Composition_23[[#All],[Yellow]:[Red]],11,FALSE))</f>
        <v>1.0747313171707074E-2</v>
      </c>
      <c r="N32" s="195">
        <f>J32/HLOOKUP(F32,Team_Composition_23[[#All],[Yellow]:[Red]],6,FALSE)</f>
        <v>1.8171432515460707E-3</v>
      </c>
      <c r="O32" s="195">
        <f>K32/HLOOKUP(F32,Team_Composition_23[[#All],[Yellow]:[Red]],8,FALSE)</f>
        <v>2.8949817975161832E-2</v>
      </c>
      <c r="P32" s="195">
        <f>L32/HLOOKUP(F32,Team_Composition_23[[#All],[Yellow]:[Red]],7,FALSE)</f>
        <v>9.0232398031823494E-2</v>
      </c>
      <c r="R32" s="201" t="s">
        <v>470</v>
      </c>
      <c r="S32" s="202">
        <f>SUMIFS(Scoreboard_23[Amount Healed],Scoreboard_23[Role],"Ranged DPS",Scoreboard_23[Team],"Yellow")</f>
        <v>538879</v>
      </c>
      <c r="T32" s="203">
        <f>SUMIFS(Scoreboard_23[Amount Healed],Scoreboard_23[Role],"Ranged DPS",Scoreboard_23[Team],"Red")</f>
        <v>578731</v>
      </c>
    </row>
    <row r="33" spans="1:20" ht="22.5" customHeight="1">
      <c r="A33" s="216">
        <v>71</v>
      </c>
      <c r="B33" s="115" t="str">
        <f>VLOOKUP(C33,Lists!I:J,2,FALSE)</f>
        <v>Healer</v>
      </c>
      <c r="C33" s="115" t="str">
        <f>VLOOKUP(E33,Lists!D:E,2,FALSE)</f>
        <v>Wand/Longbow</v>
      </c>
      <c r="D33" s="15" t="s">
        <v>7</v>
      </c>
      <c r="E33" s="217" t="s">
        <v>44</v>
      </c>
      <c r="F33" s="15" t="s">
        <v>476</v>
      </c>
      <c r="G33" s="216">
        <v>0</v>
      </c>
      <c r="H33" s="216">
        <v>41</v>
      </c>
      <c r="I33" s="194">
        <f t="shared" si="0"/>
        <v>41</v>
      </c>
      <c r="J33" s="218">
        <v>6312</v>
      </c>
      <c r="K33" s="218">
        <v>424824</v>
      </c>
      <c r="L33" s="218">
        <v>1123167</v>
      </c>
      <c r="M33" s="195">
        <f>I33/(HLOOKUP(F33,Team_Composition_23[[#All],[Yellow]:[Red]],10,FALSE)+HLOOKUP(F33,Team_Composition_23[[#All],[Yellow]:[Red]],11,FALSE))</f>
        <v>1.0247438140464884E-2</v>
      </c>
      <c r="N33" s="195">
        <f>J33/HLOOKUP(F33,Team_Composition_23[[#All],[Yellow]:[Red]],6,FALSE)</f>
        <v>1.4227883401052904E-4</v>
      </c>
      <c r="O33" s="195">
        <f>K33/HLOOKUP(F33,Team_Composition_23[[#All],[Yellow]:[Red]],8,FALSE)</f>
        <v>2.4249657353090513E-2</v>
      </c>
      <c r="P33" s="195">
        <f>L33/HLOOKUP(F33,Team_Composition_23[[#All],[Yellow]:[Red]],7,FALSE)</f>
        <v>8.6766057097636462E-2</v>
      </c>
      <c r="R33" s="201" t="s">
        <v>465</v>
      </c>
      <c r="S33" s="202">
        <f>SUMIFS(Scoreboard_23[Kills],Scoreboard_23[Role],"Ranged DPS",Scoreboard_23[Team],"Yellow")</f>
        <v>353</v>
      </c>
      <c r="T33" s="203">
        <f>SUMIFS(Scoreboard_23[Kills],Scoreboard_23[Role],"Ranged DPS",Scoreboard_23[Team],"Red")</f>
        <v>57</v>
      </c>
    </row>
    <row r="34" spans="1:20" ht="22.5" customHeight="1">
      <c r="A34" s="216">
        <v>72</v>
      </c>
      <c r="B34" s="115" t="str">
        <f>VLOOKUP(C34,Lists!I:J,2,FALSE)</f>
        <v>Healer</v>
      </c>
      <c r="C34" s="115" t="str">
        <f>VLOOKUP(E34,Lists!D:E,2,FALSE)</f>
        <v>Wand/Orb</v>
      </c>
      <c r="D34" s="15" t="s">
        <v>7</v>
      </c>
      <c r="E34" s="217" t="s">
        <v>96</v>
      </c>
      <c r="F34" s="15" t="s">
        <v>476</v>
      </c>
      <c r="G34" s="216">
        <v>0</v>
      </c>
      <c r="H34" s="216">
        <v>41</v>
      </c>
      <c r="I34" s="194">
        <f t="shared" si="0"/>
        <v>41</v>
      </c>
      <c r="J34" s="218">
        <v>4967</v>
      </c>
      <c r="K34" s="218">
        <v>115194</v>
      </c>
      <c r="L34" s="218">
        <v>563011</v>
      </c>
      <c r="M34" s="195">
        <f>I34/(HLOOKUP(F34,Team_Composition_23[[#All],[Yellow]:[Red]],10,FALSE)+HLOOKUP(F34,Team_Composition_23[[#All],[Yellow]:[Red]],11,FALSE))</f>
        <v>1.0247438140464884E-2</v>
      </c>
      <c r="N34" s="195">
        <f>J34/HLOOKUP(F34,Team_Composition_23[[#All],[Yellow]:[Red]],6,FALSE)</f>
        <v>1.1196118005866567E-4</v>
      </c>
      <c r="O34" s="195">
        <f>K34/HLOOKUP(F34,Team_Composition_23[[#All],[Yellow]:[Red]],8,FALSE)</f>
        <v>6.5754642608042589E-3</v>
      </c>
      <c r="P34" s="195">
        <f>L34/HLOOKUP(F34,Team_Composition_23[[#All],[Yellow]:[Red]],7,FALSE)</f>
        <v>4.3493304711229412E-2</v>
      </c>
      <c r="R34" s="201" t="s">
        <v>466</v>
      </c>
      <c r="S34" s="202">
        <f>SUMIFS(Scoreboard_23[Assists],Scoreboard_23[Role],"Ranged DPS",Scoreboard_23[Team],"Yellow")</f>
        <v>1019</v>
      </c>
      <c r="T34" s="203">
        <f>SUMIFS(Scoreboard_23[Assists],Scoreboard_23[Role],"Ranged DPS",Scoreboard_23[Team],"Red")</f>
        <v>165</v>
      </c>
    </row>
    <row r="35" spans="1:20" ht="22.5" customHeight="1">
      <c r="A35" s="216">
        <v>16</v>
      </c>
      <c r="B35" s="115" t="str">
        <f>VLOOKUP(C35,Lists!I:J,2,FALSE)</f>
        <v>KS</v>
      </c>
      <c r="C35" s="115" t="s">
        <v>54</v>
      </c>
      <c r="D35" s="15" t="s">
        <v>36</v>
      </c>
      <c r="E35" s="217" t="s">
        <v>233</v>
      </c>
      <c r="F35" s="15" t="s">
        <v>483</v>
      </c>
      <c r="G35" s="216">
        <v>19</v>
      </c>
      <c r="H35" s="216">
        <v>21</v>
      </c>
      <c r="I35" s="194">
        <f t="shared" si="0"/>
        <v>40</v>
      </c>
      <c r="J35" s="218">
        <v>1314553</v>
      </c>
      <c r="K35" s="218">
        <v>776723</v>
      </c>
      <c r="L35" s="218">
        <v>13689</v>
      </c>
      <c r="M35" s="195">
        <f>I35/(HLOOKUP(F35,Team_Composition_23[[#All],[Yellow]:[Red]],10,FALSE)+HLOOKUP(F35,Team_Composition_23[[#All],[Yellow]:[Red]],11,FALSE))</f>
        <v>4.8721071863580996E-2</v>
      </c>
      <c r="N35" s="195">
        <f>J35/HLOOKUP(F35,Team_Composition_23[[#All],[Yellow]:[Red]],6,FALSE)</f>
        <v>7.4498318400739449E-2</v>
      </c>
      <c r="O35" s="195">
        <f>K35/HLOOKUP(F35,Team_Composition_23[[#All],[Yellow]:[Red]],8,FALSE)</f>
        <v>1.7646403445951784E-2</v>
      </c>
      <c r="P35" s="195">
        <f>L35/HLOOKUP(F35,Team_Composition_23[[#All],[Yellow]:[Red]],7,FALSE)</f>
        <v>5.6406664318208908E-4</v>
      </c>
      <c r="R35" s="201" t="s">
        <v>54</v>
      </c>
      <c r="S35" s="202">
        <f t="shared" ref="S35:S46" si="4">COUNTIFS(C:C,R35,F:F,"Yellow")</f>
        <v>2</v>
      </c>
      <c r="T35" s="203">
        <f t="shared" ref="T35:T46" si="5">COUNTIFS(C:C,R35,F:F,"Red")</f>
        <v>1</v>
      </c>
    </row>
    <row r="36" spans="1:20" ht="22.5" customHeight="1">
      <c r="A36" s="216">
        <v>20</v>
      </c>
      <c r="B36" s="115" t="str">
        <f>VLOOKUP(C36,Lists!I:J,2,FALSE)</f>
        <v>Melee DPS</v>
      </c>
      <c r="C36" s="115" t="s">
        <v>23</v>
      </c>
      <c r="D36" s="15" t="s">
        <v>36</v>
      </c>
      <c r="E36" s="217" t="s">
        <v>235</v>
      </c>
      <c r="F36" s="15" t="s">
        <v>483</v>
      </c>
      <c r="G36" s="216">
        <v>13</v>
      </c>
      <c r="H36" s="216">
        <v>26</v>
      </c>
      <c r="I36" s="194">
        <f t="shared" si="0"/>
        <v>39</v>
      </c>
      <c r="J36" s="218">
        <v>742418</v>
      </c>
      <c r="K36" s="218">
        <v>1229836</v>
      </c>
      <c r="L36" s="218">
        <v>89994</v>
      </c>
      <c r="M36" s="195">
        <f>I36/(HLOOKUP(F36,Team_Composition_23[[#All],[Yellow]:[Red]],10,FALSE)+HLOOKUP(F36,Team_Composition_23[[#All],[Yellow]:[Red]],11,FALSE))</f>
        <v>4.7503045066991476E-2</v>
      </c>
      <c r="N36" s="195">
        <f>J36/HLOOKUP(F36,Team_Composition_23[[#All],[Yellow]:[Red]],6,FALSE)</f>
        <v>4.2074296396143927E-2</v>
      </c>
      <c r="O36" s="195">
        <f>K36/HLOOKUP(F36,Team_Composition_23[[#All],[Yellow]:[Red]],8,FALSE)</f>
        <v>2.7940697299237382E-2</v>
      </c>
      <c r="P36" s="195">
        <f>L36/HLOOKUP(F36,Team_Composition_23[[#All],[Yellow]:[Red]],7,FALSE)</f>
        <v>3.7082777037423425E-3</v>
      </c>
      <c r="R36" s="201" t="s">
        <v>43</v>
      </c>
      <c r="S36" s="202">
        <f t="shared" si="4"/>
        <v>0</v>
      </c>
      <c r="T36" s="203">
        <f t="shared" si="5"/>
        <v>0</v>
      </c>
    </row>
    <row r="37" spans="1:20" ht="22.5" customHeight="1">
      <c r="A37" s="216">
        <v>35</v>
      </c>
      <c r="B37" s="115" t="str">
        <f>VLOOKUP(C37,Lists!I:J,2,FALSE)</f>
        <v>Tank</v>
      </c>
      <c r="C37" s="115" t="str">
        <f>VLOOKUP(E37,Lists!D:E,2,FALSE)</f>
        <v>SnS/Greatsword</v>
      </c>
      <c r="D37" s="15" t="s">
        <v>7</v>
      </c>
      <c r="E37" s="217" t="s">
        <v>64</v>
      </c>
      <c r="F37" s="15" t="s">
        <v>476</v>
      </c>
      <c r="G37" s="216">
        <v>4</v>
      </c>
      <c r="H37" s="216">
        <v>33</v>
      </c>
      <c r="I37" s="194">
        <f t="shared" si="0"/>
        <v>37</v>
      </c>
      <c r="J37" s="218">
        <v>120129</v>
      </c>
      <c r="K37" s="218">
        <v>183697</v>
      </c>
      <c r="L37" s="218">
        <v>16359</v>
      </c>
      <c r="M37" s="195">
        <f>I37/(HLOOKUP(F37,Team_Composition_23[[#All],[Yellow]:[Red]],10,FALSE)+HLOOKUP(F37,Team_Composition_23[[#All],[Yellow]:[Red]],11,FALSE))</f>
        <v>9.2476880779805044E-3</v>
      </c>
      <c r="N37" s="195">
        <f>J37/HLOOKUP(F37,Team_Composition_23[[#All],[Yellow]:[Red]],6,FALSE)</f>
        <v>2.7078285885378394E-3</v>
      </c>
      <c r="O37" s="195">
        <f>K37/HLOOKUP(F37,Team_Composition_23[[#All],[Yellow]:[Red]],8,FALSE)</f>
        <v>1.0485728929605361E-2</v>
      </c>
      <c r="P37" s="195">
        <f>L37/HLOOKUP(F37,Team_Composition_23[[#All],[Yellow]:[Red]],7,FALSE)</f>
        <v>1.263753233544286E-3</v>
      </c>
      <c r="R37" s="201" t="s">
        <v>45</v>
      </c>
      <c r="S37" s="202">
        <f t="shared" si="4"/>
        <v>2</v>
      </c>
      <c r="T37" s="203">
        <f t="shared" si="5"/>
        <v>1</v>
      </c>
    </row>
    <row r="38" spans="1:20" ht="22.5" customHeight="1">
      <c r="A38" s="216">
        <v>73</v>
      </c>
      <c r="B38" s="115" t="str">
        <f>VLOOKUP(C38,Lists!I:J,2,FALSE)</f>
        <v>Healer</v>
      </c>
      <c r="C38" s="115" t="s">
        <v>9</v>
      </c>
      <c r="D38" s="15" t="s">
        <v>36</v>
      </c>
      <c r="E38" s="217" t="s">
        <v>265</v>
      </c>
      <c r="F38" s="15" t="s">
        <v>483</v>
      </c>
      <c r="G38" s="216">
        <v>0</v>
      </c>
      <c r="H38" s="216">
        <v>34</v>
      </c>
      <c r="I38" s="194">
        <f t="shared" si="0"/>
        <v>34</v>
      </c>
      <c r="J38" s="218">
        <v>7719</v>
      </c>
      <c r="K38" s="218">
        <v>380490</v>
      </c>
      <c r="L38" s="218">
        <v>770266</v>
      </c>
      <c r="M38" s="195">
        <f>I38/(HLOOKUP(F38,Team_Composition_23[[#All],[Yellow]:[Red]],10,FALSE)+HLOOKUP(F38,Team_Composition_23[[#All],[Yellow]:[Red]],11,FALSE))</f>
        <v>4.1412911084043852E-2</v>
      </c>
      <c r="N38" s="195">
        <f>J38/HLOOKUP(F38,Team_Composition_23[[#All],[Yellow]:[Red]],6,FALSE)</f>
        <v>4.3745099644921723E-4</v>
      </c>
      <c r="O38" s="195">
        <f>K38/HLOOKUP(F38,Team_Composition_23[[#All],[Yellow]:[Red]],8,FALSE)</f>
        <v>8.6443687738745906E-3</v>
      </c>
      <c r="P38" s="195">
        <f>L38/HLOOKUP(F38,Team_Composition_23[[#All],[Yellow]:[Red]],7,FALSE)</f>
        <v>3.1739451894024037E-2</v>
      </c>
      <c r="R38" s="201" t="s">
        <v>81</v>
      </c>
      <c r="S38" s="202">
        <f t="shared" si="4"/>
        <v>0</v>
      </c>
      <c r="T38" s="203">
        <f t="shared" si="5"/>
        <v>1</v>
      </c>
    </row>
    <row r="39" spans="1:20" ht="22.5" customHeight="1">
      <c r="A39" s="216">
        <v>18</v>
      </c>
      <c r="B39" s="115" t="str">
        <f>VLOOKUP(C39,Lists!I:J,2,FALSE)</f>
        <v>Tank</v>
      </c>
      <c r="C39" s="115" t="s">
        <v>62</v>
      </c>
      <c r="D39" s="15" t="s">
        <v>36</v>
      </c>
      <c r="E39" s="217" t="s">
        <v>617</v>
      </c>
      <c r="F39" s="15" t="s">
        <v>483</v>
      </c>
      <c r="G39" s="216">
        <v>17</v>
      </c>
      <c r="H39" s="216">
        <v>15</v>
      </c>
      <c r="I39" s="194">
        <f t="shared" si="0"/>
        <v>32</v>
      </c>
      <c r="J39" s="218">
        <v>980488</v>
      </c>
      <c r="K39" s="218">
        <v>1426036</v>
      </c>
      <c r="L39" s="218">
        <v>27755</v>
      </c>
      <c r="M39" s="195">
        <f>I39/(HLOOKUP(F39,Team_Composition_23[[#All],[Yellow]:[Red]],10,FALSE)+HLOOKUP(F39,Team_Composition_23[[#All],[Yellow]:[Red]],11,FALSE))</f>
        <v>3.8976857490864797E-2</v>
      </c>
      <c r="N39" s="195">
        <f>J39/HLOOKUP(F39,Team_Composition_23[[#All],[Yellow]:[Red]],6,FALSE)</f>
        <v>5.5566194145161306E-2</v>
      </c>
      <c r="O39" s="195">
        <f>K39/HLOOKUP(F39,Team_Composition_23[[#All],[Yellow]:[Red]],8,FALSE)</f>
        <v>3.239817358884866E-2</v>
      </c>
      <c r="P39" s="195">
        <f>L39/HLOOKUP(F39,Team_Composition_23[[#All],[Yellow]:[Red]],7,FALSE)</f>
        <v>1.1436678852742262E-3</v>
      </c>
      <c r="R39" s="201" t="s">
        <v>48</v>
      </c>
      <c r="S39" s="202">
        <f t="shared" si="4"/>
        <v>0</v>
      </c>
      <c r="T39" s="203">
        <f t="shared" si="5"/>
        <v>0</v>
      </c>
    </row>
    <row r="40" spans="1:20" ht="22.5" customHeight="1">
      <c r="A40" s="216">
        <v>31</v>
      </c>
      <c r="B40" s="115" t="str">
        <f>VLOOKUP(C40,Lists!I:J,2,FALSE)</f>
        <v>Ranged DPS</v>
      </c>
      <c r="C40" s="115" t="s">
        <v>45</v>
      </c>
      <c r="D40" s="15" t="s">
        <v>36</v>
      </c>
      <c r="E40" s="217" t="s">
        <v>244</v>
      </c>
      <c r="F40" s="15" t="s">
        <v>483</v>
      </c>
      <c r="G40" s="216">
        <v>5</v>
      </c>
      <c r="H40" s="216">
        <v>26</v>
      </c>
      <c r="I40" s="194">
        <f t="shared" si="0"/>
        <v>31</v>
      </c>
      <c r="J40" s="218">
        <v>1350353</v>
      </c>
      <c r="K40" s="218">
        <v>667832</v>
      </c>
      <c r="L40" s="218">
        <v>13582</v>
      </c>
      <c r="M40" s="195">
        <f>I40/(HLOOKUP(F40,Team_Composition_23[[#All],[Yellow]:[Red]],10,FALSE)+HLOOKUP(F40,Team_Composition_23[[#All],[Yellow]:[Red]],11,FALSE))</f>
        <v>3.7758830694275276E-2</v>
      </c>
      <c r="N40" s="195">
        <f>J40/HLOOKUP(F40,Team_Composition_23[[#All],[Yellow]:[Red]],6,FALSE)</f>
        <v>7.6527175205102965E-2</v>
      </c>
      <c r="O40" s="195">
        <f>K40/HLOOKUP(F40,Team_Composition_23[[#All],[Yellow]:[Red]],8,FALSE)</f>
        <v>1.5172504105217524E-2</v>
      </c>
      <c r="P40" s="195">
        <f>L40/HLOOKUP(F40,Team_Composition_23[[#All],[Yellow]:[Red]],7,FALSE)</f>
        <v>5.5965761908825589E-4</v>
      </c>
      <c r="R40" s="201" t="s">
        <v>50</v>
      </c>
      <c r="S40" s="202">
        <f t="shared" si="4"/>
        <v>1</v>
      </c>
      <c r="T40" s="203">
        <f t="shared" si="5"/>
        <v>0</v>
      </c>
    </row>
    <row r="41" spans="1:20" ht="22.5" customHeight="1">
      <c r="A41" s="216">
        <v>28</v>
      </c>
      <c r="B41" s="115" t="str">
        <f>VLOOKUP(C41,Lists!I:J,2,FALSE)</f>
        <v>Tank</v>
      </c>
      <c r="C41" s="115" t="s">
        <v>62</v>
      </c>
      <c r="D41" s="15" t="s">
        <v>36</v>
      </c>
      <c r="E41" s="217" t="s">
        <v>241</v>
      </c>
      <c r="F41" s="15" t="s">
        <v>483</v>
      </c>
      <c r="G41" s="216">
        <v>7</v>
      </c>
      <c r="H41" s="216">
        <v>22</v>
      </c>
      <c r="I41" s="194">
        <f t="shared" si="0"/>
        <v>29</v>
      </c>
      <c r="J41" s="218">
        <v>535547</v>
      </c>
      <c r="K41" s="218">
        <v>1124569</v>
      </c>
      <c r="L41" s="218">
        <v>69537</v>
      </c>
      <c r="M41" s="195">
        <f>I41/(HLOOKUP(F41,Team_Composition_23[[#All],[Yellow]:[Red]],10,FALSE)+HLOOKUP(F41,Team_Composition_23[[#All],[Yellow]:[Red]],11,FALSE))</f>
        <v>3.5322777101096221E-2</v>
      </c>
      <c r="N41" s="195">
        <f>J41/HLOOKUP(F41,Team_Composition_23[[#All],[Yellow]:[Red]],6,FALSE)</f>
        <v>3.0350507681744906E-2</v>
      </c>
      <c r="O41" s="195">
        <f>K41/HLOOKUP(F41,Team_Composition_23[[#All],[Yellow]:[Red]],8,FALSE)</f>
        <v>2.5549131771314289E-2</v>
      </c>
      <c r="P41" s="195">
        <f>L41/HLOOKUP(F41,Team_Composition_23[[#All],[Yellow]:[Red]],7,FALSE)</f>
        <v>2.8653299851671365E-3</v>
      </c>
      <c r="R41" s="201" t="s">
        <v>52</v>
      </c>
      <c r="S41" s="202">
        <f t="shared" si="4"/>
        <v>1</v>
      </c>
      <c r="T41" s="203">
        <f t="shared" si="5"/>
        <v>1</v>
      </c>
    </row>
    <row r="42" spans="1:20" ht="22.5" customHeight="1">
      <c r="A42" s="216">
        <v>29</v>
      </c>
      <c r="B42" s="115" t="str">
        <f>VLOOKUP(C42,Lists!I:J,2,FALSE)</f>
        <v>Tank</v>
      </c>
      <c r="C42" s="115" t="s">
        <v>62</v>
      </c>
      <c r="D42" s="15" t="s">
        <v>36</v>
      </c>
      <c r="E42" s="217" t="s">
        <v>242</v>
      </c>
      <c r="F42" s="15" t="s">
        <v>483</v>
      </c>
      <c r="G42" s="216">
        <v>7</v>
      </c>
      <c r="H42" s="216">
        <v>21</v>
      </c>
      <c r="I42" s="194">
        <f t="shared" si="0"/>
        <v>28</v>
      </c>
      <c r="J42" s="218">
        <v>624256</v>
      </c>
      <c r="K42" s="218">
        <v>728274</v>
      </c>
      <c r="L42" s="218">
        <v>11176</v>
      </c>
      <c r="M42" s="195">
        <f>I42/(HLOOKUP(F42,Team_Composition_23[[#All],[Yellow]:[Red]],10,FALSE)+HLOOKUP(F42,Team_Composition_23[[#All],[Yellow]:[Red]],11,FALSE))</f>
        <v>3.4104750304506701E-2</v>
      </c>
      <c r="N42" s="195">
        <f>J42/HLOOKUP(F42,Team_Composition_23[[#All],[Yellow]:[Red]],6,FALSE)</f>
        <v>3.5377822158233263E-2</v>
      </c>
      <c r="O42" s="195">
        <f>K42/HLOOKUP(F42,Team_Composition_23[[#All],[Yellow]:[Red]],8,FALSE)</f>
        <v>1.6545688518554348E-2</v>
      </c>
      <c r="P42" s="195">
        <f>L42/HLOOKUP(F42,Team_Composition_23[[#All],[Yellow]:[Red]],7,FALSE)</f>
        <v>4.6051638572598642E-4</v>
      </c>
      <c r="R42" s="201" t="s">
        <v>32</v>
      </c>
      <c r="S42" s="202">
        <f t="shared" si="4"/>
        <v>4</v>
      </c>
      <c r="T42" s="203">
        <f t="shared" si="5"/>
        <v>9</v>
      </c>
    </row>
    <row r="43" spans="1:20" ht="22.5" customHeight="1">
      <c r="A43" s="216">
        <v>52</v>
      </c>
      <c r="B43" s="115" t="str">
        <f>VLOOKUP(C43,Lists!I:J,2,FALSE)</f>
        <v>Healer</v>
      </c>
      <c r="C43" s="115" t="s">
        <v>10</v>
      </c>
      <c r="D43" s="15" t="s">
        <v>36</v>
      </c>
      <c r="E43" s="217" t="s">
        <v>258</v>
      </c>
      <c r="F43" s="15" t="s">
        <v>483</v>
      </c>
      <c r="G43" s="216">
        <v>1</v>
      </c>
      <c r="H43" s="216">
        <v>27</v>
      </c>
      <c r="I43" s="194">
        <f t="shared" si="0"/>
        <v>28</v>
      </c>
      <c r="J43" s="218">
        <v>12424</v>
      </c>
      <c r="K43" s="218">
        <v>836604</v>
      </c>
      <c r="L43" s="218">
        <v>1396169</v>
      </c>
      <c r="M43" s="195">
        <f>I43/(HLOOKUP(F43,Team_Composition_23[[#All],[Yellow]:[Red]],10,FALSE)+HLOOKUP(F43,Team_Composition_23[[#All],[Yellow]:[Red]],11,FALSE))</f>
        <v>3.4104750304506701E-2</v>
      </c>
      <c r="N43" s="195">
        <f>J43/HLOOKUP(F43,Team_Composition_23[[#All],[Yellow]:[Red]],6,FALSE)</f>
        <v>7.0409265188302566E-4</v>
      </c>
      <c r="O43" s="195">
        <f>K43/HLOOKUP(F43,Team_Composition_23[[#All],[Yellow]:[Red]],8,FALSE)</f>
        <v>1.900684247601403E-2</v>
      </c>
      <c r="P43" s="195">
        <f>L43/HLOOKUP(F43,Team_Composition_23[[#All],[Yellow]:[Red]],7,FALSE)</f>
        <v>5.7530306168813952E-2</v>
      </c>
      <c r="R43" s="201" t="s">
        <v>56</v>
      </c>
      <c r="S43" s="202">
        <f t="shared" si="4"/>
        <v>0</v>
      </c>
      <c r="T43" s="203">
        <f t="shared" si="5"/>
        <v>0</v>
      </c>
    </row>
    <row r="44" spans="1:20" ht="22.5" customHeight="1">
      <c r="A44" s="216">
        <v>74</v>
      </c>
      <c r="B44" s="115" t="str">
        <f>VLOOKUP(C44,Lists!I:J,2,FALSE)</f>
        <v>Healer</v>
      </c>
      <c r="C44" s="115" t="s">
        <v>9</v>
      </c>
      <c r="D44" s="15" t="s">
        <v>36</v>
      </c>
      <c r="E44" s="217" t="s">
        <v>266</v>
      </c>
      <c r="F44" s="15" t="s">
        <v>483</v>
      </c>
      <c r="G44" s="216">
        <v>0</v>
      </c>
      <c r="H44" s="216">
        <v>28</v>
      </c>
      <c r="I44" s="194">
        <f t="shared" si="0"/>
        <v>28</v>
      </c>
      <c r="J44" s="218">
        <v>3851</v>
      </c>
      <c r="K44" s="218">
        <v>395184</v>
      </c>
      <c r="L44" s="218">
        <v>892406</v>
      </c>
      <c r="M44" s="195">
        <f>I44/(HLOOKUP(F44,Team_Composition_23[[#All],[Yellow]:[Red]],10,FALSE)+HLOOKUP(F44,Team_Composition_23[[#All],[Yellow]:[Red]],11,FALSE))</f>
        <v>3.4104750304506701E-2</v>
      </c>
      <c r="N44" s="195">
        <f>J44/HLOOKUP(F44,Team_Composition_23[[#All],[Yellow]:[Red]],6,FALSE)</f>
        <v>2.1824378641351671E-4</v>
      </c>
      <c r="O44" s="195">
        <f>K44/HLOOKUP(F44,Team_Composition_23[[#All],[Yellow]:[Red]],8,FALSE)</f>
        <v>8.9782023956867622E-3</v>
      </c>
      <c r="P44" s="195">
        <f>L44/HLOOKUP(F44,Team_Composition_23[[#All],[Yellow]:[Red]],7,FALSE)</f>
        <v>3.6772332294218384E-2</v>
      </c>
      <c r="R44" s="201" t="s">
        <v>58</v>
      </c>
      <c r="S44" s="202">
        <f t="shared" si="4"/>
        <v>0</v>
      </c>
      <c r="T44" s="203">
        <f t="shared" si="5"/>
        <v>1</v>
      </c>
    </row>
    <row r="45" spans="1:20" ht="22.5" customHeight="1">
      <c r="A45" s="216">
        <v>21</v>
      </c>
      <c r="B45" s="115" t="str">
        <f>VLOOKUP(C45,Lists!I:J,2,FALSE)</f>
        <v>Ranged DPS</v>
      </c>
      <c r="C45" s="115" t="s">
        <v>52</v>
      </c>
      <c r="D45" s="15" t="s">
        <v>36</v>
      </c>
      <c r="E45" s="217" t="s">
        <v>236</v>
      </c>
      <c r="F45" s="15" t="s">
        <v>483</v>
      </c>
      <c r="G45" s="216">
        <v>13</v>
      </c>
      <c r="H45" s="216">
        <v>14</v>
      </c>
      <c r="I45" s="194">
        <f t="shared" si="0"/>
        <v>27</v>
      </c>
      <c r="J45" s="218">
        <v>1404779</v>
      </c>
      <c r="K45" s="218">
        <v>803182</v>
      </c>
      <c r="L45" s="218">
        <v>331506</v>
      </c>
      <c r="M45" s="195">
        <f>I45/(HLOOKUP(F45,Team_Composition_23[[#All],[Yellow]:[Red]],10,FALSE)+HLOOKUP(F45,Team_Composition_23[[#All],[Yellow]:[Red]],11,FALSE))</f>
        <v>3.2886723507917173E-2</v>
      </c>
      <c r="N45" s="195">
        <f>J45/HLOOKUP(F45,Team_Composition_23[[#All],[Yellow]:[Red]],6,FALSE)</f>
        <v>7.9611604267513264E-2</v>
      </c>
      <c r="O45" s="195">
        <f>K45/HLOOKUP(F45,Team_Composition_23[[#All],[Yellow]:[Red]],8,FALSE)</f>
        <v>1.824752661183774E-2</v>
      </c>
      <c r="P45" s="195">
        <f>L45/HLOOKUP(F45,Team_Composition_23[[#All],[Yellow]:[Red]],7,FALSE)</f>
        <v>1.3659980759348501E-2</v>
      </c>
      <c r="R45" s="201" t="s">
        <v>60</v>
      </c>
      <c r="S45" s="202">
        <f t="shared" si="4"/>
        <v>0</v>
      </c>
      <c r="T45" s="203">
        <f t="shared" si="5"/>
        <v>0</v>
      </c>
    </row>
    <row r="46" spans="1:20" ht="22.5" customHeight="1">
      <c r="A46" s="216">
        <v>23</v>
      </c>
      <c r="B46" s="115" t="str">
        <f>VLOOKUP(C46,Lists!I:J,2,FALSE)</f>
        <v>KS</v>
      </c>
      <c r="C46" s="115" t="s">
        <v>69</v>
      </c>
      <c r="D46" s="15" t="s">
        <v>36</v>
      </c>
      <c r="E46" s="217" t="s">
        <v>237</v>
      </c>
      <c r="F46" s="15" t="s">
        <v>483</v>
      </c>
      <c r="G46" s="216">
        <v>11</v>
      </c>
      <c r="H46" s="216">
        <v>16</v>
      </c>
      <c r="I46" s="194">
        <f t="shared" si="0"/>
        <v>27</v>
      </c>
      <c r="J46" s="218">
        <v>649506</v>
      </c>
      <c r="K46" s="218">
        <v>927043</v>
      </c>
      <c r="L46" s="218">
        <v>78018</v>
      </c>
      <c r="M46" s="195">
        <f>I46/(HLOOKUP(F46,Team_Composition_23[[#All],[Yellow]:[Red]],10,FALSE)+HLOOKUP(F46,Team_Composition_23[[#All],[Yellow]:[Red]],11,FALSE))</f>
        <v>3.2886723507917173E-2</v>
      </c>
      <c r="N46" s="195">
        <f>J46/HLOOKUP(F46,Team_Composition_23[[#All],[Yellow]:[Red]],6,FALSE)</f>
        <v>3.6808789597065072E-2</v>
      </c>
      <c r="O46" s="195">
        <f>K46/HLOOKUP(F46,Team_Composition_23[[#All],[Yellow]:[Red]],8,FALSE)</f>
        <v>2.1061530030326743E-2</v>
      </c>
      <c r="P46" s="195">
        <f>L46/HLOOKUP(F46,Team_Composition_23[[#All],[Yellow]:[Red]],7,FALSE)</f>
        <v>3.2147966518942385E-3</v>
      </c>
      <c r="R46" s="201" t="s">
        <v>63</v>
      </c>
      <c r="S46" s="202">
        <f t="shared" si="4"/>
        <v>0</v>
      </c>
      <c r="T46" s="203">
        <f t="shared" si="5"/>
        <v>0</v>
      </c>
    </row>
    <row r="47" spans="1:20" ht="22.5" customHeight="1">
      <c r="A47" s="216">
        <v>24</v>
      </c>
      <c r="B47" s="115" t="str">
        <f>VLOOKUP(C47,Lists!I:J,2,FALSE)</f>
        <v>KS</v>
      </c>
      <c r="C47" s="115" t="s">
        <v>81</v>
      </c>
      <c r="D47" s="15" t="s">
        <v>36</v>
      </c>
      <c r="E47" s="217" t="s">
        <v>239</v>
      </c>
      <c r="F47" s="15" t="s">
        <v>483</v>
      </c>
      <c r="G47" s="216">
        <v>11</v>
      </c>
      <c r="H47" s="216">
        <v>16</v>
      </c>
      <c r="I47" s="194">
        <f t="shared" si="0"/>
        <v>27</v>
      </c>
      <c r="J47" s="218">
        <v>338965</v>
      </c>
      <c r="K47" s="218">
        <v>706380</v>
      </c>
      <c r="L47" s="218">
        <v>227104</v>
      </c>
      <c r="M47" s="195">
        <f>I47/(HLOOKUP(F47,Team_Composition_23[[#All],[Yellow]:[Red]],10,FALSE)+HLOOKUP(F47,Team_Composition_23[[#All],[Yellow]:[Red]],11,FALSE))</f>
        <v>3.2886723507917173E-2</v>
      </c>
      <c r="N47" s="195">
        <f>J47/HLOOKUP(F47,Team_Composition_23[[#All],[Yellow]:[Red]],6,FALSE)</f>
        <v>1.9209816946678185E-2</v>
      </c>
      <c r="O47" s="195">
        <f>K47/HLOOKUP(F47,Team_Composition_23[[#All],[Yellow]:[Red]],8,FALSE)</f>
        <v>1.6048277785196807E-2</v>
      </c>
      <c r="P47" s="195">
        <f>L47/HLOOKUP(F47,Team_Composition_23[[#All],[Yellow]:[Red]],7,FALSE)</f>
        <v>9.3580094187468155E-3</v>
      </c>
      <c r="R47" s="204"/>
      <c r="S47" s="208"/>
      <c r="T47" s="208"/>
    </row>
    <row r="48" spans="1:20" ht="22.5" customHeight="1">
      <c r="A48" s="216">
        <v>76</v>
      </c>
      <c r="B48" s="115" t="str">
        <f>VLOOKUP(C48,Lists!I:J,2,FALSE)</f>
        <v>Healer</v>
      </c>
      <c r="C48" s="115" t="s">
        <v>10</v>
      </c>
      <c r="D48" s="15" t="s">
        <v>36</v>
      </c>
      <c r="E48" s="217" t="s">
        <v>267</v>
      </c>
      <c r="F48" s="15" t="s">
        <v>483</v>
      </c>
      <c r="G48" s="216">
        <v>0</v>
      </c>
      <c r="H48" s="216">
        <v>27</v>
      </c>
      <c r="I48" s="194">
        <f t="shared" si="0"/>
        <v>27</v>
      </c>
      <c r="J48" s="218">
        <v>14389</v>
      </c>
      <c r="K48" s="218">
        <v>628513</v>
      </c>
      <c r="L48" s="218">
        <v>1546184</v>
      </c>
      <c r="M48" s="195">
        <f>I48/(HLOOKUP(F48,Team_Composition_23[[#All],[Yellow]:[Red]],10,FALSE)+HLOOKUP(F48,Team_Composition_23[[#All],[Yellow]:[Red]],11,FALSE))</f>
        <v>3.2886723507917173E-2</v>
      </c>
      <c r="N48" s="195">
        <f>J48/HLOOKUP(F48,Team_Composition_23[[#All],[Yellow]:[Red]],6,FALSE)</f>
        <v>8.1545308821191688E-4</v>
      </c>
      <c r="O48" s="195">
        <f>K48/HLOOKUP(F48,Team_Composition_23[[#All],[Yellow]:[Red]],8,FALSE)</f>
        <v>1.4279214042876923E-2</v>
      </c>
      <c r="P48" s="195">
        <f>L48/HLOOKUP(F48,Team_Composition_23[[#All],[Yellow]:[Red]],7,FALSE)</f>
        <v>6.3711799154200832E-2</v>
      </c>
      <c r="R48" s="6"/>
      <c r="S48" s="209"/>
      <c r="T48" s="209"/>
    </row>
    <row r="49" spans="1:20" ht="22.5" customHeight="1">
      <c r="A49" s="216">
        <v>75</v>
      </c>
      <c r="B49" s="115" t="str">
        <f>VLOOKUP(C49,Lists!I:J,2,FALSE)</f>
        <v>Tank</v>
      </c>
      <c r="C49" s="115" t="str">
        <f>VLOOKUP(E49,Lists!D:E,2,FALSE)</f>
        <v>SnS/Spear</v>
      </c>
      <c r="D49" s="15" t="s">
        <v>7</v>
      </c>
      <c r="E49" s="217" t="s">
        <v>79</v>
      </c>
      <c r="F49" s="15" t="s">
        <v>476</v>
      </c>
      <c r="G49" s="216">
        <v>0</v>
      </c>
      <c r="H49" s="216">
        <v>27</v>
      </c>
      <c r="I49" s="194">
        <f t="shared" si="0"/>
        <v>27</v>
      </c>
      <c r="J49" s="218">
        <v>44476</v>
      </c>
      <c r="K49" s="218">
        <v>270766</v>
      </c>
      <c r="L49" s="218">
        <v>17168</v>
      </c>
      <c r="M49" s="195">
        <f>I49/(HLOOKUP(F49,Team_Composition_23[[#All],[Yellow]:[Red]],10,FALSE)+HLOOKUP(F49,Team_Composition_23[[#All],[Yellow]:[Red]],11,FALSE))</f>
        <v>6.7483129217695576E-3</v>
      </c>
      <c r="N49" s="195">
        <f>J49/HLOOKUP(F49,Team_Composition_23[[#All],[Yellow]:[Red]],6,FALSE)</f>
        <v>1.0025338120171561E-3</v>
      </c>
      <c r="O49" s="195">
        <f>K49/HLOOKUP(F49,Team_Composition_23[[#All],[Yellow]:[Red]],8,FALSE)</f>
        <v>1.5455771620404934E-2</v>
      </c>
      <c r="P49" s="195">
        <f>L49/HLOOKUP(F49,Team_Composition_23[[#All],[Yellow]:[Red]],7,FALSE)</f>
        <v>1.3262494965149642E-3</v>
      </c>
      <c r="R49" s="232" t="s">
        <v>67</v>
      </c>
      <c r="S49" s="228"/>
      <c r="T49" s="228"/>
    </row>
    <row r="50" spans="1:20" ht="22.5" customHeight="1">
      <c r="A50" s="216">
        <v>26</v>
      </c>
      <c r="B50" s="115" t="str">
        <f>VLOOKUP(C50,Lists!I:J,2,FALSE)</f>
        <v>Ranged DPS</v>
      </c>
      <c r="C50" s="115" t="s">
        <v>32</v>
      </c>
      <c r="D50" s="15" t="s">
        <v>36</v>
      </c>
      <c r="E50" s="217" t="s">
        <v>240</v>
      </c>
      <c r="F50" s="15" t="s">
        <v>483</v>
      </c>
      <c r="G50" s="216">
        <v>10</v>
      </c>
      <c r="H50" s="216">
        <v>16</v>
      </c>
      <c r="I50" s="194">
        <f t="shared" si="0"/>
        <v>26</v>
      </c>
      <c r="J50" s="218">
        <v>699184</v>
      </c>
      <c r="K50" s="218">
        <v>986382</v>
      </c>
      <c r="L50" s="218">
        <v>0</v>
      </c>
      <c r="M50" s="195">
        <f>I50/(HLOOKUP(F50,Team_Composition_23[[#All],[Yellow]:[Red]],10,FALSE)+HLOOKUP(F50,Team_Composition_23[[#All],[Yellow]:[Red]],11,FALSE))</f>
        <v>3.1668696711327646E-2</v>
      </c>
      <c r="N50" s="195">
        <f>J50/HLOOKUP(F50,Team_Composition_23[[#All],[Yellow]:[Red]],6,FALSE)</f>
        <v>3.9624140108997216E-2</v>
      </c>
      <c r="O50" s="195">
        <f>K50/HLOOKUP(F50,Team_Composition_23[[#All],[Yellow]:[Red]],8,FALSE)</f>
        <v>2.2409655338936546E-2</v>
      </c>
      <c r="P50" s="195">
        <f>L50/HLOOKUP(F50,Team_Composition_23[[#All],[Yellow]:[Red]],7,FALSE)</f>
        <v>0</v>
      </c>
      <c r="R50" s="197" t="s">
        <v>482</v>
      </c>
      <c r="S50" s="198" t="s">
        <v>476</v>
      </c>
      <c r="T50" s="198" t="s">
        <v>483</v>
      </c>
    </row>
    <row r="51" spans="1:20" ht="22.5" customHeight="1">
      <c r="A51" s="216">
        <v>44</v>
      </c>
      <c r="B51" s="115" t="str">
        <f>VLOOKUP(C51,Lists!I:J,2,FALSE)</f>
        <v>Tank</v>
      </c>
      <c r="C51" s="115" t="str">
        <f>VLOOKUP(E51,Lists!D:E,2,FALSE)</f>
        <v>SnS/Spear</v>
      </c>
      <c r="D51" s="15" t="s">
        <v>7</v>
      </c>
      <c r="E51" s="217" t="s">
        <v>61</v>
      </c>
      <c r="F51" s="15" t="s">
        <v>476</v>
      </c>
      <c r="G51" s="216">
        <v>2</v>
      </c>
      <c r="H51" s="216">
        <v>24</v>
      </c>
      <c r="I51" s="194">
        <f t="shared" si="0"/>
        <v>26</v>
      </c>
      <c r="J51" s="218">
        <v>155082</v>
      </c>
      <c r="K51" s="218">
        <v>265759</v>
      </c>
      <c r="L51" s="218">
        <v>10099</v>
      </c>
      <c r="M51" s="195">
        <f>I51/(HLOOKUP(F51,Team_Composition_23[[#All],[Yellow]:[Red]],10,FALSE)+HLOOKUP(F51,Team_Composition_23[[#All],[Yellow]:[Red]],11,FALSE))</f>
        <v>6.4983754061484628E-3</v>
      </c>
      <c r="N51" s="195">
        <f>J51/HLOOKUP(F51,Team_Composition_23[[#All],[Yellow]:[Red]],6,FALSE)</f>
        <v>3.4957043941731408E-3</v>
      </c>
      <c r="O51" s="195">
        <f>K51/HLOOKUP(F51,Team_Composition_23[[#All],[Yellow]:[Red]],8,FALSE)</f>
        <v>1.5169963769702232E-2</v>
      </c>
      <c r="P51" s="195">
        <f>L51/HLOOKUP(F51,Team_Composition_23[[#All],[Yellow]:[Red]],7,FALSE)</f>
        <v>7.8016039522976614E-4</v>
      </c>
      <c r="R51" s="201" t="s">
        <v>468</v>
      </c>
      <c r="S51" s="202">
        <f>SUMIFS(Scoreboard_23[Damage Dealt],Scoreboard_23[Role],"Tank",Scoreboard_23[Team],"Yellow")</f>
        <v>1674344</v>
      </c>
      <c r="T51" s="203">
        <f>SUMIFS(Scoreboard_23[Damage Dealt],Scoreboard_23[Role],"Tank",Scoreboard_23[Team],"Red")</f>
        <v>3682145</v>
      </c>
    </row>
    <row r="52" spans="1:20" ht="22.5" customHeight="1">
      <c r="A52" s="216">
        <v>53</v>
      </c>
      <c r="B52" s="115" t="str">
        <f>VLOOKUP(C52,Lists!I:J,2,FALSE)</f>
        <v>Tank</v>
      </c>
      <c r="C52" s="115" t="str">
        <f>VLOOKUP(E52,Lists!D:E,2,FALSE)</f>
        <v>SnS/Greatsword</v>
      </c>
      <c r="D52" s="15" t="s">
        <v>7</v>
      </c>
      <c r="E52" s="217" t="s">
        <v>93</v>
      </c>
      <c r="F52" s="15" t="s">
        <v>476</v>
      </c>
      <c r="G52" s="216">
        <v>1</v>
      </c>
      <c r="H52" s="216">
        <v>22</v>
      </c>
      <c r="I52" s="194">
        <f t="shared" si="0"/>
        <v>23</v>
      </c>
      <c r="J52" s="218">
        <v>109859</v>
      </c>
      <c r="K52" s="218">
        <v>415247</v>
      </c>
      <c r="L52" s="218">
        <v>8729</v>
      </c>
      <c r="M52" s="195">
        <f>I52/(HLOOKUP(F52,Team_Composition_23[[#All],[Yellow]:[Red]],10,FALSE)+HLOOKUP(F52,Team_Composition_23[[#All],[Yellow]:[Red]],11,FALSE))</f>
        <v>5.7485628592851791E-3</v>
      </c>
      <c r="N52" s="195">
        <f>J52/HLOOKUP(F52,Team_Composition_23[[#All],[Yellow]:[Red]],6,FALSE)</f>
        <v>2.4763324501842062E-3</v>
      </c>
      <c r="O52" s="195">
        <f>K52/HLOOKUP(F52,Team_Composition_23[[#All],[Yellow]:[Red]],8,FALSE)</f>
        <v>2.3702986335279494E-2</v>
      </c>
      <c r="P52" s="195">
        <f>L52/HLOOKUP(F52,Team_Composition_23[[#All],[Yellow]:[Red]],7,FALSE)</f>
        <v>6.7432617981588554E-4</v>
      </c>
      <c r="R52" s="201" t="s">
        <v>469</v>
      </c>
      <c r="S52" s="202">
        <f>SUMIFS(Scoreboard_23[Damage Taken],Scoreboard_23[Role],"Tank",Scoreboard_23[Team],"Yellow")</f>
        <v>4452679</v>
      </c>
      <c r="T52" s="203">
        <f>SUMIFS(Scoreboard_23[Damage Taken],Scoreboard_23[Role],"Tank",Scoreboard_23[Team],"Red")</f>
        <v>14749348</v>
      </c>
    </row>
    <row r="53" spans="1:20" ht="22.5" customHeight="1">
      <c r="A53" s="216">
        <v>30</v>
      </c>
      <c r="B53" s="115" t="str">
        <f>VLOOKUP(C53,Lists!I:J,2,FALSE)</f>
        <v>Ranged DPS</v>
      </c>
      <c r="C53" s="115" t="s">
        <v>32</v>
      </c>
      <c r="D53" s="15" t="s">
        <v>36</v>
      </c>
      <c r="E53" s="217" t="s">
        <v>243</v>
      </c>
      <c r="F53" s="15" t="s">
        <v>483</v>
      </c>
      <c r="G53" s="216">
        <v>6</v>
      </c>
      <c r="H53" s="216">
        <v>16</v>
      </c>
      <c r="I53" s="194">
        <f t="shared" si="0"/>
        <v>22</v>
      </c>
      <c r="J53" s="218">
        <v>776382</v>
      </c>
      <c r="K53" s="218">
        <v>597631</v>
      </c>
      <c r="L53" s="218">
        <v>9129</v>
      </c>
      <c r="M53" s="195">
        <f>I53/(HLOOKUP(F53,Team_Composition_23[[#All],[Yellow]:[Red]],10,FALSE)+HLOOKUP(F53,Team_Composition_23[[#All],[Yellow]:[Red]],11,FALSE))</f>
        <v>2.679658952496955E-2</v>
      </c>
      <c r="N53" s="195">
        <f>J53/HLOOKUP(F53,Team_Composition_23[[#All],[Yellow]:[Red]],6,FALSE)</f>
        <v>4.3999103449311593E-2</v>
      </c>
      <c r="O53" s="195">
        <f>K53/HLOOKUP(F53,Team_Composition_23[[#All],[Yellow]:[Red]],8,FALSE)</f>
        <v>1.3577604548606915E-2</v>
      </c>
      <c r="P53" s="195">
        <f>L53/HLOOKUP(F53,Team_Composition_23[[#All],[Yellow]:[Red]],7,FALSE)</f>
        <v>3.7616804628601736E-4</v>
      </c>
      <c r="R53" s="201" t="s">
        <v>470</v>
      </c>
      <c r="S53" s="202">
        <f>SUMIFS(Scoreboard_23[Amount Healed],Scoreboard_23[Role],"Tank",Scoreboard_23[Team],"Yellow")</f>
        <v>231906</v>
      </c>
      <c r="T53" s="203">
        <f>SUMIFS(Scoreboard_23[Amount Healed],Scoreboard_23[Role],"Tank",Scoreboard_23[Team],"Red")</f>
        <v>756368</v>
      </c>
    </row>
    <row r="54" spans="1:20" ht="22.5" customHeight="1">
      <c r="A54" s="216">
        <v>45</v>
      </c>
      <c r="B54" s="115" t="str">
        <f>VLOOKUP(C54,Lists!I:J,2,FALSE)</f>
        <v>Tank</v>
      </c>
      <c r="C54" s="115" t="str">
        <f>VLOOKUP(E54,Lists!D:E,2,FALSE)</f>
        <v>SnS/Greatsword</v>
      </c>
      <c r="D54" s="15" t="s">
        <v>7</v>
      </c>
      <c r="E54" s="217" t="s">
        <v>123</v>
      </c>
      <c r="F54" s="15" t="s">
        <v>476</v>
      </c>
      <c r="G54" s="216">
        <v>2</v>
      </c>
      <c r="H54" s="216">
        <v>20</v>
      </c>
      <c r="I54" s="194">
        <f t="shared" si="0"/>
        <v>22</v>
      </c>
      <c r="J54" s="218">
        <v>99406</v>
      </c>
      <c r="K54" s="218">
        <v>348105</v>
      </c>
      <c r="L54" s="218">
        <v>10620</v>
      </c>
      <c r="M54" s="195">
        <f>I54/(HLOOKUP(F54,Team_Composition_23[[#All],[Yellow]:[Red]],10,FALSE)+HLOOKUP(F54,Team_Composition_23[[#All],[Yellow]:[Red]],11,FALSE))</f>
        <v>5.4986253436640842E-3</v>
      </c>
      <c r="N54" s="195">
        <f>J54/HLOOKUP(F54,Team_Composition_23[[#All],[Yellow]:[Red]],6,FALSE)</f>
        <v>2.2407113076125871E-3</v>
      </c>
      <c r="O54" s="195">
        <f>K54/HLOOKUP(F54,Team_Composition_23[[#All],[Yellow]:[Red]],8,FALSE)</f>
        <v>1.9870409800052665E-2</v>
      </c>
      <c r="P54" s="195">
        <f>L54/HLOOKUP(F54,Team_Composition_23[[#All],[Yellow]:[Red]],7,FALSE)</f>
        <v>8.204082975878914E-4</v>
      </c>
      <c r="R54" s="201" t="s">
        <v>465</v>
      </c>
      <c r="S54" s="202">
        <f>SUMIFS(Scoreboard_23[Kills],Scoreboard_23[Role],"Tank",Scoreboard_23[Team],"Yellow")</f>
        <v>27</v>
      </c>
      <c r="T54" s="203">
        <f>SUMIFS(Scoreboard_23[Kills],Scoreboard_23[Role],"Tank",Scoreboard_23[Team],"Red")</f>
        <v>42</v>
      </c>
    </row>
    <row r="55" spans="1:20" ht="22.5" customHeight="1">
      <c r="A55" s="216">
        <v>54</v>
      </c>
      <c r="B55" s="115" t="str">
        <f>VLOOKUP(C55,Lists!I:J,2,FALSE)</f>
        <v>Tank</v>
      </c>
      <c r="C55" s="115" t="str">
        <f>VLOOKUP(E55,Lists!D:E,2,FALSE)</f>
        <v>SnS/Greatsword</v>
      </c>
      <c r="D55" s="15" t="s">
        <v>7</v>
      </c>
      <c r="E55" s="217" t="s">
        <v>111</v>
      </c>
      <c r="F55" s="15" t="s">
        <v>476</v>
      </c>
      <c r="G55" s="216">
        <v>1</v>
      </c>
      <c r="H55" s="216">
        <v>21</v>
      </c>
      <c r="I55" s="194">
        <f t="shared" si="0"/>
        <v>22</v>
      </c>
      <c r="J55" s="218">
        <v>45959</v>
      </c>
      <c r="K55" s="218">
        <v>288685</v>
      </c>
      <c r="L55" s="218">
        <v>8407</v>
      </c>
      <c r="M55" s="195">
        <f>I55/(HLOOKUP(F55,Team_Composition_23[[#All],[Yellow]:[Red]],10,FALSE)+HLOOKUP(F55,Team_Composition_23[[#All],[Yellow]:[Red]],11,FALSE))</f>
        <v>5.4986253436640842E-3</v>
      </c>
      <c r="N55" s="195">
        <f>J55/HLOOKUP(F55,Team_Composition_23[[#All],[Yellow]:[Red]],6,FALSE)</f>
        <v>1.0359621248875006E-3</v>
      </c>
      <c r="O55" s="195">
        <f>K55/HLOOKUP(F55,Team_Composition_23[[#All],[Yellow]:[Red]],8,FALSE)</f>
        <v>1.6478617811086321E-2</v>
      </c>
      <c r="P55" s="195">
        <f>L55/HLOOKUP(F55,Team_Composition_23[[#All],[Yellow]:[Red]],7,FALSE)</f>
        <v>6.4945127663101725E-4</v>
      </c>
      <c r="R55" s="201" t="s">
        <v>466</v>
      </c>
      <c r="S55" s="202">
        <f>SUMIFS(Scoreboard_23[Assists],Scoreboard_23[Role],"Tank",Scoreboard_23[Team],"Yellow")</f>
        <v>334</v>
      </c>
      <c r="T55" s="203">
        <f>SUMIFS(Scoreboard_23[Assists],Scoreboard_23[Role],"Tank",Scoreboard_23[Team],"Red")</f>
        <v>138</v>
      </c>
    </row>
    <row r="56" spans="1:20" ht="22.5" customHeight="1">
      <c r="A56" s="216">
        <v>22</v>
      </c>
      <c r="B56" s="115" t="str">
        <f>VLOOKUP(C56,Lists!I:J,2,FALSE)</f>
        <v>KS</v>
      </c>
      <c r="C56" s="115" t="s">
        <v>69</v>
      </c>
      <c r="D56" s="15" t="s">
        <v>36</v>
      </c>
      <c r="E56" s="217" t="s">
        <v>237</v>
      </c>
      <c r="F56" s="15" t="s">
        <v>483</v>
      </c>
      <c r="G56" s="216">
        <v>13</v>
      </c>
      <c r="H56" s="216">
        <v>8</v>
      </c>
      <c r="I56" s="194">
        <f t="shared" si="0"/>
        <v>21</v>
      </c>
      <c r="J56" s="218">
        <v>398994</v>
      </c>
      <c r="K56" s="218">
        <v>996591</v>
      </c>
      <c r="L56" s="218">
        <v>43902</v>
      </c>
      <c r="M56" s="195">
        <f>I56/(HLOOKUP(F56,Team_Composition_23[[#All],[Yellow]:[Red]],10,FALSE)+HLOOKUP(F56,Team_Composition_23[[#All],[Yellow]:[Red]],11,FALSE))</f>
        <v>2.5578562728380026E-2</v>
      </c>
      <c r="N56" s="195">
        <f>J56/HLOOKUP(F56,Team_Composition_23[[#All],[Yellow]:[Red]],6,FALSE)</f>
        <v>2.2611779100564708E-2</v>
      </c>
      <c r="O56" s="195">
        <f>K56/HLOOKUP(F56,Team_Composition_23[[#All],[Yellow]:[Red]],8,FALSE)</f>
        <v>2.2641594051681917E-2</v>
      </c>
      <c r="P56" s="195">
        <f>L56/HLOOKUP(F56,Team_Composition_23[[#All],[Yellow]:[Red]],7,FALSE)</f>
        <v>1.8090184651165225E-3</v>
      </c>
      <c r="R56" s="201" t="s">
        <v>62</v>
      </c>
      <c r="S56" s="202">
        <f t="shared" ref="S56:S60" si="6">COUNTIFS(C:C,R56,F:F,"Yellow")</f>
        <v>3</v>
      </c>
      <c r="T56" s="203">
        <f t="shared" ref="T56:T60" si="7">COUNTIFS(C:C,R56,F:F,"Red")</f>
        <v>6</v>
      </c>
    </row>
    <row r="57" spans="1:20" ht="22.5" customHeight="1">
      <c r="A57" s="216">
        <v>78</v>
      </c>
      <c r="B57" s="115" t="str">
        <f>VLOOKUP(C57,Lists!I:J,2,FALSE)</f>
        <v>Healer</v>
      </c>
      <c r="C57" s="115" t="s">
        <v>10</v>
      </c>
      <c r="D57" s="15" t="s">
        <v>36</v>
      </c>
      <c r="E57" s="217" t="s">
        <v>268</v>
      </c>
      <c r="F57" s="15" t="s">
        <v>483</v>
      </c>
      <c r="G57" s="216">
        <v>0</v>
      </c>
      <c r="H57" s="216">
        <v>21</v>
      </c>
      <c r="I57" s="194">
        <f t="shared" si="0"/>
        <v>21</v>
      </c>
      <c r="J57" s="218">
        <v>20856</v>
      </c>
      <c r="K57" s="218">
        <v>1034295</v>
      </c>
      <c r="L57" s="218">
        <v>1844278</v>
      </c>
      <c r="M57" s="195">
        <f>I57/(HLOOKUP(F57,Team_Composition_23[[#All],[Yellow]:[Red]],10,FALSE)+HLOOKUP(F57,Team_Composition_23[[#All],[Yellow]:[Red]],11,FALSE))</f>
        <v>2.5578562728380026E-2</v>
      </c>
      <c r="N57" s="195">
        <f>J57/HLOOKUP(F57,Team_Composition_23[[#All],[Yellow]:[Red]],6,FALSE)</f>
        <v>1.1819507684861865E-3</v>
      </c>
      <c r="O57" s="195">
        <f>K57/HLOOKUP(F57,Team_Composition_23[[#All],[Yellow]:[Red]],8,FALSE)</f>
        <v>2.3498192859141159E-2</v>
      </c>
      <c r="P57" s="195">
        <f>L57/HLOOKUP(F57,Team_Composition_23[[#All],[Yellow]:[Red]],7,FALSE)</f>
        <v>7.599501063295909E-2</v>
      </c>
      <c r="R57" s="201" t="s">
        <v>70</v>
      </c>
      <c r="S57" s="202">
        <f t="shared" si="6"/>
        <v>0</v>
      </c>
      <c r="T57" s="203">
        <f t="shared" si="7"/>
        <v>0</v>
      </c>
    </row>
    <row r="58" spans="1:20" ht="22.5" customHeight="1">
      <c r="A58" s="216">
        <v>77</v>
      </c>
      <c r="B58" s="115" t="str">
        <f>VLOOKUP(C58,Lists!I:J,2,FALSE)</f>
        <v>Tank</v>
      </c>
      <c r="C58" s="115" t="str">
        <f>VLOOKUP(E58,Lists!D:E,2,FALSE)</f>
        <v>SnS/Greatsword</v>
      </c>
      <c r="D58" s="15" t="s">
        <v>7</v>
      </c>
      <c r="E58" s="217" t="s">
        <v>85</v>
      </c>
      <c r="F58" s="15" t="s">
        <v>476</v>
      </c>
      <c r="G58" s="216">
        <v>0</v>
      </c>
      <c r="H58" s="216">
        <v>21</v>
      </c>
      <c r="I58" s="194">
        <f t="shared" si="0"/>
        <v>21</v>
      </c>
      <c r="J58" s="218">
        <v>126070</v>
      </c>
      <c r="K58" s="218">
        <v>235929</v>
      </c>
      <c r="L58" s="218">
        <v>3576</v>
      </c>
      <c r="M58" s="195">
        <f>I58/(HLOOKUP(F58,Team_Composition_23[[#All],[Yellow]:[Red]],10,FALSE)+HLOOKUP(F58,Team_Composition_23[[#All],[Yellow]:[Red]],11,FALSE))</f>
        <v>5.2486878280429894E-3</v>
      </c>
      <c r="N58" s="195">
        <f>J58/HLOOKUP(F58,Team_Composition_23[[#All],[Yellow]:[Red]],6,FALSE)</f>
        <v>2.8417447090791186E-3</v>
      </c>
      <c r="O58" s="195">
        <f>K58/HLOOKUP(F58,Team_Composition_23[[#All],[Yellow]:[Red]],8,FALSE)</f>
        <v>1.3467217976520373E-2</v>
      </c>
      <c r="P58" s="195">
        <f>L58/HLOOKUP(F58,Team_Composition_23[[#All],[Yellow]:[Red]],7,FALSE)</f>
        <v>2.7625047760586628E-4</v>
      </c>
      <c r="R58" s="201" t="s">
        <v>14</v>
      </c>
      <c r="S58" s="202">
        <f t="shared" si="6"/>
        <v>11</v>
      </c>
      <c r="T58" s="203">
        <f t="shared" si="7"/>
        <v>9</v>
      </c>
    </row>
    <row r="59" spans="1:20" ht="22.5" customHeight="1">
      <c r="A59" s="216">
        <v>32</v>
      </c>
      <c r="B59" s="115" t="str">
        <f>VLOOKUP(C59,Lists!I:J,2,FALSE)</f>
        <v>Ranged DPS</v>
      </c>
      <c r="C59" s="115" t="s">
        <v>32</v>
      </c>
      <c r="D59" s="15" t="s">
        <v>36</v>
      </c>
      <c r="E59" s="217" t="s">
        <v>245</v>
      </c>
      <c r="F59" s="15" t="s">
        <v>483</v>
      </c>
      <c r="G59" s="216">
        <v>5</v>
      </c>
      <c r="H59" s="216">
        <v>15</v>
      </c>
      <c r="I59" s="194">
        <f t="shared" si="0"/>
        <v>20</v>
      </c>
      <c r="J59" s="218">
        <v>642088</v>
      </c>
      <c r="K59" s="218">
        <v>564584</v>
      </c>
      <c r="L59" s="218">
        <v>0</v>
      </c>
      <c r="M59" s="195">
        <f>I59/(HLOOKUP(F59,Team_Composition_23[[#All],[Yellow]:[Red]],10,FALSE)+HLOOKUP(F59,Team_Composition_23[[#All],[Yellow]:[Red]],11,FALSE))</f>
        <v>2.4360535931790498E-2</v>
      </c>
      <c r="N59" s="195">
        <f>J59/HLOOKUP(F59,Team_Composition_23[[#All],[Yellow]:[Red]],6,FALSE)</f>
        <v>3.6388396865926285E-2</v>
      </c>
      <c r="O59" s="195">
        <f>K59/HLOOKUP(F59,Team_Composition_23[[#All],[Yellow]:[Red]],8,FALSE)</f>
        <v>1.2826808325656948E-2</v>
      </c>
      <c r="P59" s="195">
        <f>L59/HLOOKUP(F59,Team_Composition_23[[#All],[Yellow]:[Red]],7,FALSE)</f>
        <v>0</v>
      </c>
      <c r="R59" s="201" t="s">
        <v>73</v>
      </c>
      <c r="S59" s="202">
        <f t="shared" si="6"/>
        <v>0</v>
      </c>
      <c r="T59" s="203">
        <f t="shared" si="7"/>
        <v>0</v>
      </c>
    </row>
    <row r="60" spans="1:20" ht="22.5" customHeight="1">
      <c r="A60" s="216">
        <v>55</v>
      </c>
      <c r="B60" s="115" t="str">
        <f>VLOOKUP(C60,Lists!I:J,2,FALSE)</f>
        <v>Tank</v>
      </c>
      <c r="C60" s="115" t="str">
        <f>VLOOKUP(E60,Lists!D:E,2,FALSE)</f>
        <v>SnS/Spear</v>
      </c>
      <c r="D60" s="15" t="s">
        <v>7</v>
      </c>
      <c r="E60" s="217" t="s">
        <v>89</v>
      </c>
      <c r="F60" s="15" t="s">
        <v>476</v>
      </c>
      <c r="G60" s="216">
        <v>1</v>
      </c>
      <c r="H60" s="216">
        <v>19</v>
      </c>
      <c r="I60" s="194">
        <f t="shared" si="0"/>
        <v>20</v>
      </c>
      <c r="J60" s="218">
        <v>87634</v>
      </c>
      <c r="K60" s="218">
        <v>265526</v>
      </c>
      <c r="L60" s="218">
        <v>6845</v>
      </c>
      <c r="M60" s="195">
        <f>I60/(HLOOKUP(F60,Team_Composition_23[[#All],[Yellow]:[Red]],10,FALSE)+HLOOKUP(F60,Team_Composition_23[[#All],[Yellow]:[Red]],11,FALSE))</f>
        <v>4.9987503124218945E-3</v>
      </c>
      <c r="N60" s="195">
        <f>J60/HLOOKUP(F60,Team_Composition_23[[#All],[Yellow]:[Red]],6,FALSE)</f>
        <v>1.9753585772621517E-3</v>
      </c>
      <c r="O60" s="195">
        <f>K60/HLOOKUP(F60,Team_Composition_23[[#All],[Yellow]:[Red]],8,FALSE)</f>
        <v>1.5156663743895616E-2</v>
      </c>
      <c r="P60" s="195">
        <f>L60/HLOOKUP(F60,Team_Composition_23[[#All],[Yellow]:[Red]],7,FALSE)</f>
        <v>5.2878482080876809E-4</v>
      </c>
      <c r="R60" s="201" t="s">
        <v>75</v>
      </c>
      <c r="S60" s="202">
        <f t="shared" si="6"/>
        <v>0</v>
      </c>
      <c r="T60" s="203">
        <f t="shared" si="7"/>
        <v>1</v>
      </c>
    </row>
    <row r="61" spans="1:20" ht="22.5" customHeight="1">
      <c r="A61" s="216">
        <v>79</v>
      </c>
      <c r="B61" s="115" t="str">
        <f>VLOOKUP(C61,Lists!I:J,2,FALSE)</f>
        <v>Tank</v>
      </c>
      <c r="C61" s="115" t="str">
        <f>VLOOKUP(E61,Lists!D:E,2,FALSE)</f>
        <v>SnS/Greatsword</v>
      </c>
      <c r="D61" s="15" t="s">
        <v>7</v>
      </c>
      <c r="E61" s="217" t="s">
        <v>109</v>
      </c>
      <c r="F61" s="15" t="s">
        <v>476</v>
      </c>
      <c r="G61" s="216">
        <v>0</v>
      </c>
      <c r="H61" s="216">
        <v>20</v>
      </c>
      <c r="I61" s="194">
        <f t="shared" si="0"/>
        <v>20</v>
      </c>
      <c r="J61" s="218">
        <v>77671</v>
      </c>
      <c r="K61" s="218">
        <v>349157</v>
      </c>
      <c r="L61" s="218">
        <v>28713</v>
      </c>
      <c r="M61" s="195">
        <f>I61/(HLOOKUP(F61,Team_Composition_23[[#All],[Yellow]:[Red]],10,FALSE)+HLOOKUP(F61,Team_Composition_23[[#All],[Yellow]:[Red]],11,FALSE))</f>
        <v>4.9987503124218945E-3</v>
      </c>
      <c r="N61" s="195">
        <f>J61/HLOOKUP(F61,Team_Composition_23[[#All],[Yellow]:[Red]],6,FALSE)</f>
        <v>1.7507825279518062E-3</v>
      </c>
      <c r="O61" s="195">
        <f>K61/HLOOKUP(F61,Team_Composition_23[[#All],[Yellow]:[Red]],8,FALSE)</f>
        <v>1.9930459701977817E-2</v>
      </c>
      <c r="P61" s="195">
        <f>L61/HLOOKUP(F61,Team_Composition_23[[#All],[Yellow]:[Red]],7,FALSE)</f>
        <v>2.218115202320257E-3</v>
      </c>
      <c r="R61" s="204"/>
      <c r="S61" s="208"/>
      <c r="T61" s="208"/>
    </row>
    <row r="62" spans="1:20" ht="22.5" customHeight="1">
      <c r="A62" s="216">
        <v>36</v>
      </c>
      <c r="B62" s="115" t="str">
        <f>VLOOKUP(C62,Lists!I:J,2,FALSE)</f>
        <v>Melee DPS</v>
      </c>
      <c r="C62" s="115" t="s">
        <v>23</v>
      </c>
      <c r="D62" s="15" t="s">
        <v>36</v>
      </c>
      <c r="E62" s="217" t="s">
        <v>247</v>
      </c>
      <c r="F62" s="15" t="s">
        <v>483</v>
      </c>
      <c r="G62" s="216">
        <v>4</v>
      </c>
      <c r="H62" s="216">
        <v>15</v>
      </c>
      <c r="I62" s="194">
        <f t="shared" si="0"/>
        <v>19</v>
      </c>
      <c r="J62" s="218">
        <v>256905</v>
      </c>
      <c r="K62" s="218">
        <v>666370</v>
      </c>
      <c r="L62" s="218">
        <v>20915</v>
      </c>
      <c r="M62" s="195">
        <f>I62/(HLOOKUP(F62,Team_Composition_23[[#All],[Yellow]:[Red]],10,FALSE)+HLOOKUP(F62,Team_Composition_23[[#All],[Yellow]:[Red]],11,FALSE))</f>
        <v>2.3142509135200974E-2</v>
      </c>
      <c r="N62" s="195">
        <f>J62/HLOOKUP(F62,Team_Composition_23[[#All],[Yellow]:[Red]],6,FALSE)</f>
        <v>1.4559314450419246E-2</v>
      </c>
      <c r="O62" s="195">
        <f>K62/HLOOKUP(F62,Team_Composition_23[[#All],[Yellow]:[Red]],8,FALSE)</f>
        <v>1.5139288863956506E-2</v>
      </c>
      <c r="P62" s="195">
        <f>L62/HLOOKUP(F62,Team_Composition_23[[#All],[Yellow]:[Red]],7,FALSE)</f>
        <v>8.6181998993011867E-4</v>
      </c>
      <c r="R62" s="6"/>
      <c r="S62" s="209"/>
      <c r="T62" s="209"/>
    </row>
    <row r="63" spans="1:20" ht="22.5" customHeight="1">
      <c r="A63" s="216">
        <v>38</v>
      </c>
      <c r="B63" s="115" t="str">
        <f>VLOOKUP(C63,Lists!I:J,2,FALSE)</f>
        <v>Tank</v>
      </c>
      <c r="C63" s="115" t="str">
        <f>VLOOKUP(E63,Lists!D:E,2,FALSE)</f>
        <v>SnS/Greatsword</v>
      </c>
      <c r="D63" s="15" t="s">
        <v>7</v>
      </c>
      <c r="E63" s="217" t="s">
        <v>57</v>
      </c>
      <c r="F63" s="15" t="s">
        <v>476</v>
      </c>
      <c r="G63" s="216">
        <v>3</v>
      </c>
      <c r="H63" s="216">
        <v>14</v>
      </c>
      <c r="I63" s="194">
        <f t="shared" si="0"/>
        <v>17</v>
      </c>
      <c r="J63" s="218">
        <v>51007</v>
      </c>
      <c r="K63" s="218">
        <v>298898</v>
      </c>
      <c r="L63" s="218">
        <v>11290</v>
      </c>
      <c r="M63" s="195">
        <f>I63/(HLOOKUP(F63,Team_Composition_23[[#All],[Yellow]:[Red]],10,FALSE)+HLOOKUP(F63,Team_Composition_23[[#All],[Yellow]:[Red]],11,FALSE))</f>
        <v>4.2489377655586099E-3</v>
      </c>
      <c r="N63" s="195">
        <f>J63/HLOOKUP(F63,Team_Composition_23[[#All],[Yellow]:[Red]],6,FALSE)</f>
        <v>1.1497491264852748E-3</v>
      </c>
      <c r="O63" s="195">
        <f>K63/HLOOKUP(F63,Team_Composition_23[[#All],[Yellow]:[Red]],8,FALSE)</f>
        <v>1.7061592762000376E-2</v>
      </c>
      <c r="P63" s="195">
        <f>L63/HLOOKUP(F63,Team_Composition_23[[#All],[Yellow]:[Red]],7,FALSE)</f>
        <v>8.7216663651292793E-4</v>
      </c>
      <c r="R63" s="232" t="s">
        <v>11</v>
      </c>
      <c r="S63" s="228"/>
      <c r="T63" s="228"/>
    </row>
    <row r="64" spans="1:20" ht="22.5" customHeight="1">
      <c r="A64" s="216">
        <v>56</v>
      </c>
      <c r="B64" s="115" t="str">
        <f>VLOOKUP(C64,Lists!I:J,2,FALSE)</f>
        <v>Ranged DPS</v>
      </c>
      <c r="C64" s="115" t="s">
        <v>32</v>
      </c>
      <c r="D64" s="15" t="s">
        <v>36</v>
      </c>
      <c r="E64" s="217" t="s">
        <v>259</v>
      </c>
      <c r="F64" s="15" t="s">
        <v>483</v>
      </c>
      <c r="G64" s="216">
        <v>1</v>
      </c>
      <c r="H64" s="216">
        <v>16</v>
      </c>
      <c r="I64" s="194">
        <f t="shared" si="0"/>
        <v>17</v>
      </c>
      <c r="J64" s="218">
        <v>827228</v>
      </c>
      <c r="K64" s="218">
        <v>696111</v>
      </c>
      <c r="L64" s="218">
        <v>48747</v>
      </c>
      <c r="M64" s="195">
        <f>I64/(HLOOKUP(F64,Team_Composition_23[[#All],[Yellow]:[Red]],10,FALSE)+HLOOKUP(F64,Team_Composition_23[[#All],[Yellow]:[Red]],11,FALSE))</f>
        <v>2.0706455542021926E-2</v>
      </c>
      <c r="N64" s="195">
        <f>J64/HLOOKUP(F64,Team_Composition_23[[#All],[Yellow]:[Red]],6,FALSE)</f>
        <v>4.6880646831285538E-2</v>
      </c>
      <c r="O64" s="195">
        <f>K64/HLOOKUP(F64,Team_Composition_23[[#All],[Yellow]:[Red]],8,FALSE)</f>
        <v>1.5814975929855226E-2</v>
      </c>
      <c r="P64" s="195">
        <f>L64/HLOOKUP(F64,Team_Composition_23[[#All],[Yellow]:[Red]],7,FALSE)</f>
        <v>2.0086607243185988E-3</v>
      </c>
      <c r="R64" s="197" t="s">
        <v>482</v>
      </c>
      <c r="S64" s="198" t="s">
        <v>476</v>
      </c>
      <c r="T64" s="198" t="s">
        <v>483</v>
      </c>
    </row>
    <row r="65" spans="1:20" ht="22.5" customHeight="1">
      <c r="A65" s="216">
        <v>57</v>
      </c>
      <c r="B65" s="115" t="str">
        <f>VLOOKUP(C65,Lists!I:J,2,FALSE)</f>
        <v>Tank</v>
      </c>
      <c r="C65" s="115" t="s">
        <v>14</v>
      </c>
      <c r="D65" s="15" t="s">
        <v>36</v>
      </c>
      <c r="E65" s="217" t="s">
        <v>260</v>
      </c>
      <c r="F65" s="15" t="s">
        <v>483</v>
      </c>
      <c r="G65" s="216">
        <v>1</v>
      </c>
      <c r="H65" s="216">
        <v>15</v>
      </c>
      <c r="I65" s="194">
        <f t="shared" si="0"/>
        <v>16</v>
      </c>
      <c r="J65" s="218">
        <v>173767</v>
      </c>
      <c r="K65" s="218">
        <v>910807</v>
      </c>
      <c r="L65" s="218">
        <v>64261</v>
      </c>
      <c r="M65" s="195">
        <f>I65/(HLOOKUP(F65,Team_Composition_23[[#All],[Yellow]:[Red]],10,FALSE)+HLOOKUP(F65,Team_Composition_23[[#All],[Yellow]:[Red]],11,FALSE))</f>
        <v>1.9488428745432398E-2</v>
      </c>
      <c r="N65" s="195">
        <f>J65/HLOOKUP(F65,Team_Composition_23[[#All],[Yellow]:[Red]],6,FALSE)</f>
        <v>9.8477195621182959E-3</v>
      </c>
      <c r="O65" s="195">
        <f>K65/HLOOKUP(F65,Team_Composition_23[[#All],[Yellow]:[Red]],8,FALSE)</f>
        <v>2.0692663643791936E-2</v>
      </c>
      <c r="P65" s="195">
        <f>L65/HLOOKUP(F65,Team_Composition_23[[#All],[Yellow]:[Red]],7,FALSE)</f>
        <v>2.6479280120917693E-3</v>
      </c>
      <c r="R65" s="201" t="s">
        <v>468</v>
      </c>
      <c r="S65" s="202">
        <f>SUMIFS(Scoreboard_23[Damage Dealt],Scoreboard_23[Role],"Healer",Scoreboard_23[Team],"Yellow")</f>
        <v>505467</v>
      </c>
      <c r="T65" s="203">
        <f>SUMIFS(Scoreboard_23[Damage Dealt],Scoreboard_23[Role],"Healer",Scoreboard_23[Team],"Red")</f>
        <v>183261</v>
      </c>
    </row>
    <row r="66" spans="1:20" ht="22.5" customHeight="1">
      <c r="A66" s="216">
        <v>39</v>
      </c>
      <c r="B66" s="115" t="str">
        <f>VLOOKUP(C66,Lists!I:J,2,FALSE)</f>
        <v>Melee DPS</v>
      </c>
      <c r="C66" s="115" t="s">
        <v>23</v>
      </c>
      <c r="D66" s="15" t="s">
        <v>36</v>
      </c>
      <c r="E66" s="217" t="s">
        <v>249</v>
      </c>
      <c r="F66" s="15" t="s">
        <v>483</v>
      </c>
      <c r="G66" s="216">
        <v>3</v>
      </c>
      <c r="H66" s="216">
        <v>12</v>
      </c>
      <c r="I66" s="194">
        <f t="shared" si="0"/>
        <v>15</v>
      </c>
      <c r="J66" s="218">
        <v>291894</v>
      </c>
      <c r="K66" s="218">
        <v>701967</v>
      </c>
      <c r="L66" s="218">
        <v>4039</v>
      </c>
      <c r="M66" s="195">
        <f>I66/(HLOOKUP(F66,Team_Composition_23[[#All],[Yellow]:[Red]],10,FALSE)+HLOOKUP(F66,Team_Composition_23[[#All],[Yellow]:[Red]],11,FALSE))</f>
        <v>1.8270401948842874E-2</v>
      </c>
      <c r="N66" s="195">
        <f>J66/HLOOKUP(F66,Team_Composition_23[[#All],[Yellow]:[Red]],6,FALSE)</f>
        <v>1.6542210280806817E-2</v>
      </c>
      <c r="O66" s="195">
        <f>K66/HLOOKUP(F66,Team_Composition_23[[#All],[Yellow]:[Red]],8,FALSE)</f>
        <v>1.594801864724546E-2</v>
      </c>
      <c r="P66" s="195">
        <f>L66/HLOOKUP(F66,Team_Composition_23[[#All],[Yellow]:[Red]],7,FALSE)</f>
        <v>1.664303580840425E-4</v>
      </c>
      <c r="R66" s="201" t="s">
        <v>469</v>
      </c>
      <c r="S66" s="202">
        <f>SUMIFS(Scoreboard_23[Damage Taken],Scoreboard_23[Role],"Healer",Scoreboard_23[Team],"Yellow")</f>
        <v>4183697</v>
      </c>
      <c r="T66" s="203">
        <f>SUMIFS(Scoreboard_23[Damage Taken],Scoreboard_23[Role],"Healer",Scoreboard_23[Team],"Red")</f>
        <v>13588315</v>
      </c>
    </row>
    <row r="67" spans="1:20" ht="22.5" customHeight="1">
      <c r="A67" s="216">
        <v>58</v>
      </c>
      <c r="B67" s="115" t="str">
        <f>VLOOKUP(C67,Lists!I:J,2,FALSE)</f>
        <v>Tank</v>
      </c>
      <c r="C67" s="115" t="s">
        <v>14</v>
      </c>
      <c r="D67" s="15" t="s">
        <v>36</v>
      </c>
      <c r="E67" s="217" t="s">
        <v>261</v>
      </c>
      <c r="F67" s="15" t="s">
        <v>483</v>
      </c>
      <c r="G67" s="216">
        <v>1</v>
      </c>
      <c r="H67" s="216">
        <v>14</v>
      </c>
      <c r="I67" s="194">
        <f t="shared" si="0"/>
        <v>15</v>
      </c>
      <c r="J67" s="218">
        <v>143129</v>
      </c>
      <c r="K67" s="218">
        <v>538624</v>
      </c>
      <c r="L67" s="218">
        <v>1002</v>
      </c>
      <c r="M67" s="195">
        <f>I67/(HLOOKUP(F67,Team_Composition_23[[#All],[Yellow]:[Red]],10,FALSE)+HLOOKUP(F67,Team_Composition_23[[#All],[Yellow]:[Red]],11,FALSE))</f>
        <v>1.8270401948842874E-2</v>
      </c>
      <c r="N67" s="195">
        <f>J67/HLOOKUP(F67,Team_Composition_23[[#All],[Yellow]:[Red]],6,FALSE)</f>
        <v>8.1114035070320011E-3</v>
      </c>
      <c r="O67" s="195">
        <f>K67/HLOOKUP(F67,Team_Composition_23[[#All],[Yellow]:[Red]],8,FALSE)</f>
        <v>1.2237021962362815E-2</v>
      </c>
      <c r="P67" s="195">
        <f>L67/HLOOKUP(F67,Team_Composition_23[[#All],[Yellow]:[Red]],7,FALSE)</f>
        <v>4.128824431795261E-5</v>
      </c>
      <c r="R67" s="201" t="s">
        <v>470</v>
      </c>
      <c r="S67" s="202">
        <f>SUMIFS(Scoreboard_23[Amount Healed],Scoreboard_23[Role],"Healer",Scoreboard_23[Team],"Yellow")</f>
        <v>11897787</v>
      </c>
      <c r="T67" s="203">
        <f>SUMIFS(Scoreboard_23[Amount Healed],Scoreboard_23[Role],"Healer",Scoreboard_23[Team],"Red")</f>
        <v>22445440</v>
      </c>
    </row>
    <row r="68" spans="1:20" ht="22.5" customHeight="1">
      <c r="A68" s="216">
        <v>33</v>
      </c>
      <c r="B68" s="115" t="str">
        <f>VLOOKUP(C68,Lists!I:J,2,FALSE)</f>
        <v>Ranged DPS</v>
      </c>
      <c r="C68" s="115" t="s">
        <v>32</v>
      </c>
      <c r="D68" s="15" t="s">
        <v>36</v>
      </c>
      <c r="E68" s="217" t="s">
        <v>246</v>
      </c>
      <c r="F68" s="15" t="s">
        <v>483</v>
      </c>
      <c r="G68" s="216">
        <v>5</v>
      </c>
      <c r="H68" s="216">
        <v>9</v>
      </c>
      <c r="I68" s="194">
        <f t="shared" si="0"/>
        <v>14</v>
      </c>
      <c r="J68" s="218">
        <v>553466</v>
      </c>
      <c r="K68" s="218">
        <v>879496</v>
      </c>
      <c r="L68" s="218">
        <v>59293</v>
      </c>
      <c r="M68" s="195">
        <f>I68/(HLOOKUP(F68,Team_Composition_23[[#All],[Yellow]:[Red]],10,FALSE)+HLOOKUP(F68,Team_Composition_23[[#All],[Yellow]:[Red]],11,FALSE))</f>
        <v>1.705237515225335E-2</v>
      </c>
      <c r="N68" s="195">
        <f>J68/HLOOKUP(F68,Team_Composition_23[[#All],[Yellow]:[Red]],6,FALSE)</f>
        <v>3.13660128515044E-2</v>
      </c>
      <c r="O68" s="195">
        <f>K68/HLOOKUP(F68,Team_Composition_23[[#All],[Yellow]:[Red]],8,FALSE)</f>
        <v>1.998130767995902E-2</v>
      </c>
      <c r="P68" s="195">
        <f>L68/HLOOKUP(F68,Team_Composition_23[[#All],[Yellow]:[Red]],7,FALSE)</f>
        <v>2.4432174354734174E-3</v>
      </c>
      <c r="R68" s="201" t="s">
        <v>465</v>
      </c>
      <c r="S68" s="202">
        <f>SUMIFS(Scoreboard_23[Kills],Scoreboard_23[Role],"Healer",Scoreboard_23[Team],"Yellow")</f>
        <v>3</v>
      </c>
      <c r="T68" s="203">
        <f>SUMIFS(Scoreboard_23[Kills],Scoreboard_23[Role],"Healer",Scoreboard_23[Team],"Red")</f>
        <v>2</v>
      </c>
    </row>
    <row r="69" spans="1:20" ht="22.5" customHeight="1">
      <c r="A69" s="216">
        <v>80</v>
      </c>
      <c r="B69" s="115" t="str">
        <f>VLOOKUP(C69,Lists!I:J,2,FALSE)</f>
        <v>Healer</v>
      </c>
      <c r="C69" s="115" t="s">
        <v>9</v>
      </c>
      <c r="D69" s="15" t="s">
        <v>36</v>
      </c>
      <c r="E69" s="217" t="s">
        <v>269</v>
      </c>
      <c r="F69" s="15" t="s">
        <v>483</v>
      </c>
      <c r="G69" s="216">
        <v>0</v>
      </c>
      <c r="H69" s="216">
        <v>14</v>
      </c>
      <c r="I69" s="194">
        <f t="shared" si="0"/>
        <v>14</v>
      </c>
      <c r="J69" s="218">
        <v>6157</v>
      </c>
      <c r="K69" s="218">
        <v>1088942</v>
      </c>
      <c r="L69" s="218">
        <v>1762607</v>
      </c>
      <c r="M69" s="195">
        <f>I69/(HLOOKUP(F69,Team_Composition_23[[#All],[Yellow]:[Red]],10,FALSE)+HLOOKUP(F69,Team_Composition_23[[#All],[Yellow]:[Red]],11,FALSE))</f>
        <v>1.705237515225335E-2</v>
      </c>
      <c r="N69" s="195">
        <f>J69/HLOOKUP(F69,Team_Composition_23[[#All],[Yellow]:[Red]],6,FALSE)</f>
        <v>3.4892936716385937E-4</v>
      </c>
      <c r="O69" s="195">
        <f>K69/HLOOKUP(F69,Team_Composition_23[[#All],[Yellow]:[Red]],8,FALSE)</f>
        <v>2.4739720416727232E-2</v>
      </c>
      <c r="P69" s="195">
        <f>L69/HLOOKUP(F69,Team_Composition_23[[#All],[Yellow]:[Red]],7,FALSE)</f>
        <v>7.2629689074384732E-2</v>
      </c>
      <c r="R69" s="201" t="s">
        <v>466</v>
      </c>
      <c r="S69" s="202">
        <f>SUMIFS(Scoreboard_23[Assists],Scoreboard_23[Role],"Healer",Scoreboard_23[Team],"Yellow")</f>
        <v>1061</v>
      </c>
      <c r="T69" s="203">
        <f>SUMIFS(Scoreboard_23[Assists],Scoreboard_23[Role],"Healer",Scoreboard_23[Team],"Red")</f>
        <v>218</v>
      </c>
    </row>
    <row r="70" spans="1:20" ht="22.5" customHeight="1">
      <c r="A70" s="216">
        <v>40</v>
      </c>
      <c r="B70" s="115" t="str">
        <f>VLOOKUP(C70,Lists!I:J,2,FALSE)</f>
        <v>Ranged DPS</v>
      </c>
      <c r="C70" s="115" t="s">
        <v>32</v>
      </c>
      <c r="D70" s="15" t="s">
        <v>36</v>
      </c>
      <c r="E70" s="217" t="s">
        <v>250</v>
      </c>
      <c r="F70" s="15" t="s">
        <v>483</v>
      </c>
      <c r="G70" s="216">
        <v>3</v>
      </c>
      <c r="H70" s="216">
        <v>10</v>
      </c>
      <c r="I70" s="194">
        <f t="shared" si="0"/>
        <v>13</v>
      </c>
      <c r="J70" s="218">
        <v>1004243</v>
      </c>
      <c r="K70" s="218">
        <v>582144</v>
      </c>
      <c r="L70" s="218">
        <v>0</v>
      </c>
      <c r="M70" s="195">
        <f>I70/(HLOOKUP(F70,Team_Composition_23[[#All],[Yellow]:[Red]],10,FALSE)+HLOOKUP(F70,Team_Composition_23[[#All],[Yellow]:[Red]],11,FALSE))</f>
        <v>1.5834348355663823E-2</v>
      </c>
      <c r="N70" s="195">
        <f>J70/HLOOKUP(F70,Team_Composition_23[[#All],[Yellow]:[Red]],6,FALSE)</f>
        <v>5.6912436977218712E-2</v>
      </c>
      <c r="O70" s="195">
        <f>K70/HLOOKUP(F70,Team_Composition_23[[#All],[Yellow]:[Red]],8,FALSE)</f>
        <v>1.3225754725481483E-2</v>
      </c>
      <c r="P70" s="195">
        <f>L70/HLOOKUP(F70,Team_Composition_23[[#All],[Yellow]:[Red]],7,FALSE)</f>
        <v>0</v>
      </c>
      <c r="R70" s="201" t="s">
        <v>10</v>
      </c>
      <c r="S70" s="202">
        <f t="shared" ref="S70:S72" si="8">COUNTIFS(C:C,R70,F:F,"Yellow")</f>
        <v>8</v>
      </c>
      <c r="T70" s="203">
        <f t="shared" ref="T70:T72" si="9">COUNTIFS(C:C,R70,F:F,"Red")</f>
        <v>10</v>
      </c>
    </row>
    <row r="71" spans="1:20" ht="22.5" customHeight="1">
      <c r="A71" s="216">
        <v>81</v>
      </c>
      <c r="B71" s="115" t="str">
        <f>VLOOKUP(C71,Lists!I:J,2,FALSE)</f>
        <v>Healer</v>
      </c>
      <c r="C71" s="115" t="str">
        <f>VLOOKUP(E71,Lists!D:E,2,FALSE)</f>
        <v>Wand/Orb</v>
      </c>
      <c r="D71" s="15" t="s">
        <v>7</v>
      </c>
      <c r="E71" s="217" t="s">
        <v>99</v>
      </c>
      <c r="F71" s="15" t="s">
        <v>476</v>
      </c>
      <c r="G71" s="216">
        <v>0</v>
      </c>
      <c r="H71" s="216">
        <v>13</v>
      </c>
      <c r="I71" s="194">
        <f t="shared" si="0"/>
        <v>13</v>
      </c>
      <c r="J71" s="218">
        <v>48810</v>
      </c>
      <c r="K71" s="218">
        <v>55052</v>
      </c>
      <c r="L71" s="218">
        <v>183125</v>
      </c>
      <c r="M71" s="195">
        <f>I71/(HLOOKUP(F71,Team_Composition_23[[#All],[Yellow]:[Red]],10,FALSE)+HLOOKUP(F71,Team_Composition_23[[#All],[Yellow]:[Red]],11,FALSE))</f>
        <v>3.2491877030742314E-3</v>
      </c>
      <c r="N71" s="195">
        <f>J71/HLOOKUP(F71,Team_Composition_23[[#All],[Yellow]:[Red]],6,FALSE)</f>
        <v>1.1002265348627888E-3</v>
      </c>
      <c r="O71" s="195">
        <f>K71/HLOOKUP(F71,Team_Composition_23[[#All],[Yellow]:[Red]],8,FALSE)</f>
        <v>3.1424593163341496E-3</v>
      </c>
      <c r="P71" s="195">
        <f>L71/HLOOKUP(F71,Team_Composition_23[[#All],[Yellow]:[Red]],7,FALSE)</f>
        <v>1.4146635545742242E-2</v>
      </c>
      <c r="R71" s="201" t="s">
        <v>9</v>
      </c>
      <c r="S71" s="202">
        <f t="shared" si="8"/>
        <v>7</v>
      </c>
      <c r="T71" s="203">
        <f t="shared" si="9"/>
        <v>7</v>
      </c>
    </row>
    <row r="72" spans="1:20" ht="22.5" customHeight="1">
      <c r="A72" s="216">
        <v>41</v>
      </c>
      <c r="B72" s="115" t="str">
        <f>VLOOKUP(C72,Lists!I:J,2,FALSE)</f>
        <v>Ranged DPS</v>
      </c>
      <c r="C72" s="115" t="s">
        <v>32</v>
      </c>
      <c r="D72" s="15" t="s">
        <v>36</v>
      </c>
      <c r="E72" s="217" t="s">
        <v>251</v>
      </c>
      <c r="F72" s="15" t="s">
        <v>483</v>
      </c>
      <c r="G72" s="216">
        <v>3</v>
      </c>
      <c r="H72" s="216">
        <v>9</v>
      </c>
      <c r="I72" s="194">
        <f t="shared" si="0"/>
        <v>12</v>
      </c>
      <c r="J72" s="218">
        <v>370605</v>
      </c>
      <c r="K72" s="218">
        <v>610800</v>
      </c>
      <c r="L72" s="218">
        <v>15954</v>
      </c>
      <c r="M72" s="195">
        <f>I72/(HLOOKUP(F72,Team_Composition_23[[#All],[Yellow]:[Red]],10,FALSE)+HLOOKUP(F72,Team_Composition_23[[#All],[Yellow]:[Red]],11,FALSE))</f>
        <v>1.4616321559074299E-2</v>
      </c>
      <c r="N72" s="195">
        <f>J72/HLOOKUP(F72,Team_Composition_23[[#All],[Yellow]:[Red]],6,FALSE)</f>
        <v>2.1002918323495549E-2</v>
      </c>
      <c r="O72" s="195">
        <f>K72/HLOOKUP(F72,Team_Composition_23[[#All],[Yellow]:[Red]],8,FALSE)</f>
        <v>1.3876791629432048E-2</v>
      </c>
      <c r="P72" s="195">
        <f>L72/HLOOKUP(F72,Team_Composition_23[[#All],[Yellow]:[Red]],7,FALSE)</f>
        <v>6.5739785414033528E-4</v>
      </c>
      <c r="R72" s="201" t="s">
        <v>18</v>
      </c>
      <c r="S72" s="202">
        <f t="shared" si="8"/>
        <v>0</v>
      </c>
      <c r="T72" s="203">
        <f t="shared" si="9"/>
        <v>0</v>
      </c>
    </row>
    <row r="73" spans="1:20" ht="22.5" customHeight="1">
      <c r="A73" s="216">
        <v>37</v>
      </c>
      <c r="B73" s="115" t="str">
        <f>VLOOKUP(C73,Lists!I:J,2,FALSE)</f>
        <v>Melee DPS</v>
      </c>
      <c r="C73" s="115" t="s">
        <v>23</v>
      </c>
      <c r="D73" s="15" t="s">
        <v>36</v>
      </c>
      <c r="E73" s="217" t="s">
        <v>248</v>
      </c>
      <c r="F73" s="15" t="s">
        <v>483</v>
      </c>
      <c r="G73" s="216">
        <v>4</v>
      </c>
      <c r="H73" s="216">
        <v>7</v>
      </c>
      <c r="I73" s="194">
        <f t="shared" si="0"/>
        <v>11</v>
      </c>
      <c r="J73" s="218">
        <v>404317</v>
      </c>
      <c r="K73" s="218">
        <v>1024230</v>
      </c>
      <c r="L73" s="218">
        <v>10209</v>
      </c>
      <c r="M73" s="195">
        <f>I73/(HLOOKUP(F73,Team_Composition_23[[#All],[Yellow]:[Red]],10,FALSE)+HLOOKUP(F73,Team_Composition_23[[#All],[Yellow]:[Red]],11,FALSE))</f>
        <v>1.3398294762484775E-2</v>
      </c>
      <c r="N73" s="195">
        <f>J73/HLOOKUP(F73,Team_Composition_23[[#All],[Yellow]:[Red]],6,FALSE)</f>
        <v>2.2913444038263786E-2</v>
      </c>
      <c r="O73" s="195">
        <f>K73/HLOOKUP(F73,Team_Composition_23[[#All],[Yellow]:[Red]],8,FALSE)</f>
        <v>2.3269525688626697E-2</v>
      </c>
      <c r="P73" s="195">
        <f>L73/HLOOKUP(F73,Team_Composition_23[[#All],[Yellow]:[Red]],7,FALSE)</f>
        <v>4.2067034555087643E-4</v>
      </c>
    </row>
    <row r="74" spans="1:20" ht="22.5" customHeight="1">
      <c r="A74" s="216">
        <v>46</v>
      </c>
      <c r="B74" s="115" t="str">
        <f>VLOOKUP(C74,Lists!I:J,2,FALSE)</f>
        <v>Ranged DPS</v>
      </c>
      <c r="C74" s="115" t="s">
        <v>32</v>
      </c>
      <c r="D74" s="15" t="s">
        <v>36</v>
      </c>
      <c r="E74" s="217" t="s">
        <v>544</v>
      </c>
      <c r="F74" s="15" t="s">
        <v>483</v>
      </c>
      <c r="G74" s="216">
        <v>2</v>
      </c>
      <c r="H74" s="216">
        <v>9</v>
      </c>
      <c r="I74" s="194">
        <f t="shared" si="0"/>
        <v>11</v>
      </c>
      <c r="J74" s="218">
        <v>772895</v>
      </c>
      <c r="K74" s="218">
        <v>547232</v>
      </c>
      <c r="L74" s="218">
        <v>45004</v>
      </c>
      <c r="M74" s="195">
        <f>I74/(HLOOKUP(F74,Team_Composition_23[[#All],[Yellow]:[Red]],10,FALSE)+HLOOKUP(F74,Team_Composition_23[[#All],[Yellow]:[Red]],11,FALSE))</f>
        <v>1.3398294762484775E-2</v>
      </c>
      <c r="N74" s="195">
        <f>J74/HLOOKUP(F74,Team_Composition_23[[#All],[Yellow]:[Red]],6,FALSE)</f>
        <v>4.3801488262808365E-2</v>
      </c>
      <c r="O74" s="195">
        <f>K74/HLOOKUP(F74,Team_Composition_23[[#All],[Yellow]:[Red]],8,FALSE)</f>
        <v>1.2432587486832611E-2</v>
      </c>
      <c r="P74" s="195">
        <f>L74/HLOOKUP(F74,Team_Composition_23[[#All],[Yellow]:[Red]],7,FALSE)</f>
        <v>1.8544272926997397E-3</v>
      </c>
    </row>
    <row r="75" spans="1:20" ht="22.5" customHeight="1">
      <c r="A75" s="216">
        <v>47</v>
      </c>
      <c r="B75" s="115" t="str">
        <f>VLOOKUP(C75,Lists!I:J,2,FALSE)</f>
        <v>Ranged DPS</v>
      </c>
      <c r="C75" s="115" t="s">
        <v>32</v>
      </c>
      <c r="D75" s="15" t="s">
        <v>36</v>
      </c>
      <c r="E75" s="217" t="s">
        <v>254</v>
      </c>
      <c r="F75" s="15" t="s">
        <v>483</v>
      </c>
      <c r="G75" s="216">
        <v>2</v>
      </c>
      <c r="H75" s="216">
        <v>9</v>
      </c>
      <c r="I75" s="194">
        <f t="shared" si="0"/>
        <v>11</v>
      </c>
      <c r="J75" s="218">
        <v>354227</v>
      </c>
      <c r="K75" s="218">
        <v>407106</v>
      </c>
      <c r="L75" s="218">
        <v>48634</v>
      </c>
      <c r="M75" s="195">
        <f>I75/(HLOOKUP(F75,Team_Composition_23[[#All],[Yellow]:[Red]],10,FALSE)+HLOOKUP(F75,Team_Composition_23[[#All],[Yellow]:[Red]],11,FALSE))</f>
        <v>1.3398294762484775E-2</v>
      </c>
      <c r="N75" s="195">
        <f>J75/HLOOKUP(F75,Team_Composition_23[[#All],[Yellow]:[Red]],6,FALSE)</f>
        <v>2.0074744671488131E-2</v>
      </c>
      <c r="O75" s="195">
        <f>K75/HLOOKUP(F75,Team_Composition_23[[#All],[Yellow]:[Red]],8,FALSE)</f>
        <v>9.2490588295539682E-3</v>
      </c>
      <c r="P75" s="195">
        <f>L75/HLOOKUP(F75,Team_Composition_23[[#All],[Yellow]:[Red]],7,FALSE)</f>
        <v>2.0040044652288496E-3</v>
      </c>
    </row>
    <row r="76" spans="1:20" ht="22.5" customHeight="1">
      <c r="A76" s="216">
        <v>48</v>
      </c>
      <c r="B76" s="115" t="str">
        <f>VLOOKUP(C76,Lists!I:J,2,FALSE)</f>
        <v>Ranged DPS</v>
      </c>
      <c r="C76" s="115" t="s">
        <v>38</v>
      </c>
      <c r="D76" s="15" t="s">
        <v>36</v>
      </c>
      <c r="E76" s="217" t="s">
        <v>255</v>
      </c>
      <c r="F76" s="15" t="s">
        <v>483</v>
      </c>
      <c r="G76" s="216">
        <v>2</v>
      </c>
      <c r="H76" s="216">
        <v>9</v>
      </c>
      <c r="I76" s="194">
        <f t="shared" si="0"/>
        <v>11</v>
      </c>
      <c r="J76" s="218">
        <v>305668</v>
      </c>
      <c r="K76" s="218">
        <v>615137</v>
      </c>
      <c r="L76" s="218">
        <v>6829</v>
      </c>
      <c r="M76" s="195">
        <f>I76/(HLOOKUP(F76,Team_Composition_23[[#All],[Yellow]:[Red]],10,FALSE)+HLOOKUP(F76,Team_Composition_23[[#All],[Yellow]:[Red]],11,FALSE))</f>
        <v>1.3398294762484775E-2</v>
      </c>
      <c r="N76" s="195">
        <f>J76/HLOOKUP(F76,Team_Composition_23[[#All],[Yellow]:[Red]],6,FALSE)</f>
        <v>1.7322810102686791E-2</v>
      </c>
      <c r="O76" s="195">
        <f>K76/HLOOKUP(F76,Team_Composition_23[[#All],[Yellow]:[Red]],8,FALSE)</f>
        <v>1.3975324120094862E-2</v>
      </c>
      <c r="P76" s="195">
        <f>L76/HLOOKUP(F76,Team_Composition_23[[#All],[Yellow]:[Red]],7,FALSE)</f>
        <v>2.8139463118492851E-4</v>
      </c>
    </row>
    <row r="77" spans="1:20" ht="22.5" customHeight="1">
      <c r="A77" s="216">
        <v>49</v>
      </c>
      <c r="B77" s="115" t="str">
        <f>VLOOKUP(C77,Lists!I:J,2,FALSE)</f>
        <v>Tank</v>
      </c>
      <c r="C77" s="115" t="s">
        <v>62</v>
      </c>
      <c r="D77" s="15" t="s">
        <v>36</v>
      </c>
      <c r="E77" s="217" t="s">
        <v>256</v>
      </c>
      <c r="F77" s="15" t="s">
        <v>483</v>
      </c>
      <c r="G77" s="216">
        <v>2</v>
      </c>
      <c r="H77" s="216">
        <v>9</v>
      </c>
      <c r="I77" s="194">
        <f t="shared" si="0"/>
        <v>11</v>
      </c>
      <c r="J77" s="218">
        <v>176013</v>
      </c>
      <c r="K77" s="218">
        <v>721562</v>
      </c>
      <c r="L77" s="218">
        <v>47288</v>
      </c>
      <c r="M77" s="195">
        <f>I77/(HLOOKUP(F77,Team_Composition_23[[#All],[Yellow]:[Red]],10,FALSE)+HLOOKUP(F77,Team_Composition_23[[#All],[Yellow]:[Red]],11,FALSE))</f>
        <v>1.3398294762484775E-2</v>
      </c>
      <c r="N77" s="195">
        <f>J77/HLOOKUP(F77,Team_Composition_23[[#All],[Yellow]:[Red]],6,FALSE)</f>
        <v>9.9750048242021085E-3</v>
      </c>
      <c r="O77" s="195">
        <f>K77/HLOOKUP(F77,Team_Composition_23[[#All],[Yellow]:[Red]],8,FALSE)</f>
        <v>1.6393198300124832E-2</v>
      </c>
      <c r="P77" s="195">
        <f>L77/HLOOKUP(F77,Team_Composition_23[[#All],[Yellow]:[Red]],7,FALSE)</f>
        <v>1.9485414144783863E-3</v>
      </c>
    </row>
    <row r="78" spans="1:20" ht="22.5" customHeight="1">
      <c r="A78" s="216">
        <v>82</v>
      </c>
      <c r="B78" s="115" t="str">
        <f>VLOOKUP(C78,Lists!I:J,2,FALSE)</f>
        <v>Healer</v>
      </c>
      <c r="C78" s="115" t="s">
        <v>10</v>
      </c>
      <c r="D78" s="15" t="s">
        <v>36</v>
      </c>
      <c r="E78" s="217" t="s">
        <v>270</v>
      </c>
      <c r="F78" s="15" t="s">
        <v>483</v>
      </c>
      <c r="G78" s="216">
        <v>0</v>
      </c>
      <c r="H78" s="216">
        <v>11</v>
      </c>
      <c r="I78" s="194">
        <f t="shared" si="0"/>
        <v>11</v>
      </c>
      <c r="J78" s="218">
        <v>18304</v>
      </c>
      <c r="K78" s="218">
        <v>942261</v>
      </c>
      <c r="L78" s="218">
        <v>2490770</v>
      </c>
      <c r="M78" s="195">
        <f>I78/(HLOOKUP(F78,Team_Composition_23[[#All],[Yellow]:[Red]],10,FALSE)+HLOOKUP(F78,Team_Composition_23[[#All],[Yellow]:[Red]],11,FALSE))</f>
        <v>1.3398294762484775E-2</v>
      </c>
      <c r="N78" s="195">
        <f>J78/HLOOKUP(F78,Team_Composition_23[[#All],[Yellow]:[Red]],6,FALSE)</f>
        <v>1.0373238812030668E-3</v>
      </c>
      <c r="O78" s="195">
        <f>K78/HLOOKUP(F78,Team_Composition_23[[#All],[Yellow]:[Red]],8,FALSE)</f>
        <v>2.1407268430812493E-2</v>
      </c>
      <c r="P78" s="195">
        <f>L78/HLOOKUP(F78,Team_Composition_23[[#All],[Yellow]:[Red]],7,FALSE)</f>
        <v>0.10263425179623435</v>
      </c>
    </row>
    <row r="79" spans="1:20" ht="22.5" customHeight="1">
      <c r="A79" s="216">
        <v>59</v>
      </c>
      <c r="B79" s="115" t="str">
        <f>VLOOKUP(C79,Lists!I:J,2,FALSE)</f>
        <v>Healer</v>
      </c>
      <c r="C79" s="115" t="s">
        <v>10</v>
      </c>
      <c r="D79" s="15" t="s">
        <v>36</v>
      </c>
      <c r="E79" s="217" t="s">
        <v>262</v>
      </c>
      <c r="F79" s="15" t="s">
        <v>483</v>
      </c>
      <c r="G79" s="216">
        <v>1</v>
      </c>
      <c r="H79" s="216">
        <v>9</v>
      </c>
      <c r="I79" s="194">
        <f t="shared" si="0"/>
        <v>10</v>
      </c>
      <c r="J79" s="218">
        <v>32540</v>
      </c>
      <c r="K79" s="218">
        <v>1274556</v>
      </c>
      <c r="L79" s="218">
        <v>1814905</v>
      </c>
      <c r="M79" s="195">
        <f>I79/(HLOOKUP(F79,Team_Composition_23[[#All],[Yellow]:[Red]],10,FALSE)+HLOOKUP(F79,Team_Composition_23[[#All],[Yellow]:[Red]],11,FALSE))</f>
        <v>1.2180267965895249E-2</v>
      </c>
      <c r="N79" s="195">
        <f>J79/HLOOKUP(F79,Team_Composition_23[[#All],[Yellow]:[Red]],6,FALSE)</f>
        <v>1.8441061568153295E-3</v>
      </c>
      <c r="O79" s="195">
        <f>K79/HLOOKUP(F79,Team_Composition_23[[#All],[Yellow]:[Red]],8,FALSE)</f>
        <v>2.8956692914280276E-2</v>
      </c>
      <c r="P79" s="195">
        <f>L79/HLOOKUP(F79,Team_Composition_23[[#All],[Yellow]:[Red]],7,FALSE)</f>
        <v>7.4784671710452874E-2</v>
      </c>
    </row>
    <row r="80" spans="1:20" ht="22.5" customHeight="1">
      <c r="A80" s="216">
        <v>83</v>
      </c>
      <c r="B80" s="115" t="str">
        <f>VLOOKUP(C80,Lists!I:J,2,FALSE)</f>
        <v>Healer</v>
      </c>
      <c r="C80" s="115" t="s">
        <v>10</v>
      </c>
      <c r="D80" s="15" t="s">
        <v>36</v>
      </c>
      <c r="E80" s="217" t="s">
        <v>271</v>
      </c>
      <c r="F80" s="15" t="s">
        <v>618</v>
      </c>
      <c r="G80" s="216">
        <v>0</v>
      </c>
      <c r="H80" s="216">
        <v>9</v>
      </c>
      <c r="I80" s="194">
        <f t="shared" si="0"/>
        <v>9</v>
      </c>
      <c r="J80" s="218">
        <v>8054</v>
      </c>
      <c r="K80" s="218">
        <v>349483</v>
      </c>
      <c r="L80" s="218">
        <v>653158</v>
      </c>
      <c r="M80" s="195" t="e">
        <f>I80/(HLOOKUP(F80,Team_Composition_23[[#All],[Yellow]:[Red]],10,FALSE)+HLOOKUP(F80,Team_Composition_23[[#All],[Yellow]:[Red]],11,FALSE))</f>
        <v>#N/A</v>
      </c>
      <c r="N80" s="195" t="e">
        <f>J80/HLOOKUP(F80,Team_Composition_23[[#All],[Yellow]:[Red]],6,FALSE)</f>
        <v>#N/A</v>
      </c>
      <c r="O80" s="195" t="e">
        <f>K80/HLOOKUP(F80,Team_Composition_23[[#All],[Yellow]:[Red]],8,FALSE)</f>
        <v>#N/A</v>
      </c>
      <c r="P80" s="195" t="e">
        <f>L80/HLOOKUP(F80,Team_Composition_23[[#All],[Yellow]:[Red]],7,FALSE)</f>
        <v>#N/A</v>
      </c>
    </row>
    <row r="81" spans="1:16" ht="22.5" customHeight="1">
      <c r="A81" s="216">
        <v>84</v>
      </c>
      <c r="B81" s="115" t="str">
        <f>VLOOKUP(C81,Lists!I:J,2,FALSE)</f>
        <v>Healer</v>
      </c>
      <c r="C81" s="115" t="s">
        <v>9</v>
      </c>
      <c r="D81" s="15" t="s">
        <v>36</v>
      </c>
      <c r="E81" s="217" t="s">
        <v>619</v>
      </c>
      <c r="F81" s="15" t="s">
        <v>483</v>
      </c>
      <c r="G81" s="216">
        <v>0</v>
      </c>
      <c r="H81" s="216">
        <v>9</v>
      </c>
      <c r="I81" s="194">
        <f t="shared" si="0"/>
        <v>9</v>
      </c>
      <c r="J81" s="218">
        <v>950</v>
      </c>
      <c r="K81" s="218">
        <v>743010</v>
      </c>
      <c r="L81" s="218">
        <v>1191641</v>
      </c>
      <c r="M81" s="195">
        <f>I81/(HLOOKUP(F81,Team_Composition_23[[#All],[Yellow]:[Red]],10,FALSE)+HLOOKUP(F81,Team_Composition_23[[#All],[Yellow]:[Red]],11,FALSE))</f>
        <v>1.0962241169305725E-2</v>
      </c>
      <c r="N81" s="195">
        <f>J81/HLOOKUP(F81,Team_Composition_23[[#All],[Yellow]:[Red]],6,FALSE)</f>
        <v>5.3838378886741333E-5</v>
      </c>
      <c r="O81" s="195">
        <f>K81/HLOOKUP(F81,Team_Composition_23[[#All],[Yellow]:[Red]],8,FALSE)</f>
        <v>1.6880476340183866E-2</v>
      </c>
      <c r="P81" s="195">
        <f>L81/HLOOKUP(F81,Team_Composition_23[[#All],[Yellow]:[Red]],7,FALSE)</f>
        <v>4.9102559628033303E-2</v>
      </c>
    </row>
    <row r="82" spans="1:16" ht="22.5" customHeight="1">
      <c r="A82" s="216">
        <v>42</v>
      </c>
      <c r="B82" s="115" t="str">
        <f>VLOOKUP(C82,Lists!I:J,2,FALSE)</f>
        <v>Tank</v>
      </c>
      <c r="C82" s="115" t="s">
        <v>14</v>
      </c>
      <c r="D82" s="15" t="s">
        <v>36</v>
      </c>
      <c r="E82" s="217" t="s">
        <v>252</v>
      </c>
      <c r="F82" s="15" t="s">
        <v>483</v>
      </c>
      <c r="G82" s="216">
        <v>3</v>
      </c>
      <c r="H82" s="216">
        <v>5</v>
      </c>
      <c r="I82" s="194">
        <f t="shared" si="0"/>
        <v>8</v>
      </c>
      <c r="J82" s="218">
        <v>208989</v>
      </c>
      <c r="K82" s="218">
        <v>945676</v>
      </c>
      <c r="L82" s="218">
        <v>25102</v>
      </c>
      <c r="M82" s="195">
        <f>I82/(HLOOKUP(F82,Team_Composition_23[[#All],[Yellow]:[Red]],10,FALSE)+HLOOKUP(F82,Team_Composition_23[[#All],[Yellow]:[Red]],11,FALSE))</f>
        <v>9.7442143727161992E-3</v>
      </c>
      <c r="N82" s="195">
        <f>J82/HLOOKUP(F82,Team_Composition_23[[#All],[Yellow]:[Red]],6,FALSE)</f>
        <v>1.1843819963327564E-2</v>
      </c>
      <c r="O82" s="195">
        <f>K82/HLOOKUP(F82,Team_Composition_23[[#All],[Yellow]:[Red]],8,FALSE)</f>
        <v>2.1484853963580193E-2</v>
      </c>
      <c r="P82" s="195">
        <f>L82/HLOOKUP(F82,Team_Composition_23[[#All],[Yellow]:[Red]],7,FALSE)</f>
        <v>1.034348811246753E-3</v>
      </c>
    </row>
    <row r="83" spans="1:16" ht="22.5" customHeight="1">
      <c r="A83" s="216">
        <v>86</v>
      </c>
      <c r="B83" s="115" t="str">
        <f>VLOOKUP(C83,Lists!I:J,2,FALSE)</f>
        <v>Healer</v>
      </c>
      <c r="C83" s="115" t="s">
        <v>10</v>
      </c>
      <c r="D83" s="15" t="s">
        <v>36</v>
      </c>
      <c r="E83" s="217" t="s">
        <v>273</v>
      </c>
      <c r="F83" s="15" t="s">
        <v>483</v>
      </c>
      <c r="G83" s="216">
        <v>0</v>
      </c>
      <c r="H83" s="216">
        <v>8</v>
      </c>
      <c r="I83" s="194">
        <f t="shared" si="0"/>
        <v>8</v>
      </c>
      <c r="J83" s="218">
        <v>14993</v>
      </c>
      <c r="K83" s="218">
        <v>508513</v>
      </c>
      <c r="L83" s="218">
        <v>1261850</v>
      </c>
      <c r="M83" s="195">
        <f>I83/(HLOOKUP(F83,Team_Composition_23[[#All],[Yellow]:[Red]],10,FALSE)+HLOOKUP(F83,Team_Composition_23[[#All],[Yellow]:[Red]],11,FALSE))</f>
        <v>9.7442143727161992E-3</v>
      </c>
      <c r="N83" s="195">
        <f>J83/HLOOKUP(F83,Team_Composition_23[[#All],[Yellow]:[Red]],6,FALSE)</f>
        <v>8.4968296278832935E-4</v>
      </c>
      <c r="O83" s="195">
        <f>K83/HLOOKUP(F83,Team_Composition_23[[#All],[Yellow]:[Red]],8,FALSE)</f>
        <v>1.1552928850454124E-2</v>
      </c>
      <c r="P83" s="195">
        <f>L83/HLOOKUP(F83,Team_Composition_23[[#All],[Yellow]:[Red]],7,FALSE)</f>
        <v>5.1995579932743015E-2</v>
      </c>
    </row>
    <row r="84" spans="1:16" ht="22.5" customHeight="1">
      <c r="A84" s="216">
        <v>85</v>
      </c>
      <c r="B84" s="115" t="str">
        <f>VLOOKUP(C84,Lists!I:J,2,FALSE)</f>
        <v>Tank</v>
      </c>
      <c r="C84" s="115" t="str">
        <f>VLOOKUP(E84,Lists!D:E,2,FALSE)</f>
        <v>SnS/Greatsword</v>
      </c>
      <c r="D84" s="15" t="s">
        <v>7</v>
      </c>
      <c r="E84" s="217" t="s">
        <v>35</v>
      </c>
      <c r="F84" s="15" t="s">
        <v>476</v>
      </c>
      <c r="G84" s="216">
        <v>0</v>
      </c>
      <c r="H84" s="216">
        <v>8</v>
      </c>
      <c r="I84" s="194">
        <f t="shared" si="0"/>
        <v>8</v>
      </c>
      <c r="J84" s="218">
        <v>45607</v>
      </c>
      <c r="K84" s="218">
        <v>459755</v>
      </c>
      <c r="L84" s="218">
        <v>30107</v>
      </c>
      <c r="M84" s="195">
        <f>I84/(HLOOKUP(F84,Team_Composition_23[[#All],[Yellow]:[Red]],10,FALSE)+HLOOKUP(F84,Team_Composition_23[[#All],[Yellow]:[Red]],11,FALSE))</f>
        <v>1.999500124968758E-3</v>
      </c>
      <c r="N84" s="195">
        <f>J84/HLOOKUP(F84,Team_Composition_23[[#All],[Yellow]:[Red]],6,FALSE)</f>
        <v>1.0280276905447082E-3</v>
      </c>
      <c r="O84" s="195">
        <f>K84/HLOOKUP(F84,Team_Composition_23[[#All],[Yellow]:[Red]],8,FALSE)</f>
        <v>2.6243576672622376E-2</v>
      </c>
      <c r="P84" s="195">
        <f>L84/HLOOKUP(F84,Team_Composition_23[[#All],[Yellow]:[Red]],7,FALSE)</f>
        <v>2.3258034477851835E-3</v>
      </c>
    </row>
    <row r="85" spans="1:16" ht="22.5" customHeight="1">
      <c r="A85" s="216">
        <v>87</v>
      </c>
      <c r="B85" s="115" t="str">
        <f>VLOOKUP(C85,Lists!I:J,2,FALSE)</f>
        <v>Ranged DPS</v>
      </c>
      <c r="C85" s="115" t="s">
        <v>58</v>
      </c>
      <c r="D85" s="15" t="s">
        <v>36</v>
      </c>
      <c r="E85" s="217" t="s">
        <v>274</v>
      </c>
      <c r="F85" s="15" t="s">
        <v>483</v>
      </c>
      <c r="G85" s="216">
        <v>0</v>
      </c>
      <c r="H85" s="216">
        <v>7</v>
      </c>
      <c r="I85" s="194">
        <f t="shared" si="0"/>
        <v>7</v>
      </c>
      <c r="J85" s="218">
        <v>321329</v>
      </c>
      <c r="K85" s="218">
        <v>691498</v>
      </c>
      <c r="L85" s="218">
        <v>53</v>
      </c>
      <c r="M85" s="195">
        <f>I85/(HLOOKUP(F85,Team_Composition_23[[#All],[Yellow]:[Red]],10,FALSE)+HLOOKUP(F85,Team_Composition_23[[#All],[Yellow]:[Red]],11,FALSE))</f>
        <v>8.5261875761266752E-3</v>
      </c>
      <c r="N85" s="195">
        <f>J85/HLOOKUP(F85,Team_Composition_23[[#All],[Yellow]:[Red]],6,FALSE)</f>
        <v>1.8210349946629165E-2</v>
      </c>
      <c r="O85" s="195">
        <f>K85/HLOOKUP(F85,Team_Composition_23[[#All],[Yellow]:[Red]],8,FALSE)</f>
        <v>1.5710172983249841E-2</v>
      </c>
      <c r="P85" s="195">
        <f>L85/HLOOKUP(F85,Team_Composition_23[[#All],[Yellow]:[Red]],7,FALSE)</f>
        <v>2.1839091305903077E-6</v>
      </c>
    </row>
    <row r="86" spans="1:16" ht="22.5" customHeight="1">
      <c r="A86" s="216">
        <v>88</v>
      </c>
      <c r="B86" s="115" t="str">
        <f>VLOOKUP(C86,Lists!I:J,2,FALSE)</f>
        <v>Tank</v>
      </c>
      <c r="C86" s="115" t="str">
        <f>VLOOKUP(E86,Lists!D:E,2,FALSE)</f>
        <v>SnS/Greatsword</v>
      </c>
      <c r="D86" s="15" t="s">
        <v>7</v>
      </c>
      <c r="E86" s="217" t="s">
        <v>118</v>
      </c>
      <c r="F86" s="15" t="s">
        <v>476</v>
      </c>
      <c r="G86" s="216">
        <v>0</v>
      </c>
      <c r="H86" s="216">
        <v>7</v>
      </c>
      <c r="I86" s="194">
        <f t="shared" si="0"/>
        <v>7</v>
      </c>
      <c r="J86" s="218">
        <v>29281</v>
      </c>
      <c r="K86" s="218">
        <v>203973</v>
      </c>
      <c r="L86" s="218">
        <v>8376</v>
      </c>
      <c r="M86" s="195">
        <f>I86/(HLOOKUP(F86,Team_Composition_23[[#All],[Yellow]:[Red]],10,FALSE)+HLOOKUP(F86,Team_Composition_23[[#All],[Yellow]:[Red]],11,FALSE))</f>
        <v>1.7495626093476631E-3</v>
      </c>
      <c r="N86" s="195">
        <f>J86/HLOOKUP(F86,Team_Composition_23[[#All],[Yellow]:[Red]],6,FALSE)</f>
        <v>6.6002321588439492E-4</v>
      </c>
      <c r="O86" s="195">
        <f>K86/HLOOKUP(F86,Team_Composition_23[[#All],[Yellow]:[Red]],8,FALSE)</f>
        <v>1.1643116583060116E-2</v>
      </c>
      <c r="P86" s="195">
        <f>L86/HLOOKUP(F86,Team_Composition_23[[#All],[Yellow]:[Red]],7,FALSE)</f>
        <v>6.4705648781508273E-4</v>
      </c>
    </row>
    <row r="87" spans="1:16" ht="22.5" customHeight="1">
      <c r="A87" s="216">
        <v>60</v>
      </c>
      <c r="B87" s="115" t="str">
        <f>VLOOKUP(C87,Lists!I:J,2,FALSE)</f>
        <v>Tank</v>
      </c>
      <c r="C87" s="115" t="s">
        <v>62</v>
      </c>
      <c r="D87" s="15" t="s">
        <v>36</v>
      </c>
      <c r="E87" s="217" t="s">
        <v>263</v>
      </c>
      <c r="F87" s="15" t="s">
        <v>483</v>
      </c>
      <c r="G87" s="216">
        <v>1</v>
      </c>
      <c r="H87" s="216">
        <v>5</v>
      </c>
      <c r="I87" s="194">
        <f t="shared" si="0"/>
        <v>6</v>
      </c>
      <c r="J87" s="218">
        <v>140927</v>
      </c>
      <c r="K87" s="218">
        <v>746692</v>
      </c>
      <c r="L87" s="218">
        <v>21529</v>
      </c>
      <c r="M87" s="195">
        <f>I87/(HLOOKUP(F87,Team_Composition_23[[#All],[Yellow]:[Red]],10,FALSE)+HLOOKUP(F87,Team_Composition_23[[#All],[Yellow]:[Red]],11,FALSE))</f>
        <v>7.3081607795371494E-3</v>
      </c>
      <c r="N87" s="195">
        <f>J87/HLOOKUP(F87,Team_Composition_23[[#All],[Yellow]:[Red]],6,FALSE)</f>
        <v>7.9866118119703115E-3</v>
      </c>
      <c r="O87" s="195">
        <f>K87/HLOOKUP(F87,Team_Composition_23[[#All],[Yellow]:[Red]],8,FALSE)</f>
        <v>1.6964127857504705E-2</v>
      </c>
      <c r="P87" s="195">
        <f>L87/HLOOKUP(F87,Team_Composition_23[[#All],[Yellow]:[Red]],7,FALSE)</f>
        <v>8.8712037117884409E-4</v>
      </c>
    </row>
    <row r="88" spans="1:16" ht="22.5" customHeight="1">
      <c r="A88" s="216">
        <v>89</v>
      </c>
      <c r="B88" s="115" t="str">
        <f>VLOOKUP(C88,Lists!I:J,2,FALSE)</f>
        <v>Tank</v>
      </c>
      <c r="C88" s="115" t="s">
        <v>62</v>
      </c>
      <c r="D88" s="15" t="s">
        <v>36</v>
      </c>
      <c r="E88" s="217" t="s">
        <v>275</v>
      </c>
      <c r="F88" s="15" t="s">
        <v>483</v>
      </c>
      <c r="G88" s="216">
        <v>0</v>
      </c>
      <c r="H88" s="216">
        <v>6</v>
      </c>
      <c r="I88" s="194">
        <f t="shared" si="0"/>
        <v>6</v>
      </c>
      <c r="J88" s="218">
        <v>172666</v>
      </c>
      <c r="K88" s="218">
        <v>1007074</v>
      </c>
      <c r="L88" s="218">
        <v>47265</v>
      </c>
      <c r="M88" s="195">
        <f>I88/(HLOOKUP(F88,Team_Composition_23[[#All],[Yellow]:[Red]],10,FALSE)+HLOOKUP(F88,Team_Composition_23[[#All],[Yellow]:[Red]],11,FALSE))</f>
        <v>7.3081607795371494E-3</v>
      </c>
      <c r="N88" s="195">
        <f>J88/HLOOKUP(F88,Team_Composition_23[[#All],[Yellow]:[Red]],6,FALSE)</f>
        <v>9.785323714587452E-3</v>
      </c>
      <c r="O88" s="195">
        <f>K88/HLOOKUP(F88,Team_Composition_23[[#All],[Yellow]:[Red]],8,FALSE)</f>
        <v>2.2879757782283319E-2</v>
      </c>
      <c r="P88" s="195">
        <f>L88/HLOOKUP(F88,Team_Composition_23[[#All],[Yellow]:[Red]],7,FALSE)</f>
        <v>1.9475936803273754E-3</v>
      </c>
    </row>
    <row r="89" spans="1:16" ht="22.5" customHeight="1">
      <c r="A89" s="216">
        <v>92</v>
      </c>
      <c r="B89" s="115" t="str">
        <f>VLOOKUP(C89,Lists!I:J,2,FALSE)</f>
        <v>Healer</v>
      </c>
      <c r="C89" s="115" t="s">
        <v>9</v>
      </c>
      <c r="D89" s="15" t="s">
        <v>36</v>
      </c>
      <c r="E89" s="217" t="s">
        <v>620</v>
      </c>
      <c r="F89" s="15" t="s">
        <v>483</v>
      </c>
      <c r="G89" s="216">
        <v>0</v>
      </c>
      <c r="H89" s="216">
        <v>6</v>
      </c>
      <c r="I89" s="194">
        <f t="shared" si="0"/>
        <v>6</v>
      </c>
      <c r="J89" s="218">
        <v>1160</v>
      </c>
      <c r="K89" s="218">
        <v>783692</v>
      </c>
      <c r="L89" s="218">
        <v>1268256</v>
      </c>
      <c r="M89" s="195">
        <f>I89/(HLOOKUP(F89,Team_Composition_23[[#All],[Yellow]:[Red]],10,FALSE)+HLOOKUP(F89,Team_Composition_23[[#All],[Yellow]:[Red]],11,FALSE))</f>
        <v>7.3081607795371494E-3</v>
      </c>
      <c r="N89" s="195">
        <f>J89/HLOOKUP(F89,Team_Composition_23[[#All],[Yellow]:[Red]],6,FALSE)</f>
        <v>6.5739494219599953E-5</v>
      </c>
      <c r="O89" s="195">
        <f>K89/HLOOKUP(F89,Team_Composition_23[[#All],[Yellow]:[Red]],8,FALSE)</f>
        <v>1.7804732458501737E-2</v>
      </c>
      <c r="P89" s="195">
        <f>L89/HLOOKUP(F89,Team_Composition_23[[#All],[Yellow]:[Red]],7,FALSE)</f>
        <v>5.2259544496715875E-2</v>
      </c>
    </row>
    <row r="90" spans="1:16" ht="22.5" customHeight="1">
      <c r="A90" s="216">
        <v>90</v>
      </c>
      <c r="B90" s="115" t="str">
        <f>VLOOKUP(C90,Lists!I:J,2,FALSE)</f>
        <v>Healer</v>
      </c>
      <c r="C90" s="115" t="str">
        <f>VLOOKUP(E90,Lists!D:E,2,FALSE)</f>
        <v>Wand/Longbow</v>
      </c>
      <c r="D90" s="15" t="s">
        <v>7</v>
      </c>
      <c r="E90" s="217" t="s">
        <v>49</v>
      </c>
      <c r="F90" s="15" t="s">
        <v>476</v>
      </c>
      <c r="G90" s="216">
        <v>0</v>
      </c>
      <c r="H90" s="216">
        <v>6</v>
      </c>
      <c r="I90" s="194">
        <f t="shared" si="0"/>
        <v>6</v>
      </c>
      <c r="J90" s="218">
        <v>43793</v>
      </c>
      <c r="K90" s="218">
        <v>284228</v>
      </c>
      <c r="L90" s="218">
        <v>781386</v>
      </c>
      <c r="M90" s="195">
        <f>I90/(HLOOKUP(F90,Team_Composition_23[[#All],[Yellow]:[Red]],10,FALSE)+HLOOKUP(F90,Team_Composition_23[[#All],[Yellow]:[Red]],11,FALSE))</f>
        <v>1.4996250937265683E-3</v>
      </c>
      <c r="N90" s="195">
        <f>J90/HLOOKUP(F90,Team_Composition_23[[#All],[Yellow]:[Red]],6,FALSE)</f>
        <v>9.871383044713401E-4</v>
      </c>
      <c r="O90" s="195">
        <f>K90/HLOOKUP(F90,Team_Composition_23[[#All],[Yellow]:[Red]],8,FALSE)</f>
        <v>1.6224204871085932E-2</v>
      </c>
      <c r="P90" s="195">
        <f>L90/HLOOKUP(F90,Team_Composition_23[[#All],[Yellow]:[Red]],7,FALSE)</f>
        <v>6.0363046894445591E-2</v>
      </c>
    </row>
    <row r="91" spans="1:16" ht="22.5" customHeight="1">
      <c r="A91" s="216">
        <v>91</v>
      </c>
      <c r="B91" s="115" t="str">
        <f>VLOOKUP(C91,Lists!I:J,2,FALSE)</f>
        <v>Healer</v>
      </c>
      <c r="C91" s="115" t="s">
        <v>10</v>
      </c>
      <c r="D91" s="15" t="s">
        <v>621</v>
      </c>
      <c r="E91" s="217" t="s">
        <v>622</v>
      </c>
      <c r="F91" s="15" t="s">
        <v>483</v>
      </c>
      <c r="G91" s="216">
        <v>0</v>
      </c>
      <c r="H91" s="216">
        <v>6</v>
      </c>
      <c r="I91" s="194">
        <f t="shared" si="0"/>
        <v>6</v>
      </c>
      <c r="J91" s="218">
        <v>10407</v>
      </c>
      <c r="K91" s="218">
        <v>896810</v>
      </c>
      <c r="L91" s="218">
        <v>1344550</v>
      </c>
      <c r="M91" s="195">
        <f>I91/(HLOOKUP(F91,Team_Composition_23[[#All],[Yellow]:[Red]],10,FALSE)+HLOOKUP(F91,Team_Composition_23[[#All],[Yellow]:[Red]],11,FALSE))</f>
        <v>7.3081607795371494E-3</v>
      </c>
      <c r="N91" s="195">
        <f>J91/HLOOKUP(F91,Team_Composition_23[[#All],[Yellow]:[Red]],6,FALSE)</f>
        <v>5.8978527270980743E-4</v>
      </c>
      <c r="O91" s="195">
        <f>K91/HLOOKUP(F91,Team_Composition_23[[#All],[Yellow]:[Red]],8,FALSE)</f>
        <v>2.0374665195139089E-2</v>
      </c>
      <c r="P91" s="195">
        <f>L91/HLOOKUP(F91,Team_Composition_23[[#All],[Yellow]:[Red]],7,FALSE)</f>
        <v>5.5403302293116949E-2</v>
      </c>
    </row>
    <row r="92" spans="1:16" ht="22.5" customHeight="1">
      <c r="A92" s="216">
        <v>50</v>
      </c>
      <c r="B92" s="115" t="str">
        <f>VLOOKUP(C92,Lists!I:J,2,FALSE)</f>
        <v>Tank</v>
      </c>
      <c r="C92" s="115" t="s">
        <v>14</v>
      </c>
      <c r="D92" s="15" t="s">
        <v>36</v>
      </c>
      <c r="E92" s="217" t="s">
        <v>257</v>
      </c>
      <c r="F92" s="15" t="s">
        <v>483</v>
      </c>
      <c r="G92" s="216">
        <v>2</v>
      </c>
      <c r="H92" s="216">
        <v>3</v>
      </c>
      <c r="I92" s="194">
        <f t="shared" si="0"/>
        <v>5</v>
      </c>
      <c r="J92" s="218">
        <v>124361</v>
      </c>
      <c r="K92" s="218">
        <v>790404</v>
      </c>
      <c r="L92" s="218">
        <v>106354</v>
      </c>
      <c r="M92" s="195">
        <f>I92/(HLOOKUP(F92,Team_Composition_23[[#All],[Yellow]:[Red]],10,FALSE)+HLOOKUP(F92,Team_Composition_23[[#All],[Yellow]:[Red]],11,FALSE))</f>
        <v>6.0901339829476245E-3</v>
      </c>
      <c r="N92" s="195">
        <f>J92/HLOOKUP(F92,Team_Composition_23[[#All],[Yellow]:[Red]],6,FALSE)</f>
        <v>7.0477838281410941E-3</v>
      </c>
      <c r="O92" s="195">
        <f>K92/HLOOKUP(F92,Team_Composition_23[[#All],[Yellow]:[Red]],8,FALSE)</f>
        <v>1.7957222676931252E-2</v>
      </c>
      <c r="P92" s="195">
        <f>L92/HLOOKUP(F92,Team_Composition_23[[#All],[Yellow]:[Red]],7,FALSE)</f>
        <v>4.3824051259396526E-3</v>
      </c>
    </row>
    <row r="93" spans="1:16" ht="22.5" customHeight="1">
      <c r="A93" s="216">
        <v>93</v>
      </c>
      <c r="B93" s="115" t="str">
        <f>VLOOKUP(C93,Lists!I:J,2,FALSE)</f>
        <v>Tank</v>
      </c>
      <c r="C93" s="115" t="s">
        <v>14</v>
      </c>
      <c r="D93" s="15" t="s">
        <v>36</v>
      </c>
      <c r="E93" s="217" t="s">
        <v>277</v>
      </c>
      <c r="F93" s="15" t="s">
        <v>483</v>
      </c>
      <c r="G93" s="216">
        <v>0</v>
      </c>
      <c r="H93" s="216">
        <v>5</v>
      </c>
      <c r="I93" s="194">
        <f t="shared" si="0"/>
        <v>5</v>
      </c>
      <c r="J93" s="218">
        <v>139192</v>
      </c>
      <c r="K93" s="218">
        <v>1388536</v>
      </c>
      <c r="L93" s="218">
        <v>107412</v>
      </c>
      <c r="M93" s="195">
        <f>I93/(HLOOKUP(F93,Team_Composition_23[[#All],[Yellow]:[Red]],10,FALSE)+HLOOKUP(F93,Team_Composition_23[[#All],[Yellow]:[Red]],11,FALSE))</f>
        <v>6.0901339829476245E-3</v>
      </c>
      <c r="N93" s="195">
        <f>J93/HLOOKUP(F93,Team_Composition_23[[#All],[Yellow]:[Red]],6,FALSE)</f>
        <v>7.8882859305297887E-3</v>
      </c>
      <c r="O93" s="195">
        <f>K93/HLOOKUP(F93,Team_Composition_23[[#All],[Yellow]:[Red]],8,FALSE)</f>
        <v>3.1546209466216529E-2</v>
      </c>
      <c r="P93" s="195">
        <f>L93/HLOOKUP(F93,Team_Composition_23[[#All],[Yellow]:[Red]],7,FALSE)</f>
        <v>4.4260008968861533E-3</v>
      </c>
    </row>
    <row r="94" spans="1:16" ht="22.5" customHeight="1">
      <c r="A94" s="216">
        <v>94</v>
      </c>
      <c r="B94" s="115" t="str">
        <f>VLOOKUP(C94,Lists!I:J,2,FALSE)</f>
        <v>Tank</v>
      </c>
      <c r="C94" s="115" t="s">
        <v>14</v>
      </c>
      <c r="D94" s="15" t="s">
        <v>36</v>
      </c>
      <c r="E94" s="217" t="s">
        <v>278</v>
      </c>
      <c r="F94" s="15" t="s">
        <v>483</v>
      </c>
      <c r="G94" s="216">
        <v>0</v>
      </c>
      <c r="H94" s="216">
        <v>5</v>
      </c>
      <c r="I94" s="194">
        <f t="shared" si="0"/>
        <v>5</v>
      </c>
      <c r="J94" s="218">
        <v>24074</v>
      </c>
      <c r="K94" s="218">
        <v>919782</v>
      </c>
      <c r="L94" s="218">
        <v>23437</v>
      </c>
      <c r="M94" s="195">
        <f>I94/(HLOOKUP(F94,Team_Composition_23[[#All],[Yellow]:[Red]],10,FALSE)+HLOOKUP(F94,Team_Composition_23[[#All],[Yellow]:[Red]],11,FALSE))</f>
        <v>6.0901339829476245E-3</v>
      </c>
      <c r="N94" s="195">
        <f>J94/HLOOKUP(F94,Team_Composition_23[[#All],[Yellow]:[Red]],6,FALSE)</f>
        <v>1.364321192967801E-3</v>
      </c>
      <c r="O94" s="195">
        <f>K94/HLOOKUP(F94,Team_Composition_23[[#All],[Yellow]:[Red]],8,FALSE)</f>
        <v>2.0896567057141893E-2</v>
      </c>
      <c r="P94" s="195">
        <f>L94/HLOOKUP(F94,Team_Composition_23[[#All],[Yellow]:[Red]],7,FALSE)</f>
        <v>9.6574109988009518E-4</v>
      </c>
    </row>
    <row r="95" spans="1:16" ht="22.5" customHeight="1">
      <c r="A95" s="216">
        <v>95</v>
      </c>
      <c r="B95" s="115" t="str">
        <f>VLOOKUP(C95,Lists!I:J,2,FALSE)</f>
        <v>Healer</v>
      </c>
      <c r="C95" s="115" t="s">
        <v>10</v>
      </c>
      <c r="D95" s="15" t="s">
        <v>36</v>
      </c>
      <c r="E95" s="217" t="s">
        <v>279</v>
      </c>
      <c r="F95" s="15" t="s">
        <v>483</v>
      </c>
      <c r="G95" s="216">
        <v>0</v>
      </c>
      <c r="H95" s="216">
        <v>5</v>
      </c>
      <c r="I95" s="194">
        <f t="shared" si="0"/>
        <v>5</v>
      </c>
      <c r="J95" s="218">
        <v>4492</v>
      </c>
      <c r="K95" s="218">
        <v>815939</v>
      </c>
      <c r="L95" s="218">
        <v>1082911</v>
      </c>
      <c r="M95" s="195">
        <f>I95/(HLOOKUP(F95,Team_Composition_23[[#All],[Yellow]:[Red]],10,FALSE)+HLOOKUP(F95,Team_Composition_23[[#All],[Yellow]:[Red]],11,FALSE))</f>
        <v>6.0901339829476245E-3</v>
      </c>
      <c r="N95" s="195">
        <f>J95/HLOOKUP(F95,Team_Composition_23[[#All],[Yellow]:[Red]],6,FALSE)</f>
        <v>2.5457052416762323E-4</v>
      </c>
      <c r="O95" s="195">
        <f>K95/HLOOKUP(F95,Team_Composition_23[[#All],[Yellow]:[Red]],8,FALSE)</f>
        <v>1.8537353446835554E-2</v>
      </c>
      <c r="P95" s="195">
        <f>L95/HLOOKUP(F95,Team_Composition_23[[#All],[Yellow]:[Red]],7,FALSE)</f>
        <v>4.462224944371096E-2</v>
      </c>
    </row>
    <row r="96" spans="1:16" ht="22.5" customHeight="1">
      <c r="A96" s="216">
        <v>96</v>
      </c>
      <c r="B96" s="115" t="str">
        <f>VLOOKUP(C96,Lists!I:J,2,FALSE)</f>
        <v>Healer</v>
      </c>
      <c r="C96" s="115" t="s">
        <v>9</v>
      </c>
      <c r="D96" s="15" t="s">
        <v>36</v>
      </c>
      <c r="E96" s="217" t="s">
        <v>280</v>
      </c>
      <c r="F96" s="15" t="s">
        <v>483</v>
      </c>
      <c r="G96" s="216">
        <v>0</v>
      </c>
      <c r="H96" s="216">
        <v>5</v>
      </c>
      <c r="I96" s="194">
        <f t="shared" si="0"/>
        <v>5</v>
      </c>
      <c r="J96" s="218">
        <v>828</v>
      </c>
      <c r="K96" s="218">
        <v>572271</v>
      </c>
      <c r="L96" s="218">
        <v>453302</v>
      </c>
      <c r="M96" s="195">
        <f>I96/(HLOOKUP(F96,Team_Composition_23[[#All],[Yellow]:[Red]],10,FALSE)+HLOOKUP(F96,Team_Composition_23[[#All],[Yellow]:[Red]],11,FALSE))</f>
        <v>6.0901339829476245E-3</v>
      </c>
      <c r="N96" s="195">
        <f>J96/HLOOKUP(F96,Team_Composition_23[[#All],[Yellow]:[Red]],6,FALSE)</f>
        <v>4.6924397598128236E-5</v>
      </c>
      <c r="O96" s="195">
        <f>K96/HLOOKUP(F96,Team_Composition_23[[#All],[Yellow]:[Red]],8,FALSE)</f>
        <v>1.3001449611274897E-2</v>
      </c>
      <c r="P96" s="195">
        <f>L96/HLOOKUP(F96,Team_Composition_23[[#All],[Yellow]:[Red]],7,FALSE)</f>
        <v>1.8678686353110333E-2</v>
      </c>
    </row>
    <row r="97" spans="1:16" ht="22.5" customHeight="1">
      <c r="A97" s="216">
        <v>97</v>
      </c>
      <c r="B97" s="115" t="str">
        <f>VLOOKUP(C97,Lists!I:J,2,FALSE)</f>
        <v>Tank</v>
      </c>
      <c r="C97" s="115" t="s">
        <v>14</v>
      </c>
      <c r="D97" s="15" t="s">
        <v>36</v>
      </c>
      <c r="E97" s="217" t="s">
        <v>281</v>
      </c>
      <c r="F97" s="15" t="s">
        <v>483</v>
      </c>
      <c r="G97" s="216">
        <v>0</v>
      </c>
      <c r="H97" s="216">
        <v>4</v>
      </c>
      <c r="I97" s="194">
        <f t="shared" si="0"/>
        <v>4</v>
      </c>
      <c r="J97" s="218">
        <v>126127</v>
      </c>
      <c r="K97" s="218">
        <v>1084595</v>
      </c>
      <c r="L97" s="218">
        <v>46001</v>
      </c>
      <c r="M97" s="195">
        <f>I97/(HLOOKUP(F97,Team_Composition_23[[#All],[Yellow]:[Red]],10,FALSE)+HLOOKUP(F97,Team_Composition_23[[#All],[Yellow]:[Red]],11,FALSE))</f>
        <v>4.8721071863580996E-3</v>
      </c>
      <c r="N97" s="195">
        <f>J97/HLOOKUP(F97,Team_Composition_23[[#All],[Yellow]:[Red]],6,FALSE)</f>
        <v>7.1478665408926572E-3</v>
      </c>
      <c r="O97" s="195">
        <f>K97/HLOOKUP(F97,Team_Composition_23[[#All],[Yellow]:[Red]],8,FALSE)</f>
        <v>2.4640960735631715E-2</v>
      </c>
      <c r="P97" s="195">
        <f>L97/HLOOKUP(F97,Team_Composition_23[[#All],[Yellow]:[Red]],7,FALSE)</f>
        <v>1.8955095078544292E-3</v>
      </c>
    </row>
    <row r="98" spans="1:16" ht="22.5" customHeight="1">
      <c r="A98" s="216">
        <v>98</v>
      </c>
      <c r="B98" s="115" t="str">
        <f>VLOOKUP(C98,Lists!I:J,2,FALSE)</f>
        <v>Tank</v>
      </c>
      <c r="C98" s="115" t="s">
        <v>14</v>
      </c>
      <c r="D98" s="15" t="s">
        <v>36</v>
      </c>
      <c r="E98" s="217" t="s">
        <v>282</v>
      </c>
      <c r="F98" s="15" t="s">
        <v>483</v>
      </c>
      <c r="G98" s="216">
        <v>0</v>
      </c>
      <c r="H98" s="216">
        <v>4</v>
      </c>
      <c r="I98" s="194">
        <f t="shared" si="0"/>
        <v>4</v>
      </c>
      <c r="J98" s="218">
        <v>23736</v>
      </c>
      <c r="K98" s="218">
        <v>896278</v>
      </c>
      <c r="L98" s="218">
        <v>31825</v>
      </c>
      <c r="M98" s="195">
        <f>I98/(HLOOKUP(F98,Team_Composition_23[[#All],[Yellow]:[Red]],10,FALSE)+HLOOKUP(F98,Team_Composition_23[[#All],[Yellow]:[Red]],11,FALSE))</f>
        <v>4.8721071863580996E-3</v>
      </c>
      <c r="N98" s="195">
        <f>J98/HLOOKUP(F98,Team_Composition_23[[#All],[Yellow]:[Red]],6,FALSE)</f>
        <v>1.3451660644796762E-3</v>
      </c>
      <c r="O98" s="195">
        <f>K98/HLOOKUP(F98,Team_Composition_23[[#All],[Yellow]:[Red]],8,FALSE)</f>
        <v>2.0362578664119346E-2</v>
      </c>
      <c r="P98" s="195">
        <f>L98/HLOOKUP(F98,Team_Composition_23[[#All],[Yellow]:[Red]],7,FALSE)</f>
        <v>1.3113756241705009E-3</v>
      </c>
    </row>
    <row r="99" spans="1:16" ht="22.5" customHeight="1">
      <c r="A99" s="216">
        <v>61</v>
      </c>
      <c r="B99" s="115" t="str">
        <f>VLOOKUP(C99,Lists!I:J,2,FALSE)</f>
        <v>Tank</v>
      </c>
      <c r="C99" s="115" t="s">
        <v>14</v>
      </c>
      <c r="D99" s="15" t="s">
        <v>36</v>
      </c>
      <c r="E99" s="217" t="s">
        <v>264</v>
      </c>
      <c r="F99" s="15" t="s">
        <v>483</v>
      </c>
      <c r="G99" s="216">
        <v>1</v>
      </c>
      <c r="H99" s="216">
        <v>2</v>
      </c>
      <c r="I99" s="194">
        <f t="shared" si="0"/>
        <v>3</v>
      </c>
      <c r="J99" s="218">
        <v>75701</v>
      </c>
      <c r="K99" s="218">
        <v>800964</v>
      </c>
      <c r="L99" s="218">
        <v>14158</v>
      </c>
      <c r="M99" s="195">
        <f>I99/(HLOOKUP(F99,Team_Composition_23[[#All],[Yellow]:[Red]],10,FALSE)+HLOOKUP(F99,Team_Composition_23[[#All],[Yellow]:[Red]],11,FALSE))</f>
        <v>3.6540803897685747E-3</v>
      </c>
      <c r="N99" s="195">
        <f>J99/HLOOKUP(F99,Team_Composition_23[[#All],[Yellow]:[Red]],6,FALSE)</f>
        <v>4.2901253895844269E-3</v>
      </c>
      <c r="O99" s="195">
        <f>K99/HLOOKUP(F99,Team_Composition_23[[#All],[Yellow]:[Red]],8,FALSE)</f>
        <v>1.8197135773864458E-2</v>
      </c>
      <c r="P99" s="195">
        <f>L99/HLOOKUP(F99,Team_Composition_23[[#All],[Yellow]:[Red]],7,FALSE)</f>
        <v>5.8339217869618075E-4</v>
      </c>
    </row>
    <row r="100" spans="1:16" ht="22.5" customHeight="1">
      <c r="A100" s="216">
        <v>99</v>
      </c>
      <c r="B100" s="115" t="str">
        <f>VLOOKUP(C100,Lists!I:J,2,FALSE)</f>
        <v>Healer</v>
      </c>
      <c r="C100" s="115" t="s">
        <v>10</v>
      </c>
      <c r="D100" s="15" t="s">
        <v>36</v>
      </c>
      <c r="E100" s="217" t="s">
        <v>283</v>
      </c>
      <c r="F100" s="15" t="s">
        <v>483</v>
      </c>
      <c r="G100" s="216">
        <v>0</v>
      </c>
      <c r="H100" s="216">
        <v>3</v>
      </c>
      <c r="I100" s="194">
        <f t="shared" si="0"/>
        <v>3</v>
      </c>
      <c r="J100" s="218">
        <v>17930</v>
      </c>
      <c r="K100" s="218">
        <v>770783</v>
      </c>
      <c r="L100" s="218">
        <v>1067257</v>
      </c>
      <c r="M100" s="195">
        <f>I100/(HLOOKUP(F100,Team_Composition_23[[#All],[Yellow]:[Red]],10,FALSE)+HLOOKUP(F100,Team_Composition_23[[#All],[Yellow]:[Red]],11,FALSE))</f>
        <v>3.6540803897685747E-3</v>
      </c>
      <c r="N100" s="195">
        <f>J100/HLOOKUP(F100,Team_Composition_23[[#All],[Yellow]:[Red]],6,FALSE)</f>
        <v>1.0161285615150233E-3</v>
      </c>
      <c r="O100" s="195">
        <f>K100/HLOOKUP(F100,Team_Composition_23[[#All],[Yellow]:[Red]],8,FALSE)</f>
        <v>1.7511452328926855E-2</v>
      </c>
      <c r="P100" s="195">
        <f>L100/HLOOKUP(F100,Team_Composition_23[[#All],[Yellow]:[Red]],7,FALSE)</f>
        <v>4.3977213339366418E-2</v>
      </c>
    </row>
    <row r="101" spans="1:16" ht="22.5" customHeight="1">
      <c r="A101" s="216">
        <v>100</v>
      </c>
      <c r="B101" s="115" t="str">
        <f>VLOOKUP(C101,Lists!I:J,2,FALSE)</f>
        <v>Tank</v>
      </c>
      <c r="C101" s="115" t="s">
        <v>75</v>
      </c>
      <c r="D101" s="15" t="s">
        <v>36</v>
      </c>
      <c r="E101" s="217" t="s">
        <v>623</v>
      </c>
      <c r="F101" s="15" t="s">
        <v>483</v>
      </c>
      <c r="G101" s="216">
        <v>0</v>
      </c>
      <c r="H101" s="216">
        <v>3</v>
      </c>
      <c r="I101" s="194">
        <f t="shared" si="0"/>
        <v>3</v>
      </c>
      <c r="J101" s="218">
        <v>13172</v>
      </c>
      <c r="K101" s="218">
        <v>719475</v>
      </c>
      <c r="L101" s="218">
        <v>112266</v>
      </c>
      <c r="M101" s="195">
        <f>I101/(HLOOKUP(F101,Team_Composition_23[[#All],[Yellow]:[Red]],10,FALSE)+HLOOKUP(F101,Team_Composition_23[[#All],[Yellow]:[Red]],11,FALSE))</f>
        <v>3.6540803897685747E-3</v>
      </c>
      <c r="N101" s="195">
        <f>J101/HLOOKUP(F101,Team_Composition_23[[#All],[Yellow]:[Red]],6,FALSE)</f>
        <v>7.4648329125911247E-4</v>
      </c>
      <c r="O101" s="195">
        <f>K101/HLOOKUP(F101,Team_Composition_23[[#All],[Yellow]:[Red]],8,FALSE)</f>
        <v>1.6345783656819945E-2</v>
      </c>
      <c r="P101" s="195">
        <f>L101/HLOOKUP(F101,Team_Composition_23[[#All],[Yellow]:[Red]],7,FALSE)</f>
        <v>4.6260140085821033E-3</v>
      </c>
    </row>
    <row r="102" spans="1:16" ht="22.5" customHeight="1">
      <c r="A102" s="216">
        <v>101</v>
      </c>
      <c r="B102" s="115" t="str">
        <f>VLOOKUP(C102,Lists!I:J,2,FALSE)</f>
        <v>Healer</v>
      </c>
      <c r="C102" s="115" t="s">
        <v>9</v>
      </c>
      <c r="D102" s="15" t="s">
        <v>36</v>
      </c>
      <c r="E102" s="217" t="s">
        <v>285</v>
      </c>
      <c r="F102" s="15" t="s">
        <v>483</v>
      </c>
      <c r="G102" s="216">
        <v>0</v>
      </c>
      <c r="H102" s="216">
        <v>3</v>
      </c>
      <c r="I102" s="194">
        <f t="shared" si="0"/>
        <v>3</v>
      </c>
      <c r="J102" s="218">
        <v>280</v>
      </c>
      <c r="K102" s="218">
        <v>734222</v>
      </c>
      <c r="L102" s="218">
        <v>1014127</v>
      </c>
      <c r="M102" s="195">
        <f>I102/(HLOOKUP(F102,Team_Composition_23[[#All],[Yellow]:[Red]],10,FALSE)+HLOOKUP(F102,Team_Composition_23[[#All],[Yellow]:[Red]],11,FALSE))</f>
        <v>3.6540803897685747E-3</v>
      </c>
      <c r="N102" s="195">
        <f>J102/HLOOKUP(F102,Team_Composition_23[[#All],[Yellow]:[Red]],6,FALSE)</f>
        <v>1.5868153777144814E-5</v>
      </c>
      <c r="O102" s="195">
        <f>K102/HLOOKUP(F102,Team_Composition_23[[#All],[Yellow]:[Red]],8,FALSE)</f>
        <v>1.6680821387925437E-2</v>
      </c>
      <c r="P102" s="195">
        <f>L102/HLOOKUP(F102,Team_Composition_23[[#All],[Yellow]:[Red]],7,FALSE)</f>
        <v>4.1787947450531264E-2</v>
      </c>
    </row>
    <row r="103" spans="1:16" ht="22.5" customHeight="1">
      <c r="A103" s="216">
        <v>102</v>
      </c>
      <c r="B103" s="115" t="str">
        <f>VLOOKUP(C103,Lists!I:J,2,FALSE)</f>
        <v>Healer</v>
      </c>
      <c r="C103" s="115" t="s">
        <v>10</v>
      </c>
      <c r="D103" s="15" t="s">
        <v>36</v>
      </c>
      <c r="E103" s="217" t="s">
        <v>286</v>
      </c>
      <c r="F103" s="15" t="s">
        <v>483</v>
      </c>
      <c r="G103" s="216">
        <v>0</v>
      </c>
      <c r="H103" s="216">
        <v>2</v>
      </c>
      <c r="I103" s="194">
        <f t="shared" si="0"/>
        <v>2</v>
      </c>
      <c r="J103" s="218">
        <v>15981</v>
      </c>
      <c r="K103" s="218">
        <v>1182230</v>
      </c>
      <c r="L103" s="218">
        <v>1243961</v>
      </c>
      <c r="M103" s="195">
        <f>I103/(HLOOKUP(F103,Team_Composition_23[[#All],[Yellow]:[Red]],10,FALSE)+HLOOKUP(F103,Team_Composition_23[[#All],[Yellow]:[Red]],11,FALSE))</f>
        <v>2.4360535931790498E-3</v>
      </c>
      <c r="N103" s="195">
        <f>J103/HLOOKUP(F103,Team_Composition_23[[#All],[Yellow]:[Red]],6,FALSE)</f>
        <v>9.0567487683054033E-4</v>
      </c>
      <c r="O103" s="195">
        <f>K103/HLOOKUP(F103,Team_Composition_23[[#All],[Yellow]:[Red]],8,FALSE)</f>
        <v>2.6859134525316717E-2</v>
      </c>
      <c r="P103" s="195">
        <f>L103/HLOOKUP(F103,Team_Composition_23[[#All],[Yellow]:[Red]],7,FALSE)</f>
        <v>5.1258448792419808E-2</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600-000000000000}">
      <formula1>#REF!</formula1>
    </dataValidation>
    <dataValidation type="list" allowBlank="1" sqref="F2:F103" xr:uid="{00000000-0002-0000-1600-000002000000}">
      <formula1>"Yellow,Red"</formula1>
    </dataValidation>
    <dataValidation type="custom" allowBlank="1" showDropDown="1" sqref="S4:T14 S17:T25 S30:T46 S51:T60 S65:T72 A2:A103 G2:L103" xr:uid="{00000000-0002-0000-1600-000003000000}">
      <formula1>AND(ISNUMBER(A2),(NOT(OR(NOT(ISERROR(DATEVALUE(A2))), AND(ISNUMBER(A2), LEFT(CELL("format", A2))="D")))))</formula1>
    </dataValidation>
    <dataValidation allowBlank="1" showDropDown="1" sqref="E2:E103" xr:uid="{00000000-0002-0000-16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97"/>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82">
        <v>3</v>
      </c>
      <c r="B2" s="115" t="str">
        <f>VLOOKUP(C2,Lists!I:J,2,FALSE)</f>
        <v>Ranged DPS</v>
      </c>
      <c r="C2" s="115" t="str">
        <f>VLOOKUP(E2,Lists!D:E,2,FALSE)</f>
        <v>Staff/Dagger</v>
      </c>
      <c r="D2" s="13" t="s">
        <v>7</v>
      </c>
      <c r="E2" s="83" t="s">
        <v>624</v>
      </c>
      <c r="F2" s="13" t="s">
        <v>476</v>
      </c>
      <c r="G2" s="82">
        <v>61</v>
      </c>
      <c r="H2" s="82">
        <v>167</v>
      </c>
      <c r="I2" s="194">
        <f t="shared" ref="I2:I97" si="0">SUM(G2:H2)</f>
        <v>228</v>
      </c>
      <c r="J2" s="85">
        <v>5576244</v>
      </c>
      <c r="K2" s="85">
        <v>313352</v>
      </c>
      <c r="L2" s="85">
        <v>0</v>
      </c>
      <c r="M2" s="195">
        <f>I2/(HLOOKUP(F2,Team_Composition_22[[#All],[Yellow]:[Red]],10,FALSE)+HLOOKUP(F2,Team_Composition_22[[#All],[Yellow]:[Red]],11,FALSE))</f>
        <v>5.8059587471352175E-2</v>
      </c>
      <c r="N2" s="195">
        <f>J2/HLOOKUP(F2,Team_Composition_22[[#All],[Yellow]:[Red]],6,FALSE)</f>
        <v>0.11523782664107986</v>
      </c>
      <c r="O2" s="195">
        <f>K2/HLOOKUP(F2,Team_Composition_22[[#All],[Yellow]:[Red]],8,FALSE)</f>
        <v>1.3251305870115533E-2</v>
      </c>
      <c r="P2" s="195">
        <f>L2/HLOOKUP(F2,Team_Composition_22[[#All],[Yellow]:[Red]],7,FALSE)</f>
        <v>0</v>
      </c>
      <c r="R2" s="232" t="s">
        <v>477</v>
      </c>
      <c r="S2" s="228"/>
      <c r="T2" s="228"/>
      <c r="V2" s="233" t="s">
        <v>478</v>
      </c>
      <c r="W2" s="228"/>
      <c r="X2" s="196"/>
      <c r="Y2" s="233" t="s">
        <v>479</v>
      </c>
      <c r="Z2" s="228"/>
    </row>
    <row r="3" spans="1:26" ht="22.5" customHeight="1">
      <c r="A3" s="82">
        <v>7</v>
      </c>
      <c r="B3" s="115" t="str">
        <f>VLOOKUP(C3,Lists!I:J,2,FALSE)</f>
        <v>Melee DPS</v>
      </c>
      <c r="C3" s="115" t="str">
        <f>VLOOKUP(E3,Lists!D:E,2,FALSE)</f>
        <v>Greatsword/Spear</v>
      </c>
      <c r="D3" s="13" t="s">
        <v>7</v>
      </c>
      <c r="E3" s="83" t="s">
        <v>22</v>
      </c>
      <c r="F3" s="13" t="s">
        <v>476</v>
      </c>
      <c r="G3" s="82">
        <v>47</v>
      </c>
      <c r="H3" s="82">
        <v>171</v>
      </c>
      <c r="I3" s="194">
        <f t="shared" si="0"/>
        <v>218</v>
      </c>
      <c r="J3" s="85">
        <v>3599597</v>
      </c>
      <c r="K3" s="85">
        <v>793249</v>
      </c>
      <c r="L3" s="85">
        <v>37223</v>
      </c>
      <c r="M3" s="195">
        <f>I3/(HLOOKUP(F3,Team_Composition_22[[#All],[Yellow]:[Red]],10,FALSE)+HLOOKUP(F3,Team_Composition_22[[#All],[Yellow]:[Red]],11,FALSE))</f>
        <v>5.551311433664375E-2</v>
      </c>
      <c r="N3" s="195">
        <f>J3/HLOOKUP(F3,Team_Composition_22[[#All],[Yellow]:[Red]],6,FALSE)</f>
        <v>7.438873461486821E-2</v>
      </c>
      <c r="O3" s="195">
        <f>K3/HLOOKUP(F3,Team_Composition_22[[#All],[Yellow]:[Red]],8,FALSE)</f>
        <v>3.3545613655452264E-2</v>
      </c>
      <c r="P3" s="195">
        <f>L3/HLOOKUP(F3,Team_Composition_22[[#All],[Yellow]:[Red]],7,FALSE)</f>
        <v>2.2506530872487079E-3</v>
      </c>
      <c r="R3" s="197" t="s">
        <v>482</v>
      </c>
      <c r="S3" s="198" t="s">
        <v>476</v>
      </c>
      <c r="T3" s="198" t="s">
        <v>483</v>
      </c>
      <c r="V3" s="199" t="s">
        <v>1</v>
      </c>
      <c r="W3" s="200" t="s">
        <v>467</v>
      </c>
      <c r="Y3" s="199" t="s">
        <v>1</v>
      </c>
      <c r="Z3" s="200" t="s">
        <v>484</v>
      </c>
    </row>
    <row r="4" spans="1:26" ht="22.5" customHeight="1">
      <c r="A4" s="82">
        <v>2</v>
      </c>
      <c r="B4" s="115" t="str">
        <f>VLOOKUP(C4,Lists!I:J,2,FALSE)</f>
        <v>Melee DPS</v>
      </c>
      <c r="C4" s="115" t="str">
        <f>VLOOKUP(E4,Lists!D:E,2,FALSE)</f>
        <v>Greatsword/Spear</v>
      </c>
      <c r="D4" s="13" t="s">
        <v>7</v>
      </c>
      <c r="E4" s="83" t="s">
        <v>27</v>
      </c>
      <c r="F4" s="13" t="s">
        <v>476</v>
      </c>
      <c r="G4" s="82">
        <v>65</v>
      </c>
      <c r="H4" s="82">
        <v>132</v>
      </c>
      <c r="I4" s="194">
        <f t="shared" si="0"/>
        <v>197</v>
      </c>
      <c r="J4" s="85">
        <v>3900374</v>
      </c>
      <c r="K4" s="85">
        <v>885195</v>
      </c>
      <c r="L4" s="85">
        <v>19977</v>
      </c>
      <c r="M4" s="195">
        <f>I4/(HLOOKUP(F4,Team_Composition_22[[#All],[Yellow]:[Red]],10,FALSE)+HLOOKUP(F4,Team_Composition_22[[#All],[Yellow]:[Red]],11,FALSE))</f>
        <v>5.0165520753756049E-2</v>
      </c>
      <c r="N4" s="195">
        <f>J4/HLOOKUP(F4,Team_Composition_22[[#All],[Yellow]:[Red]],6,FALSE)</f>
        <v>8.0604547227017903E-2</v>
      </c>
      <c r="O4" s="195">
        <f>K4/HLOOKUP(F4,Team_Composition_22[[#All],[Yellow]:[Red]],8,FALSE)</f>
        <v>3.743390723434642E-2</v>
      </c>
      <c r="P4" s="195">
        <f>L4/HLOOKUP(F4,Team_Composition_22[[#All],[Yellow]:[Red]],7,FALSE)</f>
        <v>1.207890194878635E-3</v>
      </c>
      <c r="R4" s="201" t="s">
        <v>25</v>
      </c>
      <c r="S4" s="202">
        <f>COUNTIFS(Scoreboard_22[Role],R4,Scoreboard_22[Team],"Yellow")</f>
        <v>4</v>
      </c>
      <c r="T4" s="203">
        <f>COUNTIFS(Scoreboard_22[Role],R4,Scoreboard_22[Team],"Red")</f>
        <v>4</v>
      </c>
      <c r="V4" s="204" t="str">
        <f ca="1">IFERROR(__xludf.DUMMYFUNCTION("query(A1:P233, ""Select E,I where B!='Healer' Order by I Desc Limit 10"", 0)"),"CLEM*")</f>
        <v>CLEM*</v>
      </c>
      <c r="W4" s="116">
        <f ca="1">IFERROR(__xludf.DUMMYFUNCTION("""COMPUTED_VALUE"""),228)</f>
        <v>228</v>
      </c>
      <c r="Y4" s="204" t="str">
        <f ca="1">IFERROR(__xludf.DUMMYFUNCTION("query(A1:P233, ""Select E,J Order by J Desc Limit 10"", 0)"),"CLEM*")</f>
        <v>CLEM*</v>
      </c>
      <c r="Z4" s="116">
        <f ca="1">IFERROR(__xludf.DUMMYFUNCTION("""COMPUTED_VALUE"""),5576244)</f>
        <v>5576244</v>
      </c>
    </row>
    <row r="5" spans="1:26" ht="22.5" customHeight="1">
      <c r="A5" s="82">
        <v>4</v>
      </c>
      <c r="B5" s="115" t="str">
        <f>VLOOKUP(C5,Lists!I:J,2,FALSE)</f>
        <v>Melee DPS</v>
      </c>
      <c r="C5" s="115" t="str">
        <f>VLOOKUP(E5,Lists!D:E,2,FALSE)</f>
        <v>Greatsword/Spear</v>
      </c>
      <c r="D5" s="13" t="s">
        <v>7</v>
      </c>
      <c r="E5" s="83" t="s">
        <v>77</v>
      </c>
      <c r="F5" s="13" t="s">
        <v>476</v>
      </c>
      <c r="G5" s="82">
        <v>52</v>
      </c>
      <c r="H5" s="82">
        <v>118</v>
      </c>
      <c r="I5" s="194">
        <f t="shared" si="0"/>
        <v>170</v>
      </c>
      <c r="J5" s="85">
        <v>2971729</v>
      </c>
      <c r="K5" s="85">
        <v>460900</v>
      </c>
      <c r="L5" s="85">
        <v>4739</v>
      </c>
      <c r="M5" s="195">
        <f>I5/(HLOOKUP(F5,Team_Composition_22[[#All],[Yellow]:[Red]],10,FALSE)+HLOOKUP(F5,Team_Composition_22[[#All],[Yellow]:[Red]],11,FALSE))</f>
        <v>4.3290043290043288E-2</v>
      </c>
      <c r="N5" s="195">
        <f>J5/HLOOKUP(F5,Team_Composition_22[[#All],[Yellow]:[Red]],6,FALSE)</f>
        <v>6.1413308192085861E-2</v>
      </c>
      <c r="O5" s="195">
        <f>K5/HLOOKUP(F5,Team_Composition_22[[#All],[Yellow]:[Red]],8,FALSE)</f>
        <v>1.9490945886850089E-2</v>
      </c>
      <c r="P5" s="195">
        <f>L5/HLOOKUP(F5,Team_Composition_22[[#All],[Yellow]:[Red]],7,FALSE)</f>
        <v>2.8653910164338245E-4</v>
      </c>
      <c r="R5" s="201" t="s">
        <v>39</v>
      </c>
      <c r="S5" s="202">
        <f>COUNTIFS(Scoreboard_22[Role],R5,Scoreboard_22[Team],"Yellow")</f>
        <v>5</v>
      </c>
      <c r="T5" s="203">
        <f>COUNTIFS(Scoreboard_22[Role],R5,Scoreboard_22[Team],"Red")</f>
        <v>4</v>
      </c>
      <c r="V5" s="204" t="str">
        <f ca="1">IFERROR(__xludf.DUMMYFUNCTION("""COMPUTED_VALUE"""),"Baozer")</f>
        <v>Baozer</v>
      </c>
      <c r="W5" s="116">
        <f ca="1">IFERROR(__xludf.DUMMYFUNCTION("""COMPUTED_VALUE"""),218)</f>
        <v>218</v>
      </c>
      <c r="Y5" s="204" t="str">
        <f ca="1">IFERROR(__xludf.DUMMYFUNCTION("""COMPUTED_VALUE"""),"Blee")</f>
        <v>Blee</v>
      </c>
      <c r="Z5" s="116">
        <f ca="1">IFERROR(__xludf.DUMMYFUNCTION("""COMPUTED_VALUE"""),3900374)</f>
        <v>3900374</v>
      </c>
    </row>
    <row r="6" spans="1:26" ht="22.5" customHeight="1">
      <c r="A6" s="82">
        <v>12</v>
      </c>
      <c r="B6" s="115" t="str">
        <f>VLOOKUP(C6,Lists!I:J,2,FALSE)</f>
        <v>Ranged DPS</v>
      </c>
      <c r="C6" s="115" t="s">
        <v>32</v>
      </c>
      <c r="D6" s="13" t="s">
        <v>7</v>
      </c>
      <c r="E6" s="83" t="s">
        <v>625</v>
      </c>
      <c r="F6" s="13" t="s">
        <v>476</v>
      </c>
      <c r="G6" s="82">
        <v>37</v>
      </c>
      <c r="H6" s="82">
        <v>131</v>
      </c>
      <c r="I6" s="194">
        <f t="shared" si="0"/>
        <v>168</v>
      </c>
      <c r="J6" s="85">
        <v>3132586</v>
      </c>
      <c r="K6" s="85">
        <v>584828</v>
      </c>
      <c r="L6" s="85">
        <v>72</v>
      </c>
      <c r="M6" s="195">
        <f>I6/(HLOOKUP(F6,Team_Composition_22[[#All],[Yellow]:[Red]],10,FALSE)+HLOOKUP(F6,Team_Composition_22[[#All],[Yellow]:[Red]],11,FALSE))</f>
        <v>4.2780748663101602E-2</v>
      </c>
      <c r="N6" s="195">
        <f>J6/HLOOKUP(F6,Team_Composition_22[[#All],[Yellow]:[Red]],6,FALSE)</f>
        <v>6.4737554957472049E-2</v>
      </c>
      <c r="O6" s="195">
        <f>K6/HLOOKUP(F6,Team_Composition_22[[#All],[Yellow]:[Red]],8,FALSE)</f>
        <v>2.4731722501876253E-2</v>
      </c>
      <c r="P6" s="195">
        <f>L6/HLOOKUP(F6,Team_Composition_22[[#All],[Yellow]:[Red]],7,FALSE)</f>
        <v>4.3534111243560958E-6</v>
      </c>
      <c r="R6" s="201" t="s">
        <v>67</v>
      </c>
      <c r="S6" s="202">
        <f>COUNTIFS(Scoreboard_22[Role],R6,Scoreboard_22[Team],"Yellow")</f>
        <v>14</v>
      </c>
      <c r="T6" s="203">
        <f>COUNTIFS(Scoreboard_22[Role],R6,Scoreboard_22[Team],"Red")</f>
        <v>11</v>
      </c>
      <c r="V6" s="204" t="str">
        <f ca="1">IFERROR(__xludf.DUMMYFUNCTION("""COMPUTED_VALUE"""),"Blee")</f>
        <v>Blee</v>
      </c>
      <c r="W6" s="116">
        <f ca="1">IFERROR(__xludf.DUMMYFUNCTION("""COMPUTED_VALUE"""),197)</f>
        <v>197</v>
      </c>
      <c r="Y6" s="204" t="str">
        <f ca="1">IFERROR(__xludf.DUMMYFUNCTION("""COMPUTED_VALUE"""),"Baozer")</f>
        <v>Baozer</v>
      </c>
      <c r="Z6" s="116">
        <f ca="1">IFERROR(__xludf.DUMMYFUNCTION("""COMPUTED_VALUE"""),3599597)</f>
        <v>3599597</v>
      </c>
    </row>
    <row r="7" spans="1:26" ht="22.5" customHeight="1">
      <c r="A7" s="82">
        <v>9</v>
      </c>
      <c r="B7" s="115" t="str">
        <f>VLOOKUP(C7,Lists!I:J,2,FALSE)</f>
        <v>Melee DPS</v>
      </c>
      <c r="C7" s="115" t="str">
        <f>VLOOKUP(E7,Lists!D:E,2,FALSE)</f>
        <v>Greatsword/Spear</v>
      </c>
      <c r="D7" s="13" t="s">
        <v>7</v>
      </c>
      <c r="E7" s="83" t="s">
        <v>47</v>
      </c>
      <c r="F7" s="13" t="s">
        <v>476</v>
      </c>
      <c r="G7" s="82">
        <v>44</v>
      </c>
      <c r="H7" s="82">
        <v>120</v>
      </c>
      <c r="I7" s="194">
        <f t="shared" si="0"/>
        <v>164</v>
      </c>
      <c r="J7" s="85">
        <v>2883015</v>
      </c>
      <c r="K7" s="85">
        <v>1208482</v>
      </c>
      <c r="L7" s="85">
        <v>38166</v>
      </c>
      <c r="M7" s="195">
        <f>I7/(HLOOKUP(F7,Team_Composition_22[[#All],[Yellow]:[Red]],10,FALSE)+HLOOKUP(F7,Team_Composition_22[[#All],[Yellow]:[Red]],11,FALSE))</f>
        <v>4.1762159409218236E-2</v>
      </c>
      <c r="N7" s="195">
        <f>J7/HLOOKUP(F7,Team_Composition_22[[#All],[Yellow]:[Red]],6,FALSE)</f>
        <v>5.9579957902421925E-2</v>
      </c>
      <c r="O7" s="195">
        <f>K7/HLOOKUP(F7,Team_Composition_22[[#All],[Yellow]:[Red]],8,FALSE)</f>
        <v>5.1105353150862162E-2</v>
      </c>
      <c r="P7" s="195">
        <f>L7/HLOOKUP(F7,Team_Composition_22[[#All],[Yellow]:[Red]],7,FALSE)</f>
        <v>2.3076706801690937E-3</v>
      </c>
      <c r="R7" s="201" t="s">
        <v>11</v>
      </c>
      <c r="S7" s="202">
        <f>COUNTIFS(Scoreboard_22[Role],R7,Scoreboard_22[Team],"Yellow")</f>
        <v>16</v>
      </c>
      <c r="T7" s="203">
        <f>COUNTIFS(Scoreboard_22[Role],R7,Scoreboard_22[Team],"Red")</f>
        <v>19</v>
      </c>
      <c r="V7" s="204" t="str">
        <f ca="1">IFERROR(__xludf.DUMMYFUNCTION("""COMPUTED_VALUE"""),"Kyu")</f>
        <v>Kyu</v>
      </c>
      <c r="W7" s="116">
        <f ca="1">IFERROR(__xludf.DUMMYFUNCTION("""COMPUTED_VALUE"""),170)</f>
        <v>170</v>
      </c>
      <c r="Y7" s="204" t="str">
        <f ca="1">IFERROR(__xludf.DUMMYFUNCTION("""COMPUTED_VALUE"""),"Nengja")</f>
        <v>Nengja</v>
      </c>
      <c r="Z7" s="116">
        <f ca="1">IFERROR(__xludf.DUMMYFUNCTION("""COMPUTED_VALUE"""),3587202)</f>
        <v>3587202</v>
      </c>
    </row>
    <row r="8" spans="1:26" ht="22.5" customHeight="1">
      <c r="A8" s="82">
        <v>8</v>
      </c>
      <c r="B8" s="115" t="str">
        <f>VLOOKUP(C8,Lists!I:J,2,FALSE)</f>
        <v>Ranged DPS</v>
      </c>
      <c r="C8" s="115" t="str">
        <f>VLOOKUP(E8,Lists!D:E,2,FALSE)</f>
        <v>Crossbow/SnS</v>
      </c>
      <c r="D8" s="13" t="s">
        <v>7</v>
      </c>
      <c r="E8" s="83" t="s">
        <v>84</v>
      </c>
      <c r="F8" s="13" t="s">
        <v>476</v>
      </c>
      <c r="G8" s="82">
        <v>47</v>
      </c>
      <c r="H8" s="82">
        <v>116</v>
      </c>
      <c r="I8" s="194">
        <f t="shared" si="0"/>
        <v>163</v>
      </c>
      <c r="J8" s="85">
        <v>3587202</v>
      </c>
      <c r="K8" s="85">
        <v>151885</v>
      </c>
      <c r="L8" s="85">
        <v>3715</v>
      </c>
      <c r="M8" s="195">
        <f>I8/(HLOOKUP(F8,Team_Composition_22[[#All],[Yellow]:[Red]],10,FALSE)+HLOOKUP(F8,Team_Composition_22[[#All],[Yellow]:[Red]],11,FALSE))</f>
        <v>4.1507512095747393E-2</v>
      </c>
      <c r="N8" s="195">
        <f>J8/HLOOKUP(F8,Team_Composition_22[[#All],[Yellow]:[Red]],6,FALSE)</f>
        <v>7.4132581393951735E-2</v>
      </c>
      <c r="O8" s="195">
        <f>K8/HLOOKUP(F8,Team_Composition_22[[#All],[Yellow]:[Red]],8,FALSE)</f>
        <v>6.4230468995969316E-3</v>
      </c>
      <c r="P8" s="195">
        <f>L8/HLOOKUP(F8,Team_Composition_22[[#All],[Yellow]:[Red]],7,FALSE)</f>
        <v>2.2462392120809577E-4</v>
      </c>
      <c r="R8" s="201" t="s">
        <v>468</v>
      </c>
      <c r="S8" s="202">
        <f>SUMIFS(Scoreboard_22[Damage Dealt],Scoreboard_22[Team],"Yellow")</f>
        <v>48389007</v>
      </c>
      <c r="T8" s="203">
        <f>SUMIFS(Scoreboard_22[Damage Dealt],Scoreboard_22[Team],"Red")</f>
        <v>22461795</v>
      </c>
      <c r="V8" s="204" t="str">
        <f ca="1">IFERROR(__xludf.DUMMYFUNCTION("""COMPUTED_VALUE"""),"sorano·")</f>
        <v>sorano·</v>
      </c>
      <c r="W8" s="116">
        <f ca="1">IFERROR(__xludf.DUMMYFUNCTION("""COMPUTED_VALUE"""),168)</f>
        <v>168</v>
      </c>
      <c r="Y8" s="204" t="str">
        <f ca="1">IFERROR(__xludf.DUMMYFUNCTION("""COMPUTED_VALUE"""),"Spot·")</f>
        <v>Spot·</v>
      </c>
      <c r="Z8" s="116">
        <f ca="1">IFERROR(__xludf.DUMMYFUNCTION("""COMPUTED_VALUE"""),3185244)</f>
        <v>3185244</v>
      </c>
    </row>
    <row r="9" spans="1:26" ht="22.5" customHeight="1">
      <c r="A9" s="82">
        <v>1</v>
      </c>
      <c r="B9" s="115" t="str">
        <f>VLOOKUP(C9,Lists!I:J,2,FALSE)</f>
        <v>KS</v>
      </c>
      <c r="C9" s="115" t="str">
        <f>VLOOKUP(E9,Lists!D:E,2,FALSE)</f>
        <v>Crossbow/Dagger</v>
      </c>
      <c r="D9" s="13" t="s">
        <v>7</v>
      </c>
      <c r="E9" s="83" t="s">
        <v>103</v>
      </c>
      <c r="F9" s="13" t="s">
        <v>476</v>
      </c>
      <c r="G9" s="82">
        <v>71</v>
      </c>
      <c r="H9" s="82">
        <v>69</v>
      </c>
      <c r="I9" s="194">
        <f t="shared" si="0"/>
        <v>140</v>
      </c>
      <c r="J9" s="85">
        <v>3185244</v>
      </c>
      <c r="K9" s="85">
        <v>501928</v>
      </c>
      <c r="L9" s="85">
        <v>0</v>
      </c>
      <c r="M9" s="195">
        <f>I9/(HLOOKUP(F9,Team_Composition_22[[#All],[Yellow]:[Red]],10,FALSE)+HLOOKUP(F9,Team_Composition_22[[#All],[Yellow]:[Red]],11,FALSE))</f>
        <v>3.5650623885918005E-2</v>
      </c>
      <c r="N9" s="195">
        <f>J9/HLOOKUP(F9,Team_Composition_22[[#All],[Yellow]:[Red]],6,FALSE)</f>
        <v>6.5825777329962573E-2</v>
      </c>
      <c r="O9" s="195">
        <f>K9/HLOOKUP(F9,Team_Composition_22[[#All],[Yellow]:[Red]],8,FALSE)</f>
        <v>2.1225974152950515E-2</v>
      </c>
      <c r="P9" s="195">
        <f>L9/HLOOKUP(F9,Team_Composition_22[[#All],[Yellow]:[Red]],7,FALSE)</f>
        <v>0</v>
      </c>
      <c r="R9" s="201" t="s">
        <v>470</v>
      </c>
      <c r="S9" s="202">
        <f>SUMIFS(Scoreboard_22[Amount Healed],Scoreboard_22[Team],"Yellow")</f>
        <v>16538755</v>
      </c>
      <c r="T9" s="203">
        <f>SUMIFS(Scoreboard_22[Amount Healed],Scoreboard_22[Team],"Red")</f>
        <v>29028451</v>
      </c>
      <c r="V9" s="204" t="str">
        <f ca="1">IFERROR(__xludf.DUMMYFUNCTION("""COMPUTED_VALUE"""),"Fadeふち")</f>
        <v>Fadeふち</v>
      </c>
      <c r="W9" s="116">
        <f ca="1">IFERROR(__xludf.DUMMYFUNCTION("""COMPUTED_VALUE"""),164)</f>
        <v>164</v>
      </c>
      <c r="Y9" s="204" t="str">
        <f ca="1">IFERROR(__xludf.DUMMYFUNCTION("""COMPUTED_VALUE"""),"sorano·")</f>
        <v>sorano·</v>
      </c>
      <c r="Z9" s="116">
        <f ca="1">IFERROR(__xludf.DUMMYFUNCTION("""COMPUTED_VALUE"""),3132586)</f>
        <v>3132586</v>
      </c>
    </row>
    <row r="10" spans="1:26" ht="22.5" customHeight="1">
      <c r="A10" s="82">
        <v>5</v>
      </c>
      <c r="B10" s="115" t="str">
        <f>VLOOKUP(C10,Lists!I:J,2,FALSE)</f>
        <v>KS</v>
      </c>
      <c r="C10" s="115" t="str">
        <f>VLOOKUP(E10,Lists!D:E,2,FALSE)</f>
        <v>Greatsword/Dagger</v>
      </c>
      <c r="D10" s="13" t="s">
        <v>7</v>
      </c>
      <c r="E10" s="83" t="s">
        <v>98</v>
      </c>
      <c r="F10" s="13" t="s">
        <v>476</v>
      </c>
      <c r="G10" s="82">
        <v>49</v>
      </c>
      <c r="H10" s="82">
        <v>78</v>
      </c>
      <c r="I10" s="194">
        <f t="shared" si="0"/>
        <v>127</v>
      </c>
      <c r="J10" s="85">
        <v>2250148</v>
      </c>
      <c r="K10" s="85">
        <v>763873</v>
      </c>
      <c r="L10" s="85">
        <v>24100</v>
      </c>
      <c r="M10" s="195">
        <f>I10/(HLOOKUP(F10,Team_Composition_22[[#All],[Yellow]:[Red]],10,FALSE)+HLOOKUP(F10,Team_Composition_22[[#All],[Yellow]:[Red]],11,FALSE))</f>
        <v>3.2340208810797043E-2</v>
      </c>
      <c r="N10" s="195">
        <f>J10/HLOOKUP(F10,Team_Composition_22[[#All],[Yellow]:[Red]],6,FALSE)</f>
        <v>4.650122289138936E-2</v>
      </c>
      <c r="O10" s="195">
        <f>K10/HLOOKUP(F10,Team_Composition_22[[#All],[Yellow]:[Red]],8,FALSE)</f>
        <v>3.2303335446790711E-2</v>
      </c>
      <c r="P10" s="195">
        <f>L10/HLOOKUP(F10,Team_Composition_22[[#All],[Yellow]:[Red]],7,FALSE)</f>
        <v>1.4571834457914154E-3</v>
      </c>
      <c r="R10" s="201" t="s">
        <v>469</v>
      </c>
      <c r="S10" s="202">
        <f>SUMIFS(Scoreboard_22[Damage Taken],Scoreboard_22[Team],"Yellow")</f>
        <v>23646877</v>
      </c>
      <c r="T10" s="203">
        <f>SUMIFS(Scoreboard_22[Damage Taken],Scoreboard_22[Team],"Red")</f>
        <v>47290060</v>
      </c>
      <c r="V10" s="204" t="str">
        <f ca="1">IFERROR(__xludf.DUMMYFUNCTION("""COMPUTED_VALUE"""),"Nengja")</f>
        <v>Nengja</v>
      </c>
      <c r="W10" s="116">
        <f ca="1">IFERROR(__xludf.DUMMYFUNCTION("""COMPUTED_VALUE"""),163)</f>
        <v>163</v>
      </c>
      <c r="Y10" s="204" t="str">
        <f ca="1">IFERROR(__xludf.DUMMYFUNCTION("""COMPUTED_VALUE"""),"Kyu")</f>
        <v>Kyu</v>
      </c>
      <c r="Z10" s="116">
        <f ca="1">IFERROR(__xludf.DUMMYFUNCTION("""COMPUTED_VALUE"""),2971729)</f>
        <v>2971729</v>
      </c>
    </row>
    <row r="11" spans="1:26" ht="22.5" customHeight="1">
      <c r="A11" s="82">
        <v>58</v>
      </c>
      <c r="B11" s="115" t="str">
        <f>VLOOKUP(C11,Lists!I:J,2,FALSE)</f>
        <v>Healer</v>
      </c>
      <c r="C11" s="115" t="str">
        <f>VLOOKUP(E11,Lists!D:E,2,FALSE)</f>
        <v>Wand/Orb</v>
      </c>
      <c r="D11" s="13" t="s">
        <v>7</v>
      </c>
      <c r="E11" s="83" t="s">
        <v>87</v>
      </c>
      <c r="F11" s="13" t="s">
        <v>476</v>
      </c>
      <c r="G11" s="82">
        <v>0</v>
      </c>
      <c r="H11" s="82">
        <v>125</v>
      </c>
      <c r="I11" s="194">
        <f t="shared" si="0"/>
        <v>125</v>
      </c>
      <c r="J11" s="85">
        <v>6302</v>
      </c>
      <c r="K11" s="85">
        <v>71797</v>
      </c>
      <c r="L11" s="85">
        <v>685690</v>
      </c>
      <c r="M11" s="195">
        <f>I11/(HLOOKUP(F11,Team_Composition_22[[#All],[Yellow]:[Red]],10,FALSE)+HLOOKUP(F11,Team_Composition_22[[#All],[Yellow]:[Red]],11,FALSE))</f>
        <v>3.1830914183855363E-2</v>
      </c>
      <c r="N11" s="195">
        <f>J11/HLOOKUP(F11,Team_Composition_22[[#All],[Yellow]:[Red]],6,FALSE)</f>
        <v>1.3023619186895073E-4</v>
      </c>
      <c r="O11" s="195">
        <f>K11/HLOOKUP(F11,Team_Composition_22[[#All],[Yellow]:[Red]],8,FALSE)</f>
        <v>3.0362148879109914E-3</v>
      </c>
      <c r="P11" s="195">
        <f>L11/HLOOKUP(F11,Team_Composition_22[[#All],[Yellow]:[Red]],7,FALSE)</f>
        <v>4.1459589914718487E-2</v>
      </c>
      <c r="R11" s="201" t="s">
        <v>495</v>
      </c>
      <c r="S11" s="202">
        <f ca="1">IFERROR(DIVIDE(SUMIFS(Scoreboard_22[Amount Healed],Scoreboard_22[Team],"Yellow"), SUMIFS(Scoreboard_22[Damage Taken],Scoreboard_22[Team],"Yellow"))*(100),0)</f>
        <v>0</v>
      </c>
      <c r="T11" s="203">
        <f ca="1">IFERROR(DIVIDE(SUMIFS(Scoreboard_22[Amount Healed],Scoreboard_22[Team],"Red"), SUMIFS(Scoreboard_22[Damage Taken],Scoreboard_22[Team],"Red"))*(100),0)</f>
        <v>0</v>
      </c>
      <c r="V11" s="204" t="str">
        <f ca="1">IFERROR(__xludf.DUMMYFUNCTION("""COMPUTED_VALUE"""),"Spot·")</f>
        <v>Spot·</v>
      </c>
      <c r="W11" s="116">
        <f ca="1">IFERROR(__xludf.DUMMYFUNCTION("""COMPUTED_VALUE"""),140)</f>
        <v>140</v>
      </c>
      <c r="Y11" s="204" t="str">
        <f ca="1">IFERROR(__xludf.DUMMYFUNCTION("""COMPUTED_VALUE"""),"Fadeふち")</f>
        <v>Fadeふち</v>
      </c>
      <c r="Z11" s="116">
        <f ca="1">IFERROR(__xludf.DUMMYFUNCTION("""COMPUTED_VALUE"""),2883015)</f>
        <v>2883015</v>
      </c>
    </row>
    <row r="12" spans="1:26" ht="22.5" customHeight="1">
      <c r="A12" s="82">
        <v>6</v>
      </c>
      <c r="B12" s="115" t="str">
        <f>VLOOKUP(C12,Lists!I:J,2,FALSE)</f>
        <v>Ranged DPS</v>
      </c>
      <c r="C12" s="115" t="s">
        <v>43</v>
      </c>
      <c r="D12" s="13" t="s">
        <v>7</v>
      </c>
      <c r="E12" s="83" t="s">
        <v>51</v>
      </c>
      <c r="F12" s="13" t="s">
        <v>476</v>
      </c>
      <c r="G12" s="82">
        <v>49</v>
      </c>
      <c r="H12" s="82">
        <v>68</v>
      </c>
      <c r="I12" s="194">
        <f t="shared" si="0"/>
        <v>117</v>
      </c>
      <c r="J12" s="85">
        <v>2121253</v>
      </c>
      <c r="K12" s="85">
        <v>1089180</v>
      </c>
      <c r="L12" s="85">
        <v>137474</v>
      </c>
      <c r="M12" s="195">
        <f>I12/(HLOOKUP(F12,Team_Composition_22[[#All],[Yellow]:[Red]],10,FALSE)+HLOOKUP(F12,Team_Composition_22[[#All],[Yellow]:[Red]],11,FALSE))</f>
        <v>2.9793735676088617E-2</v>
      </c>
      <c r="N12" s="195">
        <f>J12/HLOOKUP(F12,Team_Composition_22[[#All],[Yellow]:[Red]],6,FALSE)</f>
        <v>4.3837498049918655E-2</v>
      </c>
      <c r="O12" s="195">
        <f>K12/HLOOKUP(F12,Team_Composition_22[[#All],[Yellow]:[Red]],8,FALSE)</f>
        <v>4.6060204905704887E-2</v>
      </c>
      <c r="P12" s="195">
        <f>L12/HLOOKUP(F12,Team_Composition_22[[#All],[Yellow]:[Red]],7,FALSE)</f>
        <v>8.312233901524026E-3</v>
      </c>
      <c r="R12" s="201" t="s">
        <v>465</v>
      </c>
      <c r="S12" s="202">
        <f>SUMIFS(Scoreboard_22[Kills],Scoreboard_22[Team],"Yellow")</f>
        <v>759</v>
      </c>
      <c r="T12" s="203">
        <f>SUMIFS(Scoreboard_22[Kills],Scoreboard_22[Team],"Red")</f>
        <v>222</v>
      </c>
      <c r="V12" s="204" t="str">
        <f ca="1">IFERROR(__xludf.DUMMYFUNCTION("""COMPUTED_VALUE"""),"ShawarmaShuffle")</f>
        <v>ShawarmaShuffle</v>
      </c>
      <c r="W12" s="116">
        <f ca="1">IFERROR(__xludf.DUMMYFUNCTION("""COMPUTED_VALUE"""),127)</f>
        <v>127</v>
      </c>
      <c r="Y12" s="204" t="str">
        <f ca="1">IFERROR(__xludf.DUMMYFUNCTION("""COMPUTED_VALUE"""),"MrCantoni")</f>
        <v>MrCantoni</v>
      </c>
      <c r="Z12" s="116">
        <f ca="1">IFERROR(__xludf.DUMMYFUNCTION("""COMPUTED_VALUE"""),2463371)</f>
        <v>2463371</v>
      </c>
    </row>
    <row r="13" spans="1:26" ht="22.5" customHeight="1">
      <c r="A13" s="82">
        <v>59</v>
      </c>
      <c r="B13" s="115" t="str">
        <f>VLOOKUP(C13,Lists!I:J,2,FALSE)</f>
        <v>Healer</v>
      </c>
      <c r="C13" s="115" t="str">
        <f>VLOOKUP(E13,Lists!D:E,2,FALSE)</f>
        <v>Wand/Longbow</v>
      </c>
      <c r="D13" s="13" t="s">
        <v>7</v>
      </c>
      <c r="E13" s="83" t="s">
        <v>101</v>
      </c>
      <c r="F13" s="13" t="s">
        <v>476</v>
      </c>
      <c r="G13" s="82">
        <v>0</v>
      </c>
      <c r="H13" s="82">
        <v>116</v>
      </c>
      <c r="I13" s="194">
        <f t="shared" si="0"/>
        <v>116</v>
      </c>
      <c r="J13" s="85">
        <v>48131</v>
      </c>
      <c r="K13" s="85">
        <v>82890</v>
      </c>
      <c r="L13" s="85">
        <v>1289950</v>
      </c>
      <c r="M13" s="195">
        <f>I13/(HLOOKUP(F13,Team_Composition_22[[#All],[Yellow]:[Red]],10,FALSE)+HLOOKUP(F13,Team_Composition_22[[#All],[Yellow]:[Red]],11,FALSE))</f>
        <v>2.9539088362617774E-2</v>
      </c>
      <c r="N13" s="195">
        <f>J13/HLOOKUP(F13,Team_Composition_22[[#All],[Yellow]:[Red]],6,FALSE)</f>
        <v>9.9466806582743051E-4</v>
      </c>
      <c r="O13" s="195">
        <f>K13/HLOOKUP(F13,Team_Composition_22[[#All],[Yellow]:[Red]],8,FALSE)</f>
        <v>3.5053254601019831E-3</v>
      </c>
      <c r="P13" s="195">
        <f>L13/HLOOKUP(F13,Team_Composition_22[[#All],[Yellow]:[Red]],7,FALSE)</f>
        <v>7.7995592775877018E-2</v>
      </c>
      <c r="R13" s="201" t="s">
        <v>466</v>
      </c>
      <c r="S13" s="202">
        <f>SUMIFS(Scoreboard_22[Assists],Scoreboard_22[Team],"Yellow")</f>
        <v>3168</v>
      </c>
      <c r="T13" s="203">
        <f>SUMIFS(Scoreboard_22[Assists],Scoreboard_22[Team],"Red")</f>
        <v>925</v>
      </c>
      <c r="V13" s="204" t="str">
        <f ca="1">IFERROR(__xludf.DUMMYFUNCTION("""COMPUTED_VALUE"""),"Fuji")</f>
        <v>Fuji</v>
      </c>
      <c r="W13" s="116">
        <f ca="1">IFERROR(__xludf.DUMMYFUNCTION("""COMPUTED_VALUE"""),117)</f>
        <v>117</v>
      </c>
      <c r="Y13" s="204" t="str">
        <f ca="1">IFERROR(__xludf.DUMMYFUNCTION("""COMPUTED_VALUE"""),"ShawarmaShuffle")</f>
        <v>ShawarmaShuffle</v>
      </c>
      <c r="Z13" s="116">
        <f ca="1">IFERROR(__xludf.DUMMYFUNCTION("""COMPUTED_VALUE"""),2250148)</f>
        <v>2250148</v>
      </c>
    </row>
    <row r="14" spans="1:26" ht="22.5" customHeight="1">
      <c r="A14" s="82">
        <v>13</v>
      </c>
      <c r="B14" s="115" t="e">
        <f>VLOOKUP(C14,Lists!I:J,2,FALSE)</f>
        <v>#N/A</v>
      </c>
      <c r="C14" s="115" t="e">
        <f>VLOOKUP(E14,Lists!D:E,2,FALSE)</f>
        <v>#N/A</v>
      </c>
      <c r="D14" s="13" t="s">
        <v>7</v>
      </c>
      <c r="E14" s="83" t="s">
        <v>626</v>
      </c>
      <c r="F14" s="13" t="s">
        <v>476</v>
      </c>
      <c r="G14" s="82">
        <v>37</v>
      </c>
      <c r="H14" s="82">
        <v>77</v>
      </c>
      <c r="I14" s="194">
        <f t="shared" si="0"/>
        <v>114</v>
      </c>
      <c r="J14" s="85">
        <v>1651245</v>
      </c>
      <c r="K14" s="85">
        <v>1336535</v>
      </c>
      <c r="L14" s="85">
        <v>56787</v>
      </c>
      <c r="M14" s="195">
        <f>I14/(HLOOKUP(F14,Team_Composition_22[[#All],[Yellow]:[Red]],10,FALSE)+HLOOKUP(F14,Team_Composition_22[[#All],[Yellow]:[Red]],11,FALSE))</f>
        <v>2.9029793735676088E-2</v>
      </c>
      <c r="N14" s="195">
        <f>J14/HLOOKUP(F14,Team_Composition_22[[#All],[Yellow]:[Red]],6,FALSE)</f>
        <v>3.4124382837614334E-2</v>
      </c>
      <c r="O14" s="195">
        <f>K14/HLOOKUP(F14,Team_Composition_22[[#All],[Yellow]:[Red]],8,FALSE)</f>
        <v>5.6520571405687101E-2</v>
      </c>
      <c r="P14" s="195">
        <f>L14/HLOOKUP(F14,Team_Composition_22[[#All],[Yellow]:[Red]],7,FALSE)</f>
        <v>3.4335716322056891E-3</v>
      </c>
      <c r="R14" s="204"/>
      <c r="S14" s="207"/>
      <c r="T14" s="207"/>
    </row>
    <row r="15" spans="1:26" ht="22.5" customHeight="1">
      <c r="A15" s="82">
        <v>17</v>
      </c>
      <c r="B15" s="115" t="str">
        <f>VLOOKUP(C15,Lists!I:J,2,FALSE)</f>
        <v>Ranged DPS</v>
      </c>
      <c r="C15" s="115" t="str">
        <f>VLOOKUP(E15,Lists!D:E,2,FALSE)</f>
        <v>Crossbow/SnS</v>
      </c>
      <c r="D15" s="13" t="s">
        <v>7</v>
      </c>
      <c r="E15" s="83" t="s">
        <v>83</v>
      </c>
      <c r="F15" s="13" t="s">
        <v>476</v>
      </c>
      <c r="G15" s="82">
        <v>27</v>
      </c>
      <c r="H15" s="82">
        <v>87</v>
      </c>
      <c r="I15" s="194">
        <f t="shared" si="0"/>
        <v>114</v>
      </c>
      <c r="J15" s="85">
        <v>2463371</v>
      </c>
      <c r="K15" s="85">
        <v>496257</v>
      </c>
      <c r="L15" s="85">
        <v>4089</v>
      </c>
      <c r="M15" s="195">
        <f>I15/(HLOOKUP(F15,Team_Composition_22[[#All],[Yellow]:[Red]],10,FALSE)+HLOOKUP(F15,Team_Composition_22[[#All],[Yellow]:[Red]],11,FALSE))</f>
        <v>2.9029793735676088E-2</v>
      </c>
      <c r="N15" s="195">
        <f>J15/HLOOKUP(F15,Team_Composition_22[[#All],[Yellow]:[Red]],6,FALSE)</f>
        <v>5.0907657600826571E-2</v>
      </c>
      <c r="O15" s="195">
        <f>K15/HLOOKUP(F15,Team_Composition_22[[#All],[Yellow]:[Red]],8,FALSE)</f>
        <v>2.0986153900999272E-2</v>
      </c>
      <c r="P15" s="195">
        <f>L15/HLOOKUP(F15,Team_Composition_22[[#All],[Yellow]:[Red]],7,FALSE)</f>
        <v>2.4723747343738991E-4</v>
      </c>
      <c r="R15" s="204"/>
      <c r="S15" s="207"/>
      <c r="T15" s="207"/>
    </row>
    <row r="16" spans="1:26" ht="22.5" customHeight="1">
      <c r="A16" s="82">
        <v>10</v>
      </c>
      <c r="B16" s="115" t="str">
        <f>VLOOKUP(C16,Lists!I:J,2,FALSE)</f>
        <v>KS</v>
      </c>
      <c r="C16" s="115" t="str">
        <f>VLOOKUP(E16,Lists!D:E,2,FALSE)</f>
        <v>Greatsword/Dagger</v>
      </c>
      <c r="D16" s="13" t="s">
        <v>7</v>
      </c>
      <c r="E16" s="83" t="s">
        <v>90</v>
      </c>
      <c r="F16" s="13" t="s">
        <v>476</v>
      </c>
      <c r="G16" s="82">
        <v>38</v>
      </c>
      <c r="H16" s="82">
        <v>74</v>
      </c>
      <c r="I16" s="194">
        <f t="shared" si="0"/>
        <v>112</v>
      </c>
      <c r="J16" s="85">
        <v>1896261</v>
      </c>
      <c r="K16" s="85">
        <v>1074153</v>
      </c>
      <c r="L16" s="85">
        <v>53022</v>
      </c>
      <c r="M16" s="195">
        <f>I16/(HLOOKUP(F16,Team_Composition_22[[#All],[Yellow]:[Red]],10,FALSE)+HLOOKUP(F16,Team_Composition_22[[#All],[Yellow]:[Red]],11,FALSE))</f>
        <v>2.8520499108734401E-2</v>
      </c>
      <c r="N16" s="195">
        <f>J16/HLOOKUP(F16,Team_Composition_22[[#All],[Yellow]:[Red]],6,FALSE)</f>
        <v>3.9187846942178417E-2</v>
      </c>
      <c r="O16" s="195">
        <f>K16/HLOOKUP(F16,Team_Composition_22[[#All],[Yellow]:[Red]],8,FALSE)</f>
        <v>4.5424729870248828E-2</v>
      </c>
      <c r="P16" s="195">
        <f>L16/HLOOKUP(F16,Team_Composition_22[[#All],[Yellow]:[Red]],7,FALSE)</f>
        <v>3.2059245088279014E-3</v>
      </c>
      <c r="R16" s="232" t="s">
        <v>25</v>
      </c>
      <c r="S16" s="228"/>
      <c r="T16" s="228"/>
      <c r="V16" s="233" t="s">
        <v>496</v>
      </c>
      <c r="W16" s="228"/>
      <c r="Y16" s="233" t="s">
        <v>497</v>
      </c>
      <c r="Z16" s="228"/>
    </row>
    <row r="17" spans="1:26" ht="22.5" customHeight="1">
      <c r="A17" s="82">
        <v>14</v>
      </c>
      <c r="B17" s="115" t="str">
        <f>VLOOKUP(C17,Lists!I:J,2,FALSE)</f>
        <v>KS</v>
      </c>
      <c r="C17" s="115" t="str">
        <f>VLOOKUP(E17,Lists!D:E,2,FALSE)</f>
        <v>Greatsword/Dagger</v>
      </c>
      <c r="D17" s="13" t="s">
        <v>7</v>
      </c>
      <c r="E17" s="83" t="s">
        <v>68</v>
      </c>
      <c r="F17" s="13" t="s">
        <v>476</v>
      </c>
      <c r="G17" s="82">
        <v>36</v>
      </c>
      <c r="H17" s="82">
        <v>73</v>
      </c>
      <c r="I17" s="194">
        <f t="shared" si="0"/>
        <v>109</v>
      </c>
      <c r="J17" s="85">
        <v>1881264</v>
      </c>
      <c r="K17" s="85">
        <v>851801</v>
      </c>
      <c r="L17" s="85">
        <v>47404</v>
      </c>
      <c r="M17" s="195">
        <f>I17/(HLOOKUP(F17,Team_Composition_22[[#All],[Yellow]:[Red]],10,FALSE)+HLOOKUP(F17,Team_Composition_22[[#All],[Yellow]:[Red]],11,FALSE))</f>
        <v>2.7756557168321875E-2</v>
      </c>
      <c r="N17" s="195">
        <f>J17/HLOOKUP(F17,Team_Composition_22[[#All],[Yellow]:[Red]],6,FALSE)</f>
        <v>3.8877921177427756E-2</v>
      </c>
      <c r="O17" s="195">
        <f>K17/HLOOKUP(F17,Team_Composition_22[[#All],[Yellow]:[Red]],8,FALSE)</f>
        <v>3.6021712296300266E-2</v>
      </c>
      <c r="P17" s="195">
        <f>L17/HLOOKUP(F17,Team_Composition_22[[#All],[Yellow]:[Red]],7,FALSE)</f>
        <v>2.8662375130413384E-3</v>
      </c>
      <c r="R17" s="197" t="s">
        <v>482</v>
      </c>
      <c r="S17" s="198" t="s">
        <v>476</v>
      </c>
      <c r="T17" s="198" t="s">
        <v>483</v>
      </c>
      <c r="V17" s="199" t="s">
        <v>1</v>
      </c>
      <c r="W17" s="200" t="s">
        <v>498</v>
      </c>
      <c r="Y17" s="199" t="s">
        <v>1</v>
      </c>
      <c r="Z17" s="200" t="s">
        <v>499</v>
      </c>
    </row>
    <row r="18" spans="1:26" ht="22.5" customHeight="1">
      <c r="A18" s="82">
        <v>41</v>
      </c>
      <c r="B18" s="115" t="str">
        <f>VLOOKUP(C18,Lists!I:J,2,FALSE)</f>
        <v>Healer</v>
      </c>
      <c r="C18" s="115" t="str">
        <f>VLOOKUP(E18,Lists!D:E,2,FALSE)</f>
        <v>Wand/Longbow</v>
      </c>
      <c r="D18" s="13" t="s">
        <v>7</v>
      </c>
      <c r="E18" s="83" t="s">
        <v>115</v>
      </c>
      <c r="F18" s="13" t="s">
        <v>476</v>
      </c>
      <c r="G18" s="82">
        <v>1</v>
      </c>
      <c r="H18" s="82">
        <v>93</v>
      </c>
      <c r="I18" s="194">
        <f t="shared" si="0"/>
        <v>94</v>
      </c>
      <c r="J18" s="85">
        <v>97972</v>
      </c>
      <c r="K18" s="85">
        <v>376012</v>
      </c>
      <c r="L18" s="85">
        <v>1449027</v>
      </c>
      <c r="M18" s="195">
        <f>I18/(HLOOKUP(F18,Team_Composition_22[[#All],[Yellow]:[Red]],10,FALSE)+HLOOKUP(F18,Team_Composition_22[[#All],[Yellow]:[Red]],11,FALSE))</f>
        <v>2.393684746625923E-2</v>
      </c>
      <c r="N18" s="195">
        <f>J18/HLOOKUP(F18,Team_Composition_22[[#All],[Yellow]:[Red]],6,FALSE)</f>
        <v>2.0246747365574168E-3</v>
      </c>
      <c r="O18" s="195">
        <f>K18/HLOOKUP(F18,Team_Composition_22[[#All],[Yellow]:[Red]],8,FALSE)</f>
        <v>1.5901127239761937E-2</v>
      </c>
      <c r="P18" s="195">
        <f>L18/HLOOKUP(F18,Team_Composition_22[[#All],[Yellow]:[Red]],7,FALSE)</f>
        <v>8.7614031406838058E-2</v>
      </c>
      <c r="R18" s="201" t="s">
        <v>468</v>
      </c>
      <c r="S18" s="202">
        <f>SUMIFS(Scoreboard_22[Damage Dealt],Scoreboard_22[Role],"Melee DPS",Scoreboard_22[Team],"Yellow")</f>
        <v>13354715</v>
      </c>
      <c r="T18" s="203">
        <f>SUMIFS(Scoreboard_22[Damage Dealt],Scoreboard_22[Role],"Melee DPS",Scoreboard_22[Team],"Red")</f>
        <v>3360281</v>
      </c>
      <c r="V18" s="204" t="str">
        <f ca="1">IFERROR(__xludf.DUMMYFUNCTION("query(A1:P233, ""Select E,K Order by K Desc Limit 10"", 0)"),"Params")</f>
        <v>Params</v>
      </c>
      <c r="W18" s="116">
        <f ca="1">IFERROR(__xludf.DUMMYFUNCTION("""COMPUTED_VALUE"""),2087945)</f>
        <v>2087945</v>
      </c>
      <c r="Y18" s="204" t="str">
        <f ca="1">IFERROR(__xludf.DUMMYFUNCTION("query(A1:P233, ""Select E,L Order by L Desc Limit 10"", 0)"),"ToxicFell")</f>
        <v>ToxicFell</v>
      </c>
      <c r="Z18" s="116">
        <f ca="1">IFERROR(__xludf.DUMMYFUNCTION("""COMPUTED_VALUE"""),2869832)</f>
        <v>2869832</v>
      </c>
    </row>
    <row r="19" spans="1:26" ht="22.5" customHeight="1">
      <c r="A19" s="82">
        <v>60</v>
      </c>
      <c r="B19" s="115" t="str">
        <f>VLOOKUP(C19,Lists!I:J,2,FALSE)</f>
        <v>Healer</v>
      </c>
      <c r="C19" s="115" t="str">
        <f>VLOOKUP(E19,Lists!D:E,2,FALSE)</f>
        <v>Wand/Orb</v>
      </c>
      <c r="D19" s="13" t="s">
        <v>7</v>
      </c>
      <c r="E19" s="83" t="s">
        <v>91</v>
      </c>
      <c r="F19" s="13" t="s">
        <v>476</v>
      </c>
      <c r="G19" s="82">
        <v>0</v>
      </c>
      <c r="H19" s="82">
        <v>92</v>
      </c>
      <c r="I19" s="194">
        <f t="shared" si="0"/>
        <v>92</v>
      </c>
      <c r="J19" s="85">
        <v>14731</v>
      </c>
      <c r="K19" s="85">
        <v>330858</v>
      </c>
      <c r="L19" s="85">
        <v>961514</v>
      </c>
      <c r="M19" s="195">
        <f>I19/(HLOOKUP(F19,Team_Composition_22[[#All],[Yellow]:[Red]],10,FALSE)+HLOOKUP(F19,Team_Composition_22[[#All],[Yellow]:[Red]],11,FALSE))</f>
        <v>2.3427552839317547E-2</v>
      </c>
      <c r="N19" s="195">
        <f>J19/HLOOKUP(F19,Team_Composition_22[[#All],[Yellow]:[Red]],6,FALSE)</f>
        <v>3.0442864843248385E-4</v>
      </c>
      <c r="O19" s="195">
        <f>K19/HLOOKUP(F19,Team_Composition_22[[#All],[Yellow]:[Red]],8,FALSE)</f>
        <v>1.3991615044980359E-2</v>
      </c>
      <c r="P19" s="195">
        <f>L19/HLOOKUP(F19,Team_Composition_22[[#All],[Yellow]:[Red]],7,FALSE)</f>
        <v>5.8137024219779544E-2</v>
      </c>
      <c r="R19" s="201" t="s">
        <v>469</v>
      </c>
      <c r="S19" s="202">
        <f>SUMIFS(Scoreboard_22[Damage Taken],Scoreboard_22[Role],"Melee DPS",Scoreboard_22[Team],"Yellow")</f>
        <v>3347826</v>
      </c>
      <c r="T19" s="203">
        <f>SUMIFS(Scoreboard_22[Damage Taken],Scoreboard_22[Role],"Melee DPS",Scoreboard_22[Team],"Red")</f>
        <v>6068572</v>
      </c>
      <c r="V19" s="204" t="str">
        <f ca="1">IFERROR(__xludf.DUMMYFUNCTION("""COMPUTED_VALUE"""),"DiegoLASCR")</f>
        <v>DiegoLASCR</v>
      </c>
      <c r="W19" s="116">
        <f ca="1">IFERROR(__xludf.DUMMYFUNCTION("""COMPUTED_VALUE"""),1848712)</f>
        <v>1848712</v>
      </c>
      <c r="Y19" s="204" t="str">
        <f ca="1">IFERROR(__xludf.DUMMYFUNCTION("""COMPUTED_VALUE"""),"Jisoo")</f>
        <v>Jisoo</v>
      </c>
      <c r="Z19" s="116">
        <f ca="1">IFERROR(__xludf.DUMMYFUNCTION("""COMPUTED_VALUE"""),2424645)</f>
        <v>2424645</v>
      </c>
    </row>
    <row r="20" spans="1:26" ht="22.5" customHeight="1">
      <c r="A20" s="82">
        <v>61</v>
      </c>
      <c r="B20" s="115" t="str">
        <f>VLOOKUP(C20,Lists!I:J,2,FALSE)</f>
        <v>Healer</v>
      </c>
      <c r="C20" s="115" t="str">
        <f>VLOOKUP(E20,Lists!D:E,2,FALSE)</f>
        <v>Wand/Orb</v>
      </c>
      <c r="D20" s="13" t="s">
        <v>7</v>
      </c>
      <c r="E20" s="83" t="s">
        <v>41</v>
      </c>
      <c r="F20" s="13" t="s">
        <v>476</v>
      </c>
      <c r="G20" s="82">
        <v>0</v>
      </c>
      <c r="H20" s="82">
        <v>88</v>
      </c>
      <c r="I20" s="194">
        <f t="shared" si="0"/>
        <v>88</v>
      </c>
      <c r="J20" s="85">
        <v>5337</v>
      </c>
      <c r="K20" s="85">
        <v>68248</v>
      </c>
      <c r="L20" s="85">
        <v>789891</v>
      </c>
      <c r="M20" s="195">
        <f>I20/(HLOOKUP(F20,Team_Composition_22[[#All],[Yellow]:[Red]],10,FALSE)+HLOOKUP(F20,Team_Composition_22[[#All],[Yellow]:[Red]],11,FALSE))</f>
        <v>2.2408963585434174E-2</v>
      </c>
      <c r="N20" s="195">
        <f>J20/HLOOKUP(F20,Team_Composition_22[[#All],[Yellow]:[Red]],6,FALSE)</f>
        <v>1.1029364582745003E-4</v>
      </c>
      <c r="O20" s="195">
        <f>K20/HLOOKUP(F20,Team_Composition_22[[#All],[Yellow]:[Red]],8,FALSE)</f>
        <v>2.8861316443604796E-3</v>
      </c>
      <c r="P20" s="195">
        <f>L20/HLOOKUP(F20,Team_Composition_22[[#All],[Yellow]:[Red]],7,FALSE)</f>
        <v>4.7760003700399456E-2</v>
      </c>
      <c r="R20" s="201" t="s">
        <v>470</v>
      </c>
      <c r="S20" s="202">
        <f>SUMIFS(Scoreboard_22[Amount Healed],Scoreboard_22[Role],"Melee DPS",Scoreboard_22[Team],"Yellow")</f>
        <v>100105</v>
      </c>
      <c r="T20" s="203">
        <f>SUMIFS(Scoreboard_22[Amount Healed],Scoreboard_22[Role],"Melee DPS",Scoreboard_22[Team],"Red")</f>
        <v>197873</v>
      </c>
      <c r="V20" s="204" t="str">
        <f ca="1">IFERROR(__xludf.DUMMYFUNCTION("""COMPUTED_VALUE"""),"Flacco")</f>
        <v>Flacco</v>
      </c>
      <c r="W20" s="116">
        <f ca="1">IFERROR(__xludf.DUMMYFUNCTION("""COMPUTED_VALUE"""),1840923)</f>
        <v>1840923</v>
      </c>
      <c r="Y20" s="204" t="str">
        <f ca="1">IFERROR(__xludf.DUMMYFUNCTION("""COMPUTED_VALUE"""),"Eveys")</f>
        <v>Eveys</v>
      </c>
      <c r="Z20" s="116">
        <f ca="1">IFERROR(__xludf.DUMMYFUNCTION("""COMPUTED_VALUE"""),2281257)</f>
        <v>2281257</v>
      </c>
    </row>
    <row r="21" spans="1:26" ht="22.5" customHeight="1">
      <c r="A21" s="82">
        <v>39</v>
      </c>
      <c r="B21" s="115" t="str">
        <f>VLOOKUP(C21,Lists!I:J,2,FALSE)</f>
        <v>Healer</v>
      </c>
      <c r="C21" s="115" t="s">
        <v>10</v>
      </c>
      <c r="D21" s="13" t="s">
        <v>7</v>
      </c>
      <c r="E21" s="83" t="s">
        <v>627</v>
      </c>
      <c r="F21" s="13" t="s">
        <v>476</v>
      </c>
      <c r="G21" s="82">
        <v>2</v>
      </c>
      <c r="H21" s="82">
        <v>83</v>
      </c>
      <c r="I21" s="194">
        <f t="shared" si="0"/>
        <v>85</v>
      </c>
      <c r="J21" s="85">
        <v>34887</v>
      </c>
      <c r="K21" s="85">
        <v>381060</v>
      </c>
      <c r="L21" s="85">
        <v>2082713</v>
      </c>
      <c r="M21" s="195">
        <f>I21/(HLOOKUP(F21,Team_Composition_22[[#All],[Yellow]:[Red]],10,FALSE)+HLOOKUP(F21,Team_Composition_22[[#All],[Yellow]:[Red]],11,FALSE))</f>
        <v>2.1645021645021644E-2</v>
      </c>
      <c r="N21" s="195">
        <f>J21/HLOOKUP(F21,Team_Composition_22[[#All],[Yellow]:[Red]],6,FALSE)</f>
        <v>7.2096953756459604E-4</v>
      </c>
      <c r="O21" s="195">
        <f>K21/HLOOKUP(F21,Team_Composition_22[[#All],[Yellow]:[Red]],8,FALSE)</f>
        <v>1.6114601517993266E-2</v>
      </c>
      <c r="P21" s="195">
        <f>L21/HLOOKUP(F21,Team_Composition_22[[#All],[Yellow]:[Red]],7,FALSE)</f>
        <v>0.12592924920890358</v>
      </c>
      <c r="R21" s="201" t="s">
        <v>465</v>
      </c>
      <c r="S21" s="202">
        <f>SUMIFS(Scoreboard_22[Kills],Scoreboard_22[Role],"Melee DPS",Scoreboard_22[Team],"Yellow")</f>
        <v>208</v>
      </c>
      <c r="T21" s="203">
        <f>SUMIFS(Scoreboard_22[Kills],Scoreboard_22[Role],"Melee DPS",Scoreboard_22[Team],"Red")</f>
        <v>26</v>
      </c>
      <c r="V21" s="204" t="str">
        <f ca="1">IFERROR(__xludf.DUMMYFUNCTION("""COMPUTED_VALUE"""),"GUNWALLET")</f>
        <v>GUNWALLET</v>
      </c>
      <c r="W21" s="116">
        <f ca="1">IFERROR(__xludf.DUMMYFUNCTION("""COMPUTED_VALUE"""),1703979)</f>
        <v>1703979</v>
      </c>
      <c r="Y21" s="204" t="str">
        <f ca="1">IFERROR(__xludf.DUMMYFUNCTION("""COMPUTED_VALUE"""),"stepsis孝")</f>
        <v>stepsis孝</v>
      </c>
      <c r="Z21" s="116">
        <f ca="1">IFERROR(__xludf.DUMMYFUNCTION("""COMPUTED_VALUE"""),2082713)</f>
        <v>2082713</v>
      </c>
    </row>
    <row r="22" spans="1:26" ht="22.5" customHeight="1">
      <c r="A22" s="82">
        <v>42</v>
      </c>
      <c r="B22" s="115" t="str">
        <f>VLOOKUP(C22,Lists!I:J,2,FALSE)</f>
        <v>Healer</v>
      </c>
      <c r="C22" s="115" t="str">
        <f>VLOOKUP(E22,Lists!D:E,2,FALSE)</f>
        <v>Wand/Longbow</v>
      </c>
      <c r="D22" s="13" t="s">
        <v>7</v>
      </c>
      <c r="E22" s="83" t="s">
        <v>17</v>
      </c>
      <c r="F22" s="13" t="s">
        <v>476</v>
      </c>
      <c r="G22" s="82">
        <v>1</v>
      </c>
      <c r="H22" s="82">
        <v>81</v>
      </c>
      <c r="I22" s="194">
        <f t="shared" si="0"/>
        <v>82</v>
      </c>
      <c r="J22" s="85">
        <v>112282</v>
      </c>
      <c r="K22" s="85">
        <v>281136</v>
      </c>
      <c r="L22" s="85">
        <v>1473878</v>
      </c>
      <c r="M22" s="195">
        <f>I22/(HLOOKUP(F22,Team_Composition_22[[#All],[Yellow]:[Red]],10,FALSE)+HLOOKUP(F22,Team_Composition_22[[#All],[Yellow]:[Red]],11,FALSE))</f>
        <v>2.0881079704609118E-2</v>
      </c>
      <c r="N22" s="195">
        <f>J22/HLOOKUP(F22,Team_Composition_22[[#All],[Yellow]:[Red]],6,FALSE)</f>
        <v>2.3204030617945933E-3</v>
      </c>
      <c r="O22" s="195">
        <f>K22/HLOOKUP(F22,Team_Composition_22[[#All],[Yellow]:[Red]],8,FALSE)</f>
        <v>1.1888927235507675E-2</v>
      </c>
      <c r="P22" s="195">
        <f>L22/HLOOKUP(F22,Team_Composition_22[[#All],[Yellow]:[Red]],7,FALSE)</f>
        <v>8.9116623349218244E-2</v>
      </c>
      <c r="R22" s="201" t="s">
        <v>466</v>
      </c>
      <c r="S22" s="202">
        <f>SUMIFS(Scoreboard_22[Assists],Scoreboard_22[Role],"Melee DPS",Scoreboard_22[Team],"Yellow")</f>
        <v>541</v>
      </c>
      <c r="T22" s="203">
        <f>SUMIFS(Scoreboard_22[Assists],Scoreboard_22[Role],"Melee DPS",Scoreboard_22[Team],"Red")</f>
        <v>71</v>
      </c>
      <c r="V22" s="204" t="str">
        <f ca="1">IFERROR(__xludf.DUMMYFUNCTION("""COMPUTED_VALUE"""),"Olimpico")</f>
        <v>Olimpico</v>
      </c>
      <c r="W22" s="116">
        <f ca="1">IFERROR(__xludf.DUMMYFUNCTION("""COMPUTED_VALUE"""),1632351)</f>
        <v>1632351</v>
      </c>
      <c r="Y22" s="204" t="str">
        <f ca="1">IFERROR(__xludf.DUMMYFUNCTION("""COMPUTED_VALUE"""),"MrPecan")</f>
        <v>MrPecan</v>
      </c>
      <c r="Z22" s="116">
        <f ca="1">IFERROR(__xludf.DUMMYFUNCTION("""COMPUTED_VALUE"""),2013718)</f>
        <v>2013718</v>
      </c>
    </row>
    <row r="23" spans="1:26" ht="22.5" customHeight="1">
      <c r="A23" s="82">
        <v>62</v>
      </c>
      <c r="B23" s="115" t="str">
        <f>VLOOKUP(C23,Lists!I:J,2,FALSE)</f>
        <v>Healer</v>
      </c>
      <c r="C23" s="115" t="str">
        <f>VLOOKUP(E23,Lists!D:E,2,FALSE)</f>
        <v>Wand/Orb</v>
      </c>
      <c r="D23" s="13" t="s">
        <v>7</v>
      </c>
      <c r="E23" s="83" t="s">
        <v>72</v>
      </c>
      <c r="F23" s="13" t="s">
        <v>476</v>
      </c>
      <c r="G23" s="82">
        <v>0</v>
      </c>
      <c r="H23" s="82">
        <v>81</v>
      </c>
      <c r="I23" s="194">
        <f t="shared" si="0"/>
        <v>81</v>
      </c>
      <c r="J23" s="85">
        <v>3546</v>
      </c>
      <c r="K23" s="85">
        <v>249786</v>
      </c>
      <c r="L23" s="85">
        <v>303743</v>
      </c>
      <c r="M23" s="195">
        <f>I23/(HLOOKUP(F23,Team_Composition_22[[#All],[Yellow]:[Red]],10,FALSE)+HLOOKUP(F23,Team_Composition_22[[#All],[Yellow]:[Red]],11,FALSE))</f>
        <v>2.0626432391138275E-2</v>
      </c>
      <c r="N23" s="195">
        <f>J23/HLOOKUP(F23,Team_Composition_22[[#All],[Yellow]:[Red]],6,FALSE)</f>
        <v>7.328110700845752E-5</v>
      </c>
      <c r="O23" s="195">
        <f>K23/HLOOKUP(F23,Team_Composition_22[[#All],[Yellow]:[Red]],8,FALSE)</f>
        <v>1.0563170773036965E-2</v>
      </c>
      <c r="P23" s="195">
        <f>L23/HLOOKUP(F23,Team_Composition_22[[#All],[Yellow]:[Red]],7,FALSE)</f>
        <v>1.836552993257352E-2</v>
      </c>
      <c r="R23" s="201" t="s">
        <v>24</v>
      </c>
      <c r="S23" s="202">
        <f t="shared" ref="S23:S26" si="1">COUNTIFS(C:C,R23,F:F,"Yellow")</f>
        <v>0</v>
      </c>
      <c r="T23" s="203">
        <f t="shared" ref="T23:T26" si="2">COUNTIFS(C:C,R23,F:F,"Red")</f>
        <v>2</v>
      </c>
      <c r="V23" s="204" t="str">
        <f ca="1">IFERROR(__xludf.DUMMYFUNCTION("""COMPUTED_VALUE"""),"Gum火")</f>
        <v>Gum火</v>
      </c>
      <c r="W23" s="116">
        <f ca="1">IFERROR(__xludf.DUMMYFUNCTION("""COMPUTED_VALUE"""),1616717)</f>
        <v>1616717</v>
      </c>
      <c r="Y23" s="204" t="str">
        <f ca="1">IFERROR(__xludf.DUMMYFUNCTION("""COMPUTED_VALUE"""),"Vanderネ")</f>
        <v>Vanderネ</v>
      </c>
      <c r="Z23" s="116">
        <f ca="1">IFERROR(__xludf.DUMMYFUNCTION("""COMPUTED_VALUE"""),1984907)</f>
        <v>1984907</v>
      </c>
    </row>
    <row r="24" spans="1:26" ht="22.5" customHeight="1">
      <c r="A24" s="82">
        <v>43</v>
      </c>
      <c r="B24" s="115" t="str">
        <f>VLOOKUP(C24,Lists!I:J,2,FALSE)</f>
        <v>Healer</v>
      </c>
      <c r="C24" s="115" t="str">
        <f>VLOOKUP(E24,Lists!D:E,2,FALSE)</f>
        <v>Wand/Longbow</v>
      </c>
      <c r="D24" s="13" t="s">
        <v>7</v>
      </c>
      <c r="E24" s="83" t="s">
        <v>108</v>
      </c>
      <c r="F24" s="13" t="s">
        <v>476</v>
      </c>
      <c r="G24" s="82">
        <v>1</v>
      </c>
      <c r="H24" s="82">
        <v>79</v>
      </c>
      <c r="I24" s="194">
        <f t="shared" si="0"/>
        <v>80</v>
      </c>
      <c r="J24" s="85">
        <v>66999</v>
      </c>
      <c r="K24" s="85">
        <v>204181</v>
      </c>
      <c r="L24" s="85">
        <v>1427844</v>
      </c>
      <c r="M24" s="195">
        <f>I24/(HLOOKUP(F24,Team_Composition_22[[#All],[Yellow]:[Red]],10,FALSE)+HLOOKUP(F24,Team_Composition_22[[#All],[Yellow]:[Red]],11,FALSE))</f>
        <v>2.0371785077667431E-2</v>
      </c>
      <c r="N24" s="195">
        <f>J24/HLOOKUP(F24,Team_Composition_22[[#All],[Yellow]:[Red]],6,FALSE)</f>
        <v>1.3845913391031148E-3</v>
      </c>
      <c r="O24" s="195">
        <f>K24/HLOOKUP(F24,Team_Composition_22[[#All],[Yellow]:[Red]],8,FALSE)</f>
        <v>8.6345862923040539E-3</v>
      </c>
      <c r="P24" s="195">
        <f>L24/HLOOKUP(F24,Team_Composition_22[[#All],[Yellow]:[Red]],7,FALSE)</f>
        <v>8.6333221575626465E-2</v>
      </c>
      <c r="R24" s="201" t="s">
        <v>69</v>
      </c>
      <c r="S24" s="202">
        <f t="shared" si="1"/>
        <v>5</v>
      </c>
      <c r="T24" s="203">
        <f t="shared" si="2"/>
        <v>4</v>
      </c>
      <c r="V24" s="204" t="str">
        <f ca="1">IFERROR(__xludf.DUMMYFUNCTION("""COMPUTED_VALUE"""),"Foonia")</f>
        <v>Foonia</v>
      </c>
      <c r="W24" s="116">
        <f ca="1">IFERROR(__xludf.DUMMYFUNCTION("""COMPUTED_VALUE"""),1603649)</f>
        <v>1603649</v>
      </c>
      <c r="Y24" s="204" t="str">
        <f ca="1">IFERROR(__xludf.DUMMYFUNCTION("""COMPUTED_VALUE"""),"Carolinneシ")</f>
        <v>Carolinneシ</v>
      </c>
      <c r="Z24" s="116">
        <f ca="1">IFERROR(__xludf.DUMMYFUNCTION("""COMPUTED_VALUE"""),1846303)</f>
        <v>1846303</v>
      </c>
    </row>
    <row r="25" spans="1:26" ht="22.5" customHeight="1">
      <c r="A25" s="82">
        <v>63</v>
      </c>
      <c r="B25" s="115" t="str">
        <f>VLOOKUP(C25,Lists!I:J,2,FALSE)</f>
        <v>Healer</v>
      </c>
      <c r="C25" s="115" t="str">
        <f>VLOOKUP(E25,Lists!D:E,2,FALSE)</f>
        <v>Wand/Orb</v>
      </c>
      <c r="D25" s="13" t="s">
        <v>7</v>
      </c>
      <c r="E25" s="83" t="s">
        <v>8</v>
      </c>
      <c r="F25" s="13" t="s">
        <v>476</v>
      </c>
      <c r="G25" s="82">
        <v>0</v>
      </c>
      <c r="H25" s="82">
        <v>77</v>
      </c>
      <c r="I25" s="194">
        <f t="shared" si="0"/>
        <v>77</v>
      </c>
      <c r="J25" s="85">
        <v>45968</v>
      </c>
      <c r="K25" s="85">
        <v>235307</v>
      </c>
      <c r="L25" s="85">
        <v>1483086</v>
      </c>
      <c r="M25" s="195">
        <f>I25/(HLOOKUP(F25,Team_Composition_22[[#All],[Yellow]:[Red]],10,FALSE)+HLOOKUP(F25,Team_Composition_22[[#All],[Yellow]:[Red]],11,FALSE))</f>
        <v>1.9607843137254902E-2</v>
      </c>
      <c r="N25" s="195">
        <f>J25/HLOOKUP(F25,Team_Composition_22[[#All],[Yellow]:[Red]],6,FALSE)</f>
        <v>9.4996783050332076E-4</v>
      </c>
      <c r="O25" s="195">
        <f>K25/HLOOKUP(F25,Team_Composition_22[[#All],[Yellow]:[Red]],8,FALSE)</f>
        <v>9.9508700451226596E-3</v>
      </c>
      <c r="P25" s="195">
        <f>L25/HLOOKUP(F25,Team_Composition_22[[#All],[Yellow]:[Red]],7,FALSE)</f>
        <v>8.9673376260788681E-2</v>
      </c>
      <c r="R25" s="201" t="s">
        <v>23</v>
      </c>
      <c r="S25" s="202">
        <f t="shared" si="1"/>
        <v>4</v>
      </c>
      <c r="T25" s="203">
        <f t="shared" si="2"/>
        <v>2</v>
      </c>
      <c r="V25" s="204" t="str">
        <f ca="1">IFERROR(__xludf.DUMMYFUNCTION("""COMPUTED_VALUE"""),"Loloツ")</f>
        <v>Loloツ</v>
      </c>
      <c r="W25" s="116">
        <f ca="1">IFERROR(__xludf.DUMMYFUNCTION("""COMPUTED_VALUE"""),1506578)</f>
        <v>1506578</v>
      </c>
      <c r="Y25" s="204" t="str">
        <f ca="1">IFERROR(__xludf.DUMMYFUNCTION("""COMPUTED_VALUE"""),"Gaiaia")</f>
        <v>Gaiaia</v>
      </c>
      <c r="Z25" s="116">
        <f ca="1">IFERROR(__xludf.DUMMYFUNCTION("""COMPUTED_VALUE"""),1663799)</f>
        <v>1663799</v>
      </c>
    </row>
    <row r="26" spans="1:26" ht="22.5" customHeight="1">
      <c r="A26" s="82">
        <v>33</v>
      </c>
      <c r="B26" s="115" t="str">
        <f>VLOOKUP(C26,Lists!I:J,2,FALSE)</f>
        <v>Tank</v>
      </c>
      <c r="C26" s="115" t="str">
        <f>VLOOKUP(E26,Lists!D:E,2,FALSE)</f>
        <v>SnS/Greatsword</v>
      </c>
      <c r="D26" s="13" t="s">
        <v>7</v>
      </c>
      <c r="E26" s="83" t="s">
        <v>37</v>
      </c>
      <c r="F26" s="13" t="s">
        <v>476</v>
      </c>
      <c r="G26" s="82">
        <v>5</v>
      </c>
      <c r="H26" s="82">
        <v>70</v>
      </c>
      <c r="I26" s="194">
        <f t="shared" si="0"/>
        <v>75</v>
      </c>
      <c r="J26" s="85">
        <v>437853</v>
      </c>
      <c r="K26" s="85">
        <v>225590</v>
      </c>
      <c r="L26" s="85">
        <v>5399</v>
      </c>
      <c r="M26" s="195">
        <f>I26/(HLOOKUP(F26,Team_Composition_22[[#All],[Yellow]:[Red]],10,FALSE)+HLOOKUP(F26,Team_Composition_22[[#All],[Yellow]:[Red]],11,FALSE))</f>
        <v>1.9098548510313215E-2</v>
      </c>
      <c r="N26" s="195">
        <f>J26/HLOOKUP(F26,Team_Composition_22[[#All],[Yellow]:[Red]],6,FALSE)</f>
        <v>9.0486047791805274E-3</v>
      </c>
      <c r="O26" s="195">
        <f>K26/HLOOKUP(F26,Team_Composition_22[[#All],[Yellow]:[Red]],8,FALSE)</f>
        <v>9.5399489750803042E-3</v>
      </c>
      <c r="P26" s="195">
        <f>L26/HLOOKUP(F26,Team_Composition_22[[#All],[Yellow]:[Red]],7,FALSE)</f>
        <v>3.2644537028331337E-4</v>
      </c>
      <c r="R26" s="201" t="s">
        <v>33</v>
      </c>
      <c r="S26" s="202">
        <f t="shared" si="1"/>
        <v>0</v>
      </c>
      <c r="T26" s="203">
        <f t="shared" si="2"/>
        <v>0</v>
      </c>
      <c r="V26" s="204" t="str">
        <f ca="1">IFERROR(__xludf.DUMMYFUNCTION("""COMPUTED_VALUE"""),"Thana")</f>
        <v>Thana</v>
      </c>
      <c r="W26" s="116">
        <f ca="1">IFERROR(__xludf.DUMMYFUNCTION("""COMPUTED_VALUE"""),1467714)</f>
        <v>1467714</v>
      </c>
      <c r="Y26" s="204" t="str">
        <f ca="1">IFERROR(__xludf.DUMMYFUNCTION("""COMPUTED_VALUE"""),"Krippler")</f>
        <v>Krippler</v>
      </c>
      <c r="Z26" s="116">
        <f ca="1">IFERROR(__xludf.DUMMYFUNCTION("""COMPUTED_VALUE"""),1662600)</f>
        <v>1662600</v>
      </c>
    </row>
    <row r="27" spans="1:26" ht="22.5" customHeight="1">
      <c r="A27" s="82">
        <v>64</v>
      </c>
      <c r="B27" s="115" t="str">
        <f>VLOOKUP(C27,Lists!I:J,2,FALSE)</f>
        <v>Healer</v>
      </c>
      <c r="C27" s="115" t="str">
        <f>VLOOKUP(E27,Lists!D:E,2,FALSE)</f>
        <v>Wand/Orb</v>
      </c>
      <c r="D27" s="13" t="s">
        <v>7</v>
      </c>
      <c r="E27" s="83" t="s">
        <v>121</v>
      </c>
      <c r="F27" s="13" t="s">
        <v>476</v>
      </c>
      <c r="G27" s="82">
        <v>0</v>
      </c>
      <c r="H27" s="82">
        <v>75</v>
      </c>
      <c r="I27" s="194">
        <f t="shared" si="0"/>
        <v>75</v>
      </c>
      <c r="J27" s="85">
        <v>11086</v>
      </c>
      <c r="K27" s="85">
        <v>333428</v>
      </c>
      <c r="L27" s="85">
        <v>800777</v>
      </c>
      <c r="M27" s="195">
        <f>I27/(HLOOKUP(F27,Team_Composition_22[[#All],[Yellow]:[Red]],10,FALSE)+HLOOKUP(F27,Team_Composition_22[[#All],[Yellow]:[Red]],11,FALSE))</f>
        <v>1.9098548510313215E-2</v>
      </c>
      <c r="N27" s="195">
        <f>J27/HLOOKUP(F27,Team_Composition_22[[#All],[Yellow]:[Red]],6,FALSE)</f>
        <v>2.2910162219282574E-4</v>
      </c>
      <c r="O27" s="195">
        <f>K27/HLOOKUP(F27,Team_Composition_22[[#All],[Yellow]:[Red]],8,FALSE)</f>
        <v>1.4100297472685293E-2</v>
      </c>
      <c r="P27" s="195">
        <f>L27/HLOOKUP(F27,Team_Composition_22[[#All],[Yellow]:[Red]],7,FALSE)</f>
        <v>4.8418215276784742E-2</v>
      </c>
      <c r="R27" s="204"/>
      <c r="S27" s="208"/>
      <c r="T27" s="208"/>
      <c r="V27" s="204" t="str">
        <f ca="1">IFERROR(__xludf.DUMMYFUNCTION("""COMPUTED_VALUE"""),"Krippler")</f>
        <v>Krippler</v>
      </c>
      <c r="W27" s="116">
        <f ca="1">IFERROR(__xludf.DUMMYFUNCTION("""COMPUTED_VALUE"""),1393139)</f>
        <v>1393139</v>
      </c>
      <c r="Y27" s="204" t="str">
        <f ca="1">IFERROR(__xludf.DUMMYFUNCTION("""COMPUTED_VALUE"""),"·Reina·")</f>
        <v>·Reina·</v>
      </c>
      <c r="Z27" s="116">
        <f ca="1">IFERROR(__xludf.DUMMYFUNCTION("""COMPUTED_VALUE"""),1524379)</f>
        <v>1524379</v>
      </c>
    </row>
    <row r="28" spans="1:26" ht="22.5" customHeight="1">
      <c r="A28" s="82">
        <v>11</v>
      </c>
      <c r="B28" s="115" t="str">
        <f>VLOOKUP(C28,Lists!I:J,2,FALSE)</f>
        <v>KS</v>
      </c>
      <c r="C28" s="115" t="s">
        <v>54</v>
      </c>
      <c r="D28" s="13" t="s">
        <v>7</v>
      </c>
      <c r="E28" s="83" t="s">
        <v>628</v>
      </c>
      <c r="F28" s="13" t="s">
        <v>476</v>
      </c>
      <c r="G28" s="82">
        <v>38</v>
      </c>
      <c r="H28" s="82">
        <v>36</v>
      </c>
      <c r="I28" s="194">
        <f t="shared" si="0"/>
        <v>74</v>
      </c>
      <c r="J28" s="85">
        <v>1227309</v>
      </c>
      <c r="K28" s="85">
        <v>784616</v>
      </c>
      <c r="L28" s="85">
        <v>10574</v>
      </c>
      <c r="M28" s="195">
        <f>I28/(HLOOKUP(F28,Team_Composition_22[[#All],[Yellow]:[Red]],10,FALSE)+HLOOKUP(F28,Team_Composition_22[[#All],[Yellow]:[Red]],11,FALSE))</f>
        <v>1.8843901196842372E-2</v>
      </c>
      <c r="N28" s="195">
        <f>J28/HLOOKUP(F28,Team_Composition_22[[#All],[Yellow]:[Red]],6,FALSE)</f>
        <v>2.5363384704298643E-2</v>
      </c>
      <c r="O28" s="195">
        <f>K28/HLOOKUP(F28,Team_Composition_22[[#All],[Yellow]:[Red]],8,FALSE)</f>
        <v>3.3180533733904907E-2</v>
      </c>
      <c r="P28" s="195">
        <f>L28/HLOOKUP(F28,Team_Composition_22[[#All],[Yellow]:[Red]],7,FALSE)</f>
        <v>6.3934679484640771E-4</v>
      </c>
      <c r="R28" s="6"/>
      <c r="S28" s="209"/>
      <c r="T28" s="209"/>
    </row>
    <row r="29" spans="1:26" ht="22.5" customHeight="1">
      <c r="A29" s="82">
        <v>19</v>
      </c>
      <c r="B29" s="115" t="str">
        <f>VLOOKUP(C29,Lists!I:J,2,FALSE)</f>
        <v>KS</v>
      </c>
      <c r="C29" s="115" t="str">
        <f>VLOOKUP(E29,Lists!D:E,2,FALSE)</f>
        <v>Greatsword/Dagger</v>
      </c>
      <c r="D29" s="13" t="s">
        <v>7</v>
      </c>
      <c r="E29" s="83" t="s">
        <v>110</v>
      </c>
      <c r="F29" s="13" t="s">
        <v>476</v>
      </c>
      <c r="G29" s="82">
        <v>19</v>
      </c>
      <c r="H29" s="82">
        <v>51</v>
      </c>
      <c r="I29" s="194">
        <f t="shared" si="0"/>
        <v>70</v>
      </c>
      <c r="J29" s="85">
        <v>1871112</v>
      </c>
      <c r="K29" s="85">
        <v>1467714</v>
      </c>
      <c r="L29" s="85">
        <v>57385</v>
      </c>
      <c r="M29" s="195">
        <f>I29/(HLOOKUP(F29,Team_Composition_22[[#All],[Yellow]:[Red]],10,FALSE)+HLOOKUP(F29,Team_Composition_22[[#All],[Yellow]:[Red]],11,FALSE))</f>
        <v>1.7825311942959002E-2</v>
      </c>
      <c r="N29" s="195">
        <f>J29/HLOOKUP(F29,Team_Composition_22[[#All],[Yellow]:[Red]],6,FALSE)</f>
        <v>3.8668121459901006E-2</v>
      </c>
      <c r="O29" s="195">
        <f>K29/HLOOKUP(F29,Team_Composition_22[[#All],[Yellow]:[Red]],8,FALSE)</f>
        <v>6.2067984706817736E-2</v>
      </c>
      <c r="P29" s="195">
        <f>L29/HLOOKUP(F29,Team_Composition_22[[#All],[Yellow]:[Red]],7,FALSE)</f>
        <v>3.4697291301552021E-3</v>
      </c>
      <c r="R29" s="232" t="s">
        <v>39</v>
      </c>
      <c r="S29" s="228"/>
      <c r="T29" s="228"/>
    </row>
    <row r="30" spans="1:26" ht="22.5" customHeight="1">
      <c r="A30" s="82">
        <v>20</v>
      </c>
      <c r="B30" s="115" t="str">
        <f>VLOOKUP(C30,Lists!I:J,2,FALSE)</f>
        <v>KS</v>
      </c>
      <c r="C30" s="115" t="s">
        <v>69</v>
      </c>
      <c r="D30" s="13" t="s">
        <v>7</v>
      </c>
      <c r="E30" s="83" t="s">
        <v>125</v>
      </c>
      <c r="F30" s="13" t="s">
        <v>476</v>
      </c>
      <c r="G30" s="82">
        <v>17</v>
      </c>
      <c r="H30" s="82">
        <v>45</v>
      </c>
      <c r="I30" s="194">
        <f t="shared" si="0"/>
        <v>62</v>
      </c>
      <c r="J30" s="85">
        <v>958795</v>
      </c>
      <c r="K30" s="85">
        <v>1114680</v>
      </c>
      <c r="L30" s="85">
        <v>46237</v>
      </c>
      <c r="M30" s="195">
        <f>I30/(HLOOKUP(F30,Team_Composition_22[[#All],[Yellow]:[Red]],10,FALSE)+HLOOKUP(F30,Team_Composition_22[[#All],[Yellow]:[Red]],11,FALSE))</f>
        <v>1.578813343519226E-2</v>
      </c>
      <c r="N30" s="195">
        <f>J30/HLOOKUP(F30,Team_Composition_22[[#All],[Yellow]:[Red]],6,FALSE)</f>
        <v>1.9814314437161317E-2</v>
      </c>
      <c r="O30" s="195">
        <f>K30/HLOOKUP(F30,Team_Composition_22[[#All],[Yellow]:[Red]],8,FALSE)</f>
        <v>4.7138571406279146E-2</v>
      </c>
      <c r="P30" s="195">
        <f>L30/HLOOKUP(F30,Team_Composition_22[[#All],[Yellow]:[Red]],7,FALSE)</f>
        <v>2.7956759744007333E-3</v>
      </c>
      <c r="R30" s="197" t="s">
        <v>482</v>
      </c>
      <c r="S30" s="198" t="s">
        <v>476</v>
      </c>
      <c r="T30" s="198" t="s">
        <v>483</v>
      </c>
    </row>
    <row r="31" spans="1:26" ht="22.5" customHeight="1">
      <c r="A31" s="82">
        <v>65</v>
      </c>
      <c r="B31" s="115" t="str">
        <f>VLOOKUP(C31,Lists!I:J,2,FALSE)</f>
        <v>Healer</v>
      </c>
      <c r="C31" s="115" t="str">
        <f>VLOOKUP(E31,Lists!D:E,2,FALSE)</f>
        <v>Wand/Orb</v>
      </c>
      <c r="D31" s="13" t="s">
        <v>7</v>
      </c>
      <c r="E31" s="83" t="s">
        <v>96</v>
      </c>
      <c r="F31" s="13" t="s">
        <v>476</v>
      </c>
      <c r="G31" s="82">
        <v>0</v>
      </c>
      <c r="H31" s="82">
        <v>62</v>
      </c>
      <c r="I31" s="194">
        <f t="shared" si="0"/>
        <v>62</v>
      </c>
      <c r="J31" s="85">
        <v>27995</v>
      </c>
      <c r="K31" s="85">
        <v>109462</v>
      </c>
      <c r="L31" s="85">
        <v>493753</v>
      </c>
      <c r="M31" s="195">
        <f>I31/(HLOOKUP(F31,Team_Composition_22[[#All],[Yellow]:[Red]],10,FALSE)+HLOOKUP(F31,Team_Composition_22[[#All],[Yellow]:[Red]],11,FALSE))</f>
        <v>1.578813343519226E-2</v>
      </c>
      <c r="N31" s="195">
        <f>J31/HLOOKUP(F31,Team_Composition_22[[#All],[Yellow]:[Red]],6,FALSE)</f>
        <v>5.7854049371172255E-4</v>
      </c>
      <c r="O31" s="195">
        <f>K31/HLOOKUP(F31,Team_Composition_22[[#All],[Yellow]:[Red]],8,FALSE)</f>
        <v>4.6290256425827398E-3</v>
      </c>
      <c r="P31" s="195">
        <f>L31/HLOOKUP(F31,Team_Composition_22[[#All],[Yellow]:[Red]],7,FALSE)</f>
        <v>2.9854302817836045E-2</v>
      </c>
      <c r="R31" s="201" t="s">
        <v>468</v>
      </c>
      <c r="S31" s="202">
        <f>SUMIFS(Scoreboard_22[Damage Dealt],Scoreboard_22[Role],"Ranged DPS",Scoreboard_22[Team],"Yellow")</f>
        <v>16880656</v>
      </c>
      <c r="T31" s="203">
        <f>SUMIFS(Scoreboard_22[Damage Dealt],Scoreboard_22[Role],"Ranged DPS",Scoreboard_22[Team],"Red")</f>
        <v>5792422</v>
      </c>
    </row>
    <row r="32" spans="1:26" ht="22.5" customHeight="1">
      <c r="A32" s="82">
        <v>66</v>
      </c>
      <c r="B32" s="115" t="str">
        <f>VLOOKUP(C32,Lists!I:J,2,FALSE)</f>
        <v>Healer</v>
      </c>
      <c r="C32" s="115" t="str">
        <f>VLOOKUP(E32,Lists!D:E,2,FALSE)</f>
        <v>Wand/Orb</v>
      </c>
      <c r="D32" s="13" t="s">
        <v>7</v>
      </c>
      <c r="E32" s="83" t="s">
        <v>46</v>
      </c>
      <c r="F32" s="13" t="s">
        <v>476</v>
      </c>
      <c r="G32" s="82">
        <v>0</v>
      </c>
      <c r="H32" s="82">
        <v>60</v>
      </c>
      <c r="I32" s="194">
        <f t="shared" si="0"/>
        <v>60</v>
      </c>
      <c r="J32" s="85">
        <v>3857</v>
      </c>
      <c r="K32" s="85">
        <v>569623</v>
      </c>
      <c r="L32" s="85">
        <v>522195</v>
      </c>
      <c r="M32" s="195">
        <f>I32/(HLOOKUP(F32,Team_Composition_22[[#All],[Yellow]:[Red]],10,FALSE)+HLOOKUP(F32,Team_Composition_22[[#All],[Yellow]:[Red]],11,FALSE))</f>
        <v>1.5278838808250574E-2</v>
      </c>
      <c r="N32" s="195">
        <f>J32/HLOOKUP(F32,Team_Composition_22[[#All],[Yellow]:[Red]],6,FALSE)</f>
        <v>7.9708186613542209E-5</v>
      </c>
      <c r="O32" s="195">
        <f>K32/HLOOKUP(F32,Team_Composition_22[[#All],[Yellow]:[Red]],8,FALSE)</f>
        <v>2.4088720045357365E-2</v>
      </c>
      <c r="P32" s="195">
        <f>L32/HLOOKUP(F32,Team_Composition_22[[#All],[Yellow]:[Red]],7,FALSE)</f>
        <v>3.1574021140043491E-2</v>
      </c>
      <c r="R32" s="201" t="s">
        <v>469</v>
      </c>
      <c r="S32" s="202">
        <f>SUMIFS(Scoreboard_22[Damage Taken],Scoreboard_22[Role],"Ranged DPS",Scoreboard_22[Team],"Yellow")</f>
        <v>2635502</v>
      </c>
      <c r="T32" s="203">
        <f>SUMIFS(Scoreboard_22[Damage Taken],Scoreboard_22[Role],"Ranged DPS",Scoreboard_22[Team],"Red")</f>
        <v>4872047</v>
      </c>
    </row>
    <row r="33" spans="1:20" ht="22.5" customHeight="1">
      <c r="A33" s="82">
        <v>15</v>
      </c>
      <c r="B33" s="115" t="str">
        <f>VLOOKUP(C33,Lists!I:J,2,FALSE)</f>
        <v>KS</v>
      </c>
      <c r="C33" s="115" t="str">
        <f>VLOOKUP(E33,Lists!D:E,2,FALSE)</f>
        <v>Crossbow/Dagger</v>
      </c>
      <c r="D33" s="13" t="s">
        <v>629</v>
      </c>
      <c r="E33" s="83" t="s">
        <v>229</v>
      </c>
      <c r="F33" s="13" t="s">
        <v>483</v>
      </c>
      <c r="G33" s="82">
        <v>32</v>
      </c>
      <c r="H33" s="82">
        <v>26</v>
      </c>
      <c r="I33" s="194">
        <f t="shared" si="0"/>
        <v>58</v>
      </c>
      <c r="J33" s="85">
        <v>1647644</v>
      </c>
      <c r="K33" s="85">
        <v>982003</v>
      </c>
      <c r="L33" s="85">
        <v>10359</v>
      </c>
      <c r="M33" s="195">
        <f>I33/(HLOOKUP(F33,Team_Composition_22[[#All],[Yellow]:[Red]],10,FALSE)+HLOOKUP(F33,Team_Composition_22[[#All],[Yellow]:[Red]],11,FALSE))</f>
        <v>5.0566695727986048E-2</v>
      </c>
      <c r="N33" s="195">
        <f>J33/HLOOKUP(F33,Team_Composition_22[[#All],[Yellow]:[Red]],6,FALSE)</f>
        <v>7.3353175914925767E-2</v>
      </c>
      <c r="O33" s="195">
        <f>K33/HLOOKUP(F33,Team_Composition_22[[#All],[Yellow]:[Red]],8,FALSE)</f>
        <v>2.0765526624411133E-2</v>
      </c>
      <c r="P33" s="195">
        <f>L33/HLOOKUP(F33,Team_Composition_22[[#All],[Yellow]:[Red]],7,FALSE)</f>
        <v>3.5685679542459914E-4</v>
      </c>
      <c r="R33" s="201" t="s">
        <v>470</v>
      </c>
      <c r="S33" s="202">
        <f>SUMIFS(Scoreboard_22[Amount Healed],Scoreboard_22[Role],"Ranged DPS",Scoreboard_22[Team],"Yellow")</f>
        <v>145350</v>
      </c>
      <c r="T33" s="203">
        <f>SUMIFS(Scoreboard_22[Amount Healed],Scoreboard_22[Role],"Ranged DPS",Scoreboard_22[Team],"Red")</f>
        <v>131067</v>
      </c>
    </row>
    <row r="34" spans="1:20" ht="22.5" customHeight="1">
      <c r="A34" s="82">
        <v>44</v>
      </c>
      <c r="B34" s="115" t="str">
        <f>VLOOKUP(C34,Lists!I:J,2,FALSE)</f>
        <v>Healer</v>
      </c>
      <c r="C34" s="115" t="str">
        <f>VLOOKUP(E34,Lists!D:E,2,FALSE)</f>
        <v>Wand/Longbow</v>
      </c>
      <c r="D34" s="13" t="s">
        <v>7</v>
      </c>
      <c r="E34" s="83" t="s">
        <v>29</v>
      </c>
      <c r="F34" s="13" t="s">
        <v>476</v>
      </c>
      <c r="G34" s="82">
        <v>1</v>
      </c>
      <c r="H34" s="82">
        <v>57</v>
      </c>
      <c r="I34" s="194">
        <f t="shared" si="0"/>
        <v>58</v>
      </c>
      <c r="J34" s="85">
        <v>127355</v>
      </c>
      <c r="K34" s="85">
        <v>107826</v>
      </c>
      <c r="L34" s="85">
        <v>1408132</v>
      </c>
      <c r="M34" s="195">
        <f>I34/(HLOOKUP(F34,Team_Composition_22[[#All],[Yellow]:[Red]],10,FALSE)+HLOOKUP(F34,Team_Composition_22[[#All],[Yellow]:[Red]],11,FALSE))</f>
        <v>1.4769544181308887E-2</v>
      </c>
      <c r="N34" s="195">
        <f>J34/HLOOKUP(F34,Team_Composition_22[[#All],[Yellow]:[Red]],6,FALSE)</f>
        <v>2.6318994312075879E-3</v>
      </c>
      <c r="O34" s="195">
        <f>K34/HLOOKUP(F34,Team_Composition_22[[#All],[Yellow]:[Red]],8,FALSE)</f>
        <v>4.5598410310164848E-3</v>
      </c>
      <c r="P34" s="195">
        <f>L34/HLOOKUP(F34,Team_Composition_22[[#All],[Yellow]:[Red]],7,FALSE)</f>
        <v>8.5141354352247192E-2</v>
      </c>
      <c r="R34" s="201" t="s">
        <v>465</v>
      </c>
      <c r="S34" s="202">
        <f>SUMIFS(Scoreboard_22[Kills],Scoreboard_22[Role],"Ranged DPS",Scoreboard_22[Team],"Yellow")</f>
        <v>221</v>
      </c>
      <c r="T34" s="203">
        <f>SUMIFS(Scoreboard_22[Kills],Scoreboard_22[Role],"Ranged DPS",Scoreboard_22[Team],"Red")</f>
        <v>24</v>
      </c>
    </row>
    <row r="35" spans="1:20" ht="22.5" customHeight="1">
      <c r="A35" s="82">
        <v>16</v>
      </c>
      <c r="B35" s="115" t="str">
        <f>VLOOKUP(C35,Lists!I:J,2,FALSE)</f>
        <v>KS</v>
      </c>
      <c r="C35" s="115" t="str">
        <f>VLOOKUP(E35,Lists!D:E,2,FALSE)</f>
        <v>Crossbow/Dagger</v>
      </c>
      <c r="D35" s="13" t="s">
        <v>629</v>
      </c>
      <c r="E35" s="83" t="s">
        <v>227</v>
      </c>
      <c r="F35" s="13" t="s">
        <v>483</v>
      </c>
      <c r="G35" s="82">
        <v>31</v>
      </c>
      <c r="H35" s="82">
        <v>23</v>
      </c>
      <c r="I35" s="194">
        <f t="shared" si="0"/>
        <v>54</v>
      </c>
      <c r="J35" s="85">
        <v>1502471</v>
      </c>
      <c r="K35" s="85">
        <v>1032987</v>
      </c>
      <c r="L35" s="85">
        <v>15352</v>
      </c>
      <c r="M35" s="195">
        <f>I35/(HLOOKUP(F35,Team_Composition_22[[#All],[Yellow]:[Red]],10,FALSE)+HLOOKUP(F35,Team_Composition_22[[#All],[Yellow]:[Red]],11,FALSE))</f>
        <v>4.7079337401918046E-2</v>
      </c>
      <c r="N35" s="195">
        <f>J35/HLOOKUP(F35,Team_Composition_22[[#All],[Yellow]:[Red]],6,FALSE)</f>
        <v>6.6890068224734492E-2</v>
      </c>
      <c r="O35" s="195">
        <f>K35/HLOOKUP(F35,Team_Composition_22[[#All],[Yellow]:[Red]],8,FALSE)</f>
        <v>2.1843639022661423E-2</v>
      </c>
      <c r="P35" s="195">
        <f>L35/HLOOKUP(F35,Team_Composition_22[[#All],[Yellow]:[Red]],7,FALSE)</f>
        <v>5.2886046175870704E-4</v>
      </c>
      <c r="R35" s="201" t="s">
        <v>466</v>
      </c>
      <c r="S35" s="202">
        <f>SUMIFS(Scoreboard_22[Assists],Scoreboard_22[Role],"Ranged DPS",Scoreboard_22[Team],"Yellow")</f>
        <v>569</v>
      </c>
      <c r="T35" s="203">
        <f>SUMIFS(Scoreboard_22[Assists],Scoreboard_22[Role],"Ranged DPS",Scoreboard_22[Team],"Red")</f>
        <v>60</v>
      </c>
    </row>
    <row r="36" spans="1:20" ht="22.5" customHeight="1">
      <c r="A36" s="82">
        <v>67</v>
      </c>
      <c r="B36" s="115" t="str">
        <f>VLOOKUP(C36,Lists!I:J,2,FALSE)</f>
        <v>Healer</v>
      </c>
      <c r="C36" s="115" t="str">
        <f>VLOOKUP(E36,Lists!D:E,2,FALSE)</f>
        <v>Wand/Longbow</v>
      </c>
      <c r="D36" s="13" t="s">
        <v>629</v>
      </c>
      <c r="E36" s="83" t="s">
        <v>192</v>
      </c>
      <c r="F36" s="13" t="s">
        <v>483</v>
      </c>
      <c r="G36" s="82">
        <v>0</v>
      </c>
      <c r="H36" s="82">
        <v>51</v>
      </c>
      <c r="I36" s="194">
        <f t="shared" si="0"/>
        <v>51</v>
      </c>
      <c r="J36" s="85">
        <v>30260</v>
      </c>
      <c r="K36" s="85">
        <v>747145</v>
      </c>
      <c r="L36" s="85">
        <v>1984907</v>
      </c>
      <c r="M36" s="195">
        <f>I36/(HLOOKUP(F36,Team_Composition_22[[#All],[Yellow]:[Red]],10,FALSE)+HLOOKUP(F36,Team_Composition_22[[#All],[Yellow]:[Red]],11,FALSE))</f>
        <v>4.4463818657367045E-2</v>
      </c>
      <c r="N36" s="195">
        <f>J36/HLOOKUP(F36,Team_Composition_22[[#All],[Yellow]:[Red]],6,FALSE)</f>
        <v>1.3471763944065912E-3</v>
      </c>
      <c r="O36" s="195">
        <f>K36/HLOOKUP(F36,Team_Composition_22[[#All],[Yellow]:[Red]],8,FALSE)</f>
        <v>1.5799197548068241E-2</v>
      </c>
      <c r="P36" s="195">
        <f>L36/HLOOKUP(F36,Team_Composition_22[[#All],[Yellow]:[Red]],7,FALSE)</f>
        <v>6.8377985446071515E-2</v>
      </c>
      <c r="R36" s="201" t="s">
        <v>54</v>
      </c>
      <c r="S36" s="202">
        <f t="shared" ref="S36:S48" si="3">COUNTIFS(C:C,R36,F:F,"Yellow")</f>
        <v>2</v>
      </c>
      <c r="T36" s="203">
        <f t="shared" ref="T36:T48" si="4">COUNTIFS(C:C,R36,F:F,"Red")</f>
        <v>4</v>
      </c>
    </row>
    <row r="37" spans="1:20" ht="22.5" customHeight="1">
      <c r="A37" s="82">
        <v>36</v>
      </c>
      <c r="B37" s="115" t="str">
        <f>VLOOKUP(C37,Lists!I:J,2,FALSE)</f>
        <v>Tank</v>
      </c>
      <c r="C37" s="115" t="str">
        <f>VLOOKUP(E37,Lists!D:E,2,FALSE)</f>
        <v>SnS/Greatsword</v>
      </c>
      <c r="D37" s="13" t="s">
        <v>629</v>
      </c>
      <c r="E37" s="83" t="s">
        <v>216</v>
      </c>
      <c r="F37" s="13" t="s">
        <v>483</v>
      </c>
      <c r="G37" s="82">
        <v>4</v>
      </c>
      <c r="H37" s="82">
        <v>45</v>
      </c>
      <c r="I37" s="194">
        <f t="shared" si="0"/>
        <v>49</v>
      </c>
      <c r="J37" s="85">
        <v>396162</v>
      </c>
      <c r="K37" s="85">
        <v>700437</v>
      </c>
      <c r="L37" s="85">
        <v>65705</v>
      </c>
      <c r="M37" s="195">
        <f>I37/(HLOOKUP(F37,Team_Composition_22[[#All],[Yellow]:[Red]],10,FALSE)+HLOOKUP(F37,Team_Composition_22[[#All],[Yellow]:[Red]],11,FALSE))</f>
        <v>4.2720139494333044E-2</v>
      </c>
      <c r="N37" s="195">
        <f>J37/HLOOKUP(F37,Team_Composition_22[[#All],[Yellow]:[Red]],6,FALSE)</f>
        <v>1.7637147877095308E-2</v>
      </c>
      <c r="O37" s="195">
        <f>K37/HLOOKUP(F37,Team_Composition_22[[#All],[Yellow]:[Red]],8,FALSE)</f>
        <v>1.4811505842876917E-2</v>
      </c>
      <c r="P37" s="195">
        <f>L37/HLOOKUP(F37,Team_Composition_22[[#All],[Yellow]:[Red]],7,FALSE)</f>
        <v>2.2634690359468372E-3</v>
      </c>
      <c r="R37" s="201" t="s">
        <v>43</v>
      </c>
      <c r="S37" s="202">
        <f t="shared" si="3"/>
        <v>1</v>
      </c>
      <c r="T37" s="203">
        <f t="shared" si="4"/>
        <v>0</v>
      </c>
    </row>
    <row r="38" spans="1:20" ht="22.5" customHeight="1">
      <c r="A38" s="82">
        <v>68</v>
      </c>
      <c r="B38" s="115" t="str">
        <f>VLOOKUP(C38,Lists!I:J,2,FALSE)</f>
        <v>Healer</v>
      </c>
      <c r="C38" s="115" t="str">
        <f>VLOOKUP(E38,Lists!D:E,2,FALSE)</f>
        <v>Wand/Longbow</v>
      </c>
      <c r="D38" s="13" t="s">
        <v>629</v>
      </c>
      <c r="E38" s="83" t="s">
        <v>197</v>
      </c>
      <c r="F38" s="13" t="s">
        <v>483</v>
      </c>
      <c r="G38" s="82">
        <v>0</v>
      </c>
      <c r="H38" s="82">
        <v>47</v>
      </c>
      <c r="I38" s="194">
        <f t="shared" si="0"/>
        <v>47</v>
      </c>
      <c r="J38" s="85">
        <v>4733</v>
      </c>
      <c r="K38" s="85">
        <v>529365</v>
      </c>
      <c r="L38" s="85">
        <v>1230663</v>
      </c>
      <c r="M38" s="195">
        <f>I38/(HLOOKUP(F38,Team_Composition_22[[#All],[Yellow]:[Red]],10,FALSE)+HLOOKUP(F38,Team_Composition_22[[#All],[Yellow]:[Red]],11,FALSE))</f>
        <v>4.0976460331299043E-2</v>
      </c>
      <c r="N38" s="195">
        <f>J38/HLOOKUP(F38,Team_Composition_22[[#All],[Yellow]:[Red]],6,FALSE)</f>
        <v>2.1071334681845328E-4</v>
      </c>
      <c r="O38" s="195">
        <f>K38/HLOOKUP(F38,Team_Composition_22[[#All],[Yellow]:[Red]],8,FALSE)</f>
        <v>1.1194001445546907E-2</v>
      </c>
      <c r="P38" s="195">
        <f>L38/HLOOKUP(F38,Team_Composition_22[[#All],[Yellow]:[Red]],7,FALSE)</f>
        <v>4.2395062692115404E-2</v>
      </c>
      <c r="R38" s="201" t="s">
        <v>45</v>
      </c>
      <c r="S38" s="202">
        <f t="shared" si="3"/>
        <v>2</v>
      </c>
      <c r="T38" s="203">
        <f t="shared" si="4"/>
        <v>0</v>
      </c>
    </row>
    <row r="39" spans="1:20" ht="22.5" customHeight="1">
      <c r="A39" s="82">
        <v>18</v>
      </c>
      <c r="B39" s="115" t="str">
        <f>VLOOKUP(C39,Lists!I:J,2,FALSE)</f>
        <v>KS</v>
      </c>
      <c r="C39" s="115" t="str">
        <f>VLOOKUP(E39,Lists!D:E,2,FALSE)</f>
        <v>Crossbow/Dagger</v>
      </c>
      <c r="D39" s="13" t="s">
        <v>629</v>
      </c>
      <c r="E39" s="83" t="s">
        <v>220</v>
      </c>
      <c r="F39" s="13" t="s">
        <v>483</v>
      </c>
      <c r="G39" s="82">
        <v>20</v>
      </c>
      <c r="H39" s="82">
        <v>23</v>
      </c>
      <c r="I39" s="194">
        <f t="shared" si="0"/>
        <v>43</v>
      </c>
      <c r="J39" s="85">
        <v>859850</v>
      </c>
      <c r="K39" s="85">
        <v>406269</v>
      </c>
      <c r="L39" s="85">
        <v>17977</v>
      </c>
      <c r="M39" s="195">
        <f>I39/(HLOOKUP(F39,Team_Composition_22[[#All],[Yellow]:[Red]],10,FALSE)+HLOOKUP(F39,Team_Composition_22[[#All],[Yellow]:[Red]],11,FALSE))</f>
        <v>3.7489102005231034E-2</v>
      </c>
      <c r="N39" s="195">
        <f>J39/HLOOKUP(F39,Team_Composition_22[[#All],[Yellow]:[Red]],6,FALSE)</f>
        <v>3.8280555939540897E-2</v>
      </c>
      <c r="O39" s="195">
        <f>K39/HLOOKUP(F39,Team_Composition_22[[#All],[Yellow]:[Red]],8,FALSE)</f>
        <v>8.5910019991516182E-3</v>
      </c>
      <c r="P39" s="195">
        <f>L39/HLOOKUP(F39,Team_Composition_22[[#All],[Yellow]:[Red]],7,FALSE)</f>
        <v>6.1928898651877776E-4</v>
      </c>
      <c r="R39" s="201" t="s">
        <v>81</v>
      </c>
      <c r="S39" s="202">
        <f t="shared" si="3"/>
        <v>0</v>
      </c>
      <c r="T39" s="203">
        <f t="shared" si="4"/>
        <v>1</v>
      </c>
    </row>
    <row r="40" spans="1:20" ht="22.5" customHeight="1">
      <c r="A40" s="82">
        <v>22</v>
      </c>
      <c r="B40" s="115" t="str">
        <f>VLOOKUP(C40,Lists!I:J,2,FALSE)</f>
        <v>KS</v>
      </c>
      <c r="C40" s="115" t="str">
        <f>VLOOKUP(E40,Lists!D:E,2,FALSE)</f>
        <v>Greatsword/Dagger</v>
      </c>
      <c r="D40" s="13" t="s">
        <v>629</v>
      </c>
      <c r="E40" s="83" t="s">
        <v>221</v>
      </c>
      <c r="F40" s="13" t="s">
        <v>483</v>
      </c>
      <c r="G40" s="82">
        <v>14</v>
      </c>
      <c r="H40" s="82">
        <v>29</v>
      </c>
      <c r="I40" s="194">
        <f t="shared" si="0"/>
        <v>43</v>
      </c>
      <c r="J40" s="85">
        <v>859638</v>
      </c>
      <c r="K40" s="85">
        <v>1367048</v>
      </c>
      <c r="L40" s="85">
        <v>59137</v>
      </c>
      <c r="M40" s="195">
        <f>I40/(HLOOKUP(F40,Team_Composition_22[[#All],[Yellow]:[Red]],10,FALSE)+HLOOKUP(F40,Team_Composition_22[[#All],[Yellow]:[Red]],11,FALSE))</f>
        <v>3.7489102005231034E-2</v>
      </c>
      <c r="N40" s="195">
        <f>J40/HLOOKUP(F40,Team_Composition_22[[#All],[Yellow]:[Red]],6,FALSE)</f>
        <v>3.8271117691172946E-2</v>
      </c>
      <c r="O40" s="195">
        <f>K40/HLOOKUP(F40,Team_Composition_22[[#All],[Yellow]:[Red]],8,FALSE)</f>
        <v>2.8907723948753714E-2</v>
      </c>
      <c r="P40" s="195">
        <f>L40/HLOOKUP(F40,Team_Composition_22[[#All],[Yellow]:[Red]],7,FALSE)</f>
        <v>2.0372082547566867E-3</v>
      </c>
      <c r="R40" s="201" t="s">
        <v>48</v>
      </c>
      <c r="S40" s="202">
        <f t="shared" si="3"/>
        <v>0</v>
      </c>
      <c r="T40" s="203">
        <f t="shared" si="4"/>
        <v>0</v>
      </c>
    </row>
    <row r="41" spans="1:20" ht="22.5" customHeight="1">
      <c r="A41" s="82">
        <v>23</v>
      </c>
      <c r="B41" s="115" t="str">
        <f>VLOOKUP(C41,Lists!I:J,2,FALSE)</f>
        <v>Melee DPS</v>
      </c>
      <c r="C41" s="115" t="str">
        <f>VLOOKUP(E41,Lists!D:E,2,FALSE)</f>
        <v>Spear/Dagger</v>
      </c>
      <c r="D41" s="13" t="s">
        <v>629</v>
      </c>
      <c r="E41" s="83" t="s">
        <v>228</v>
      </c>
      <c r="F41" s="13" t="s">
        <v>483</v>
      </c>
      <c r="G41" s="82">
        <v>10</v>
      </c>
      <c r="H41" s="82">
        <v>32</v>
      </c>
      <c r="I41" s="194">
        <f t="shared" si="0"/>
        <v>42</v>
      </c>
      <c r="J41" s="85">
        <v>1836726</v>
      </c>
      <c r="K41" s="85">
        <v>1840923</v>
      </c>
      <c r="L41" s="85">
        <v>35815</v>
      </c>
      <c r="M41" s="195">
        <f>I41/(HLOOKUP(F41,Team_Composition_22[[#All],[Yellow]:[Red]],10,FALSE)+HLOOKUP(F41,Team_Composition_22[[#All],[Yellow]:[Red]],11,FALSE))</f>
        <v>3.6617262423714034E-2</v>
      </c>
      <c r="N41" s="195">
        <f>J41/HLOOKUP(F41,Team_Composition_22[[#All],[Yellow]:[Red]],6,FALSE)</f>
        <v>8.1771114018269683E-2</v>
      </c>
      <c r="O41" s="195">
        <f>K41/HLOOKUP(F41,Team_Composition_22[[#All],[Yellow]:[Red]],8,FALSE)</f>
        <v>3.8928328701634131E-2</v>
      </c>
      <c r="P41" s="195">
        <f>L41/HLOOKUP(F41,Team_Composition_22[[#All],[Yellow]:[Red]],7,FALSE)</f>
        <v>1.2337895673454984E-3</v>
      </c>
      <c r="R41" s="201" t="s">
        <v>50</v>
      </c>
      <c r="S41" s="202">
        <f t="shared" si="3"/>
        <v>0</v>
      </c>
      <c r="T41" s="203">
        <f t="shared" si="4"/>
        <v>0</v>
      </c>
    </row>
    <row r="42" spans="1:20" ht="22.5" customHeight="1">
      <c r="A42" s="82">
        <v>30</v>
      </c>
      <c r="B42" s="115" t="str">
        <f>VLOOKUP(C42,Lists!I:J,2,FALSE)</f>
        <v>KS</v>
      </c>
      <c r="C42" s="115" t="str">
        <f>VLOOKUP(E42,Lists!D:E,2,FALSE)</f>
        <v>Longbow/Dagger</v>
      </c>
      <c r="D42" s="13" t="s">
        <v>629</v>
      </c>
      <c r="E42" s="83" t="s">
        <v>225</v>
      </c>
      <c r="F42" s="13" t="s">
        <v>483</v>
      </c>
      <c r="G42" s="82">
        <v>6</v>
      </c>
      <c r="H42" s="82">
        <v>35</v>
      </c>
      <c r="I42" s="194">
        <f t="shared" si="0"/>
        <v>41</v>
      </c>
      <c r="J42" s="85">
        <v>760694</v>
      </c>
      <c r="K42" s="85">
        <v>679655</v>
      </c>
      <c r="L42" s="85">
        <v>52624</v>
      </c>
      <c r="M42" s="195">
        <f>I42/(HLOOKUP(F42,Team_Composition_22[[#All],[Yellow]:[Red]],10,FALSE)+HLOOKUP(F42,Team_Composition_22[[#All],[Yellow]:[Red]],11,FALSE))</f>
        <v>3.5745422842197033E-2</v>
      </c>
      <c r="N42" s="195">
        <f>J42/HLOOKUP(F42,Team_Composition_22[[#All],[Yellow]:[Red]],6,FALSE)</f>
        <v>3.3866126905708116E-2</v>
      </c>
      <c r="O42" s="195">
        <f>K42/HLOOKUP(F42,Team_Composition_22[[#All],[Yellow]:[Red]],8,FALSE)</f>
        <v>1.4372047741110923E-2</v>
      </c>
      <c r="P42" s="195">
        <f>L42/HLOOKUP(F42,Team_Composition_22[[#All],[Yellow]:[Red]],7,FALSE)</f>
        <v>1.8128421664662714E-3</v>
      </c>
      <c r="R42" s="201" t="s">
        <v>52</v>
      </c>
      <c r="S42" s="202">
        <f t="shared" si="3"/>
        <v>0</v>
      </c>
      <c r="T42" s="203">
        <f t="shared" si="4"/>
        <v>0</v>
      </c>
    </row>
    <row r="43" spans="1:20" ht="22.5" customHeight="1">
      <c r="A43" s="82">
        <v>45</v>
      </c>
      <c r="B43" s="115" t="str">
        <f>VLOOKUP(C43,Lists!I:J,2,FALSE)</f>
        <v>Tank</v>
      </c>
      <c r="C43" s="115" t="str">
        <f>VLOOKUP(E43,Lists!D:E,2,FALSE)</f>
        <v>SnS/Greatsword</v>
      </c>
      <c r="D43" s="13" t="s">
        <v>7</v>
      </c>
      <c r="E43" s="83" t="s">
        <v>119</v>
      </c>
      <c r="F43" s="13" t="s">
        <v>476</v>
      </c>
      <c r="G43" s="82">
        <v>1</v>
      </c>
      <c r="H43" s="82">
        <v>38</v>
      </c>
      <c r="I43" s="194">
        <f t="shared" si="0"/>
        <v>39</v>
      </c>
      <c r="J43" s="85">
        <v>88891</v>
      </c>
      <c r="K43" s="85">
        <v>411907</v>
      </c>
      <c r="L43" s="85">
        <v>57264</v>
      </c>
      <c r="M43" s="195">
        <f>I43/(HLOOKUP(F43,Team_Composition_22[[#All],[Yellow]:[Red]],10,FALSE)+HLOOKUP(F43,Team_Composition_22[[#All],[Yellow]:[Red]],11,FALSE))</f>
        <v>9.9312452253628725E-3</v>
      </c>
      <c r="N43" s="195">
        <f>J43/HLOOKUP(F43,Team_Composition_22[[#All],[Yellow]:[Red]],6,FALSE)</f>
        <v>1.8370081452591081E-3</v>
      </c>
      <c r="O43" s="195">
        <f>K43/HLOOKUP(F43,Team_Composition_22[[#All],[Yellow]:[Red]],8,FALSE)</f>
        <v>1.7419086672629116E-2</v>
      </c>
      <c r="P43" s="195">
        <f>L43/HLOOKUP(F43,Team_Composition_22[[#All],[Yellow]:[Red]],7,FALSE)</f>
        <v>3.4624129809045483E-3</v>
      </c>
      <c r="R43" s="201" t="s">
        <v>32</v>
      </c>
      <c r="S43" s="202">
        <f t="shared" si="3"/>
        <v>2</v>
      </c>
      <c r="T43" s="203">
        <f t="shared" si="4"/>
        <v>2</v>
      </c>
    </row>
    <row r="44" spans="1:20" ht="22.5" customHeight="1">
      <c r="A44" s="82">
        <v>69</v>
      </c>
      <c r="B44" s="115" t="str">
        <f>VLOOKUP(C44,Lists!I:J,2,FALSE)</f>
        <v>Healer</v>
      </c>
      <c r="C44" s="115" t="str">
        <f>VLOOKUP(E44,Lists!D:E,2,FALSE)</f>
        <v>Wand/Orb</v>
      </c>
      <c r="D44" s="13" t="s">
        <v>629</v>
      </c>
      <c r="E44" s="83" t="s">
        <v>201</v>
      </c>
      <c r="F44" s="13" t="s">
        <v>483</v>
      </c>
      <c r="G44" s="82">
        <v>0</v>
      </c>
      <c r="H44" s="82">
        <v>39</v>
      </c>
      <c r="I44" s="194">
        <f t="shared" si="0"/>
        <v>39</v>
      </c>
      <c r="J44" s="85">
        <v>73769</v>
      </c>
      <c r="K44" s="85">
        <v>615418</v>
      </c>
      <c r="L44" s="85">
        <v>824679</v>
      </c>
      <c r="M44" s="195">
        <f>I44/(HLOOKUP(F44,Team_Composition_22[[#All],[Yellow]:[Red]],10,FALSE)+HLOOKUP(F44,Team_Composition_22[[#All],[Yellow]:[Red]],11,FALSE))</f>
        <v>3.4001743679163032E-2</v>
      </c>
      <c r="N44" s="195">
        <f>J44/HLOOKUP(F44,Team_Composition_22[[#All],[Yellow]:[Red]],6,FALSE)</f>
        <v>3.2841987917706489E-3</v>
      </c>
      <c r="O44" s="195">
        <f>K44/HLOOKUP(F44,Team_Composition_22[[#All],[Yellow]:[Red]],8,FALSE)</f>
        <v>1.3013686174219276E-2</v>
      </c>
      <c r="P44" s="195">
        <f>L44/HLOOKUP(F44,Team_Composition_22[[#All],[Yellow]:[Red]],7,FALSE)</f>
        <v>2.8409335379280143E-2</v>
      </c>
      <c r="R44" s="201" t="s">
        <v>56</v>
      </c>
      <c r="S44" s="202">
        <f t="shared" si="3"/>
        <v>0</v>
      </c>
      <c r="T44" s="203">
        <f t="shared" si="4"/>
        <v>1</v>
      </c>
    </row>
    <row r="45" spans="1:20" ht="22.5" customHeight="1">
      <c r="A45" s="82">
        <v>27</v>
      </c>
      <c r="B45" s="115" t="str">
        <f>VLOOKUP(C45,Lists!I:J,2,FALSE)</f>
        <v>KS</v>
      </c>
      <c r="C45" s="115" t="s">
        <v>69</v>
      </c>
      <c r="D45" s="13" t="s">
        <v>629</v>
      </c>
      <c r="E45" s="83" t="s">
        <v>232</v>
      </c>
      <c r="F45" s="13" t="s">
        <v>483</v>
      </c>
      <c r="G45" s="82">
        <v>9</v>
      </c>
      <c r="H45" s="82">
        <v>29</v>
      </c>
      <c r="I45" s="194">
        <f t="shared" si="0"/>
        <v>38</v>
      </c>
      <c r="J45" s="85">
        <v>725550</v>
      </c>
      <c r="K45" s="85">
        <v>1241390</v>
      </c>
      <c r="L45" s="85">
        <v>59137</v>
      </c>
      <c r="M45" s="195">
        <f>I45/(HLOOKUP(F45,Team_Composition_22[[#All],[Yellow]:[Red]],10,FALSE)+HLOOKUP(F45,Team_Composition_22[[#All],[Yellow]:[Red]],11,FALSE))</f>
        <v>3.3129904097646032E-2</v>
      </c>
      <c r="N45" s="195">
        <f>J45/HLOOKUP(F45,Team_Composition_22[[#All],[Yellow]:[Red]],6,FALSE)</f>
        <v>3.2301514638522877E-2</v>
      </c>
      <c r="O45" s="195">
        <f>K45/HLOOKUP(F45,Team_Composition_22[[#All],[Yellow]:[Red]],8,FALSE)</f>
        <v>2.6250548212457332E-2</v>
      </c>
      <c r="P45" s="195">
        <f>L45/HLOOKUP(F45,Team_Composition_22[[#All],[Yellow]:[Red]],7,FALSE)</f>
        <v>2.0372082547566867E-3</v>
      </c>
      <c r="R45" s="201" t="s">
        <v>58</v>
      </c>
      <c r="S45" s="202">
        <f t="shared" si="3"/>
        <v>0</v>
      </c>
      <c r="T45" s="203">
        <f t="shared" si="4"/>
        <v>1</v>
      </c>
    </row>
    <row r="46" spans="1:20" ht="22.5" customHeight="1">
      <c r="A46" s="82">
        <v>70</v>
      </c>
      <c r="B46" s="115" t="str">
        <f>VLOOKUP(C46,Lists!I:J,2,FALSE)</f>
        <v>Tank</v>
      </c>
      <c r="C46" s="115" t="str">
        <f>VLOOKUP(E46,Lists!D:E,2,FALSE)</f>
        <v>SnS/Greatsword</v>
      </c>
      <c r="D46" s="13" t="s">
        <v>7</v>
      </c>
      <c r="E46" s="83" t="s">
        <v>117</v>
      </c>
      <c r="F46" s="13" t="s">
        <v>476</v>
      </c>
      <c r="G46" s="82">
        <v>0</v>
      </c>
      <c r="H46" s="82">
        <v>38</v>
      </c>
      <c r="I46" s="194">
        <f t="shared" si="0"/>
        <v>38</v>
      </c>
      <c r="J46" s="85">
        <v>72237</v>
      </c>
      <c r="K46" s="85">
        <v>323220</v>
      </c>
      <c r="L46" s="85">
        <v>13257</v>
      </c>
      <c r="M46" s="195">
        <f>I46/(HLOOKUP(F46,Team_Composition_22[[#All],[Yellow]:[Red]],10,FALSE)+HLOOKUP(F46,Team_Composition_22[[#All],[Yellow]:[Red]],11,FALSE))</f>
        <v>9.6765979118920292E-3</v>
      </c>
      <c r="N46" s="195">
        <f>J46/HLOOKUP(F46,Team_Composition_22[[#All],[Yellow]:[Red]],6,FALSE)</f>
        <v>1.4928390656993643E-3</v>
      </c>
      <c r="O46" s="195">
        <f>K46/HLOOKUP(F46,Team_Composition_22[[#All],[Yellow]:[Red]],8,FALSE)</f>
        <v>1.3668612561396586E-2</v>
      </c>
      <c r="P46" s="195">
        <f>L46/HLOOKUP(F46,Team_Composition_22[[#All],[Yellow]:[Red]],7,FALSE)</f>
        <v>8.0157182327206613E-4</v>
      </c>
      <c r="R46" s="201"/>
      <c r="S46" s="202">
        <f t="shared" si="3"/>
        <v>0</v>
      </c>
      <c r="T46" s="203">
        <f t="shared" si="4"/>
        <v>1</v>
      </c>
    </row>
    <row r="47" spans="1:20" ht="22.5" customHeight="1">
      <c r="A47" s="82">
        <v>47</v>
      </c>
      <c r="B47" s="115" t="str">
        <f>VLOOKUP(C47,Lists!I:J,2,FALSE)</f>
        <v>Tank</v>
      </c>
      <c r="C47" s="115" t="str">
        <f>VLOOKUP(E47,Lists!D:E,2,FALSE)</f>
        <v>SnS/Greatsword</v>
      </c>
      <c r="D47" s="13" t="s">
        <v>629</v>
      </c>
      <c r="E47" s="83" t="s">
        <v>208</v>
      </c>
      <c r="F47" s="13" t="s">
        <v>483</v>
      </c>
      <c r="G47" s="82">
        <v>9</v>
      </c>
      <c r="H47" s="82">
        <v>27</v>
      </c>
      <c r="I47" s="194">
        <f t="shared" si="0"/>
        <v>36</v>
      </c>
      <c r="J47" s="85">
        <v>221799</v>
      </c>
      <c r="K47" s="85">
        <v>701047</v>
      </c>
      <c r="L47" s="85">
        <v>99436</v>
      </c>
      <c r="M47" s="195">
        <f>I47/(HLOOKUP(F47,Team_Composition_22[[#All],[Yellow]:[Red]],10,FALSE)+HLOOKUP(F47,Team_Composition_22[[#All],[Yellow]:[Red]],11,FALSE))</f>
        <v>3.1386224934612031E-2</v>
      </c>
      <c r="N47" s="195">
        <f>J47/HLOOKUP(F47,Team_Composition_22[[#All],[Yellow]:[Red]],6,FALSE)</f>
        <v>9.8745002347319089E-3</v>
      </c>
      <c r="O47" s="195">
        <f>K47/HLOOKUP(F47,Team_Composition_22[[#All],[Yellow]:[Red]],8,FALSE)</f>
        <v>1.4824404959520034E-2</v>
      </c>
      <c r="P47" s="195">
        <f>L47/HLOOKUP(F47,Team_Composition_22[[#All],[Yellow]:[Red]],7,FALSE)</f>
        <v>3.4254669668732926E-3</v>
      </c>
      <c r="R47" s="201" t="s">
        <v>60</v>
      </c>
      <c r="S47" s="202">
        <f t="shared" si="3"/>
        <v>0</v>
      </c>
      <c r="T47" s="203">
        <f t="shared" si="4"/>
        <v>0</v>
      </c>
    </row>
    <row r="48" spans="1:20" ht="22.5" customHeight="1">
      <c r="A48" s="82">
        <v>37</v>
      </c>
      <c r="B48" s="115" t="str">
        <f>VLOOKUP(C48,Lists!I:J,2,FALSE)</f>
        <v>Tank</v>
      </c>
      <c r="C48" s="115" t="str">
        <f>VLOOKUP(E48,Lists!D:E,2,FALSE)</f>
        <v>SnS/Greatsword</v>
      </c>
      <c r="D48" s="13" t="s">
        <v>7</v>
      </c>
      <c r="E48" s="83" t="s">
        <v>85</v>
      </c>
      <c r="F48" s="13" t="s">
        <v>476</v>
      </c>
      <c r="G48" s="82">
        <v>3</v>
      </c>
      <c r="H48" s="82">
        <v>33</v>
      </c>
      <c r="I48" s="194">
        <f t="shared" si="0"/>
        <v>36</v>
      </c>
      <c r="J48" s="85">
        <v>199319</v>
      </c>
      <c r="K48" s="85">
        <v>264235</v>
      </c>
      <c r="L48" s="85">
        <v>30799</v>
      </c>
      <c r="M48" s="195">
        <f>I48/(HLOOKUP(F48,Team_Composition_22[[#All],[Yellow]:[Red]],10,FALSE)+HLOOKUP(F48,Team_Composition_22[[#All],[Yellow]:[Red]],11,FALSE))</f>
        <v>9.1673032849503445E-3</v>
      </c>
      <c r="N48" s="195">
        <f>J48/HLOOKUP(F48,Team_Composition_22[[#All],[Yellow]:[Red]],6,FALSE)</f>
        <v>4.1190967196330355E-3</v>
      </c>
      <c r="O48" s="195">
        <f>K48/HLOOKUP(F48,Team_Composition_22[[#All],[Yellow]:[Red]],8,FALSE)</f>
        <v>1.1174202834480004E-2</v>
      </c>
      <c r="P48" s="195">
        <f>L48/HLOOKUP(F48,Team_Composition_22[[#All],[Yellow]:[Red]],7,FALSE)</f>
        <v>1.8622320724867138E-3</v>
      </c>
      <c r="R48" s="201" t="s">
        <v>63</v>
      </c>
      <c r="S48" s="202">
        <f t="shared" si="3"/>
        <v>0</v>
      </c>
      <c r="T48" s="203">
        <f t="shared" si="4"/>
        <v>0</v>
      </c>
    </row>
    <row r="49" spans="1:20" ht="22.5" customHeight="1">
      <c r="A49" s="82">
        <v>24</v>
      </c>
      <c r="B49" s="115" t="str">
        <f>VLOOKUP(C49,Lists!I:J,2,FALSE)</f>
        <v>KS</v>
      </c>
      <c r="C49" s="115" t="str">
        <f>VLOOKUP(E49,Lists!D:E,2,FALSE)</f>
        <v>Greatsword/Dagger</v>
      </c>
      <c r="D49" s="13" t="s">
        <v>629</v>
      </c>
      <c r="E49" s="83" t="s">
        <v>218</v>
      </c>
      <c r="F49" s="13" t="s">
        <v>483</v>
      </c>
      <c r="G49" s="82">
        <v>10</v>
      </c>
      <c r="H49" s="82">
        <v>25</v>
      </c>
      <c r="I49" s="194">
        <f t="shared" si="0"/>
        <v>35</v>
      </c>
      <c r="J49" s="85">
        <v>991556</v>
      </c>
      <c r="K49" s="85">
        <v>1506578</v>
      </c>
      <c r="L49" s="85">
        <v>42459</v>
      </c>
      <c r="M49" s="195">
        <f>I49/(HLOOKUP(F49,Team_Composition_22[[#All],[Yellow]:[Red]],10,FALSE)+HLOOKUP(F49,Team_Composition_22[[#All],[Yellow]:[Red]],11,FALSE))</f>
        <v>3.051438535309503E-2</v>
      </c>
      <c r="N49" s="195">
        <f>J49/HLOOKUP(F49,Team_Composition_22[[#All],[Yellow]:[Red]],6,FALSE)</f>
        <v>4.4144112258169929E-2</v>
      </c>
      <c r="O49" s="195">
        <f>K49/HLOOKUP(F49,Team_Composition_22[[#All],[Yellow]:[Red]],8,FALSE)</f>
        <v>3.1858238285170287E-2</v>
      </c>
      <c r="P49" s="195">
        <f>L49/HLOOKUP(F49,Team_Composition_22[[#All],[Yellow]:[Red]],7,FALSE)</f>
        <v>1.4626684696334641E-3</v>
      </c>
      <c r="R49" s="204"/>
      <c r="S49" s="208"/>
      <c r="T49" s="208"/>
    </row>
    <row r="50" spans="1:20" ht="22.5" customHeight="1">
      <c r="A50" s="82">
        <v>21</v>
      </c>
      <c r="B50" s="115" t="str">
        <f>VLOOKUP(C50,Lists!I:J,2,FALSE)</f>
        <v>KS</v>
      </c>
      <c r="C50" s="115" t="str">
        <f>VLOOKUP(E50,Lists!D:E,2,FALSE)</f>
        <v>Greatsword/Dagger</v>
      </c>
      <c r="D50" s="13" t="s">
        <v>629</v>
      </c>
      <c r="E50" s="83" t="s">
        <v>219</v>
      </c>
      <c r="F50" s="13" t="s">
        <v>483</v>
      </c>
      <c r="G50" s="82">
        <v>15</v>
      </c>
      <c r="H50" s="82">
        <v>18</v>
      </c>
      <c r="I50" s="194">
        <f t="shared" si="0"/>
        <v>33</v>
      </c>
      <c r="J50" s="85">
        <v>66109</v>
      </c>
      <c r="K50" s="85">
        <v>1253352</v>
      </c>
      <c r="L50" s="85">
        <v>28576</v>
      </c>
      <c r="M50" s="195">
        <f>I50/(HLOOKUP(F50,Team_Composition_22[[#All],[Yellow]:[Red]],10,FALSE)+HLOOKUP(F50,Team_Composition_22[[#All],[Yellow]:[Red]],11,FALSE))</f>
        <v>2.8770706190061029E-2</v>
      </c>
      <c r="N50" s="195">
        <f>J50/HLOOKUP(F50,Team_Composition_22[[#All],[Yellow]:[Red]],6,FALSE)</f>
        <v>2.9431752894192114E-3</v>
      </c>
      <c r="O50" s="195">
        <f>K50/HLOOKUP(F50,Team_Composition_22[[#All],[Yellow]:[Red]],8,FALSE)</f>
        <v>2.650349777521957E-2</v>
      </c>
      <c r="P50" s="195">
        <f>L50/HLOOKUP(F50,Team_Composition_22[[#All],[Yellow]:[Red]],7,FALSE)</f>
        <v>9.8441353277858336E-4</v>
      </c>
      <c r="R50" s="6"/>
      <c r="S50" s="209"/>
      <c r="T50" s="209"/>
    </row>
    <row r="51" spans="1:20" ht="22.5" customHeight="1">
      <c r="A51" s="82">
        <v>46</v>
      </c>
      <c r="B51" s="115" t="str">
        <f>VLOOKUP(C51,Lists!I:J,2,FALSE)</f>
        <v>Tank</v>
      </c>
      <c r="C51" s="115" t="str">
        <f>VLOOKUP(E51,Lists!D:E,2,FALSE)</f>
        <v>SnS/Spear</v>
      </c>
      <c r="D51" s="13" t="s">
        <v>7</v>
      </c>
      <c r="E51" s="83" t="s">
        <v>61</v>
      </c>
      <c r="F51" s="13" t="s">
        <v>476</v>
      </c>
      <c r="G51" s="82">
        <v>1</v>
      </c>
      <c r="H51" s="82">
        <v>32</v>
      </c>
      <c r="I51" s="194">
        <f t="shared" si="0"/>
        <v>33</v>
      </c>
      <c r="J51" s="85">
        <v>205928</v>
      </c>
      <c r="K51" s="85">
        <v>155860</v>
      </c>
      <c r="L51" s="85">
        <v>18140</v>
      </c>
      <c r="M51" s="195">
        <f>I51/(HLOOKUP(F51,Team_Composition_22[[#All],[Yellow]:[Red]],10,FALSE)+HLOOKUP(F51,Team_Composition_22[[#All],[Yellow]:[Red]],11,FALSE))</f>
        <v>8.4033613445378148E-3</v>
      </c>
      <c r="N51" s="195">
        <f>J51/HLOOKUP(F51,Team_Composition_22[[#All],[Yellow]:[Red]],6,FALSE)</f>
        <v>4.2556773277037906E-3</v>
      </c>
      <c r="O51" s="195">
        <f>K51/HLOOKUP(F51,Team_Composition_22[[#All],[Yellow]:[Red]],8,FALSE)</f>
        <v>6.5911452070393905E-3</v>
      </c>
      <c r="P51" s="195">
        <f>L51/HLOOKUP(F51,Team_Composition_22[[#All],[Yellow]:[Red]],7,FALSE)</f>
        <v>1.0968177471641608E-3</v>
      </c>
      <c r="R51" s="232" t="s">
        <v>67</v>
      </c>
      <c r="S51" s="228"/>
      <c r="T51" s="228"/>
    </row>
    <row r="52" spans="1:20" ht="22.5" customHeight="1">
      <c r="A52" s="82">
        <v>71</v>
      </c>
      <c r="B52" s="115" t="str">
        <f>VLOOKUP(C52,Lists!I:J,2,FALSE)</f>
        <v>Healer</v>
      </c>
      <c r="C52" s="115" t="str">
        <f>VLOOKUP(E52,Lists!D:E,2,FALSE)</f>
        <v>Wand/Orb</v>
      </c>
      <c r="D52" s="13" t="s">
        <v>629</v>
      </c>
      <c r="E52" s="83" t="s">
        <v>202</v>
      </c>
      <c r="F52" s="13" t="s">
        <v>483</v>
      </c>
      <c r="G52" s="82">
        <v>0</v>
      </c>
      <c r="H52" s="82">
        <v>32</v>
      </c>
      <c r="I52" s="194">
        <f t="shared" si="0"/>
        <v>32</v>
      </c>
      <c r="J52" s="85">
        <v>2984</v>
      </c>
      <c r="K52" s="85">
        <v>329933</v>
      </c>
      <c r="L52" s="85">
        <v>676204</v>
      </c>
      <c r="M52" s="195">
        <f>I52/(HLOOKUP(F52,Team_Composition_22[[#All],[Yellow]:[Red]],10,FALSE)+HLOOKUP(F52,Team_Composition_22[[#All],[Yellow]:[Red]],11,FALSE))</f>
        <v>2.7898866608544029E-2</v>
      </c>
      <c r="N52" s="195">
        <f>J52/HLOOKUP(F52,Team_Composition_22[[#All],[Yellow]:[Red]],6,FALSE)</f>
        <v>1.3284779778285753E-4</v>
      </c>
      <c r="O52" s="195">
        <f>K52/HLOOKUP(F52,Team_Composition_22[[#All],[Yellow]:[Red]],8,FALSE)</f>
        <v>6.9767938547762465E-3</v>
      </c>
      <c r="P52" s="195">
        <f>L52/HLOOKUP(F52,Team_Composition_22[[#All],[Yellow]:[Red]],7,FALSE)</f>
        <v>2.3294525774041473E-2</v>
      </c>
      <c r="R52" s="197" t="s">
        <v>482</v>
      </c>
      <c r="S52" s="198" t="s">
        <v>476</v>
      </c>
      <c r="T52" s="198" t="s">
        <v>483</v>
      </c>
    </row>
    <row r="53" spans="1:20" ht="22.5" customHeight="1">
      <c r="A53" s="82">
        <v>25</v>
      </c>
      <c r="B53" s="115" t="str">
        <f>VLOOKUP(C53,Lists!I:J,2,FALSE)</f>
        <v>KS</v>
      </c>
      <c r="C53" s="115" t="s">
        <v>54</v>
      </c>
      <c r="D53" s="13" t="s">
        <v>630</v>
      </c>
      <c r="E53" s="83" t="s">
        <v>402</v>
      </c>
      <c r="F53" s="13" t="s">
        <v>483</v>
      </c>
      <c r="G53" s="82">
        <v>10</v>
      </c>
      <c r="H53" s="82">
        <v>21</v>
      </c>
      <c r="I53" s="194">
        <f t="shared" si="0"/>
        <v>31</v>
      </c>
      <c r="J53" s="85">
        <v>1249656</v>
      </c>
      <c r="K53" s="85">
        <v>759470</v>
      </c>
      <c r="L53" s="85">
        <v>23991</v>
      </c>
      <c r="M53" s="195">
        <f>I53/(HLOOKUP(F53,Team_Composition_22[[#All],[Yellow]:[Red]],10,FALSE)+HLOOKUP(F53,Team_Composition_22[[#All],[Yellow]:[Red]],11,FALSE))</f>
        <v>2.7027027027027029E-2</v>
      </c>
      <c r="N53" s="195">
        <f>J53/HLOOKUP(F53,Team_Composition_22[[#All],[Yellow]:[Red]],6,FALSE)</f>
        <v>5.5634734445755563E-2</v>
      </c>
      <c r="O53" s="195">
        <f>K53/HLOOKUP(F53,Team_Composition_22[[#All],[Yellow]:[Red]],8,FALSE)</f>
        <v>1.6059823142537778E-2</v>
      </c>
      <c r="P53" s="195">
        <f>L53/HLOOKUP(F53,Team_Composition_22[[#All],[Yellow]:[Red]],7,FALSE)</f>
        <v>8.2646504286432642E-4</v>
      </c>
      <c r="R53" s="201" t="s">
        <v>468</v>
      </c>
      <c r="S53" s="202">
        <f>SUMIFS(Scoreboard_22[Damage Dealt],Scoreboard_22[Role],"Tank",Scoreboard_22[Team],"Yellow")</f>
        <v>2223955</v>
      </c>
      <c r="T53" s="203">
        <f>SUMIFS(Scoreboard_22[Damage Dealt],Scoreboard_22[Role],"Tank",Scoreboard_22[Team],"Red")</f>
        <v>4313547</v>
      </c>
    </row>
    <row r="54" spans="1:20" ht="22.5" customHeight="1">
      <c r="A54" s="82">
        <v>31</v>
      </c>
      <c r="B54" s="115" t="str">
        <f>VLOOKUP(C54,Lists!I:J,2,FALSE)</f>
        <v>Tank</v>
      </c>
      <c r="C54" s="115" t="str">
        <f>VLOOKUP(E54,Lists!D:E,2,FALSE)</f>
        <v>SnS/Greatsword</v>
      </c>
      <c r="D54" s="13" t="s">
        <v>629</v>
      </c>
      <c r="E54" s="83" t="s">
        <v>215</v>
      </c>
      <c r="F54" s="13" t="s">
        <v>483</v>
      </c>
      <c r="G54" s="82">
        <v>6</v>
      </c>
      <c r="H54" s="82">
        <v>23</v>
      </c>
      <c r="I54" s="194">
        <f t="shared" si="0"/>
        <v>29</v>
      </c>
      <c r="J54" s="85">
        <v>779410</v>
      </c>
      <c r="K54" s="85">
        <v>1121513</v>
      </c>
      <c r="L54" s="85">
        <v>161511</v>
      </c>
      <c r="M54" s="195">
        <f>I54/(HLOOKUP(F54,Team_Composition_22[[#All],[Yellow]:[Red]],10,FALSE)+HLOOKUP(F54,Team_Composition_22[[#All],[Yellow]:[Red]],11,FALSE))</f>
        <v>2.5283347863993024E-2</v>
      </c>
      <c r="N54" s="195">
        <f>J54/HLOOKUP(F54,Team_Composition_22[[#All],[Yellow]:[Red]],6,FALSE)</f>
        <v>3.4699363964456088E-2</v>
      </c>
      <c r="O54" s="195">
        <f>K54/HLOOKUP(F54,Team_Composition_22[[#All],[Yellow]:[Red]],8,FALSE)</f>
        <v>2.3715618038970557E-2</v>
      </c>
      <c r="P54" s="195">
        <f>L54/HLOOKUP(F54,Team_Composition_22[[#All],[Yellow]:[Red]],7,FALSE)</f>
        <v>5.5638862714376316E-3</v>
      </c>
      <c r="R54" s="201" t="s">
        <v>469</v>
      </c>
      <c r="S54" s="202">
        <f>SUMIFS(Scoreboard_22[Damage Taken],Scoreboard_22[Role],"Tank",Scoreboard_22[Team],"Yellow")</f>
        <v>5629280</v>
      </c>
      <c r="T54" s="203">
        <f>SUMIFS(Scoreboard_22[Damage Taken],Scoreboard_22[Role],"Tank",Scoreboard_22[Team],"Red")</f>
        <v>12930969</v>
      </c>
    </row>
    <row r="55" spans="1:20" ht="22.5" customHeight="1">
      <c r="A55" s="82">
        <v>32</v>
      </c>
      <c r="B55" s="115" t="str">
        <f>VLOOKUP(C55,Lists!I:J,2,FALSE)</f>
        <v>Melee DPS</v>
      </c>
      <c r="C55" s="115" t="str">
        <f>VLOOKUP(E55,Lists!D:E,2,FALSE)</f>
        <v>Greatsword/Spear</v>
      </c>
      <c r="D55" s="13" t="s">
        <v>629</v>
      </c>
      <c r="E55" s="83" t="s">
        <v>222</v>
      </c>
      <c r="F55" s="13" t="s">
        <v>483</v>
      </c>
      <c r="G55" s="82">
        <v>6</v>
      </c>
      <c r="H55" s="82">
        <v>21</v>
      </c>
      <c r="I55" s="194">
        <f t="shared" si="0"/>
        <v>27</v>
      </c>
      <c r="J55" s="85">
        <v>696306</v>
      </c>
      <c r="K55" s="85">
        <v>2087945</v>
      </c>
      <c r="L55" s="85">
        <v>53861</v>
      </c>
      <c r="M55" s="195">
        <f>I55/(HLOOKUP(F55,Team_Composition_22[[#All],[Yellow]:[Red]],10,FALSE)+HLOOKUP(F55,Team_Composition_22[[#All],[Yellow]:[Red]],11,FALSE))</f>
        <v>2.3539668700959023E-2</v>
      </c>
      <c r="N55" s="195">
        <f>J55/HLOOKUP(F55,Team_Composition_22[[#All],[Yellow]:[Red]],6,FALSE)</f>
        <v>3.0999570604219297E-2</v>
      </c>
      <c r="O55" s="195">
        <f>K55/HLOOKUP(F55,Team_Composition_22[[#All],[Yellow]:[Red]],8,FALSE)</f>
        <v>4.415187885149649E-2</v>
      </c>
      <c r="P55" s="195">
        <f>L55/HLOOKUP(F55,Team_Composition_22[[#All],[Yellow]:[Red]],7,FALSE)</f>
        <v>1.8554555322293979E-3</v>
      </c>
      <c r="R55" s="201" t="s">
        <v>470</v>
      </c>
      <c r="S55" s="202">
        <f>SUMIFS(Scoreboard_22[Amount Healed],Scoreboard_22[Role],"Tank",Scoreboard_22[Team],"Yellow")</f>
        <v>280679</v>
      </c>
      <c r="T55" s="203">
        <f>SUMIFS(Scoreboard_22[Amount Healed],Scoreboard_22[Role],"Tank",Scoreboard_22[Team],"Red")</f>
        <v>1444928</v>
      </c>
    </row>
    <row r="56" spans="1:20" ht="22.5" customHeight="1">
      <c r="A56" s="82">
        <v>34</v>
      </c>
      <c r="B56" s="115" t="str">
        <f>VLOOKUP(C56,Lists!I:J,2,FALSE)</f>
        <v>Ranged DPS</v>
      </c>
      <c r="C56" s="115" t="str">
        <f>VLOOKUP(E56,Lists!D:E,2,FALSE)</f>
        <v>Staff/Orb</v>
      </c>
      <c r="D56" s="13" t="s">
        <v>629</v>
      </c>
      <c r="E56" s="83" t="s">
        <v>230</v>
      </c>
      <c r="F56" s="13" t="s">
        <v>483</v>
      </c>
      <c r="G56" s="82">
        <v>5</v>
      </c>
      <c r="H56" s="82">
        <v>22</v>
      </c>
      <c r="I56" s="194">
        <f t="shared" si="0"/>
        <v>27</v>
      </c>
      <c r="J56" s="85">
        <v>1475035</v>
      </c>
      <c r="K56" s="85">
        <v>947273</v>
      </c>
      <c r="L56" s="85">
        <v>0</v>
      </c>
      <c r="M56" s="195">
        <f>I56/(HLOOKUP(F56,Team_Composition_22[[#All],[Yellow]:[Red]],10,FALSE)+HLOOKUP(F56,Team_Composition_22[[#All],[Yellow]:[Red]],11,FALSE))</f>
        <v>2.3539668700959023E-2</v>
      </c>
      <c r="N56" s="195">
        <f>J56/HLOOKUP(F56,Team_Composition_22[[#All],[Yellow]:[Red]],6,FALSE)</f>
        <v>6.566861642179532E-2</v>
      </c>
      <c r="O56" s="195">
        <f>K56/HLOOKUP(F56,Team_Composition_22[[#All],[Yellow]:[Red]],8,FALSE)</f>
        <v>2.003112281946777E-2</v>
      </c>
      <c r="P56" s="195">
        <f>L56/HLOOKUP(F56,Team_Composition_22[[#All],[Yellow]:[Red]],7,FALSE)</f>
        <v>0</v>
      </c>
      <c r="R56" s="201" t="s">
        <v>465</v>
      </c>
      <c r="S56" s="202">
        <f>SUMIFS(Scoreboard_22[Kills],Scoreboard_22[Role],"Tank",Scoreboard_22[Team],"Yellow")</f>
        <v>15</v>
      </c>
      <c r="T56" s="203">
        <f>SUMIFS(Scoreboard_22[Kills],Scoreboard_22[Role],"Tank",Scoreboard_22[Team],"Red")</f>
        <v>25</v>
      </c>
    </row>
    <row r="57" spans="1:20" ht="22.5" customHeight="1">
      <c r="A57" s="82">
        <v>72</v>
      </c>
      <c r="B57" s="115" t="str">
        <f>VLOOKUP(C57,Lists!I:J,2,FALSE)</f>
        <v>Healer</v>
      </c>
      <c r="C57" s="115" t="str">
        <f>VLOOKUP(E57,Lists!D:E,2,FALSE)</f>
        <v>Wand/Longbow</v>
      </c>
      <c r="D57" s="13" t="s">
        <v>629</v>
      </c>
      <c r="E57" s="83" t="s">
        <v>193</v>
      </c>
      <c r="F57" s="13" t="s">
        <v>483</v>
      </c>
      <c r="G57" s="82">
        <v>0</v>
      </c>
      <c r="H57" s="82">
        <v>27</v>
      </c>
      <c r="I57" s="194">
        <f t="shared" si="0"/>
        <v>27</v>
      </c>
      <c r="J57" s="85">
        <v>24344</v>
      </c>
      <c r="K57" s="85">
        <v>1033390</v>
      </c>
      <c r="L57" s="85">
        <v>1846303</v>
      </c>
      <c r="M57" s="195">
        <f>I57/(HLOOKUP(F57,Team_Composition_22[[#All],[Yellow]:[Red]],10,FALSE)+HLOOKUP(F57,Team_Composition_22[[#All],[Yellow]:[Red]],11,FALSE))</f>
        <v>2.3539668700959023E-2</v>
      </c>
      <c r="N57" s="195">
        <f>J57/HLOOKUP(F57,Team_Composition_22[[#All],[Yellow]:[Red]],6,FALSE)</f>
        <v>1.0837958408933925E-3</v>
      </c>
      <c r="O57" s="195">
        <f>K57/HLOOKUP(F57,Team_Composition_22[[#All],[Yellow]:[Red]],8,FALSE)</f>
        <v>2.1852160898083024E-2</v>
      </c>
      <c r="P57" s="195">
        <f>L57/HLOOKUP(F57,Team_Composition_22[[#All],[Yellow]:[Red]],7,FALSE)</f>
        <v>6.3603221542892524E-2</v>
      </c>
      <c r="R57" s="201" t="s">
        <v>466</v>
      </c>
      <c r="S57" s="202">
        <f>SUMIFS(Scoreboard_22[Assists],Scoreboard_22[Role],"Tank",Scoreboard_22[Team],"Yellow")</f>
        <v>339</v>
      </c>
      <c r="T57" s="203">
        <f>SUMIFS(Scoreboard_22[Assists],Scoreboard_22[Role],"Tank",Scoreboard_22[Team],"Red")</f>
        <v>162</v>
      </c>
    </row>
    <row r="58" spans="1:20" ht="22.5" customHeight="1">
      <c r="A58" s="82">
        <v>73</v>
      </c>
      <c r="B58" s="115" t="str">
        <f>VLOOKUP(C58,Lists!I:J,2,FALSE)</f>
        <v>Healer</v>
      </c>
      <c r="C58" s="115" t="str">
        <f>VLOOKUP(E58,Lists!D:E,2,FALSE)</f>
        <v>Wand/Orb</v>
      </c>
      <c r="D58" s="13" t="s">
        <v>629</v>
      </c>
      <c r="E58" s="83" t="s">
        <v>205</v>
      </c>
      <c r="F58" s="13" t="s">
        <v>483</v>
      </c>
      <c r="G58" s="82">
        <v>0</v>
      </c>
      <c r="H58" s="82">
        <v>27</v>
      </c>
      <c r="I58" s="194">
        <f t="shared" si="0"/>
        <v>27</v>
      </c>
      <c r="J58" s="85">
        <v>1764</v>
      </c>
      <c r="K58" s="85">
        <v>323070</v>
      </c>
      <c r="L58" s="85">
        <v>522155</v>
      </c>
      <c r="M58" s="195">
        <f>I58/(HLOOKUP(F58,Team_Composition_22[[#All],[Yellow]:[Red]],10,FALSE)+HLOOKUP(F58,Team_Composition_22[[#All],[Yellow]:[Red]],11,FALSE))</f>
        <v>2.3539668700959023E-2</v>
      </c>
      <c r="N58" s="195">
        <f>J58/HLOOKUP(F58,Team_Composition_22[[#All],[Yellow]:[Red]],6,FALSE)</f>
        <v>7.8533349627667775E-5</v>
      </c>
      <c r="O58" s="195">
        <f>K58/HLOOKUP(F58,Team_Composition_22[[#All],[Yellow]:[Red]],8,FALSE)</f>
        <v>6.8316682194947522E-3</v>
      </c>
      <c r="P58" s="195">
        <f>L58/HLOOKUP(F58,Team_Composition_22[[#All],[Yellow]:[Red]],7,FALSE)</f>
        <v>1.7987697655655135E-2</v>
      </c>
      <c r="R58" s="201" t="s">
        <v>62</v>
      </c>
      <c r="S58" s="202">
        <f t="shared" ref="S58:S62" si="5">COUNTIFS(C:C,R58,F:F,"Yellow")</f>
        <v>3</v>
      </c>
      <c r="T58" s="203">
        <f t="shared" ref="T58:T62" si="6">COUNTIFS(C:C,R58,F:F,"Red")</f>
        <v>0</v>
      </c>
    </row>
    <row r="59" spans="1:20" ht="22.5" customHeight="1">
      <c r="A59" s="82">
        <v>40</v>
      </c>
      <c r="B59" s="115" t="e">
        <f>VLOOKUP(C59,Lists!I:J,2,FALSE)</f>
        <v>#N/A</v>
      </c>
      <c r="C59" s="115" t="e">
        <f>VLOOKUP(E59,Lists!D:E,2,FALSE)</f>
        <v>#N/A</v>
      </c>
      <c r="D59" s="13" t="s">
        <v>7</v>
      </c>
      <c r="E59" s="83" t="s">
        <v>631</v>
      </c>
      <c r="F59" s="13" t="s">
        <v>476</v>
      </c>
      <c r="G59" s="82">
        <v>2</v>
      </c>
      <c r="H59" s="82">
        <v>24</v>
      </c>
      <c r="I59" s="194">
        <f t="shared" si="0"/>
        <v>26</v>
      </c>
      <c r="J59" s="85">
        <v>181529</v>
      </c>
      <c r="K59" s="85">
        <v>270818</v>
      </c>
      <c r="L59" s="85">
        <v>34759</v>
      </c>
      <c r="M59" s="195">
        <f>I59/(HLOOKUP(F59,Team_Composition_22[[#All],[Yellow]:[Red]],10,FALSE)+HLOOKUP(F59,Team_Composition_22[[#All],[Yellow]:[Red]],11,FALSE))</f>
        <v>6.6208301502419147E-3</v>
      </c>
      <c r="N59" s="195">
        <f>J59/HLOOKUP(F59,Team_Composition_22[[#All],[Yellow]:[Red]],6,FALSE)</f>
        <v>3.7514512335415358E-3</v>
      </c>
      <c r="O59" s="195">
        <f>K59/HLOOKUP(F59,Team_Composition_22[[#All],[Yellow]:[Red]],8,FALSE)</f>
        <v>1.1452590547157665E-2</v>
      </c>
      <c r="P59" s="195">
        <f>L59/HLOOKUP(F59,Team_Composition_22[[#All],[Yellow]:[Red]],7,FALSE)</f>
        <v>2.1016696843262992E-3</v>
      </c>
      <c r="R59" s="201" t="s">
        <v>70</v>
      </c>
      <c r="S59" s="202">
        <f t="shared" si="5"/>
        <v>0</v>
      </c>
      <c r="T59" s="203">
        <f t="shared" si="6"/>
        <v>0</v>
      </c>
    </row>
    <row r="60" spans="1:20" ht="22.5" customHeight="1">
      <c r="A60" s="82">
        <v>48</v>
      </c>
      <c r="B60" s="115" t="str">
        <f>VLOOKUP(C60,Lists!I:J,2,FALSE)</f>
        <v>Tank</v>
      </c>
      <c r="C60" s="115" t="str">
        <f>VLOOKUP(E60,Lists!D:E,2,FALSE)</f>
        <v>SnS/Greatsword</v>
      </c>
      <c r="D60" s="13" t="s">
        <v>7</v>
      </c>
      <c r="E60" s="83" t="s">
        <v>109</v>
      </c>
      <c r="F60" s="13" t="s">
        <v>476</v>
      </c>
      <c r="G60" s="82">
        <v>1</v>
      </c>
      <c r="H60" s="82">
        <v>23</v>
      </c>
      <c r="I60" s="194">
        <f t="shared" si="0"/>
        <v>24</v>
      </c>
      <c r="J60" s="85">
        <v>83439</v>
      </c>
      <c r="K60" s="85">
        <v>446109</v>
      </c>
      <c r="L60" s="85">
        <v>27895</v>
      </c>
      <c r="M60" s="195">
        <f>I60/(HLOOKUP(F60,Team_Composition_22[[#All],[Yellow]:[Red]],10,FALSE)+HLOOKUP(F60,Team_Composition_22[[#All],[Yellow]:[Red]],11,FALSE))</f>
        <v>6.1115355233002291E-3</v>
      </c>
      <c r="N60" s="195">
        <f>J60/HLOOKUP(F60,Team_Composition_22[[#All],[Yellow]:[Red]],6,FALSE)</f>
        <v>1.7243379265873343E-3</v>
      </c>
      <c r="O60" s="195">
        <f>K60/HLOOKUP(F60,Team_Composition_22[[#All],[Yellow]:[Red]],8,FALSE)</f>
        <v>1.8865451027634643E-2</v>
      </c>
      <c r="P60" s="195">
        <f>L60/HLOOKUP(F60,Team_Composition_22[[#All],[Yellow]:[Red]],7,FALSE)</f>
        <v>1.6866444904710179E-3</v>
      </c>
      <c r="R60" s="201" t="s">
        <v>14</v>
      </c>
      <c r="S60" s="202">
        <f t="shared" si="5"/>
        <v>11</v>
      </c>
      <c r="T60" s="203">
        <f t="shared" si="6"/>
        <v>10</v>
      </c>
    </row>
    <row r="61" spans="1:20" ht="22.5" customHeight="1">
      <c r="A61" s="82">
        <v>74</v>
      </c>
      <c r="B61" s="115" t="str">
        <f>VLOOKUP(C61,Lists!I:J,2,FALSE)</f>
        <v>Healer</v>
      </c>
      <c r="C61" s="115" t="str">
        <f>VLOOKUP(E61,Lists!D:E,2,FALSE)</f>
        <v>Wand/Orb</v>
      </c>
      <c r="D61" s="13" t="s">
        <v>629</v>
      </c>
      <c r="E61" s="83" t="s">
        <v>200</v>
      </c>
      <c r="F61" s="13" t="s">
        <v>483</v>
      </c>
      <c r="G61" s="82">
        <v>0</v>
      </c>
      <c r="H61" s="82">
        <v>24</v>
      </c>
      <c r="I61" s="194">
        <f t="shared" si="0"/>
        <v>24</v>
      </c>
      <c r="J61" s="85">
        <v>1811</v>
      </c>
      <c r="K61" s="85">
        <v>453585</v>
      </c>
      <c r="L61" s="85">
        <v>854725</v>
      </c>
      <c r="M61" s="195">
        <f>I61/(HLOOKUP(F61,Team_Composition_22[[#All],[Yellow]:[Red]],10,FALSE)+HLOOKUP(F61,Team_Composition_22[[#All],[Yellow]:[Red]],11,FALSE))</f>
        <v>2.0924149956408022E-2</v>
      </c>
      <c r="N61" s="195">
        <f>J61/HLOOKUP(F61,Team_Composition_22[[#All],[Yellow]:[Red]],6,FALSE)</f>
        <v>8.0625791482826729E-5</v>
      </c>
      <c r="O61" s="195">
        <f>K61/HLOOKUP(F61,Team_Composition_22[[#All],[Yellow]:[Red]],8,FALSE)</f>
        <v>9.5915505288003446E-3</v>
      </c>
      <c r="P61" s="195">
        <f>L61/HLOOKUP(F61,Team_Composition_22[[#All],[Yellow]:[Red]],7,FALSE)</f>
        <v>2.9444388885924364E-2</v>
      </c>
      <c r="R61" s="201" t="s">
        <v>73</v>
      </c>
      <c r="S61" s="202">
        <f t="shared" si="5"/>
        <v>0</v>
      </c>
      <c r="T61" s="203">
        <f t="shared" si="6"/>
        <v>0</v>
      </c>
    </row>
    <row r="62" spans="1:20" ht="22.5" customHeight="1">
      <c r="A62" s="82">
        <v>28</v>
      </c>
      <c r="B62" s="115" t="str">
        <f>VLOOKUP(C62,Lists!I:J,2,FALSE)</f>
        <v>Ranged DPS</v>
      </c>
      <c r="C62" s="115" t="str">
        <f>VLOOKUP(E62,Lists!D:E,2,FALSE)</f>
        <v>Staff/Dagger</v>
      </c>
      <c r="D62" s="13" t="s">
        <v>629</v>
      </c>
      <c r="E62" s="83" t="s">
        <v>226</v>
      </c>
      <c r="F62" s="13" t="s">
        <v>483</v>
      </c>
      <c r="G62" s="82">
        <v>7</v>
      </c>
      <c r="H62" s="82">
        <v>15</v>
      </c>
      <c r="I62" s="194">
        <f t="shared" si="0"/>
        <v>22</v>
      </c>
      <c r="J62" s="85">
        <v>1838670</v>
      </c>
      <c r="K62" s="85">
        <v>1258798</v>
      </c>
      <c r="L62" s="85">
        <v>19394</v>
      </c>
      <c r="M62" s="195">
        <f>I62/(HLOOKUP(F62,Team_Composition_22[[#All],[Yellow]:[Red]],10,FALSE)+HLOOKUP(F62,Team_Composition_22[[#All],[Yellow]:[Red]],11,FALSE))</f>
        <v>1.9180470793374021E-2</v>
      </c>
      <c r="N62" s="195">
        <f>J62/HLOOKUP(F62,Team_Composition_22[[#All],[Yellow]:[Red]],6,FALSE)</f>
        <v>8.1857660975002217E-2</v>
      </c>
      <c r="O62" s="195">
        <f>K62/HLOOKUP(F62,Team_Composition_22[[#All],[Yellow]:[Red]],8,FALSE)</f>
        <v>2.6618659396921891E-2</v>
      </c>
      <c r="P62" s="195">
        <f>L62/HLOOKUP(F62,Team_Composition_22[[#All],[Yellow]:[Red]],7,FALSE)</f>
        <v>6.681031654083092E-4</v>
      </c>
      <c r="R62" s="201" t="s">
        <v>75</v>
      </c>
      <c r="S62" s="202">
        <f t="shared" si="5"/>
        <v>0</v>
      </c>
      <c r="T62" s="203">
        <f t="shared" si="6"/>
        <v>1</v>
      </c>
    </row>
    <row r="63" spans="1:20" ht="22.5" customHeight="1">
      <c r="A63" s="82">
        <v>26</v>
      </c>
      <c r="B63" s="115" t="str">
        <f>VLOOKUP(C63,Lists!I:J,2,FALSE)</f>
        <v>Melee DPS</v>
      </c>
      <c r="C63" s="115" t="str">
        <f>VLOOKUP(E63,Lists!D:E,2,FALSE)</f>
        <v>Spear/Dagger</v>
      </c>
      <c r="D63" s="13" t="s">
        <v>629</v>
      </c>
      <c r="E63" s="83" t="s">
        <v>217</v>
      </c>
      <c r="F63" s="13" t="s">
        <v>483</v>
      </c>
      <c r="G63" s="82">
        <v>10</v>
      </c>
      <c r="H63" s="82">
        <v>9</v>
      </c>
      <c r="I63" s="194">
        <f t="shared" si="0"/>
        <v>19</v>
      </c>
      <c r="J63" s="85">
        <v>765303</v>
      </c>
      <c r="K63" s="85">
        <v>807056</v>
      </c>
      <c r="L63" s="85">
        <v>0</v>
      </c>
      <c r="M63" s="195">
        <f>I63/(HLOOKUP(F63,Team_Composition_22[[#All],[Yellow]:[Red]],10,FALSE)+HLOOKUP(F63,Team_Composition_22[[#All],[Yellow]:[Red]],11,FALSE))</f>
        <v>1.6564952048823016E-2</v>
      </c>
      <c r="N63" s="195">
        <f>J63/HLOOKUP(F63,Team_Composition_22[[#All],[Yellow]:[Red]],6,FALSE)</f>
        <v>3.4071319767632106E-2</v>
      </c>
      <c r="O63" s="195">
        <f>K63/HLOOKUP(F63,Team_Composition_22[[#All],[Yellow]:[Red]],8,FALSE)</f>
        <v>1.7066081117258044E-2</v>
      </c>
      <c r="P63" s="195">
        <f>L63/HLOOKUP(F63,Team_Composition_22[[#All],[Yellow]:[Red]],7,FALSE)</f>
        <v>0</v>
      </c>
      <c r="R63" s="204"/>
      <c r="S63" s="208"/>
      <c r="T63" s="208"/>
    </row>
    <row r="64" spans="1:20" ht="22.5" customHeight="1">
      <c r="A64" s="82">
        <v>38</v>
      </c>
      <c r="B64" s="115" t="str">
        <f>VLOOKUP(C64,Lists!I:J,2,FALSE)</f>
        <v>Tank</v>
      </c>
      <c r="C64" s="115" t="str">
        <f>VLOOKUP(E64,Lists!D:E,2,FALSE)</f>
        <v>SnS/Greatsword</v>
      </c>
      <c r="D64" s="13" t="s">
        <v>629</v>
      </c>
      <c r="E64" s="83" t="s">
        <v>214</v>
      </c>
      <c r="F64" s="13" t="s">
        <v>483</v>
      </c>
      <c r="G64" s="82">
        <v>3</v>
      </c>
      <c r="H64" s="82">
        <v>16</v>
      </c>
      <c r="I64" s="194">
        <f t="shared" si="0"/>
        <v>19</v>
      </c>
      <c r="J64" s="85">
        <v>1127754</v>
      </c>
      <c r="K64" s="85">
        <v>1603649</v>
      </c>
      <c r="L64" s="85">
        <v>70572</v>
      </c>
      <c r="M64" s="195">
        <f>I64/(HLOOKUP(F64,Team_Composition_22[[#All],[Yellow]:[Red]],10,FALSE)+HLOOKUP(F64,Team_Composition_22[[#All],[Yellow]:[Red]],11,FALSE))</f>
        <v>1.6564952048823016E-2</v>
      </c>
      <c r="N64" s="195">
        <f>J64/HLOOKUP(F64,Team_Composition_22[[#All],[Yellow]:[Red]],6,FALSE)</f>
        <v>5.0207652594104792E-2</v>
      </c>
      <c r="O64" s="195">
        <f>K64/HLOOKUP(F64,Team_Composition_22[[#All],[Yellow]:[Red]],8,FALSE)</f>
        <v>3.391091066494735E-2</v>
      </c>
      <c r="P64" s="195">
        <f>L64/HLOOKUP(F64,Team_Composition_22[[#All],[Yellow]:[Red]],7,FALSE)</f>
        <v>2.4311321330924614E-3</v>
      </c>
      <c r="R64" s="6"/>
      <c r="S64" s="209"/>
      <c r="T64" s="209"/>
    </row>
    <row r="65" spans="1:20" ht="22.5" customHeight="1">
      <c r="A65" s="82">
        <v>35</v>
      </c>
      <c r="B65" s="115" t="str">
        <f>VLOOKUP(C65,Lists!I:J,2,FALSE)</f>
        <v>Ranged DPS</v>
      </c>
      <c r="C65" s="115" t="str">
        <f>VLOOKUP(E65,Lists!D:E,2,FALSE)</f>
        <v>Staff/Dagger</v>
      </c>
      <c r="D65" s="13" t="s">
        <v>629</v>
      </c>
      <c r="E65" s="83" t="s">
        <v>231</v>
      </c>
      <c r="F65" s="13" t="s">
        <v>483</v>
      </c>
      <c r="G65" s="82">
        <v>5</v>
      </c>
      <c r="H65" s="82">
        <v>13</v>
      </c>
      <c r="I65" s="194">
        <f t="shared" si="0"/>
        <v>18</v>
      </c>
      <c r="J65" s="85">
        <v>1398814</v>
      </c>
      <c r="K65" s="85">
        <v>961997</v>
      </c>
      <c r="L65" s="85">
        <v>0</v>
      </c>
      <c r="M65" s="195">
        <f>I65/(HLOOKUP(F65,Team_Composition_22[[#All],[Yellow]:[Red]],10,FALSE)+HLOOKUP(F65,Team_Composition_22[[#All],[Yellow]:[Red]],11,FALSE))</f>
        <v>1.5693112467306015E-2</v>
      </c>
      <c r="N65" s="195">
        <f>J65/HLOOKUP(F65,Team_Composition_22[[#All],[Yellow]:[Red]],6,FALSE)</f>
        <v>6.2275254493240631E-2</v>
      </c>
      <c r="O65" s="195">
        <f>K65/HLOOKUP(F65,Team_Composition_22[[#All],[Yellow]:[Red]],8,FALSE)</f>
        <v>2.0342477890702614E-2</v>
      </c>
      <c r="P65" s="195">
        <f>L65/HLOOKUP(F65,Team_Composition_22[[#All],[Yellow]:[Red]],7,FALSE)</f>
        <v>0</v>
      </c>
      <c r="R65" s="232" t="s">
        <v>11</v>
      </c>
      <c r="S65" s="228"/>
      <c r="T65" s="228"/>
    </row>
    <row r="66" spans="1:20" ht="22.5" customHeight="1">
      <c r="A66" s="82">
        <v>75</v>
      </c>
      <c r="B66" s="115" t="str">
        <f>VLOOKUP(C66,Lists!I:J,2,FALSE)</f>
        <v>Healer</v>
      </c>
      <c r="C66" s="115" t="str">
        <f>VLOOKUP(E66,Lists!D:E,2,FALSE)</f>
        <v>Wand/Orb</v>
      </c>
      <c r="D66" s="13" t="s">
        <v>629</v>
      </c>
      <c r="E66" s="83" t="s">
        <v>203</v>
      </c>
      <c r="F66" s="13" t="s">
        <v>483</v>
      </c>
      <c r="G66" s="82">
        <v>0</v>
      </c>
      <c r="H66" s="82">
        <v>18</v>
      </c>
      <c r="I66" s="194">
        <f t="shared" si="0"/>
        <v>18</v>
      </c>
      <c r="J66" s="85">
        <v>981</v>
      </c>
      <c r="K66" s="85">
        <v>621330</v>
      </c>
      <c r="L66" s="85">
        <v>669931</v>
      </c>
      <c r="M66" s="195">
        <f>I66/(HLOOKUP(F66,Team_Composition_22[[#All],[Yellow]:[Red]],10,FALSE)+HLOOKUP(F66,Team_Composition_22[[#All],[Yellow]:[Red]],11,FALSE))</f>
        <v>1.5693112467306015E-2</v>
      </c>
      <c r="N66" s="195">
        <f>J66/HLOOKUP(F66,Team_Composition_22[[#All],[Yellow]:[Red]],6,FALSE)</f>
        <v>4.3674158721509123E-5</v>
      </c>
      <c r="O66" s="195">
        <f>K66/HLOOKUP(F66,Team_Composition_22[[#All],[Yellow]:[Red]],8,FALSE)</f>
        <v>1.3138701875193223E-2</v>
      </c>
      <c r="P66" s="195">
        <f>L66/HLOOKUP(F66,Team_Composition_22[[#All],[Yellow]:[Red]],7,FALSE)</f>
        <v>2.3078427436586266E-2</v>
      </c>
      <c r="R66" s="197" t="s">
        <v>482</v>
      </c>
      <c r="S66" s="198" t="s">
        <v>476</v>
      </c>
      <c r="T66" s="198" t="s">
        <v>483</v>
      </c>
    </row>
    <row r="67" spans="1:20" ht="22.5" customHeight="1">
      <c r="A67" s="82">
        <v>29</v>
      </c>
      <c r="B67" s="115" t="str">
        <f>VLOOKUP(C67,Lists!I:J,2,FALSE)</f>
        <v>Ranged DPS</v>
      </c>
      <c r="C67" s="115" t="str">
        <f>VLOOKUP(Lists!D303,Lists!D:E,2,FALSE)</f>
        <v>Staff/Longbow</v>
      </c>
      <c r="D67" s="13" t="s">
        <v>629</v>
      </c>
      <c r="E67" s="83" t="s">
        <v>224</v>
      </c>
      <c r="F67" s="13" t="s">
        <v>483</v>
      </c>
      <c r="G67" s="82">
        <v>7</v>
      </c>
      <c r="H67" s="82">
        <v>10</v>
      </c>
      <c r="I67" s="194">
        <f t="shared" si="0"/>
        <v>17</v>
      </c>
      <c r="J67" s="85">
        <v>1079903</v>
      </c>
      <c r="K67" s="85">
        <v>1703979</v>
      </c>
      <c r="L67" s="85">
        <v>111673</v>
      </c>
      <c r="M67" s="195">
        <f>I67/(HLOOKUP(F67,Team_Composition_22[[#All],[Yellow]:[Red]],10,FALSE)+HLOOKUP(F67,Team_Composition_22[[#All],[Yellow]:[Red]],11,FALSE))</f>
        <v>1.4821272885789015E-2</v>
      </c>
      <c r="N67" s="195">
        <f>J67/HLOOKUP(F67,Team_Composition_22[[#All],[Yellow]:[Red]],6,FALSE)</f>
        <v>4.8077324185355624E-2</v>
      </c>
      <c r="O67" s="195">
        <f>K67/HLOOKUP(F67,Team_Composition_22[[#All],[Yellow]:[Red]],8,FALSE)</f>
        <v>3.6032498161347223E-2</v>
      </c>
      <c r="P67" s="195">
        <f>L67/HLOOKUP(F67,Team_Composition_22[[#All],[Yellow]:[Red]],7,FALSE)</f>
        <v>3.8470189125833824E-3</v>
      </c>
      <c r="R67" s="201" t="s">
        <v>468</v>
      </c>
      <c r="S67" s="202">
        <f>SUMIFS(Scoreboard_22[Damage Dealt],Scoreboard_22[Role],"Healer",Scoreboard_22[Team],"Yellow")</f>
        <v>826774</v>
      </c>
      <c r="T67" s="203">
        <f>SUMIFS(Scoreboard_22[Damage Dealt],Scoreboard_22[Role],"Healer",Scoreboard_22[Team],"Red")</f>
        <v>304952</v>
      </c>
    </row>
    <row r="68" spans="1:20" ht="22.5" customHeight="1">
      <c r="A68" s="82">
        <v>49</v>
      </c>
      <c r="B68" s="115" t="str">
        <f>VLOOKUP(C68,Lists!I:J,2,FALSE)</f>
        <v>Tank</v>
      </c>
      <c r="C68" s="115" t="str">
        <f>VLOOKUP(E68,Lists!D:E,2,FALSE)</f>
        <v>SnS/Greatsword</v>
      </c>
      <c r="D68" s="13" t="s">
        <v>7</v>
      </c>
      <c r="E68" s="83" t="s">
        <v>93</v>
      </c>
      <c r="F68" s="13" t="s">
        <v>476</v>
      </c>
      <c r="G68" s="82">
        <v>1</v>
      </c>
      <c r="H68" s="82">
        <v>16</v>
      </c>
      <c r="I68" s="194">
        <f t="shared" si="0"/>
        <v>17</v>
      </c>
      <c r="J68" s="85">
        <v>204913</v>
      </c>
      <c r="K68" s="85">
        <v>655296</v>
      </c>
      <c r="L68" s="85">
        <v>10195</v>
      </c>
      <c r="M68" s="195">
        <f>I68/(HLOOKUP(F68,Team_Composition_22[[#All],[Yellow]:[Red]],10,FALSE)+HLOOKUP(F68,Team_Composition_22[[#All],[Yellow]:[Red]],11,FALSE))</f>
        <v>4.329004329004329E-3</v>
      </c>
      <c r="N68" s="195">
        <f>J68/HLOOKUP(F68,Team_Composition_22[[#All],[Yellow]:[Red]],6,FALSE)</f>
        <v>4.2347014891212795E-3</v>
      </c>
      <c r="O68" s="195">
        <f>K68/HLOOKUP(F68,Team_Composition_22[[#All],[Yellow]:[Red]],8,FALSE)</f>
        <v>2.7711735465110257E-2</v>
      </c>
      <c r="P68" s="195">
        <f>L68/HLOOKUP(F68,Team_Composition_22[[#All],[Yellow]:[Red]],7,FALSE)</f>
        <v>6.1643092240014439E-4</v>
      </c>
      <c r="R68" s="201" t="s">
        <v>469</v>
      </c>
      <c r="S68" s="202">
        <f>SUMIFS(Scoreboard_22[Damage Taken],Scoreboard_22[Role],"Healer",Scoreboard_22[Team],"Yellow")</f>
        <v>3868151</v>
      </c>
      <c r="T68" s="203">
        <f>SUMIFS(Scoreboard_22[Damage Taken],Scoreboard_22[Role],"Healer",Scoreboard_22[Team],"Red")</f>
        <v>13075794</v>
      </c>
    </row>
    <row r="69" spans="1:20" ht="22.5" customHeight="1">
      <c r="A69" s="82">
        <v>50</v>
      </c>
      <c r="B69" s="115" t="str">
        <f>VLOOKUP(C69,Lists!I:J,2,FALSE)</f>
        <v>Tank</v>
      </c>
      <c r="C69" s="115" t="str">
        <f>VLOOKUP(E69,Lists!D:E,2,FALSE)</f>
        <v>SnS/Greatsword</v>
      </c>
      <c r="D69" s="13" t="s">
        <v>7</v>
      </c>
      <c r="E69" s="83" t="s">
        <v>123</v>
      </c>
      <c r="F69" s="13" t="s">
        <v>476</v>
      </c>
      <c r="G69" s="82">
        <v>1</v>
      </c>
      <c r="H69" s="82">
        <v>16</v>
      </c>
      <c r="I69" s="194">
        <f t="shared" si="0"/>
        <v>17</v>
      </c>
      <c r="J69" s="85">
        <v>123839</v>
      </c>
      <c r="K69" s="85">
        <v>381819</v>
      </c>
      <c r="L69" s="85">
        <v>7403</v>
      </c>
      <c r="M69" s="195">
        <f>I69/(HLOOKUP(F69,Team_Composition_22[[#All],[Yellow]:[Red]],10,FALSE)+HLOOKUP(F69,Team_Composition_22[[#All],[Yellow]:[Red]],11,FALSE))</f>
        <v>4.329004329004329E-3</v>
      </c>
      <c r="N69" s="195">
        <f>J69/HLOOKUP(F69,Team_Composition_22[[#All],[Yellow]:[Red]],6,FALSE)</f>
        <v>2.5592382997237369E-3</v>
      </c>
      <c r="O69" s="195">
        <f>K69/HLOOKUP(F69,Team_Composition_22[[#All],[Yellow]:[Red]],8,FALSE)</f>
        <v>1.614669877971624E-2</v>
      </c>
      <c r="P69" s="195">
        <f>L69/HLOOKUP(F69,Team_Composition_22[[#All],[Yellow]:[Red]],7,FALSE)</f>
        <v>4.4761531324455801E-4</v>
      </c>
      <c r="R69" s="201" t="s">
        <v>470</v>
      </c>
      <c r="S69" s="202">
        <f>SUMIFS(Scoreboard_22[Amount Healed],Scoreboard_22[Role],"Healer",Scoreboard_22[Team],"Yellow")</f>
        <v>15682353</v>
      </c>
      <c r="T69" s="203">
        <f>SUMIFS(Scoreboard_22[Amount Healed],Scoreboard_22[Role],"Healer",Scoreboard_22[Team],"Red")</f>
        <v>24075139</v>
      </c>
    </row>
    <row r="70" spans="1:20" ht="22.5" customHeight="1">
      <c r="A70" s="82">
        <v>51</v>
      </c>
      <c r="B70" s="115" t="str">
        <f>VLOOKUP(C70,Lists!I:J,2,FALSE)</f>
        <v>Tank</v>
      </c>
      <c r="C70" s="115" t="str">
        <f>VLOOKUP(E70,Lists!D:E,2,FALSE)</f>
        <v>SnS/Greatsword</v>
      </c>
      <c r="D70" s="13" t="s">
        <v>7</v>
      </c>
      <c r="E70" s="83" t="s">
        <v>82</v>
      </c>
      <c r="F70" s="13" t="s">
        <v>476</v>
      </c>
      <c r="G70" s="82">
        <v>1</v>
      </c>
      <c r="H70" s="82">
        <v>15</v>
      </c>
      <c r="I70" s="194">
        <f t="shared" si="0"/>
        <v>16</v>
      </c>
      <c r="J70" s="85">
        <v>46572</v>
      </c>
      <c r="K70" s="85">
        <v>457306</v>
      </c>
      <c r="L70" s="85">
        <v>9466</v>
      </c>
      <c r="M70" s="195">
        <f>I70/(HLOOKUP(F70,Team_Composition_22[[#All],[Yellow]:[Red]],10,FALSE)+HLOOKUP(F70,Team_Composition_22[[#All],[Yellow]:[Red]],11,FALSE))</f>
        <v>4.0743570155334858E-3</v>
      </c>
      <c r="N70" s="195">
        <f>J70/HLOOKUP(F70,Team_Composition_22[[#All],[Yellow]:[Red]],6,FALSE)</f>
        <v>9.6245000439872639E-4</v>
      </c>
      <c r="O70" s="195">
        <f>K70/HLOOKUP(F70,Team_Composition_22[[#All],[Yellow]:[Red]],8,FALSE)</f>
        <v>1.9338959643592682E-2</v>
      </c>
      <c r="P70" s="195">
        <f>L70/HLOOKUP(F70,Team_Composition_22[[#All],[Yellow]:[Red]],7,FALSE)</f>
        <v>5.7235263476603892E-4</v>
      </c>
      <c r="R70" s="201" t="s">
        <v>465</v>
      </c>
      <c r="S70" s="202">
        <f>SUMIFS(Scoreboard_22[Kills],Scoreboard_22[Role],"Healer",Scoreboard_22[Team],"Yellow")</f>
        <v>8</v>
      </c>
      <c r="T70" s="203">
        <f>SUMIFS(Scoreboard_22[Kills],Scoreboard_22[Role],"Healer",Scoreboard_22[Team],"Red")</f>
        <v>0</v>
      </c>
    </row>
    <row r="71" spans="1:20" ht="22.5" customHeight="1">
      <c r="A71" s="82">
        <v>76</v>
      </c>
      <c r="B71" s="115" t="str">
        <f>VLOOKUP(C71,Lists!I:J,2,FALSE)</f>
        <v>Tank</v>
      </c>
      <c r="C71" s="115" t="str">
        <f>VLOOKUP(E71,Lists!D:E,2,FALSE)</f>
        <v>SnS/Spear</v>
      </c>
      <c r="D71" s="13" t="s">
        <v>7</v>
      </c>
      <c r="E71" s="83" t="s">
        <v>89</v>
      </c>
      <c r="F71" s="13" t="s">
        <v>476</v>
      </c>
      <c r="G71" s="82">
        <v>0</v>
      </c>
      <c r="H71" s="82">
        <v>16</v>
      </c>
      <c r="I71" s="194">
        <f t="shared" si="0"/>
        <v>16</v>
      </c>
      <c r="J71" s="85">
        <v>511650</v>
      </c>
      <c r="K71" s="85">
        <v>677787</v>
      </c>
      <c r="L71" s="85">
        <v>45730</v>
      </c>
      <c r="M71" s="195">
        <f>I71/(HLOOKUP(F71,Team_Composition_22[[#All],[Yellow]:[Red]],10,FALSE)+HLOOKUP(F71,Team_Composition_22[[#All],[Yellow]:[Red]],11,FALSE))</f>
        <v>4.0743570155334858E-3</v>
      </c>
      <c r="N71" s="195">
        <f>J71/HLOOKUP(F71,Team_Composition_22[[#All],[Yellow]:[Red]],6,FALSE)</f>
        <v>1.0573682572159416E-2</v>
      </c>
      <c r="O71" s="195">
        <f>K71/HLOOKUP(F71,Team_Composition_22[[#All],[Yellow]:[Red]],8,FALSE)</f>
        <v>2.8662854718616754E-2</v>
      </c>
      <c r="P71" s="195">
        <f>L71/HLOOKUP(F71,Team_Composition_22[[#All],[Yellow]:[Red]],7,FALSE)</f>
        <v>2.7650207044000591E-3</v>
      </c>
      <c r="R71" s="201" t="s">
        <v>466</v>
      </c>
      <c r="S71" s="202">
        <f>SUMIFS(Scoreboard_22[Assists],Scoreboard_22[Role],"Healer",Scoreboard_22[Team],"Yellow")</f>
        <v>1192</v>
      </c>
      <c r="T71" s="203">
        <f>SUMIFS(Scoreboard_22[Assists],Scoreboard_22[Role],"Healer",Scoreboard_22[Team],"Red")</f>
        <v>391</v>
      </c>
    </row>
    <row r="72" spans="1:20" ht="22.5" customHeight="1">
      <c r="A72" s="82">
        <v>77</v>
      </c>
      <c r="B72" s="115" t="str">
        <f>VLOOKUP(C72,Lists!I:J,2,FALSE)</f>
        <v>Tank</v>
      </c>
      <c r="C72" s="115" t="str">
        <f>VLOOKUP(E72,Lists!D:E,2,FALSE)</f>
        <v>SnS/Orb</v>
      </c>
      <c r="D72" s="13" t="s">
        <v>629</v>
      </c>
      <c r="E72" s="83" t="s">
        <v>207</v>
      </c>
      <c r="F72" s="13" t="s">
        <v>483</v>
      </c>
      <c r="G72" s="82">
        <v>0</v>
      </c>
      <c r="H72" s="82">
        <v>16</v>
      </c>
      <c r="I72" s="194">
        <f t="shared" si="0"/>
        <v>16</v>
      </c>
      <c r="J72" s="85">
        <v>426185</v>
      </c>
      <c r="K72" s="85">
        <v>959657</v>
      </c>
      <c r="L72" s="85">
        <v>206768</v>
      </c>
      <c r="M72" s="195">
        <f>I72/(HLOOKUP(F72,Team_Composition_22[[#All],[Yellow]:[Red]],10,FALSE)+HLOOKUP(F72,Team_Composition_22[[#All],[Yellow]:[Red]],11,FALSE))</f>
        <v>1.3949433304272014E-2</v>
      </c>
      <c r="N72" s="195">
        <f>J72/HLOOKUP(F72,Team_Composition_22[[#All],[Yellow]:[Red]],6,FALSE)</f>
        <v>1.8973773022147162E-2</v>
      </c>
      <c r="O72" s="195">
        <f>K72/HLOOKUP(F72,Team_Composition_22[[#All],[Yellow]:[Red]],8,FALSE)</f>
        <v>2.0292996033415903E-2</v>
      </c>
      <c r="P72" s="195">
        <f>L72/HLOOKUP(F72,Team_Composition_22[[#All],[Yellow]:[Red]],7,FALSE)</f>
        <v>7.1229429362248782E-3</v>
      </c>
      <c r="R72" s="201" t="s">
        <v>10</v>
      </c>
      <c r="S72" s="202">
        <f t="shared" ref="S72:S74" si="7">COUNTIFS(C:C,R72,F:F,"Yellow")</f>
        <v>7</v>
      </c>
      <c r="T72" s="203">
        <f t="shared" ref="T72:T74" si="8">COUNTIFS(C:C,R72,F:F,"Red")</f>
        <v>10</v>
      </c>
    </row>
    <row r="73" spans="1:20" ht="22.5" customHeight="1">
      <c r="A73" s="82">
        <v>78</v>
      </c>
      <c r="B73" s="115" t="str">
        <f>VLOOKUP(C73,Lists!I:J,2,FALSE)</f>
        <v>Tank</v>
      </c>
      <c r="C73" s="115" t="str">
        <f>VLOOKUP(E73,Lists!D:E,2,FALSE)</f>
        <v>SnS/Greatsword</v>
      </c>
      <c r="D73" s="13" t="s">
        <v>7</v>
      </c>
      <c r="E73" s="83" t="s">
        <v>71</v>
      </c>
      <c r="F73" s="13" t="s">
        <v>476</v>
      </c>
      <c r="G73" s="82">
        <v>0</v>
      </c>
      <c r="H73" s="82">
        <v>16</v>
      </c>
      <c r="I73" s="194">
        <f t="shared" si="0"/>
        <v>16</v>
      </c>
      <c r="J73" s="85">
        <v>35878</v>
      </c>
      <c r="K73" s="85">
        <v>376775</v>
      </c>
      <c r="L73" s="85">
        <v>10272</v>
      </c>
      <c r="M73" s="195">
        <f>I73/(HLOOKUP(F73,Team_Composition_22[[#All],[Yellow]:[Red]],10,FALSE)+HLOOKUP(F73,Team_Composition_22[[#All],[Yellow]:[Red]],11,FALSE))</f>
        <v>4.0743570155334858E-3</v>
      </c>
      <c r="N73" s="195">
        <f>J73/HLOOKUP(F73,Team_Composition_22[[#All],[Yellow]:[Red]],6,FALSE)</f>
        <v>7.4144939572742211E-4</v>
      </c>
      <c r="O73" s="195">
        <f>K73/HLOOKUP(F73,Team_Composition_22[[#All],[Yellow]:[Red]],8,FALSE)</f>
        <v>1.5933393657014412E-2</v>
      </c>
      <c r="P73" s="195">
        <f>L73/HLOOKUP(F73,Team_Composition_22[[#All],[Yellow]:[Red]],7,FALSE)</f>
        <v>6.2108665374146967E-4</v>
      </c>
      <c r="R73" s="201" t="s">
        <v>9</v>
      </c>
      <c r="S73" s="202">
        <f t="shared" si="7"/>
        <v>9</v>
      </c>
      <c r="T73" s="203">
        <f t="shared" si="8"/>
        <v>9</v>
      </c>
    </row>
    <row r="74" spans="1:20" ht="22.5" customHeight="1">
      <c r="A74" s="82">
        <v>79</v>
      </c>
      <c r="B74" s="115" t="str">
        <f>VLOOKUP(C74,Lists!I:J,2,FALSE)</f>
        <v>Healer</v>
      </c>
      <c r="C74" s="115" t="str">
        <f>VLOOKUP(E74,Lists!D:E,2,FALSE)</f>
        <v>Wand/Longbow</v>
      </c>
      <c r="D74" s="13" t="s">
        <v>629</v>
      </c>
      <c r="E74" s="83" t="s">
        <v>196</v>
      </c>
      <c r="F74" s="13" t="s">
        <v>483</v>
      </c>
      <c r="G74" s="82">
        <v>0</v>
      </c>
      <c r="H74" s="82">
        <v>15</v>
      </c>
      <c r="I74" s="194">
        <f t="shared" si="0"/>
        <v>15</v>
      </c>
      <c r="J74" s="85">
        <v>15426</v>
      </c>
      <c r="K74" s="85">
        <v>640403</v>
      </c>
      <c r="L74" s="85">
        <v>1524379</v>
      </c>
      <c r="M74" s="195">
        <f>I74/(HLOOKUP(F74,Team_Composition_22[[#All],[Yellow]:[Red]],10,FALSE)+HLOOKUP(F74,Team_Composition_22[[#All],[Yellow]:[Red]],11,FALSE))</f>
        <v>1.3077593722755012E-2</v>
      </c>
      <c r="N74" s="195">
        <f>J74/HLOOKUP(F74,Team_Composition_22[[#All],[Yellow]:[Red]],6,FALSE)</f>
        <v>6.8676612888684987E-4</v>
      </c>
      <c r="O74" s="195">
        <f>K74/HLOOKUP(F74,Team_Composition_22[[#All],[Yellow]:[Red]],8,FALSE)</f>
        <v>1.3542021304265631E-2</v>
      </c>
      <c r="P74" s="195">
        <f>L74/HLOOKUP(F74,Team_Composition_22[[#All],[Yellow]:[Red]],7,FALSE)</f>
        <v>5.2513273960088327E-2</v>
      </c>
      <c r="R74" s="201" t="s">
        <v>18</v>
      </c>
      <c r="S74" s="202">
        <f t="shared" si="7"/>
        <v>0</v>
      </c>
      <c r="T74" s="203">
        <f t="shared" si="8"/>
        <v>0</v>
      </c>
    </row>
    <row r="75" spans="1:20" ht="22.5" customHeight="1">
      <c r="A75" s="82">
        <v>80</v>
      </c>
      <c r="B75" s="115" t="str">
        <f>VLOOKUP(C75,Lists!I:J,2,FALSE)</f>
        <v>Healer</v>
      </c>
      <c r="C75" s="115" t="str">
        <f>VLOOKUP(E75,Lists!D:E,2,FALSE)</f>
        <v>Wand/Longbow</v>
      </c>
      <c r="D75" s="13" t="s">
        <v>629</v>
      </c>
      <c r="E75" s="83" t="s">
        <v>188</v>
      </c>
      <c r="F75" s="13" t="s">
        <v>483</v>
      </c>
      <c r="G75" s="82">
        <v>0</v>
      </c>
      <c r="H75" s="82">
        <v>15</v>
      </c>
      <c r="I75" s="194">
        <f t="shared" si="0"/>
        <v>15</v>
      </c>
      <c r="J75" s="85">
        <v>0</v>
      </c>
      <c r="K75" s="85">
        <v>549823</v>
      </c>
      <c r="L75" s="85">
        <v>2424645</v>
      </c>
      <c r="M75" s="195">
        <f>I75/(HLOOKUP(F75,Team_Composition_22[[#All],[Yellow]:[Red]],10,FALSE)+HLOOKUP(F75,Team_Composition_22[[#All],[Yellow]:[Red]],11,FALSE))</f>
        <v>1.3077593722755012E-2</v>
      </c>
      <c r="N75" s="195">
        <f>J75/HLOOKUP(F75,Team_Composition_22[[#All],[Yellow]:[Red]],6,FALSE)</f>
        <v>0</v>
      </c>
      <c r="O75" s="195">
        <f>K75/HLOOKUP(F75,Team_Composition_22[[#All],[Yellow]:[Red]],8,FALSE)</f>
        <v>1.1626608213227051E-2</v>
      </c>
      <c r="P75" s="195">
        <f>L75/HLOOKUP(F75,Team_Composition_22[[#All],[Yellow]:[Red]],7,FALSE)</f>
        <v>8.3526503015954934E-2</v>
      </c>
    </row>
    <row r="76" spans="1:20" ht="22.5" customHeight="1">
      <c r="A76" s="82">
        <v>81</v>
      </c>
      <c r="B76" s="115" t="str">
        <f>VLOOKUP(C76,Lists!I:J,2,FALSE)</f>
        <v>Healer</v>
      </c>
      <c r="C76" s="115" t="s">
        <v>9</v>
      </c>
      <c r="D76" s="13" t="s">
        <v>630</v>
      </c>
      <c r="E76" s="83" t="s">
        <v>424</v>
      </c>
      <c r="F76" s="13" t="s">
        <v>483</v>
      </c>
      <c r="G76" s="82">
        <v>0</v>
      </c>
      <c r="H76" s="82">
        <v>14</v>
      </c>
      <c r="I76" s="194">
        <f t="shared" si="0"/>
        <v>14</v>
      </c>
      <c r="J76" s="85">
        <v>52</v>
      </c>
      <c r="K76" s="85">
        <v>562559</v>
      </c>
      <c r="L76" s="85">
        <v>637466</v>
      </c>
      <c r="M76" s="195">
        <f>I76/(HLOOKUP(F76,Team_Composition_22[[#All],[Yellow]:[Red]],10,FALSE)+HLOOKUP(F76,Team_Composition_22[[#All],[Yellow]:[Red]],11,FALSE))</f>
        <v>1.2205754141238012E-2</v>
      </c>
      <c r="N76" s="195">
        <f>J76/HLOOKUP(F76,Team_Composition_22[[#All],[Yellow]:[Red]],6,FALSE)</f>
        <v>2.3150420525162839E-6</v>
      </c>
      <c r="O76" s="195">
        <f>K76/HLOOKUP(F76,Team_Composition_22[[#All],[Yellow]:[Red]],8,FALSE)</f>
        <v>1.1895924851861046E-2</v>
      </c>
      <c r="P76" s="195">
        <f>L76/HLOOKUP(F76,Team_Composition_22[[#All],[Yellow]:[Red]],7,FALSE)</f>
        <v>2.1960041891315524E-2</v>
      </c>
    </row>
    <row r="77" spans="1:20" ht="22.5" customHeight="1">
      <c r="A77" s="82">
        <v>52</v>
      </c>
      <c r="B77" s="115" t="str">
        <f>VLOOKUP(C77,Lists!I:J,2,FALSE)</f>
        <v>Healer</v>
      </c>
      <c r="C77" s="115" t="str">
        <f>VLOOKUP(E77,Lists!D:E,2,FALSE)</f>
        <v>Wand/Orb</v>
      </c>
      <c r="D77" s="13" t="s">
        <v>7</v>
      </c>
      <c r="E77" s="83" t="s">
        <v>99</v>
      </c>
      <c r="F77" s="13" t="s">
        <v>476</v>
      </c>
      <c r="G77" s="82">
        <v>1</v>
      </c>
      <c r="H77" s="82">
        <v>12</v>
      </c>
      <c r="I77" s="194">
        <f t="shared" si="0"/>
        <v>13</v>
      </c>
      <c r="J77" s="85">
        <v>115962</v>
      </c>
      <c r="K77" s="85">
        <v>152936</v>
      </c>
      <c r="L77" s="85">
        <v>334266</v>
      </c>
      <c r="M77" s="195">
        <f>I77/(HLOOKUP(F77,Team_Composition_22[[#All],[Yellow]:[Red]],10,FALSE)+HLOOKUP(F77,Team_Composition_22[[#All],[Yellow]:[Red]],11,FALSE))</f>
        <v>3.3104150751209573E-3</v>
      </c>
      <c r="N77" s="195">
        <f>J77/HLOOKUP(F77,Team_Composition_22[[#All],[Yellow]:[Red]],6,FALSE)</f>
        <v>2.3964533928129586E-3</v>
      </c>
      <c r="O77" s="195">
        <f>K77/HLOOKUP(F77,Team_Composition_22[[#All],[Yellow]:[Red]],8,FALSE)</f>
        <v>6.4674925149735421E-3</v>
      </c>
      <c r="P77" s="195">
        <f>L77/HLOOKUP(F77,Team_Composition_22[[#All],[Yellow]:[Red]],7,FALSE)</f>
        <v>2.0211073929083539E-2</v>
      </c>
    </row>
    <row r="78" spans="1:20" ht="22.5" customHeight="1">
      <c r="A78" s="82">
        <v>82</v>
      </c>
      <c r="B78" s="115" t="str">
        <f>VLOOKUP(C78,Lists!I:J,2,FALSE)</f>
        <v>Tank</v>
      </c>
      <c r="C78" s="115" t="str">
        <f>VLOOKUP(E78,Lists!D:E,2,FALSE)</f>
        <v>SnS/Spear</v>
      </c>
      <c r="D78" s="13" t="s">
        <v>7</v>
      </c>
      <c r="E78" s="83" t="s">
        <v>79</v>
      </c>
      <c r="F78" s="13" t="s">
        <v>476</v>
      </c>
      <c r="G78" s="82">
        <v>0</v>
      </c>
      <c r="H78" s="82">
        <v>13</v>
      </c>
      <c r="I78" s="194">
        <f t="shared" si="0"/>
        <v>13</v>
      </c>
      <c r="J78" s="85">
        <v>130365</v>
      </c>
      <c r="K78" s="85">
        <v>334665</v>
      </c>
      <c r="L78" s="85">
        <v>19185</v>
      </c>
      <c r="M78" s="195">
        <f>I78/(HLOOKUP(F78,Team_Composition_22[[#All],[Yellow]:[Red]],10,FALSE)+HLOOKUP(F78,Team_Composition_22[[#All],[Yellow]:[Red]],11,FALSE))</f>
        <v>3.3104150751209573E-3</v>
      </c>
      <c r="N78" s="195">
        <f>J78/HLOOKUP(F78,Team_Composition_22[[#All],[Yellow]:[Red]],6,FALSE)</f>
        <v>2.6941036421764143E-3</v>
      </c>
      <c r="O78" s="195">
        <f>K78/HLOOKUP(F78,Team_Composition_22[[#All],[Yellow]:[Red]],8,FALSE)</f>
        <v>1.4152608820183739E-2</v>
      </c>
      <c r="P78" s="195">
        <f>L78/HLOOKUP(F78,Team_Composition_22[[#All],[Yellow]:[Red]],7,FALSE)</f>
        <v>1.1600026725107179E-3</v>
      </c>
    </row>
    <row r="79" spans="1:20" ht="22.5" customHeight="1">
      <c r="A79" s="82">
        <v>83</v>
      </c>
      <c r="B79" s="115" t="str">
        <f>VLOOKUP(C79,Lists!I:J,2,FALSE)</f>
        <v>Healer</v>
      </c>
      <c r="C79" s="115" t="str">
        <f>VLOOKUP(E79,Lists!D:E,2,FALSE)</f>
        <v>Wand/Longbow</v>
      </c>
      <c r="D79" s="13" t="s">
        <v>629</v>
      </c>
      <c r="E79" s="83" t="s">
        <v>191</v>
      </c>
      <c r="F79" s="13" t="s">
        <v>483</v>
      </c>
      <c r="G79" s="82">
        <v>0</v>
      </c>
      <c r="H79" s="82">
        <v>13</v>
      </c>
      <c r="I79" s="194">
        <f t="shared" si="0"/>
        <v>13</v>
      </c>
      <c r="J79" s="85">
        <v>22571</v>
      </c>
      <c r="K79" s="85">
        <v>655441</v>
      </c>
      <c r="L79" s="85">
        <v>2013718</v>
      </c>
      <c r="M79" s="195">
        <f>I79/(HLOOKUP(F79,Team_Composition_22[[#All],[Yellow]:[Red]],10,FALSE)+HLOOKUP(F79,Team_Composition_22[[#All],[Yellow]:[Red]],11,FALSE))</f>
        <v>1.1333914559721011E-2</v>
      </c>
      <c r="N79" s="195">
        <f>J79/HLOOKUP(F79,Team_Composition_22[[#All],[Yellow]:[Red]],6,FALSE)</f>
        <v>1.0048618109104815E-3</v>
      </c>
      <c r="O79" s="195">
        <f>K79/HLOOKUP(F79,Team_Composition_22[[#All],[Yellow]:[Red]],8,FALSE)</f>
        <v>1.3860016248657752E-2</v>
      </c>
      <c r="P79" s="195">
        <f>L79/HLOOKUP(F79,Team_Composition_22[[#All],[Yellow]:[Red]],7,FALSE)</f>
        <v>6.9370494484876227E-2</v>
      </c>
    </row>
    <row r="80" spans="1:20" ht="22.5" customHeight="1">
      <c r="A80" s="82">
        <v>53</v>
      </c>
      <c r="B80" s="115" t="str">
        <f>VLOOKUP(C80,Lists!I:J,2,FALSE)</f>
        <v>Healer</v>
      </c>
      <c r="C80" s="115" t="str">
        <f>VLOOKUP(E80,Lists!D:E,2,FALSE)</f>
        <v>Wand/Longbow</v>
      </c>
      <c r="D80" s="13" t="s">
        <v>7</v>
      </c>
      <c r="E80" s="83" t="s">
        <v>49</v>
      </c>
      <c r="F80" s="13" t="s">
        <v>476</v>
      </c>
      <c r="G80" s="82">
        <v>1</v>
      </c>
      <c r="H80" s="82">
        <v>11</v>
      </c>
      <c r="I80" s="194">
        <f t="shared" si="0"/>
        <v>12</v>
      </c>
      <c r="J80" s="85">
        <v>104364</v>
      </c>
      <c r="K80" s="85">
        <v>313601</v>
      </c>
      <c r="L80" s="85">
        <v>175894</v>
      </c>
      <c r="M80" s="195">
        <f>I80/(HLOOKUP(F80,Team_Composition_22[[#All],[Yellow]:[Red]],10,FALSE)+HLOOKUP(F80,Team_Composition_22[[#All],[Yellow]:[Red]],11,FALSE))</f>
        <v>3.0557677616501145E-3</v>
      </c>
      <c r="N80" s="195">
        <f>J80/HLOOKUP(F80,Team_Composition_22[[#All],[Yellow]:[Red]],6,FALSE)</f>
        <v>2.1567708550001862E-3</v>
      </c>
      <c r="O80" s="195">
        <f>K80/HLOOKUP(F80,Team_Composition_22[[#All],[Yellow]:[Red]],8,FALSE)</f>
        <v>1.3261835801827023E-2</v>
      </c>
      <c r="P80" s="195">
        <f>L80/HLOOKUP(F80,Team_Composition_22[[#All],[Yellow]:[Red]],7,FALSE)</f>
        <v>1.0635262448715155E-2</v>
      </c>
    </row>
    <row r="81" spans="1:16" ht="22.5" customHeight="1">
      <c r="A81" s="82">
        <v>84</v>
      </c>
      <c r="B81" s="115" t="e">
        <f>VLOOKUP(C81,Lists!I:J,2,FALSE)</f>
        <v>#N/A</v>
      </c>
      <c r="C81" s="115">
        <f>VLOOKUP(E81,Lists!D:E,2,FALSE)</f>
        <v>0</v>
      </c>
      <c r="D81" s="13" t="s">
        <v>629</v>
      </c>
      <c r="E81" s="83" t="s">
        <v>187</v>
      </c>
      <c r="F81" s="13" t="s">
        <v>483</v>
      </c>
      <c r="G81" s="82">
        <v>0</v>
      </c>
      <c r="H81" s="82">
        <v>12</v>
      </c>
      <c r="I81" s="194">
        <f t="shared" si="0"/>
        <v>12</v>
      </c>
      <c r="J81" s="85">
        <v>27425</v>
      </c>
      <c r="K81" s="85">
        <v>1113926</v>
      </c>
      <c r="L81" s="85">
        <v>2869832</v>
      </c>
      <c r="M81" s="195">
        <f>I81/(HLOOKUP(F81,Team_Composition_22[[#All],[Yellow]:[Red]],10,FALSE)+HLOOKUP(F81,Team_Composition_22[[#All],[Yellow]:[Red]],11,FALSE))</f>
        <v>1.0462074978204011E-2</v>
      </c>
      <c r="N81" s="195">
        <f>J81/HLOOKUP(F81,Team_Composition_22[[#All],[Yellow]:[Red]],6,FALSE)</f>
        <v>1.2209620825049824E-3</v>
      </c>
      <c r="O81" s="195">
        <f>K81/HLOOKUP(F81,Team_Composition_22[[#All],[Yellow]:[Red]],8,FALSE)</f>
        <v>2.3555182632460182E-2</v>
      </c>
      <c r="P81" s="195">
        <f>L81/HLOOKUP(F81,Team_Composition_22[[#All],[Yellow]:[Red]],7,FALSE)</f>
        <v>9.886273297875936E-2</v>
      </c>
    </row>
    <row r="82" spans="1:16" ht="22.5" customHeight="1">
      <c r="A82" s="82">
        <v>85</v>
      </c>
      <c r="B82" s="115" t="str">
        <f>VLOOKUP(C82,Lists!I:J,2,FALSE)</f>
        <v>Tank</v>
      </c>
      <c r="C82" s="115" t="str">
        <f>VLOOKUP(E82,Lists!D:E,2,FALSE)</f>
        <v>SnS/Greatsword</v>
      </c>
      <c r="D82" s="13" t="s">
        <v>629</v>
      </c>
      <c r="E82" s="83" t="s">
        <v>209</v>
      </c>
      <c r="F82" s="13" t="s">
        <v>483</v>
      </c>
      <c r="G82" s="82">
        <v>0</v>
      </c>
      <c r="H82" s="82">
        <v>11</v>
      </c>
      <c r="I82" s="194">
        <f t="shared" si="0"/>
        <v>11</v>
      </c>
      <c r="J82" s="85">
        <v>504364</v>
      </c>
      <c r="K82" s="85">
        <v>1848712</v>
      </c>
      <c r="L82" s="85">
        <v>175894</v>
      </c>
      <c r="M82" s="195">
        <f>I82/(HLOOKUP(F82,Team_Composition_22[[#All],[Yellow]:[Red]],10,FALSE)+HLOOKUP(F82,Team_Composition_22[[#All],[Yellow]:[Red]],11,FALSE))</f>
        <v>9.5902353966870104E-3</v>
      </c>
      <c r="N82" s="195">
        <f>J82/HLOOKUP(F82,Team_Composition_22[[#All],[Yellow]:[Red]],6,FALSE)</f>
        <v>2.2454305187986981E-2</v>
      </c>
      <c r="O82" s="195">
        <f>K82/HLOOKUP(F82,Team_Composition_22[[#All],[Yellow]:[Red]],8,FALSE)</f>
        <v>3.9093035618901734E-2</v>
      </c>
      <c r="P82" s="195">
        <f>L82/HLOOKUP(F82,Team_Composition_22[[#All],[Yellow]:[Red]],7,FALSE)</f>
        <v>6.0593656891991931E-3</v>
      </c>
    </row>
    <row r="83" spans="1:16" ht="22.5" customHeight="1">
      <c r="A83" s="82">
        <v>86</v>
      </c>
      <c r="B83" s="115" t="str">
        <f>VLOOKUP(C83,Lists!I:J,2,FALSE)</f>
        <v>Healer</v>
      </c>
      <c r="C83" s="115" t="str">
        <f>VLOOKUP(E83,Lists!D:E,2,FALSE)</f>
        <v>Wand/Longbow</v>
      </c>
      <c r="D83" s="13" t="s">
        <v>629</v>
      </c>
      <c r="E83" s="83" t="s">
        <v>190</v>
      </c>
      <c r="F83" s="13" t="s">
        <v>483</v>
      </c>
      <c r="G83" s="82">
        <v>0</v>
      </c>
      <c r="H83" s="82">
        <v>11</v>
      </c>
      <c r="I83" s="194">
        <f t="shared" si="0"/>
        <v>11</v>
      </c>
      <c r="J83" s="85">
        <v>60285</v>
      </c>
      <c r="K83" s="85">
        <v>949543</v>
      </c>
      <c r="L83" s="85">
        <v>2281257</v>
      </c>
      <c r="M83" s="195">
        <f>I83/(HLOOKUP(F83,Team_Composition_22[[#All],[Yellow]:[Red]],10,FALSE)+HLOOKUP(F83,Team_Composition_22[[#All],[Yellow]:[Red]],11,FALSE))</f>
        <v>9.5902353966870104E-3</v>
      </c>
      <c r="N83" s="195">
        <f>J83/HLOOKUP(F83,Team_Composition_22[[#All],[Yellow]:[Red]],6,FALSE)</f>
        <v>2.6838905795373877E-3</v>
      </c>
      <c r="O83" s="195">
        <f>K83/HLOOKUP(F83,Team_Composition_22[[#All],[Yellow]:[Red]],8,FALSE)</f>
        <v>2.0079124450254452E-2</v>
      </c>
      <c r="P83" s="195">
        <f>L83/HLOOKUP(F83,Team_Composition_22[[#All],[Yellow]:[Red]],7,FALSE)</f>
        <v>7.8586935279460826E-2</v>
      </c>
    </row>
    <row r="84" spans="1:16" ht="22.5" customHeight="1">
      <c r="A84" s="82">
        <v>87</v>
      </c>
      <c r="B84" s="115" t="str">
        <f>VLOOKUP(C84,Lists!I:J,2,FALSE)</f>
        <v>Healer</v>
      </c>
      <c r="C84" s="115" t="str">
        <f>VLOOKUP(E84,Lists!D:E,2,FALSE)</f>
        <v>Wand/Orb</v>
      </c>
      <c r="D84" s="13" t="s">
        <v>629</v>
      </c>
      <c r="E84" s="83" t="s">
        <v>199</v>
      </c>
      <c r="F84" s="13" t="s">
        <v>483</v>
      </c>
      <c r="G84" s="82">
        <v>0</v>
      </c>
      <c r="H84" s="82">
        <v>11</v>
      </c>
      <c r="I84" s="194">
        <f t="shared" si="0"/>
        <v>11</v>
      </c>
      <c r="J84" s="85">
        <v>2554</v>
      </c>
      <c r="K84" s="85">
        <v>484523</v>
      </c>
      <c r="L84" s="85">
        <v>899901</v>
      </c>
      <c r="M84" s="195">
        <f>I84/(HLOOKUP(F84,Team_Composition_22[[#All],[Yellow]:[Red]],10,FALSE)+HLOOKUP(F84,Team_Composition_22[[#All],[Yellow]:[Red]],11,FALSE))</f>
        <v>9.5902353966870104E-3</v>
      </c>
      <c r="N84" s="195">
        <f>J84/HLOOKUP(F84,Team_Composition_22[[#All],[Yellow]:[Red]],6,FALSE)</f>
        <v>1.1370418081012671E-4</v>
      </c>
      <c r="O84" s="195">
        <f>K84/HLOOKUP(F84,Team_Composition_22[[#All],[Yellow]:[Red]],8,FALSE)</f>
        <v>1.0245768349627808E-2</v>
      </c>
      <c r="P84" s="195">
        <f>L84/HLOOKUP(F84,Team_Composition_22[[#All],[Yellow]:[Red]],7,FALSE)</f>
        <v>3.1000655184804729E-2</v>
      </c>
    </row>
    <row r="85" spans="1:16" ht="22.5" customHeight="1">
      <c r="A85" s="82">
        <v>88</v>
      </c>
      <c r="B85" s="115" t="str">
        <f>VLOOKUP(C85,Lists!I:J,2,FALSE)</f>
        <v>Healer</v>
      </c>
      <c r="C85" s="115" t="str">
        <f>VLOOKUP(E85,Lists!D:E,2,FALSE)</f>
        <v>Wand/Orb</v>
      </c>
      <c r="D85" s="13" t="s">
        <v>629</v>
      </c>
      <c r="E85" s="83" t="s">
        <v>204</v>
      </c>
      <c r="F85" s="13" t="s">
        <v>483</v>
      </c>
      <c r="G85" s="82">
        <v>0</v>
      </c>
      <c r="H85" s="82">
        <v>11</v>
      </c>
      <c r="I85" s="194">
        <f t="shared" si="0"/>
        <v>11</v>
      </c>
      <c r="J85" s="85">
        <v>271</v>
      </c>
      <c r="K85" s="85">
        <v>632207</v>
      </c>
      <c r="L85" s="85">
        <v>663953</v>
      </c>
      <c r="M85" s="195">
        <f>I85/(HLOOKUP(F85,Team_Composition_22[[#All],[Yellow]:[Red]],10,FALSE)+HLOOKUP(F85,Team_Composition_22[[#All],[Yellow]:[Red]],11,FALSE))</f>
        <v>9.5902353966870104E-3</v>
      </c>
      <c r="N85" s="195">
        <f>J85/HLOOKUP(F85,Team_Composition_22[[#All],[Yellow]:[Red]],6,FALSE)</f>
        <v>1.2064930696767557E-5</v>
      </c>
      <c r="O85" s="195">
        <f>K85/HLOOKUP(F85,Team_Composition_22[[#All],[Yellow]:[Red]],8,FALSE)</f>
        <v>1.3368707927204999E-2</v>
      </c>
      <c r="P85" s="195">
        <f>L85/HLOOKUP(F85,Team_Composition_22[[#All],[Yellow]:[Red]],7,FALSE)</f>
        <v>2.2872491542865997E-2</v>
      </c>
    </row>
    <row r="86" spans="1:16" ht="22.5" customHeight="1">
      <c r="A86" s="82">
        <v>89</v>
      </c>
      <c r="B86" s="115" t="str">
        <f>VLOOKUP(C86,Lists!I:J,2,FALSE)</f>
        <v>Healer</v>
      </c>
      <c r="C86" s="115" t="str">
        <f>VLOOKUP(E86,Lists!D:E,2,FALSE)</f>
        <v>Wand/Longbow</v>
      </c>
      <c r="D86" s="13" t="s">
        <v>629</v>
      </c>
      <c r="E86" s="83" t="s">
        <v>195</v>
      </c>
      <c r="F86" s="13" t="s">
        <v>483</v>
      </c>
      <c r="G86" s="82">
        <v>0</v>
      </c>
      <c r="H86" s="82">
        <v>10</v>
      </c>
      <c r="I86" s="194">
        <f t="shared" si="0"/>
        <v>10</v>
      </c>
      <c r="J86" s="85">
        <v>34042</v>
      </c>
      <c r="K86" s="85">
        <v>1393139</v>
      </c>
      <c r="L86" s="85">
        <v>1662600</v>
      </c>
      <c r="M86" s="195">
        <f>I86/(HLOOKUP(F86,Team_Composition_22[[#All],[Yellow]:[Red]],10,FALSE)+HLOOKUP(F86,Team_Composition_22[[#All],[Yellow]:[Red]],11,FALSE))</f>
        <v>8.7183958151700082E-3</v>
      </c>
      <c r="N86" s="195">
        <f>J86/HLOOKUP(F86,Team_Composition_22[[#All],[Yellow]:[Red]],6,FALSE)</f>
        <v>1.5155511836876794E-3</v>
      </c>
      <c r="O86" s="195">
        <f>K86/HLOOKUP(F86,Team_Composition_22[[#All],[Yellow]:[Red]],8,FALSE)</f>
        <v>2.945944665750054E-2</v>
      </c>
      <c r="P86" s="195">
        <f>L86/HLOOKUP(F86,Team_Composition_22[[#All],[Yellow]:[Red]],7,FALSE)</f>
        <v>5.7274843910892798E-2</v>
      </c>
    </row>
    <row r="87" spans="1:16" ht="22.5" customHeight="1">
      <c r="A87" s="82">
        <v>90</v>
      </c>
      <c r="B87" s="115" t="str">
        <f>VLOOKUP(C87,Lists!I:J,2,FALSE)</f>
        <v>Healer</v>
      </c>
      <c r="C87" s="115" t="str">
        <f>VLOOKUP(E87,Lists!D:E,2,FALSE)</f>
        <v>Wand/Longbow</v>
      </c>
      <c r="D87" s="13" t="s">
        <v>629</v>
      </c>
      <c r="E87" s="83" t="s">
        <v>198</v>
      </c>
      <c r="F87" s="13" t="s">
        <v>483</v>
      </c>
      <c r="G87" s="82">
        <v>0</v>
      </c>
      <c r="H87" s="82">
        <v>10</v>
      </c>
      <c r="I87" s="194">
        <f t="shared" si="0"/>
        <v>10</v>
      </c>
      <c r="J87" s="85">
        <v>5123</v>
      </c>
      <c r="K87" s="85">
        <v>764681</v>
      </c>
      <c r="L87" s="85">
        <v>1184395</v>
      </c>
      <c r="M87" s="195">
        <f>I87/(HLOOKUP(F87,Team_Composition_22[[#All],[Yellow]:[Red]],10,FALSE)+HLOOKUP(F87,Team_Composition_22[[#All],[Yellow]:[Red]],11,FALSE))</f>
        <v>8.7183958151700082E-3</v>
      </c>
      <c r="N87" s="195">
        <f>J87/HLOOKUP(F87,Team_Composition_22[[#All],[Yellow]:[Red]],6,FALSE)</f>
        <v>2.2807616221232543E-4</v>
      </c>
      <c r="O87" s="195">
        <f>K87/HLOOKUP(F87,Team_Composition_22[[#All],[Yellow]:[Red]],8,FALSE)</f>
        <v>1.6170015432418569E-2</v>
      </c>
      <c r="P87" s="195">
        <f>L87/HLOOKUP(F87,Team_Composition_22[[#All],[Yellow]:[Red]],7,FALSE)</f>
        <v>4.0801178126934845E-2</v>
      </c>
    </row>
    <row r="88" spans="1:16" ht="22.5" customHeight="1">
      <c r="A88" s="82">
        <v>54</v>
      </c>
      <c r="B88" s="115" t="str">
        <f>VLOOKUP(C88,Lists!I:J,2,FALSE)</f>
        <v>Tank</v>
      </c>
      <c r="C88" s="115" t="str">
        <f>VLOOKUP(E88,Lists!D:E,2,FALSE)</f>
        <v>SnS/Greatsword</v>
      </c>
      <c r="D88" s="13" t="s">
        <v>629</v>
      </c>
      <c r="E88" s="83" t="s">
        <v>210</v>
      </c>
      <c r="F88" s="13" t="s">
        <v>483</v>
      </c>
      <c r="G88" s="82">
        <v>1</v>
      </c>
      <c r="H88" s="82">
        <v>8</v>
      </c>
      <c r="I88" s="194">
        <f t="shared" si="0"/>
        <v>9</v>
      </c>
      <c r="J88" s="85">
        <v>67495</v>
      </c>
      <c r="K88" s="85">
        <v>1616717</v>
      </c>
      <c r="L88" s="85">
        <v>134545</v>
      </c>
      <c r="M88" s="195">
        <f>I88/(HLOOKUP(F88,Team_Composition_22[[#All],[Yellow]:[Red]],10,FALSE)+HLOOKUP(F88,Team_Composition_22[[#All],[Yellow]:[Red]],11,FALSE))</f>
        <v>7.8465562336530077E-3</v>
      </c>
      <c r="N88" s="195">
        <f>J88/HLOOKUP(F88,Team_Composition_22[[#All],[Yellow]:[Red]],6,FALSE)</f>
        <v>3.0048800641266651E-3</v>
      </c>
      <c r="O88" s="195">
        <f>K88/HLOOKUP(F88,Team_Composition_22[[#All],[Yellow]:[Red]],8,FALSE)</f>
        <v>3.4187247806410061E-2</v>
      </c>
      <c r="P88" s="195">
        <f>L88/HLOOKUP(F88,Team_Composition_22[[#All],[Yellow]:[Red]],7,FALSE)</f>
        <v>4.6349355671785591E-3</v>
      </c>
    </row>
    <row r="89" spans="1:16" ht="22.5" customHeight="1">
      <c r="A89" s="82">
        <v>91</v>
      </c>
      <c r="B89" s="115" t="str">
        <f>VLOOKUP(C89,Lists!I:J,2,FALSE)</f>
        <v>Melee DPS</v>
      </c>
      <c r="C89" s="115" t="str">
        <f>VLOOKUP(E89,Lists!D:E,2,FALSE)</f>
        <v>Greatsword/Spear</v>
      </c>
      <c r="D89" s="13" t="s">
        <v>629</v>
      </c>
      <c r="E89" s="83" t="s">
        <v>223</v>
      </c>
      <c r="F89" s="13" t="s">
        <v>483</v>
      </c>
      <c r="G89" s="82">
        <v>0</v>
      </c>
      <c r="H89" s="82">
        <v>9</v>
      </c>
      <c r="I89" s="194">
        <f t="shared" si="0"/>
        <v>9</v>
      </c>
      <c r="J89" s="85">
        <v>61946</v>
      </c>
      <c r="K89" s="85">
        <v>1332648</v>
      </c>
      <c r="L89" s="85">
        <v>108197</v>
      </c>
      <c r="M89" s="195">
        <f>I89/(HLOOKUP(F89,Team_Composition_22[[#All],[Yellow]:[Red]],10,FALSE)+HLOOKUP(F89,Team_Composition_22[[#All],[Yellow]:[Red]],11,FALSE))</f>
        <v>7.8465562336530077E-3</v>
      </c>
      <c r="N89" s="195">
        <f>J89/HLOOKUP(F89,Team_Composition_22[[#All],[Yellow]:[Red]],6,FALSE)</f>
        <v>2.7578383650994943E-3</v>
      </c>
      <c r="O89" s="195">
        <f>K89/HLOOKUP(F89,Team_Composition_22[[#All],[Yellow]:[Red]],8,FALSE)</f>
        <v>2.8180298354453345E-2</v>
      </c>
      <c r="P89" s="195">
        <f>L89/HLOOKUP(F89,Team_Composition_22[[#All],[Yellow]:[Red]],7,FALSE)</f>
        <v>3.727274321320142E-3</v>
      </c>
    </row>
    <row r="90" spans="1:16" ht="22.5" customHeight="1">
      <c r="A90" s="82">
        <v>92</v>
      </c>
      <c r="B90" s="115" t="str">
        <f>VLOOKUP(C90,Lists!I:J,2,FALSE)</f>
        <v>Healer</v>
      </c>
      <c r="C90" s="115" t="str">
        <f>VLOOKUP(E90,Lists!D:E,2,FALSE)</f>
        <v>Wand/Longbow</v>
      </c>
      <c r="D90" s="13" t="s">
        <v>629</v>
      </c>
      <c r="E90" s="83" t="s">
        <v>194</v>
      </c>
      <c r="F90" s="13" t="s">
        <v>483</v>
      </c>
      <c r="G90" s="82">
        <v>0</v>
      </c>
      <c r="H90" s="82">
        <v>8</v>
      </c>
      <c r="I90" s="194">
        <f t="shared" si="0"/>
        <v>8</v>
      </c>
      <c r="J90" s="85">
        <v>12462</v>
      </c>
      <c r="K90" s="85">
        <v>1347132</v>
      </c>
      <c r="L90" s="85">
        <v>1663799</v>
      </c>
      <c r="M90" s="195">
        <f>I90/(HLOOKUP(F90,Team_Composition_22[[#All],[Yellow]:[Red]],10,FALSE)+HLOOKUP(F90,Team_Composition_22[[#All],[Yellow]:[Red]],11,FALSE))</f>
        <v>6.9747166521360072E-3</v>
      </c>
      <c r="N90" s="195">
        <f>J90/HLOOKUP(F90,Team_Composition_22[[#All],[Yellow]:[Red]],6,FALSE)</f>
        <v>5.5480873189342169E-4</v>
      </c>
      <c r="O90" s="195">
        <f>K90/HLOOKUP(F90,Team_Composition_22[[#All],[Yellow]:[Red]],8,FALSE)</f>
        <v>2.8486578363402373E-2</v>
      </c>
      <c r="P90" s="195">
        <f>L90/HLOOKUP(F90,Team_Composition_22[[#All],[Yellow]:[Red]],7,FALSE)</f>
        <v>5.7316148216107018E-2</v>
      </c>
    </row>
    <row r="91" spans="1:16" ht="22.5" customHeight="1">
      <c r="A91" s="82">
        <v>93</v>
      </c>
      <c r="B91" s="115" t="str">
        <f>VLOOKUP(C91,Lists!I:J,2,FALSE)</f>
        <v>Healer</v>
      </c>
      <c r="C91" s="115" t="str">
        <f>VLOOKUP(E91,Lists!D:E,2,FALSE)</f>
        <v>Wand/Orb</v>
      </c>
      <c r="D91" s="13" t="s">
        <v>629</v>
      </c>
      <c r="E91" s="83" t="s">
        <v>206</v>
      </c>
      <c r="F91" s="13" t="s">
        <v>483</v>
      </c>
      <c r="G91" s="82">
        <v>0</v>
      </c>
      <c r="H91" s="82">
        <v>8</v>
      </c>
      <c r="I91" s="194">
        <f t="shared" si="0"/>
        <v>8</v>
      </c>
      <c r="J91" s="85">
        <v>11520</v>
      </c>
      <c r="K91" s="85">
        <v>443107</v>
      </c>
      <c r="L91" s="85">
        <v>509459</v>
      </c>
      <c r="M91" s="195">
        <f>I91/(HLOOKUP(F91,Team_Composition_22[[#All],[Yellow]:[Red]],10,FALSE)+HLOOKUP(F91,Team_Composition_22[[#All],[Yellow]:[Red]],11,FALSE))</f>
        <v>6.9747166521360072E-3</v>
      </c>
      <c r="N91" s="195">
        <f>J91/HLOOKUP(F91,Team_Composition_22[[#All],[Yellow]:[Red]],6,FALSE)</f>
        <v>5.128708547112998E-4</v>
      </c>
      <c r="O91" s="195">
        <f>K91/HLOOKUP(F91,Team_Composition_22[[#All],[Yellow]:[Red]],8,FALSE)</f>
        <v>9.3699817678387382E-3</v>
      </c>
      <c r="P91" s="195">
        <f>L91/HLOOKUP(F91,Team_Composition_22[[#All],[Yellow]:[Red]],7,FALSE)</f>
        <v>1.7550333636472713E-2</v>
      </c>
    </row>
    <row r="92" spans="1:16" ht="22.5" customHeight="1">
      <c r="A92" s="82">
        <v>55</v>
      </c>
      <c r="B92" s="115" t="str">
        <f>VLOOKUP(C92,Lists!I:J,2,FALSE)</f>
        <v>Tank</v>
      </c>
      <c r="C92" s="115" t="str">
        <f>VLOOKUP(E92,Lists!D:E,2,FALSE)</f>
        <v>SnS/Greatsword</v>
      </c>
      <c r="D92" s="13" t="s">
        <v>7</v>
      </c>
      <c r="E92" s="83" t="s">
        <v>111</v>
      </c>
      <c r="F92" s="13" t="s">
        <v>476</v>
      </c>
      <c r="G92" s="82">
        <v>1</v>
      </c>
      <c r="H92" s="82">
        <v>6</v>
      </c>
      <c r="I92" s="194">
        <f t="shared" si="0"/>
        <v>7</v>
      </c>
      <c r="J92" s="85">
        <v>41230</v>
      </c>
      <c r="K92" s="85">
        <v>568155</v>
      </c>
      <c r="L92" s="85">
        <v>9598</v>
      </c>
      <c r="M92" s="195">
        <f>I92/(HLOOKUP(F92,Team_Composition_22[[#All],[Yellow]:[Red]],10,FALSE)+HLOOKUP(F92,Team_Composition_22[[#All],[Yellow]:[Red]],11,FALSE))</f>
        <v>1.7825311942959001E-3</v>
      </c>
      <c r="N92" s="195">
        <f>J92/HLOOKUP(F92,Team_Composition_22[[#All],[Yellow]:[Red]],6,FALSE)</f>
        <v>8.5205302931717528E-4</v>
      </c>
      <c r="O92" s="195">
        <f>K92/HLOOKUP(F92,Team_Composition_22[[#All],[Yellow]:[Red]],8,FALSE)</f>
        <v>2.4026639966030185E-2</v>
      </c>
      <c r="P92" s="195">
        <f>L92/HLOOKUP(F92,Team_Composition_22[[#All],[Yellow]:[Red]],7,FALSE)</f>
        <v>5.8033388849402514E-4</v>
      </c>
    </row>
    <row r="93" spans="1:16" ht="22.5" customHeight="1">
      <c r="A93" s="82">
        <v>94</v>
      </c>
      <c r="B93" s="115" t="str">
        <f>VLOOKUP(C93,Lists!I:J,2,FALSE)</f>
        <v>Tank</v>
      </c>
      <c r="C93" s="115" t="str">
        <f>VLOOKUP(E93,Lists!D:E,2,FALSE)</f>
        <v>SnS/Greatsword</v>
      </c>
      <c r="D93" s="13" t="s">
        <v>7</v>
      </c>
      <c r="E93" s="83" t="s">
        <v>118</v>
      </c>
      <c r="F93" s="13" t="s">
        <v>476</v>
      </c>
      <c r="G93" s="82">
        <v>0</v>
      </c>
      <c r="H93" s="82">
        <v>7</v>
      </c>
      <c r="I93" s="194">
        <f t="shared" si="0"/>
        <v>7</v>
      </c>
      <c r="J93" s="85">
        <v>41841</v>
      </c>
      <c r="K93" s="85">
        <v>350556</v>
      </c>
      <c r="L93" s="85">
        <v>16076</v>
      </c>
      <c r="M93" s="195">
        <f>I93/(HLOOKUP(F93,Team_Composition_22[[#All],[Yellow]:[Red]],10,FALSE)+HLOOKUP(F93,Team_Composition_22[[#All],[Yellow]:[Red]],11,FALSE))</f>
        <v>1.7825311942959001E-3</v>
      </c>
      <c r="N93" s="195">
        <f>J93/HLOOKUP(F93,Team_Composition_22[[#All],[Yellow]:[Red]],6,FALSE)</f>
        <v>8.6467986416832233E-4</v>
      </c>
      <c r="O93" s="195">
        <f>K93/HLOOKUP(F93,Team_Composition_22[[#All],[Yellow]:[Red]],8,FALSE)</f>
        <v>1.4824621450012194E-2</v>
      </c>
      <c r="P93" s="195">
        <f>L93/HLOOKUP(F93,Team_Composition_22[[#All],[Yellow]:[Red]],7,FALSE)</f>
        <v>9.7201996159928606E-4</v>
      </c>
    </row>
    <row r="94" spans="1:16" ht="22.5" customHeight="1">
      <c r="A94" s="82">
        <v>56</v>
      </c>
      <c r="B94" s="115" t="str">
        <f>VLOOKUP(C94,Lists!I:J,2,FALSE)</f>
        <v>Tank</v>
      </c>
      <c r="C94" s="115" t="str">
        <f>VLOOKUP(E94,Lists!D:E,2,FALSE)</f>
        <v>SnS/Greatsword</v>
      </c>
      <c r="D94" s="13" t="s">
        <v>629</v>
      </c>
      <c r="E94" s="83" t="s">
        <v>212</v>
      </c>
      <c r="F94" s="13" t="s">
        <v>483</v>
      </c>
      <c r="G94" s="82">
        <v>1</v>
      </c>
      <c r="H94" s="82">
        <v>5</v>
      </c>
      <c r="I94" s="194">
        <f t="shared" si="0"/>
        <v>6</v>
      </c>
      <c r="J94" s="85">
        <v>316378</v>
      </c>
      <c r="K94" s="85">
        <v>1040128</v>
      </c>
      <c r="L94" s="85">
        <v>165351</v>
      </c>
      <c r="M94" s="195">
        <f>I94/(HLOOKUP(F94,Team_Composition_22[[#All],[Yellow]:[Red]],10,FALSE)+HLOOKUP(F94,Team_Composition_22[[#All],[Yellow]:[Red]],11,FALSE))</f>
        <v>5.2310374891020054E-3</v>
      </c>
      <c r="N94" s="195">
        <f>J94/HLOOKUP(F94,Team_Composition_22[[#All],[Yellow]:[Red]],6,FALSE)</f>
        <v>1.4085161047903786E-2</v>
      </c>
      <c r="O94" s="195">
        <f>K94/HLOOKUP(F94,Team_Composition_22[[#All],[Yellow]:[Red]],8,FALSE)</f>
        <v>2.1994643271757319E-2</v>
      </c>
      <c r="P94" s="195">
        <f>L94/HLOOKUP(F94,Team_Composition_22[[#All],[Yellow]:[Red]],7,FALSE)</f>
        <v>5.6961702848009358E-3</v>
      </c>
    </row>
    <row r="95" spans="1:16" ht="22.5" customHeight="1">
      <c r="A95" s="82">
        <v>57</v>
      </c>
      <c r="B95" s="115" t="str">
        <f>VLOOKUP(C95,Lists!I:J,2,FALSE)</f>
        <v>Tank</v>
      </c>
      <c r="C95" s="115" t="str">
        <f>VLOOKUP(E95,Lists!D:E,2,FALSE)</f>
        <v>SnS/Greatsword</v>
      </c>
      <c r="D95" s="13" t="s">
        <v>629</v>
      </c>
      <c r="E95" s="83" t="s">
        <v>211</v>
      </c>
      <c r="F95" s="13" t="s">
        <v>483</v>
      </c>
      <c r="G95" s="82">
        <v>1</v>
      </c>
      <c r="H95" s="82">
        <v>5</v>
      </c>
      <c r="I95" s="194">
        <f t="shared" si="0"/>
        <v>6</v>
      </c>
      <c r="J95" s="85">
        <v>244313</v>
      </c>
      <c r="K95" s="85">
        <v>1632351</v>
      </c>
      <c r="L95" s="85">
        <v>210559</v>
      </c>
      <c r="M95" s="195">
        <f>I95/(HLOOKUP(F95,Team_Composition_22[[#All],[Yellow]:[Red]],10,FALSE)+HLOOKUP(F95,Team_Composition_22[[#All],[Yellow]:[Red]],11,FALSE))</f>
        <v>5.2310374891020054E-3</v>
      </c>
      <c r="N95" s="195">
        <f>J95/HLOOKUP(F95,Team_Composition_22[[#All],[Yellow]:[Red]],6,FALSE)</f>
        <v>1.0876824403392516E-2</v>
      </c>
      <c r="O95" s="195">
        <f>K95/HLOOKUP(F95,Team_Composition_22[[#All],[Yellow]:[Red]],8,FALSE)</f>
        <v>3.4517845822145288E-2</v>
      </c>
      <c r="P95" s="195">
        <f>L95/HLOOKUP(F95,Team_Composition_22[[#All],[Yellow]:[Red]],7,FALSE)</f>
        <v>7.253538950459327E-3</v>
      </c>
    </row>
    <row r="96" spans="1:16" ht="22.5" customHeight="1">
      <c r="A96" s="82">
        <v>95</v>
      </c>
      <c r="B96" s="115" t="s">
        <v>67</v>
      </c>
      <c r="C96" s="115" t="s">
        <v>14</v>
      </c>
      <c r="D96" s="13" t="s">
        <v>629</v>
      </c>
      <c r="E96" s="83" t="s">
        <v>483</v>
      </c>
      <c r="F96" s="13" t="s">
        <v>483</v>
      </c>
      <c r="G96" s="82">
        <v>0</v>
      </c>
      <c r="H96" s="82">
        <v>5</v>
      </c>
      <c r="I96" s="194">
        <f t="shared" si="0"/>
        <v>5</v>
      </c>
      <c r="J96" s="85">
        <v>170618</v>
      </c>
      <c r="K96" s="85">
        <v>650147</v>
      </c>
      <c r="L96" s="85">
        <v>66125</v>
      </c>
      <c r="M96" s="195">
        <f>I96/(HLOOKUP(F96,Team_Composition_22[[#All],[Yellow]:[Red]],10,FALSE)+HLOOKUP(F96,Team_Composition_22[[#All],[Yellow]:[Red]],11,FALSE))</f>
        <v>4.3591979075850041E-3</v>
      </c>
      <c r="N96" s="195">
        <f>J96/HLOOKUP(F96,Team_Composition_22[[#All],[Yellow]:[Red]],6,FALSE)</f>
        <v>7.5959200945427555E-3</v>
      </c>
      <c r="O96" s="195">
        <f>K96/HLOOKUP(F96,Team_Composition_22[[#All],[Yellow]:[Red]],8,FALSE)</f>
        <v>1.3748068833069782E-2</v>
      </c>
      <c r="P96" s="195">
        <f>L96/HLOOKUP(F96,Team_Composition_22[[#All],[Yellow]:[Red]],7,FALSE)</f>
        <v>2.2779375999084483E-3</v>
      </c>
    </row>
    <row r="97" spans="1:16" ht="22.5" customHeight="1">
      <c r="A97" s="82">
        <v>96</v>
      </c>
      <c r="B97" s="115" t="str">
        <f>VLOOKUP(C97,Lists!I:J,2,FALSE)</f>
        <v>Tank</v>
      </c>
      <c r="C97" s="115" t="str">
        <f>VLOOKUP(E97,Lists!D:E,2,FALSE)</f>
        <v>SnS/Greatsword</v>
      </c>
      <c r="D97" s="13" t="s">
        <v>629</v>
      </c>
      <c r="E97" s="83" t="s">
        <v>213</v>
      </c>
      <c r="F97" s="13" t="s">
        <v>483</v>
      </c>
      <c r="G97" s="82">
        <v>0</v>
      </c>
      <c r="H97" s="82">
        <v>1</v>
      </c>
      <c r="I97" s="194">
        <f t="shared" si="0"/>
        <v>1</v>
      </c>
      <c r="J97" s="85">
        <v>59069</v>
      </c>
      <c r="K97" s="85">
        <v>1056611</v>
      </c>
      <c r="L97" s="85">
        <v>88462</v>
      </c>
      <c r="M97" s="195">
        <f>I97/(HLOOKUP(F97,Team_Composition_22[[#All],[Yellow]:[Red]],10,FALSE)+HLOOKUP(F97,Team_Composition_22[[#All],[Yellow]:[Red]],11,FALSE))</f>
        <v>8.7183958151700091E-4</v>
      </c>
      <c r="N97" s="195">
        <f>J97/HLOOKUP(F97,Team_Composition_22[[#All],[Yellow]:[Red]],6,FALSE)</f>
        <v>2.6297542115400838E-3</v>
      </c>
      <c r="O97" s="195">
        <f>K97/HLOOKUP(F97,Team_Composition_22[[#All],[Yellow]:[Red]],8,FALSE)</f>
        <v>2.2343194320328628E-2</v>
      </c>
      <c r="P97" s="195">
        <f>L97/HLOOKUP(F97,Team_Composition_22[[#All],[Yellow]:[Red]],7,FALSE)</f>
        <v>3.047424059933477E-3</v>
      </c>
    </row>
  </sheetData>
  <mergeCells count="9">
    <mergeCell ref="R51:T51"/>
    <mergeCell ref="R65:T65"/>
    <mergeCell ref="R2:T2"/>
    <mergeCell ref="V2:W2"/>
    <mergeCell ref="Y2:Z2"/>
    <mergeCell ref="R16:T16"/>
    <mergeCell ref="V16:W16"/>
    <mergeCell ref="Y16:Z16"/>
    <mergeCell ref="R29:T29"/>
  </mergeCells>
  <dataValidations count="4">
    <dataValidation type="list" allowBlank="1" sqref="B2:D97" xr:uid="{00000000-0002-0000-1700-000000000000}">
      <formula1>#REF!</formula1>
    </dataValidation>
    <dataValidation type="list" allowBlank="1" sqref="F2:F97" xr:uid="{00000000-0002-0000-1700-000002000000}">
      <formula1>"Yellow,Red"</formula1>
    </dataValidation>
    <dataValidation type="custom" allowBlank="1" showDropDown="1" sqref="S4:T15 S18:T26 S31:T48 S53:T62 S67:T74 A2:A97 G2:L97" xr:uid="{00000000-0002-0000-1700-000003000000}">
      <formula1>AND(ISNUMBER(A2),(NOT(OR(NOT(ISERROR(DATEVALUE(A2))), AND(ISNUMBER(A2), LEFT(CELL("format", A2))="D")))))</formula1>
    </dataValidation>
    <dataValidation allowBlank="1" showDropDown="1" sqref="E2:E97" xr:uid="{00000000-0002-0000-17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
        <v>39</v>
      </c>
      <c r="C2" s="115" t="s">
        <v>58</v>
      </c>
      <c r="D2" s="115" t="s">
        <v>7</v>
      </c>
      <c r="E2" s="98" t="s">
        <v>107</v>
      </c>
      <c r="F2" s="115" t="s">
        <v>476</v>
      </c>
      <c r="G2" s="115">
        <v>57</v>
      </c>
      <c r="H2" s="115">
        <v>80</v>
      </c>
      <c r="I2" s="194">
        <v>137</v>
      </c>
      <c r="J2" s="116">
        <v>3863061</v>
      </c>
      <c r="K2" s="116">
        <v>780777</v>
      </c>
      <c r="L2" s="116">
        <v>19290</v>
      </c>
      <c r="M2" s="195">
        <v>5.9591126576772513E-2</v>
      </c>
      <c r="N2" s="195">
        <v>0.13457408705569263</v>
      </c>
      <c r="O2" s="195">
        <v>2.2497056682842666E-2</v>
      </c>
      <c r="P2" s="195">
        <v>8.8253480099160489E-4</v>
      </c>
      <c r="R2" s="232" t="s">
        <v>477</v>
      </c>
      <c r="S2" s="228"/>
      <c r="T2" s="228"/>
      <c r="V2" s="233" t="s">
        <v>478</v>
      </c>
      <c r="W2" s="228"/>
      <c r="X2" s="196"/>
      <c r="Y2" s="233" t="s">
        <v>479</v>
      </c>
      <c r="Z2" s="228"/>
    </row>
    <row r="3" spans="1:26" ht="22.5" customHeight="1">
      <c r="A3" s="115">
        <v>2</v>
      </c>
      <c r="B3" s="115" t="s">
        <v>39</v>
      </c>
      <c r="C3" s="115" t="s">
        <v>58</v>
      </c>
      <c r="D3" s="115" t="s">
        <v>573</v>
      </c>
      <c r="E3" s="98" t="s">
        <v>632</v>
      </c>
      <c r="F3" s="115" t="s">
        <v>483</v>
      </c>
      <c r="G3" s="115">
        <v>50</v>
      </c>
      <c r="H3" s="115">
        <v>84</v>
      </c>
      <c r="I3" s="194">
        <v>134</v>
      </c>
      <c r="J3" s="116">
        <v>4629210</v>
      </c>
      <c r="K3" s="116">
        <v>731779</v>
      </c>
      <c r="L3" s="116">
        <v>0</v>
      </c>
      <c r="M3" s="195">
        <v>5.7858376511226252E-2</v>
      </c>
      <c r="N3" s="195">
        <v>0.13575416197836543</v>
      </c>
      <c r="O3" s="195">
        <v>2.6791750657200221E-2</v>
      </c>
      <c r="P3" s="195">
        <v>0</v>
      </c>
      <c r="R3" s="197" t="s">
        <v>482</v>
      </c>
      <c r="S3" s="198" t="s">
        <v>476</v>
      </c>
      <c r="T3" s="198" t="s">
        <v>483</v>
      </c>
      <c r="V3" s="199" t="s">
        <v>1</v>
      </c>
      <c r="W3" s="200" t="s">
        <v>467</v>
      </c>
      <c r="Y3" s="199" t="s">
        <v>1</v>
      </c>
      <c r="Z3" s="200" t="s">
        <v>484</v>
      </c>
    </row>
    <row r="4" spans="1:26" ht="22.5" customHeight="1">
      <c r="A4" s="115">
        <v>13</v>
      </c>
      <c r="B4" s="115" t="s">
        <v>25</v>
      </c>
      <c r="C4" s="115" t="s">
        <v>23</v>
      </c>
      <c r="D4" s="115" t="s">
        <v>7</v>
      </c>
      <c r="E4" s="98" t="s">
        <v>22</v>
      </c>
      <c r="F4" s="115" t="s">
        <v>476</v>
      </c>
      <c r="G4" s="115">
        <v>28</v>
      </c>
      <c r="H4" s="115">
        <v>84</v>
      </c>
      <c r="I4" s="194">
        <v>112</v>
      </c>
      <c r="J4" s="116">
        <v>1737661</v>
      </c>
      <c r="K4" s="116">
        <v>1298279</v>
      </c>
      <c r="L4" s="116">
        <v>28091</v>
      </c>
      <c r="M4" s="195">
        <v>4.8716833405828622E-2</v>
      </c>
      <c r="N4" s="195">
        <v>6.0533380831232511E-2</v>
      </c>
      <c r="O4" s="195">
        <v>3.7408192420043486E-2</v>
      </c>
      <c r="P4" s="195">
        <v>1.2851884445129692E-3</v>
      </c>
      <c r="R4" s="201" t="s">
        <v>25</v>
      </c>
      <c r="S4" s="202">
        <f>COUNTIFS(Scoreboard_20[Role],R4,Scoreboard_20[Team],"Yellow")</f>
        <v>8</v>
      </c>
      <c r="T4" s="203">
        <f>COUNTIFS(Scoreboard_20[Role],R4,Scoreboard_20[Team],"Red")</f>
        <v>7</v>
      </c>
      <c r="V4" s="204" t="str">
        <f ca="1">IFERROR(__xludf.DUMMYFUNCTION("query(A1:P239, ""Select E,I where B!='Healer' Order by I Desc Limit 10"", 0)"),"TanksVicious")</f>
        <v>TanksVicious</v>
      </c>
      <c r="W4" s="116">
        <f ca="1">IFERROR(__xludf.DUMMYFUNCTION("""COMPUTED_VALUE"""),137)</f>
        <v>137</v>
      </c>
      <c r="Y4" s="204" t="str">
        <f ca="1">IFERROR(__xludf.DUMMYFUNCTION("query(A1:P239, ""Select E,J Order by J Desc Limit 10"", 0)"),"BBlast")</f>
        <v>BBlast</v>
      </c>
      <c r="Z4" s="116">
        <f ca="1">IFERROR(__xludf.DUMMYFUNCTION("""COMPUTED_VALUE"""),4629210)</f>
        <v>4629210</v>
      </c>
    </row>
    <row r="5" spans="1:26" ht="22.5" customHeight="1">
      <c r="A5" s="115">
        <v>6</v>
      </c>
      <c r="B5" s="115" t="s">
        <v>25</v>
      </c>
      <c r="C5" s="115" t="s">
        <v>23</v>
      </c>
      <c r="D5" s="115" t="s">
        <v>7</v>
      </c>
      <c r="E5" s="98" t="s">
        <v>27</v>
      </c>
      <c r="F5" s="115" t="s">
        <v>476</v>
      </c>
      <c r="G5" s="115">
        <v>37</v>
      </c>
      <c r="H5" s="115">
        <v>73</v>
      </c>
      <c r="I5" s="194">
        <v>110</v>
      </c>
      <c r="J5" s="116">
        <v>2194121</v>
      </c>
      <c r="K5" s="116">
        <v>1123879</v>
      </c>
      <c r="L5" s="116">
        <v>9377</v>
      </c>
      <c r="M5" s="195">
        <v>4.784688995215311E-2</v>
      </c>
      <c r="N5" s="195">
        <v>7.6434679769416883E-2</v>
      </c>
      <c r="O5" s="195">
        <v>3.2383087062831682E-2</v>
      </c>
      <c r="P5" s="195">
        <v>4.2900616012951165E-4</v>
      </c>
      <c r="R5" s="201" t="s">
        <v>39</v>
      </c>
      <c r="S5" s="202">
        <f>COUNTIFS(Scoreboard_20[Role],R5,Scoreboard_20[Team],"Yellow")</f>
        <v>7</v>
      </c>
      <c r="T5" s="203">
        <f>COUNTIFS(Scoreboard_20[Role],R5,Scoreboard_20[Team],"Red")</f>
        <v>11</v>
      </c>
      <c r="V5" s="204" t="str">
        <f ca="1">IFERROR(__xludf.DUMMYFUNCTION("""COMPUTED_VALUE"""),"BBlast")</f>
        <v>BBlast</v>
      </c>
      <c r="W5" s="116">
        <f ca="1">IFERROR(__xludf.DUMMYFUNCTION("""COMPUTED_VALUE"""),134)</f>
        <v>134</v>
      </c>
      <c r="Y5" s="204" t="str">
        <f ca="1">IFERROR(__xludf.DUMMYFUNCTION("""COMPUTED_VALUE"""),"TanksVicious")</f>
        <v>TanksVicious</v>
      </c>
      <c r="Z5" s="116">
        <f ca="1">IFERROR(__xludf.DUMMYFUNCTION("""COMPUTED_VALUE"""),3863061)</f>
        <v>3863061</v>
      </c>
    </row>
    <row r="6" spans="1:26" ht="22.5" customHeight="1">
      <c r="A6" s="115">
        <v>16</v>
      </c>
      <c r="B6" s="115" t="s">
        <v>25</v>
      </c>
      <c r="C6" s="115" t="s">
        <v>24</v>
      </c>
      <c r="D6" s="115" t="s">
        <v>573</v>
      </c>
      <c r="E6" s="98" t="s">
        <v>578</v>
      </c>
      <c r="F6" s="115" t="s">
        <v>483</v>
      </c>
      <c r="G6" s="115">
        <v>26</v>
      </c>
      <c r="H6" s="115">
        <v>79</v>
      </c>
      <c r="I6" s="194">
        <v>105</v>
      </c>
      <c r="J6" s="116">
        <v>1803608</v>
      </c>
      <c r="K6" s="116">
        <v>433201</v>
      </c>
      <c r="L6" s="116">
        <v>1151</v>
      </c>
      <c r="M6" s="195">
        <v>4.5336787564766841E-2</v>
      </c>
      <c r="N6" s="195">
        <v>5.2891809310330641E-2</v>
      </c>
      <c r="O6" s="195">
        <v>1.5860270896609213E-2</v>
      </c>
      <c r="P6" s="195">
        <v>6.5193246432793779E-5</v>
      </c>
      <c r="R6" s="201" t="s">
        <v>67</v>
      </c>
      <c r="S6" s="202">
        <f>COUNTIFS(Scoreboard_20[Role],R6,Scoreboard_20[Team],"Yellow")</f>
        <v>12</v>
      </c>
      <c r="T6" s="203">
        <f>COUNTIFS(Scoreboard_20[Role],R6,Scoreboard_20[Team],"Red")</f>
        <v>11</v>
      </c>
      <c r="V6" s="204" t="str">
        <f ca="1">IFERROR(__xludf.DUMMYFUNCTION("""COMPUTED_VALUE"""),"Baozer")</f>
        <v>Baozer</v>
      </c>
      <c r="W6" s="116">
        <f ca="1">IFERROR(__xludf.DUMMYFUNCTION("""COMPUTED_VALUE"""),112)</f>
        <v>112</v>
      </c>
      <c r="Y6" s="204" t="str">
        <f ca="1">IFERROR(__xludf.DUMMYFUNCTION("""COMPUTED_VALUE"""),"·Itty·")</f>
        <v>·Itty·</v>
      </c>
      <c r="Z6" s="116">
        <f ca="1">IFERROR(__xludf.DUMMYFUNCTION("""COMPUTED_VALUE"""),2924507)</f>
        <v>2924507</v>
      </c>
    </row>
    <row r="7" spans="1:26" ht="22.5" customHeight="1">
      <c r="A7" s="115">
        <v>5</v>
      </c>
      <c r="B7" s="115" t="s">
        <v>39</v>
      </c>
      <c r="C7" s="115" t="s">
        <v>58</v>
      </c>
      <c r="D7" s="115" t="s">
        <v>573</v>
      </c>
      <c r="E7" s="98" t="s">
        <v>633</v>
      </c>
      <c r="F7" s="115" t="s">
        <v>483</v>
      </c>
      <c r="G7" s="115">
        <v>40</v>
      </c>
      <c r="H7" s="115">
        <v>62</v>
      </c>
      <c r="I7" s="194">
        <v>102</v>
      </c>
      <c r="J7" s="116">
        <v>2752523</v>
      </c>
      <c r="K7" s="116">
        <v>678913</v>
      </c>
      <c r="L7" s="116">
        <v>0</v>
      </c>
      <c r="M7" s="195">
        <v>4.4041450777202069E-2</v>
      </c>
      <c r="N7" s="195">
        <v>8.0719270283952621E-2</v>
      </c>
      <c r="O7" s="195">
        <v>2.4856230930283288E-2</v>
      </c>
      <c r="P7" s="195">
        <v>0</v>
      </c>
      <c r="R7" s="201" t="s">
        <v>11</v>
      </c>
      <c r="S7" s="202">
        <f>COUNTIFS(Scoreboard_20[Role],R7,Scoreboard_20[Team],"Yellow")</f>
        <v>21</v>
      </c>
      <c r="T7" s="203">
        <f>COUNTIFS(Scoreboard_20[Role],R7,Scoreboard_20[Team],"Red")</f>
        <v>19</v>
      </c>
      <c r="V7" s="204" t="str">
        <f ca="1">IFERROR(__xludf.DUMMYFUNCTION("""COMPUTED_VALUE"""),"Blee")</f>
        <v>Blee</v>
      </c>
      <c r="W7" s="116">
        <f ca="1">IFERROR(__xludf.DUMMYFUNCTION("""COMPUTED_VALUE"""),110)</f>
        <v>110</v>
      </c>
      <c r="Y7" s="204" t="str">
        <f ca="1">IFERROR(__xludf.DUMMYFUNCTION("""COMPUTED_VALUE"""),"Levy1ng")</f>
        <v>Levy1ng</v>
      </c>
      <c r="Z7" s="116">
        <f ca="1">IFERROR(__xludf.DUMMYFUNCTION("""COMPUTED_VALUE"""),2752523)</f>
        <v>2752523</v>
      </c>
    </row>
    <row r="8" spans="1:26" ht="22.5" customHeight="1">
      <c r="A8" s="115">
        <v>21</v>
      </c>
      <c r="B8" s="115" t="s">
        <v>25</v>
      </c>
      <c r="C8" s="115" t="s">
        <v>23</v>
      </c>
      <c r="D8" s="115" t="s">
        <v>7</v>
      </c>
      <c r="E8" s="98" t="s">
        <v>47</v>
      </c>
      <c r="F8" s="115" t="s">
        <v>476</v>
      </c>
      <c r="G8" s="115">
        <v>23</v>
      </c>
      <c r="H8" s="115">
        <v>79</v>
      </c>
      <c r="I8" s="194">
        <v>102</v>
      </c>
      <c r="J8" s="116">
        <v>1331524</v>
      </c>
      <c r="K8" s="116">
        <v>1202013</v>
      </c>
      <c r="L8" s="116">
        <v>41733</v>
      </c>
      <c r="M8" s="195">
        <v>4.4367116137451063E-2</v>
      </c>
      <c r="N8" s="195">
        <v>4.6385140357023631E-2</v>
      </c>
      <c r="O8" s="195">
        <v>3.463441494115959E-2</v>
      </c>
      <c r="P8" s="195">
        <v>1.9093221798746837E-3</v>
      </c>
      <c r="R8" s="201" t="s">
        <v>468</v>
      </c>
      <c r="S8" s="202">
        <f>SUMIFS(Scoreboard_20[Damage Dealt],Scoreboard_20[Team],"Yellow")</f>
        <v>28705831</v>
      </c>
      <c r="T8" s="203">
        <f>SUMIFS(Scoreboard_20[Damage Dealt],Scoreboard_20[Team],"Red")</f>
        <v>34099949</v>
      </c>
      <c r="V8" s="204" t="str">
        <f ca="1">IFERROR(__xludf.DUMMYFUNCTION("""COMPUTED_VALUE"""),"NineteenF")</f>
        <v>NineteenF</v>
      </c>
      <c r="W8" s="116">
        <f ca="1">IFERROR(__xludf.DUMMYFUNCTION("""COMPUTED_VALUE"""),105)</f>
        <v>105</v>
      </c>
      <c r="Y8" s="204" t="str">
        <f ca="1">IFERROR(__xludf.DUMMYFUNCTION("""COMPUTED_VALUE"""),"edmun")</f>
        <v>edmun</v>
      </c>
      <c r="Z8" s="116">
        <f ca="1">IFERROR(__xludf.DUMMYFUNCTION("""COMPUTED_VALUE"""),2664623)</f>
        <v>2664623</v>
      </c>
    </row>
    <row r="9" spans="1:26" ht="22.5" customHeight="1">
      <c r="A9" s="115">
        <v>19</v>
      </c>
      <c r="B9" s="115" t="s">
        <v>25</v>
      </c>
      <c r="C9" s="115" t="s">
        <v>24</v>
      </c>
      <c r="D9" s="115" t="s">
        <v>573</v>
      </c>
      <c r="E9" s="98" t="s">
        <v>577</v>
      </c>
      <c r="F9" s="115" t="s">
        <v>483</v>
      </c>
      <c r="G9" s="115">
        <v>25</v>
      </c>
      <c r="H9" s="115">
        <v>72</v>
      </c>
      <c r="I9" s="194">
        <v>97</v>
      </c>
      <c r="J9" s="116">
        <v>1688105</v>
      </c>
      <c r="K9" s="116">
        <v>535886</v>
      </c>
      <c r="L9" s="116">
        <v>9043</v>
      </c>
      <c r="M9" s="195">
        <v>4.1882556131260795E-2</v>
      </c>
      <c r="N9" s="195">
        <v>4.9504619493712439E-2</v>
      </c>
      <c r="O9" s="195">
        <v>1.9619754178084363E-2</v>
      </c>
      <c r="P9" s="195">
        <v>5.1220028452802265E-4</v>
      </c>
      <c r="R9" s="201" t="s">
        <v>470</v>
      </c>
      <c r="S9" s="202">
        <f>SUMIFS(Scoreboard_20[Amount Healed],Scoreboard_20[Team],"Yellow")</f>
        <v>21857495</v>
      </c>
      <c r="T9" s="203">
        <f>SUMIFS(Scoreboard_20[Amount Healed],Scoreboard_20[Team],"Red")</f>
        <v>17655203</v>
      </c>
      <c r="V9" s="204" t="str">
        <f ca="1">IFERROR(__xludf.DUMMYFUNCTION("""COMPUTED_VALUE"""),"Levy1ng")</f>
        <v>Levy1ng</v>
      </c>
      <c r="W9" s="116">
        <f ca="1">IFERROR(__xludf.DUMMYFUNCTION("""COMPUTED_VALUE"""),102)</f>
        <v>102</v>
      </c>
      <c r="Y9" s="204" t="str">
        <f ca="1">IFERROR(__xludf.DUMMYFUNCTION("""COMPUTED_VALUE"""),"ChunkyBruhdaツ")</f>
        <v>ChunkyBruhdaツ</v>
      </c>
      <c r="Z9" s="116">
        <f ca="1">IFERROR(__xludf.DUMMYFUNCTION("""COMPUTED_VALUE"""),2397240)</f>
        <v>2397240</v>
      </c>
    </row>
    <row r="10" spans="1:26" ht="22.5" customHeight="1">
      <c r="A10" s="115">
        <v>7</v>
      </c>
      <c r="B10" s="115" t="s">
        <v>25</v>
      </c>
      <c r="C10" s="115" t="s">
        <v>69</v>
      </c>
      <c r="D10" s="115" t="s">
        <v>7</v>
      </c>
      <c r="E10" s="98" t="s">
        <v>90</v>
      </c>
      <c r="F10" s="115" t="s">
        <v>476</v>
      </c>
      <c r="G10" s="115">
        <v>37</v>
      </c>
      <c r="H10" s="115">
        <v>54</v>
      </c>
      <c r="I10" s="194">
        <v>91</v>
      </c>
      <c r="J10" s="116">
        <v>1495995</v>
      </c>
      <c r="K10" s="116">
        <v>1276352</v>
      </c>
      <c r="L10" s="116">
        <v>59813</v>
      </c>
      <c r="M10" s="195">
        <v>3.9582427142235754E-2</v>
      </c>
      <c r="N10" s="195">
        <v>5.2114673147765696E-2</v>
      </c>
      <c r="O10" s="195">
        <v>3.677639491334863E-2</v>
      </c>
      <c r="P10" s="195">
        <v>2.7364983956304234E-3</v>
      </c>
      <c r="R10" s="201" t="s">
        <v>469</v>
      </c>
      <c r="S10" s="202">
        <f>SUMIFS(Scoreboard_20[Damage Taken],Scoreboard_20[Team],"Yellow")</f>
        <v>34705740</v>
      </c>
      <c r="T10" s="203">
        <f>SUMIFS(Scoreboard_20[Damage Taken],Scoreboard_20[Team],"Red")</f>
        <v>27313594</v>
      </c>
      <c r="V10" s="204" t="str">
        <f ca="1">IFERROR(__xludf.DUMMYFUNCTION("""COMPUTED_VALUE"""),"Fadeふち")</f>
        <v>Fadeふち</v>
      </c>
      <c r="W10" s="116">
        <f ca="1">IFERROR(__xludf.DUMMYFUNCTION("""COMPUTED_VALUE"""),102)</f>
        <v>102</v>
      </c>
      <c r="Y10" s="204" t="str">
        <f ca="1">IFERROR(__xludf.DUMMYFUNCTION("""COMPUTED_VALUE"""),"Blee")</f>
        <v>Blee</v>
      </c>
      <c r="Z10" s="116">
        <f ca="1">IFERROR(__xludf.DUMMYFUNCTION("""COMPUTED_VALUE"""),2194121)</f>
        <v>2194121</v>
      </c>
    </row>
    <row r="11" spans="1:26" ht="22.5" customHeight="1">
      <c r="A11" s="115">
        <v>38</v>
      </c>
      <c r="B11" s="115" t="s">
        <v>11</v>
      </c>
      <c r="C11" s="115" t="s">
        <v>9</v>
      </c>
      <c r="D11" s="115" t="s">
        <v>7</v>
      </c>
      <c r="E11" s="98" t="s">
        <v>87</v>
      </c>
      <c r="F11" s="115" t="s">
        <v>476</v>
      </c>
      <c r="G11" s="115">
        <v>1</v>
      </c>
      <c r="H11" s="115">
        <v>85</v>
      </c>
      <c r="I11" s="194">
        <v>86</v>
      </c>
      <c r="J11" s="116">
        <v>147346</v>
      </c>
      <c r="K11" s="116">
        <v>139745</v>
      </c>
      <c r="L11" s="116">
        <v>826809</v>
      </c>
      <c r="M11" s="195">
        <v>3.7407568508046975E-2</v>
      </c>
      <c r="N11" s="195">
        <v>5.1329641005689753E-3</v>
      </c>
      <c r="O11" s="195">
        <v>4.0265673632085067E-3</v>
      </c>
      <c r="P11" s="195">
        <v>3.7827253306016995E-2</v>
      </c>
      <c r="R11" s="201" t="s">
        <v>495</v>
      </c>
      <c r="S11" s="202">
        <f ca="1">IFERROR(DIVIDE(SUMIFS(Scoreboard_20[Amount Healed],Scoreboard_20[Team],"Yellow"), SUMIFS(Scoreboard_20[Damage Taken],Scoreboard_20[Team],"Yellow"))*(100),0)</f>
        <v>0</v>
      </c>
      <c r="T11" s="203">
        <f ca="1">IFERROR(DIVIDE(SUMIFS(Scoreboard_20[Amount Healed],Scoreboard_20[Team],"Red"), SUMIFS(Scoreboard_20[Damage Taken],Scoreboard_20[Team],"Red"))*(100),0)</f>
        <v>0</v>
      </c>
      <c r="V11" s="204" t="str">
        <f ca="1">IFERROR(__xludf.DUMMYFUNCTION("""COMPUTED_VALUE"""),"Keyuri")</f>
        <v>Keyuri</v>
      </c>
      <c r="W11" s="116">
        <f ca="1">IFERROR(__xludf.DUMMYFUNCTION("""COMPUTED_VALUE"""),97)</f>
        <v>97</v>
      </c>
      <c r="Y11" s="204" t="str">
        <f ca="1">IFERROR(__xludf.DUMMYFUNCTION("""COMPUTED_VALUE"""),"Spot")</f>
        <v>Spot</v>
      </c>
      <c r="Z11" s="116">
        <f ca="1">IFERROR(__xludf.DUMMYFUNCTION("""COMPUTED_VALUE"""),1966266)</f>
        <v>1966266</v>
      </c>
    </row>
    <row r="12" spans="1:26" ht="22.5" customHeight="1">
      <c r="A12" s="115">
        <v>4</v>
      </c>
      <c r="B12" s="115" t="s">
        <v>39</v>
      </c>
      <c r="C12" s="115" t="s">
        <v>58</v>
      </c>
      <c r="D12" s="115" t="s">
        <v>7</v>
      </c>
      <c r="E12" s="98" t="s">
        <v>42</v>
      </c>
      <c r="F12" s="115" t="s">
        <v>476</v>
      </c>
      <c r="G12" s="115">
        <v>41</v>
      </c>
      <c r="H12" s="115">
        <v>44</v>
      </c>
      <c r="I12" s="194">
        <v>85</v>
      </c>
      <c r="J12" s="116">
        <v>2664623</v>
      </c>
      <c r="K12" s="116">
        <v>862834</v>
      </c>
      <c r="L12" s="116">
        <v>8391</v>
      </c>
      <c r="M12" s="195">
        <v>3.6972596781209219E-2</v>
      </c>
      <c r="N12" s="195">
        <v>9.2825147615479234E-2</v>
      </c>
      <c r="O12" s="195">
        <v>2.486142061803033E-2</v>
      </c>
      <c r="P12" s="195">
        <v>3.8389577579681479E-4</v>
      </c>
      <c r="R12" s="201" t="s">
        <v>465</v>
      </c>
      <c r="S12" s="202">
        <f>SUMIFS(Scoreboard_20[Kills],Scoreboard_20[Team],"Yellow")</f>
        <v>449</v>
      </c>
      <c r="T12" s="203">
        <f>SUMIFS(Scoreboard_20[Kills],Scoreboard_20[Team],"Red")</f>
        <v>453</v>
      </c>
      <c r="V12" s="204" t="str">
        <f ca="1">IFERROR(__xludf.DUMMYFUNCTION("""COMPUTED_VALUE"""),"Prefire")</f>
        <v>Prefire</v>
      </c>
      <c r="W12" s="116">
        <f ca="1">IFERROR(__xludf.DUMMYFUNCTION("""COMPUTED_VALUE"""),91)</f>
        <v>91</v>
      </c>
      <c r="Y12" s="204" t="str">
        <f ca="1">IFERROR(__xludf.DUMMYFUNCTION("""COMPUTED_VALUE"""),"GuaroHC")</f>
        <v>GuaroHC</v>
      </c>
      <c r="Z12" s="116">
        <f ca="1">IFERROR(__xludf.DUMMYFUNCTION("""COMPUTED_VALUE"""),1836054)</f>
        <v>1836054</v>
      </c>
    </row>
    <row r="13" spans="1:26" ht="22.5" customHeight="1">
      <c r="A13" s="115">
        <v>17</v>
      </c>
      <c r="B13" s="115" t="s">
        <v>25</v>
      </c>
      <c r="C13" s="115" t="s">
        <v>23</v>
      </c>
      <c r="D13" s="115" t="s">
        <v>7</v>
      </c>
      <c r="E13" s="98" t="s">
        <v>77</v>
      </c>
      <c r="F13" s="115" t="s">
        <v>476</v>
      </c>
      <c r="G13" s="115">
        <v>26</v>
      </c>
      <c r="H13" s="115">
        <v>59</v>
      </c>
      <c r="I13" s="194">
        <v>85</v>
      </c>
      <c r="J13" s="116">
        <v>1651253</v>
      </c>
      <c r="K13" s="116">
        <v>956036</v>
      </c>
      <c r="L13" s="116">
        <v>8479</v>
      </c>
      <c r="M13" s="195">
        <v>3.6972596781209219E-2</v>
      </c>
      <c r="N13" s="195">
        <v>5.7523260692226609E-2</v>
      </c>
      <c r="O13" s="195">
        <v>2.7546912989032939E-2</v>
      </c>
      <c r="P13" s="195">
        <v>3.8792185472305953E-4</v>
      </c>
      <c r="R13" s="201" t="s">
        <v>466</v>
      </c>
      <c r="S13" s="202">
        <f>SUMIFS(Scoreboard_20[Assists],Scoreboard_20[Team],"Yellow")</f>
        <v>1850</v>
      </c>
      <c r="T13" s="203">
        <f>SUMIFS(Scoreboard_20[Assists],Scoreboard_20[Team],"Red")</f>
        <v>1863</v>
      </c>
      <c r="V13" s="204" t="str">
        <f ca="1">IFERROR(__xludf.DUMMYFUNCTION("""COMPUTED_VALUE"""),"edmun")</f>
        <v>edmun</v>
      </c>
      <c r="W13" s="116">
        <f ca="1">IFERROR(__xludf.DUMMYFUNCTION("""COMPUTED_VALUE"""),85)</f>
        <v>85</v>
      </c>
      <c r="Y13" s="204" t="str">
        <f ca="1">IFERROR(__xludf.DUMMYFUNCTION("""COMPUTED_VALUE"""),"NineteenF")</f>
        <v>NineteenF</v>
      </c>
      <c r="Z13" s="116">
        <f ca="1">IFERROR(__xludf.DUMMYFUNCTION("""COMPUTED_VALUE"""),1803608)</f>
        <v>1803608</v>
      </c>
    </row>
    <row r="14" spans="1:26" ht="22.5" customHeight="1">
      <c r="A14" s="115">
        <v>3</v>
      </c>
      <c r="B14" s="115" t="s">
        <v>39</v>
      </c>
      <c r="C14" s="115" t="s">
        <v>54</v>
      </c>
      <c r="D14" s="115" t="s">
        <v>573</v>
      </c>
      <c r="E14" s="98" t="s">
        <v>634</v>
      </c>
      <c r="F14" s="115" t="s">
        <v>483</v>
      </c>
      <c r="G14" s="115">
        <v>42</v>
      </c>
      <c r="H14" s="115">
        <v>42</v>
      </c>
      <c r="I14" s="194">
        <v>84</v>
      </c>
      <c r="J14" s="116">
        <v>1776336</v>
      </c>
      <c r="K14" s="116">
        <v>600597</v>
      </c>
      <c r="L14" s="116">
        <v>9686</v>
      </c>
      <c r="M14" s="195">
        <v>3.6269430051813469E-2</v>
      </c>
      <c r="N14" s="195">
        <v>5.2092042718304359E-2</v>
      </c>
      <c r="O14" s="195">
        <v>2.1988940745037069E-2</v>
      </c>
      <c r="P14" s="195">
        <v>5.4862014330846263E-4</v>
      </c>
    </row>
    <row r="15" spans="1:26" ht="22.5" customHeight="1">
      <c r="A15" s="115">
        <v>28</v>
      </c>
      <c r="B15" s="115" t="s">
        <v>39</v>
      </c>
      <c r="C15" s="115" t="s">
        <v>45</v>
      </c>
      <c r="D15" s="115" t="s">
        <v>573</v>
      </c>
      <c r="E15" s="98" t="s">
        <v>535</v>
      </c>
      <c r="F15" s="115" t="s">
        <v>483</v>
      </c>
      <c r="G15" s="115">
        <v>13</v>
      </c>
      <c r="H15" s="115">
        <v>71</v>
      </c>
      <c r="I15" s="194">
        <v>84</v>
      </c>
      <c r="J15" s="116">
        <v>1744350</v>
      </c>
      <c r="K15" s="116">
        <v>277609</v>
      </c>
      <c r="L15" s="116">
        <v>14939</v>
      </c>
      <c r="M15" s="195">
        <v>3.6269430051813469E-2</v>
      </c>
      <c r="N15" s="195">
        <v>5.1154035450316951E-2</v>
      </c>
      <c r="O15" s="195">
        <v>1.0163766804178168E-2</v>
      </c>
      <c r="P15" s="195">
        <v>8.4615283098132604E-4</v>
      </c>
      <c r="R15" s="232" t="s">
        <v>25</v>
      </c>
      <c r="S15" s="228"/>
      <c r="T15" s="228"/>
      <c r="V15" s="233" t="s">
        <v>496</v>
      </c>
      <c r="W15" s="228"/>
      <c r="Y15" s="233" t="s">
        <v>497</v>
      </c>
      <c r="Z15" s="228"/>
    </row>
    <row r="16" spans="1:26" ht="22.5" customHeight="1">
      <c r="A16" s="115">
        <v>24</v>
      </c>
      <c r="B16" s="115" t="s">
        <v>39</v>
      </c>
      <c r="C16" s="115" t="s">
        <v>58</v>
      </c>
      <c r="D16" s="115" t="s">
        <v>573</v>
      </c>
      <c r="E16" s="98" t="s">
        <v>582</v>
      </c>
      <c r="F16" s="115" t="s">
        <v>483</v>
      </c>
      <c r="G16" s="115">
        <v>19</v>
      </c>
      <c r="H16" s="115">
        <v>62</v>
      </c>
      <c r="I16" s="194">
        <v>81</v>
      </c>
      <c r="J16" s="116">
        <v>2924507</v>
      </c>
      <c r="K16" s="116">
        <v>565163</v>
      </c>
      <c r="L16" s="116">
        <v>21351</v>
      </c>
      <c r="M16" s="195">
        <v>3.4974093264248704E-2</v>
      </c>
      <c r="N16" s="195">
        <v>8.5762796888640511E-2</v>
      </c>
      <c r="O16" s="195">
        <v>2.0691638017318409E-2</v>
      </c>
      <c r="P16" s="195">
        <v>1.2093318893019809E-3</v>
      </c>
      <c r="R16" s="197" t="s">
        <v>482</v>
      </c>
      <c r="S16" s="198" t="s">
        <v>476</v>
      </c>
      <c r="T16" s="198" t="s">
        <v>483</v>
      </c>
      <c r="V16" s="199" t="s">
        <v>1</v>
      </c>
      <c r="W16" s="200" t="s">
        <v>498</v>
      </c>
      <c r="Y16" s="199" t="s">
        <v>1</v>
      </c>
      <c r="Z16" s="200" t="s">
        <v>499</v>
      </c>
    </row>
    <row r="17" spans="1:26" ht="22.5" customHeight="1">
      <c r="A17" s="115">
        <v>50</v>
      </c>
      <c r="B17" s="115" t="s">
        <v>11</v>
      </c>
      <c r="C17" s="115" t="s">
        <v>10</v>
      </c>
      <c r="D17" s="115" t="s">
        <v>7</v>
      </c>
      <c r="E17" s="98" t="s">
        <v>101</v>
      </c>
      <c r="F17" s="115" t="s">
        <v>476</v>
      </c>
      <c r="G17" s="115">
        <v>0</v>
      </c>
      <c r="H17" s="115">
        <v>81</v>
      </c>
      <c r="I17" s="194">
        <v>81</v>
      </c>
      <c r="J17" s="116">
        <v>21395</v>
      </c>
      <c r="K17" s="116">
        <v>336432</v>
      </c>
      <c r="L17" s="116">
        <v>1793737</v>
      </c>
      <c r="M17" s="195">
        <v>3.5232709873858202E-2</v>
      </c>
      <c r="N17" s="195">
        <v>7.4531895627755911E-4</v>
      </c>
      <c r="O17" s="195">
        <v>9.6938431510176695E-3</v>
      </c>
      <c r="P17" s="195">
        <v>8.2065076533244088E-2</v>
      </c>
      <c r="R17" s="201" t="s">
        <v>468</v>
      </c>
      <c r="S17" s="202">
        <f>SUMIFS(Scoreboard_20[Damage Dealt],Scoreboard_20[Role],"Melee DPS",Scoreboard_20[Team],"Yellow")</f>
        <v>12199229</v>
      </c>
      <c r="T17" s="203">
        <f>SUMIFS(Scoreboard_20[Damage Dealt],Scoreboard_20[Role],"Melee DPS",Scoreboard_20[Team],"Red")</f>
        <v>8266940</v>
      </c>
      <c r="V17" s="204" t="str">
        <f ca="1">IFERROR(__xludf.DUMMYFUNCTION("query(A1:P239, ""Select E,K Order by K Desc Limit 10"", 0)"),"Feeli✘")</f>
        <v>Feeli✘</v>
      </c>
      <c r="W17" s="116">
        <f ca="1">IFERROR(__xludf.DUMMYFUNCTION("""COMPUTED_VALUE"""),1522416)</f>
        <v>1522416</v>
      </c>
      <c r="Y17" s="204" t="str">
        <f ca="1">IFERROR(__xludf.DUMMYFUNCTION("query(A1:P239, ""Select E,L Order by L Desc Limit 10"", 0)"),"Boharding")</f>
        <v>Boharding</v>
      </c>
      <c r="Z17" s="116">
        <f ca="1">IFERROR(__xludf.DUMMYFUNCTION("""COMPUTED_VALUE"""),2105776)</f>
        <v>2105776</v>
      </c>
    </row>
    <row r="18" spans="1:26" ht="22.5" customHeight="1">
      <c r="A18" s="115">
        <v>15</v>
      </c>
      <c r="B18" s="115" t="s">
        <v>25</v>
      </c>
      <c r="C18" s="115" t="s">
        <v>69</v>
      </c>
      <c r="D18" s="115" t="s">
        <v>7</v>
      </c>
      <c r="E18" s="98" t="s">
        <v>68</v>
      </c>
      <c r="F18" s="115" t="s">
        <v>476</v>
      </c>
      <c r="G18" s="115">
        <v>27</v>
      </c>
      <c r="H18" s="115">
        <v>49</v>
      </c>
      <c r="I18" s="194">
        <v>76</v>
      </c>
      <c r="J18" s="116">
        <v>1408168</v>
      </c>
      <c r="K18" s="116">
        <v>1153716</v>
      </c>
      <c r="L18" s="116">
        <v>88171</v>
      </c>
      <c r="M18" s="195">
        <v>3.3057851239669422E-2</v>
      </c>
      <c r="N18" s="195">
        <v>4.9055120543279165E-2</v>
      </c>
      <c r="O18" s="195">
        <v>3.32428007586065E-2</v>
      </c>
      <c r="P18" s="195">
        <v>4.0339023296127943E-3</v>
      </c>
      <c r="R18" s="201" t="s">
        <v>469</v>
      </c>
      <c r="S18" s="202">
        <f>SUMIFS(Scoreboard_20[Damage Taken],Scoreboard_20[Role],"Melee DPS",Scoreboard_20[Team],"Yellow")</f>
        <v>8971923</v>
      </c>
      <c r="T18" s="203">
        <f>SUMIFS(Scoreboard_20[Damage Taken],Scoreboard_20[Role],"Melee DPS",Scoreboard_20[Team],"Red")</f>
        <v>5819638</v>
      </c>
      <c r="V18" s="204" t="str">
        <f ca="1">IFERROR(__xludf.DUMMYFUNCTION("""COMPUTED_VALUE"""),"Kiefblunt")</f>
        <v>Kiefblunt</v>
      </c>
      <c r="W18" s="116">
        <f ca="1">IFERROR(__xludf.DUMMYFUNCTION("""COMPUTED_VALUE"""),1479615)</f>
        <v>1479615</v>
      </c>
      <c r="Y18" s="204" t="str">
        <f ca="1">IFERROR(__xludf.DUMMYFUNCTION("""COMPUTED_VALUE"""),"Tagato")</f>
        <v>Tagato</v>
      </c>
      <c r="Z18" s="116">
        <f ca="1">IFERROR(__xludf.DUMMYFUNCTION("""COMPUTED_VALUE"""),2072003)</f>
        <v>2072003</v>
      </c>
    </row>
    <row r="19" spans="1:26" ht="22.5" customHeight="1">
      <c r="A19" s="115">
        <v>9</v>
      </c>
      <c r="B19" s="115" t="s">
        <v>25</v>
      </c>
      <c r="C19" s="115" t="s">
        <v>69</v>
      </c>
      <c r="D19" s="115" t="s">
        <v>7</v>
      </c>
      <c r="E19" s="98" t="s">
        <v>98</v>
      </c>
      <c r="F19" s="115" t="s">
        <v>476</v>
      </c>
      <c r="G19" s="115">
        <v>33</v>
      </c>
      <c r="H19" s="115">
        <v>42</v>
      </c>
      <c r="I19" s="194">
        <v>75</v>
      </c>
      <c r="J19" s="116">
        <v>1478853</v>
      </c>
      <c r="K19" s="116">
        <v>1059182</v>
      </c>
      <c r="L19" s="116">
        <v>1936</v>
      </c>
      <c r="M19" s="195">
        <v>3.2622879512831666E-2</v>
      </c>
      <c r="N19" s="195">
        <v>5.1517512243418419E-2</v>
      </c>
      <c r="O19" s="195">
        <v>3.051892856916464E-2</v>
      </c>
      <c r="P19" s="195">
        <v>8.8573736377384505E-5</v>
      </c>
      <c r="R19" s="201" t="s">
        <v>470</v>
      </c>
      <c r="S19" s="202">
        <f>SUMIFS(Scoreboard_20[Amount Healed],Scoreboard_20[Role],"Melee DPS",Scoreboard_20[Team],"Yellow")</f>
        <v>274237</v>
      </c>
      <c r="T19" s="203">
        <f>SUMIFS(Scoreboard_20[Amount Healed],Scoreboard_20[Role],"Melee DPS",Scoreboard_20[Team],"Red")</f>
        <v>280318</v>
      </c>
      <c r="V19" s="204" t="str">
        <f ca="1">IFERROR(__xludf.DUMMYFUNCTION("""COMPUTED_VALUE"""),"Baozer")</f>
        <v>Baozer</v>
      </c>
      <c r="W19" s="116">
        <f ca="1">IFERROR(__xludf.DUMMYFUNCTION("""COMPUTED_VALUE"""),1298279)</f>
        <v>1298279</v>
      </c>
      <c r="Y19" s="204" t="str">
        <f ca="1">IFERROR(__xludf.DUMMYFUNCTION("""COMPUTED_VALUE"""),"soju·")</f>
        <v>soju·</v>
      </c>
      <c r="Z19" s="116">
        <f ca="1">IFERROR(__xludf.DUMMYFUNCTION("""COMPUTED_VALUE"""),1793737)</f>
        <v>1793737</v>
      </c>
    </row>
    <row r="20" spans="1:26" ht="22.5" customHeight="1">
      <c r="A20" s="115">
        <v>51</v>
      </c>
      <c r="B20" s="115" t="s">
        <v>11</v>
      </c>
      <c r="C20" s="115" t="s">
        <v>10</v>
      </c>
      <c r="D20" s="115" t="s">
        <v>573</v>
      </c>
      <c r="E20" s="98" t="s">
        <v>635</v>
      </c>
      <c r="F20" s="115" t="s">
        <v>483</v>
      </c>
      <c r="G20" s="115">
        <v>0</v>
      </c>
      <c r="H20" s="115">
        <v>75</v>
      </c>
      <c r="I20" s="194">
        <v>75</v>
      </c>
      <c r="J20" s="116">
        <v>59187</v>
      </c>
      <c r="K20" s="116">
        <v>206093</v>
      </c>
      <c r="L20" s="116">
        <v>981470</v>
      </c>
      <c r="M20" s="195">
        <v>3.2383419689119168E-2</v>
      </c>
      <c r="N20" s="195">
        <v>1.7356917454627277E-3</v>
      </c>
      <c r="O20" s="195">
        <v>7.5454368985641363E-3</v>
      </c>
      <c r="P20" s="195">
        <v>5.5590977911723814E-2</v>
      </c>
      <c r="R20" s="201" t="s">
        <v>465</v>
      </c>
      <c r="S20" s="202">
        <f>SUMIFS(Scoreboard_20[Kills],Scoreboard_20[Role],"Melee DPS",Scoreboard_20[Team],"Yellow")</f>
        <v>239</v>
      </c>
      <c r="T20" s="203">
        <f>SUMIFS(Scoreboard_20[Kills],Scoreboard_20[Role],"Melee DPS",Scoreboard_20[Team],"Red")</f>
        <v>150</v>
      </c>
      <c r="V20" s="204" t="str">
        <f ca="1">IFERROR(__xludf.DUMMYFUNCTION("""COMPUTED_VALUE"""),"Prefire")</f>
        <v>Prefire</v>
      </c>
      <c r="W20" s="116">
        <f ca="1">IFERROR(__xludf.DUMMYFUNCTION("""COMPUTED_VALUE"""),1276352)</f>
        <v>1276352</v>
      </c>
      <c r="Y20" s="204" t="str">
        <f ca="1">IFERROR(__xludf.DUMMYFUNCTION("""COMPUTED_VALUE"""),"Zanax")</f>
        <v>Zanax</v>
      </c>
      <c r="Z20" s="116">
        <f ca="1">IFERROR(__xludf.DUMMYFUNCTION("""COMPUTED_VALUE"""),1530046)</f>
        <v>1530046</v>
      </c>
    </row>
    <row r="21" spans="1:26" ht="22.5" customHeight="1">
      <c r="A21" s="115">
        <v>18</v>
      </c>
      <c r="B21" s="115" t="s">
        <v>39</v>
      </c>
      <c r="C21" s="115" t="s">
        <v>58</v>
      </c>
      <c r="D21" s="115" t="s">
        <v>573</v>
      </c>
      <c r="E21" s="98" t="s">
        <v>636</v>
      </c>
      <c r="F21" s="115" t="s">
        <v>483</v>
      </c>
      <c r="G21" s="115">
        <v>26</v>
      </c>
      <c r="H21" s="115">
        <v>47</v>
      </c>
      <c r="I21" s="194">
        <v>73</v>
      </c>
      <c r="J21" s="116">
        <v>2397240</v>
      </c>
      <c r="K21" s="116">
        <v>956469</v>
      </c>
      <c r="L21" s="116">
        <v>21988</v>
      </c>
      <c r="M21" s="195">
        <v>3.1519861830742658E-2</v>
      </c>
      <c r="N21" s="195">
        <v>7.0300398396490271E-2</v>
      </c>
      <c r="O21" s="195">
        <v>3.5018057308752557E-2</v>
      </c>
      <c r="P21" s="195">
        <v>1.2454119049211726E-3</v>
      </c>
      <c r="R21" s="201" t="s">
        <v>466</v>
      </c>
      <c r="S21" s="202">
        <f>SUMIFS(Scoreboard_20[Assists],Scoreboard_20[Role],"Melee DPS",Scoreboard_20[Team],"Yellow")</f>
        <v>467</v>
      </c>
      <c r="T21" s="203">
        <f>SUMIFS(Scoreboard_20[Assists],Scoreboard_20[Role],"Melee DPS",Scoreboard_20[Team],"Red")</f>
        <v>331</v>
      </c>
      <c r="V21" s="204" t="str">
        <f ca="1">IFERROR(__xludf.DUMMYFUNCTION("""COMPUTED_VALUE"""),"Fadeふち")</f>
        <v>Fadeふち</v>
      </c>
      <c r="W21" s="116">
        <f ca="1">IFERROR(__xludf.DUMMYFUNCTION("""COMPUTED_VALUE"""),1202013)</f>
        <v>1202013</v>
      </c>
      <c r="Y21" s="204" t="str">
        <f ca="1">IFERROR(__xludf.DUMMYFUNCTION("""COMPUTED_VALUE"""),"Dioxin")</f>
        <v>Dioxin</v>
      </c>
      <c r="Z21" s="116">
        <f ca="1">IFERROR(__xludf.DUMMYFUNCTION("""COMPUTED_VALUE"""),1476602)</f>
        <v>1476602</v>
      </c>
    </row>
    <row r="22" spans="1:26" ht="22.5" customHeight="1">
      <c r="A22" s="115">
        <v>10</v>
      </c>
      <c r="B22" s="115" t="s">
        <v>39</v>
      </c>
      <c r="C22" s="115" t="s">
        <v>54</v>
      </c>
      <c r="D22" s="115" t="s">
        <v>7</v>
      </c>
      <c r="E22" s="98" t="s">
        <v>127</v>
      </c>
      <c r="F22" s="115" t="s">
        <v>476</v>
      </c>
      <c r="G22" s="115">
        <v>31</v>
      </c>
      <c r="H22" s="115">
        <v>42</v>
      </c>
      <c r="I22" s="194">
        <v>73</v>
      </c>
      <c r="J22" s="116">
        <v>1966266</v>
      </c>
      <c r="K22" s="116">
        <v>635805</v>
      </c>
      <c r="L22" s="116">
        <v>0</v>
      </c>
      <c r="M22" s="195">
        <v>3.1752936059156155E-2</v>
      </c>
      <c r="N22" s="195">
        <v>6.8497093848284688E-2</v>
      </c>
      <c r="O22" s="195">
        <v>1.8319880227305338E-2</v>
      </c>
      <c r="P22" s="195">
        <v>0</v>
      </c>
      <c r="R22" s="201" t="s">
        <v>24</v>
      </c>
      <c r="S22" s="202">
        <f t="shared" ref="S22:S25" si="0">COUNTIFS(C:C,R22,F:F,"Yellow")</f>
        <v>0</v>
      </c>
      <c r="T22" s="203">
        <f t="shared" ref="T22:T25" si="1">COUNTIFS(C:C,R22,F:F,"Red")</f>
        <v>2</v>
      </c>
      <c r="V22" s="204" t="str">
        <f ca="1">IFERROR(__xludf.DUMMYFUNCTION("""COMPUTED_VALUE"""),"Jawz")</f>
        <v>Jawz</v>
      </c>
      <c r="W22" s="116">
        <f ca="1">IFERROR(__xludf.DUMMYFUNCTION("""COMPUTED_VALUE"""),1153716)</f>
        <v>1153716</v>
      </c>
      <c r="Y22" s="204" t="str">
        <f ca="1">IFERROR(__xludf.DUMMYFUNCTION("""COMPUTED_VALUE"""),"IPeriett")</f>
        <v>IPeriett</v>
      </c>
      <c r="Z22" s="116">
        <f ca="1">IFERROR(__xludf.DUMMYFUNCTION("""COMPUTED_VALUE"""),1394381)</f>
        <v>1394381</v>
      </c>
    </row>
    <row r="23" spans="1:26" ht="22.5" customHeight="1">
      <c r="A23" s="115">
        <v>8</v>
      </c>
      <c r="B23" s="115" t="s">
        <v>39</v>
      </c>
      <c r="C23" s="115" t="s">
        <v>54</v>
      </c>
      <c r="D23" s="115" t="s">
        <v>573</v>
      </c>
      <c r="E23" s="98" t="s">
        <v>637</v>
      </c>
      <c r="F23" s="115" t="s">
        <v>483</v>
      </c>
      <c r="G23" s="115">
        <v>36</v>
      </c>
      <c r="H23" s="115">
        <v>35</v>
      </c>
      <c r="I23" s="194">
        <v>71</v>
      </c>
      <c r="J23" s="116">
        <v>1555696</v>
      </c>
      <c r="K23" s="116">
        <v>729177</v>
      </c>
      <c r="L23" s="116">
        <v>24062</v>
      </c>
      <c r="M23" s="195">
        <v>3.0656303972366149E-2</v>
      </c>
      <c r="N23" s="195">
        <v>4.562165180950857E-2</v>
      </c>
      <c r="O23" s="195">
        <v>2.6696486738435082E-2</v>
      </c>
      <c r="P23" s="195">
        <v>1.3628843576593257E-3</v>
      </c>
      <c r="R23" s="201" t="s">
        <v>69</v>
      </c>
      <c r="S23" s="202">
        <f t="shared" si="0"/>
        <v>4</v>
      </c>
      <c r="T23" s="203">
        <f t="shared" si="1"/>
        <v>4</v>
      </c>
      <c r="V23" s="204" t="str">
        <f ca="1">IFERROR(__xludf.DUMMYFUNCTION("""COMPUTED_VALUE"""),"Guddle")</f>
        <v>Guddle</v>
      </c>
      <c r="W23" s="116">
        <f ca="1">IFERROR(__xludf.DUMMYFUNCTION("""COMPUTED_VALUE"""),1143697)</f>
        <v>1143697</v>
      </c>
      <c r="Y23" s="204" t="str">
        <f ca="1">IFERROR(__xludf.DUMMYFUNCTION("""COMPUTED_VALUE"""),"Sybilene")</f>
        <v>Sybilene</v>
      </c>
      <c r="Z23" s="116">
        <f ca="1">IFERROR(__xludf.DUMMYFUNCTION("""COMPUTED_VALUE"""),1330607)</f>
        <v>1330607</v>
      </c>
    </row>
    <row r="24" spans="1:26" ht="22.5" customHeight="1">
      <c r="A24" s="115">
        <v>52</v>
      </c>
      <c r="B24" s="115" t="s">
        <v>11</v>
      </c>
      <c r="C24" s="115" t="s">
        <v>9</v>
      </c>
      <c r="D24" s="115" t="s">
        <v>573</v>
      </c>
      <c r="E24" s="98" t="s">
        <v>592</v>
      </c>
      <c r="F24" s="115" t="s">
        <v>483</v>
      </c>
      <c r="G24" s="115">
        <v>0</v>
      </c>
      <c r="H24" s="115">
        <v>71</v>
      </c>
      <c r="I24" s="194">
        <v>71</v>
      </c>
      <c r="J24" s="116">
        <v>17364</v>
      </c>
      <c r="K24" s="116">
        <v>181009</v>
      </c>
      <c r="L24" s="116">
        <v>812038</v>
      </c>
      <c r="M24" s="195">
        <v>3.0656303972366149E-2</v>
      </c>
      <c r="N24" s="195">
        <v>5.0920897271723188E-4</v>
      </c>
      <c r="O24" s="195">
        <v>6.6270663611679957E-3</v>
      </c>
      <c r="P24" s="195">
        <v>4.5994260162287567E-2</v>
      </c>
      <c r="R24" s="201" t="s">
        <v>23</v>
      </c>
      <c r="S24" s="202">
        <f t="shared" si="0"/>
        <v>4</v>
      </c>
      <c r="T24" s="203">
        <f t="shared" si="1"/>
        <v>1</v>
      </c>
      <c r="V24" s="204" t="str">
        <f ca="1">IFERROR(__xludf.DUMMYFUNCTION("""COMPUTED_VALUE"""),"JLube4")</f>
        <v>JLube4</v>
      </c>
      <c r="W24" s="116">
        <f ca="1">IFERROR(__xludf.DUMMYFUNCTION("""COMPUTED_VALUE"""),1140979)</f>
        <v>1140979</v>
      </c>
      <c r="Y24" s="204" t="str">
        <f ca="1">IFERROR(__xludf.DUMMYFUNCTION("""COMPUTED_VALUE"""),"FarseerRain")</f>
        <v>FarseerRain</v>
      </c>
      <c r="Z24" s="116">
        <f ca="1">IFERROR(__xludf.DUMMYFUNCTION("""COMPUTED_VALUE"""),1251045)</f>
        <v>1251045</v>
      </c>
    </row>
    <row r="25" spans="1:26" ht="22.5" customHeight="1">
      <c r="A25" s="115">
        <v>20</v>
      </c>
      <c r="B25" s="115" t="s">
        <v>39</v>
      </c>
      <c r="C25" s="115" t="s">
        <v>54</v>
      </c>
      <c r="D25" s="115" t="s">
        <v>573</v>
      </c>
      <c r="E25" s="98" t="s">
        <v>638</v>
      </c>
      <c r="F25" s="115" t="s">
        <v>483</v>
      </c>
      <c r="G25" s="115">
        <v>24</v>
      </c>
      <c r="H25" s="115">
        <v>46</v>
      </c>
      <c r="I25" s="194">
        <v>70</v>
      </c>
      <c r="J25" s="116">
        <v>1327142</v>
      </c>
      <c r="K25" s="116">
        <v>284093</v>
      </c>
      <c r="L25" s="116">
        <v>7199</v>
      </c>
      <c r="M25" s="195">
        <v>3.0224525043177894E-2</v>
      </c>
      <c r="N25" s="195">
        <v>3.891917844217304E-2</v>
      </c>
      <c r="O25" s="195">
        <v>1.0401157753168624E-2</v>
      </c>
      <c r="P25" s="195">
        <v>4.0775515297105335E-4</v>
      </c>
      <c r="R25" s="201" t="s">
        <v>33</v>
      </c>
      <c r="S25" s="202">
        <f t="shared" si="0"/>
        <v>0</v>
      </c>
      <c r="T25" s="203">
        <f t="shared" si="1"/>
        <v>0</v>
      </c>
      <c r="V25" s="204" t="str">
        <f ca="1">IFERROR(__xludf.DUMMYFUNCTION("""COMPUTED_VALUE"""),"Blee")</f>
        <v>Blee</v>
      </c>
      <c r="W25" s="116">
        <f ca="1">IFERROR(__xludf.DUMMYFUNCTION("""COMPUTED_VALUE"""),1123879)</f>
        <v>1123879</v>
      </c>
      <c r="Y25" s="204" t="str">
        <f ca="1">IFERROR(__xludf.DUMMYFUNCTION("""COMPUTED_VALUE"""),"Ellione")</f>
        <v>Ellione</v>
      </c>
      <c r="Z25" s="116">
        <f ca="1">IFERROR(__xludf.DUMMYFUNCTION("""COMPUTED_VALUE"""),1246557)</f>
        <v>1246557</v>
      </c>
    </row>
    <row r="26" spans="1:26" ht="22.5" customHeight="1">
      <c r="A26" s="115">
        <v>12</v>
      </c>
      <c r="B26" s="115" t="s">
        <v>39</v>
      </c>
      <c r="C26" s="115" t="s">
        <v>54</v>
      </c>
      <c r="D26" s="115" t="s">
        <v>7</v>
      </c>
      <c r="E26" s="98" t="s">
        <v>95</v>
      </c>
      <c r="F26" s="115" t="s">
        <v>476</v>
      </c>
      <c r="G26" s="115">
        <v>30</v>
      </c>
      <c r="H26" s="115">
        <v>36</v>
      </c>
      <c r="I26" s="194">
        <v>66</v>
      </c>
      <c r="J26" s="116">
        <v>1471852</v>
      </c>
      <c r="K26" s="116">
        <v>934641</v>
      </c>
      <c r="L26" s="116">
        <v>5042</v>
      </c>
      <c r="M26" s="195">
        <v>2.8708133971291867E-2</v>
      </c>
      <c r="N26" s="195">
        <v>5.1273624512037291E-2</v>
      </c>
      <c r="O26" s="195">
        <v>2.6930444358771777E-2</v>
      </c>
      <c r="P26" s="195">
        <v>2.3067602211506854E-4</v>
      </c>
      <c r="R26" s="204"/>
      <c r="S26" s="208"/>
      <c r="T26" s="208"/>
      <c r="V26" s="204" t="str">
        <f ca="1">IFERROR(__xludf.DUMMYFUNCTION("""COMPUTED_VALUE"""),"Duskstorm")</f>
        <v>Duskstorm</v>
      </c>
      <c r="W26" s="116">
        <f ca="1">IFERROR(__xludf.DUMMYFUNCTION("""COMPUTED_VALUE"""),1077842)</f>
        <v>1077842</v>
      </c>
      <c r="Y26" s="204" t="str">
        <f ca="1">IFERROR(__xludf.DUMMYFUNCTION("""COMPUTED_VALUE"""),"Purple")</f>
        <v>Purple</v>
      </c>
      <c r="Z26" s="116">
        <f ca="1">IFERROR(__xludf.DUMMYFUNCTION("""COMPUTED_VALUE"""),1227508)</f>
        <v>1227508</v>
      </c>
    </row>
    <row r="27" spans="1:26" ht="22.5" customHeight="1">
      <c r="A27" s="115">
        <v>26</v>
      </c>
      <c r="B27" s="115" t="s">
        <v>39</v>
      </c>
      <c r="C27" s="115" t="s">
        <v>58</v>
      </c>
      <c r="D27" s="115" t="s">
        <v>573</v>
      </c>
      <c r="E27" s="98" t="s">
        <v>579</v>
      </c>
      <c r="F27" s="115" t="s">
        <v>483</v>
      </c>
      <c r="G27" s="115">
        <v>16</v>
      </c>
      <c r="H27" s="115">
        <v>46</v>
      </c>
      <c r="I27" s="194">
        <v>62</v>
      </c>
      <c r="J27" s="116">
        <v>1558668</v>
      </c>
      <c r="K27" s="116">
        <v>878617</v>
      </c>
      <c r="L27" s="116">
        <v>37654</v>
      </c>
      <c r="M27" s="195">
        <v>2.6770293609671848E-2</v>
      </c>
      <c r="N27" s="195">
        <v>4.5708807365078465E-2</v>
      </c>
      <c r="O27" s="195">
        <v>3.2167755001410656E-2</v>
      </c>
      <c r="P27" s="195">
        <v>2.1327423989404145E-3</v>
      </c>
      <c r="R27" s="6"/>
      <c r="S27" s="209"/>
      <c r="T27" s="209"/>
    </row>
    <row r="28" spans="1:26" ht="22.5" customHeight="1">
      <c r="A28" s="115">
        <v>53</v>
      </c>
      <c r="B28" s="115" t="s">
        <v>11</v>
      </c>
      <c r="C28" s="115" t="s">
        <v>9</v>
      </c>
      <c r="D28" s="115" t="s">
        <v>573</v>
      </c>
      <c r="E28" s="98" t="s">
        <v>639</v>
      </c>
      <c r="F28" s="115" t="s">
        <v>483</v>
      </c>
      <c r="G28" s="115">
        <v>0</v>
      </c>
      <c r="H28" s="115">
        <v>62</v>
      </c>
      <c r="I28" s="194">
        <v>62</v>
      </c>
      <c r="J28" s="116">
        <v>9190</v>
      </c>
      <c r="K28" s="116">
        <v>538794</v>
      </c>
      <c r="L28" s="116">
        <v>518547</v>
      </c>
      <c r="M28" s="195">
        <v>2.6770293609671848E-2</v>
      </c>
      <c r="N28" s="195">
        <v>2.6950186934297175E-4</v>
      </c>
      <c r="O28" s="195">
        <v>1.972622130943295E-2</v>
      </c>
      <c r="P28" s="195">
        <v>2.9370775289301404E-2</v>
      </c>
      <c r="R28" s="232" t="s">
        <v>39</v>
      </c>
      <c r="S28" s="228"/>
      <c r="T28" s="228"/>
    </row>
    <row r="29" spans="1:26" ht="22.5" customHeight="1">
      <c r="A29" s="115">
        <v>29</v>
      </c>
      <c r="B29" s="115" t="s">
        <v>39</v>
      </c>
      <c r="C29" s="115" t="s">
        <v>58</v>
      </c>
      <c r="D29" s="115" t="s">
        <v>7</v>
      </c>
      <c r="E29" s="98" t="s">
        <v>112</v>
      </c>
      <c r="F29" s="115" t="s">
        <v>476</v>
      </c>
      <c r="G29" s="115">
        <v>13</v>
      </c>
      <c r="H29" s="115">
        <v>48</v>
      </c>
      <c r="I29" s="194">
        <v>61</v>
      </c>
      <c r="J29" s="116">
        <v>1651382</v>
      </c>
      <c r="K29" s="116">
        <v>712932</v>
      </c>
      <c r="L29" s="116">
        <v>28373</v>
      </c>
      <c r="M29" s="195">
        <v>2.6533275337103087E-2</v>
      </c>
      <c r="N29" s="195">
        <v>5.7527754552724845E-2</v>
      </c>
      <c r="O29" s="195">
        <v>2.0542192732383748E-2</v>
      </c>
      <c r="P29" s="195">
        <v>1.298090197435708E-3</v>
      </c>
      <c r="R29" s="197" t="s">
        <v>482</v>
      </c>
      <c r="S29" s="198" t="s">
        <v>476</v>
      </c>
      <c r="T29" s="198" t="s">
        <v>483</v>
      </c>
    </row>
    <row r="30" spans="1:26" ht="22.5" customHeight="1">
      <c r="A30" s="115">
        <v>27</v>
      </c>
      <c r="B30" s="115" t="s">
        <v>25</v>
      </c>
      <c r="C30" s="115" t="s">
        <v>23</v>
      </c>
      <c r="D30" s="115" t="s">
        <v>573</v>
      </c>
      <c r="E30" s="98" t="s">
        <v>640</v>
      </c>
      <c r="F30" s="115" t="s">
        <v>483</v>
      </c>
      <c r="G30" s="115">
        <v>15</v>
      </c>
      <c r="H30" s="115">
        <v>46</v>
      </c>
      <c r="I30" s="194">
        <v>61</v>
      </c>
      <c r="J30" s="116">
        <v>1044486</v>
      </c>
      <c r="K30" s="116">
        <v>860855</v>
      </c>
      <c r="L30" s="116">
        <v>79351</v>
      </c>
      <c r="M30" s="195">
        <v>2.6338514680483593E-2</v>
      </c>
      <c r="N30" s="195">
        <v>3.0630133787003612E-2</v>
      </c>
      <c r="O30" s="195">
        <v>3.1517456106289053E-2</v>
      </c>
      <c r="P30" s="195">
        <v>4.4944824480352905E-3</v>
      </c>
      <c r="R30" s="201" t="s">
        <v>468</v>
      </c>
      <c r="S30" s="202">
        <f>SUMIFS(Scoreboard_20[Damage Dealt],Scoreboard_20[Role],"Ranged DPS",Scoreboard_20[Team],"Yellow")</f>
        <v>13552640</v>
      </c>
      <c r="T30" s="203">
        <f>SUMIFS(Scoreboard_20[Damage Dealt],Scoreboard_20[Role],"Ranged DPS",Scoreboard_20[Team],"Red")</f>
        <v>24085156</v>
      </c>
    </row>
    <row r="31" spans="1:26" ht="22.5" customHeight="1">
      <c r="A31" s="115">
        <v>11</v>
      </c>
      <c r="B31" s="115" t="s">
        <v>25</v>
      </c>
      <c r="C31" s="115" t="s">
        <v>69</v>
      </c>
      <c r="D31" s="115" t="s">
        <v>573</v>
      </c>
      <c r="E31" s="98" t="s">
        <v>574</v>
      </c>
      <c r="F31" s="115" t="s">
        <v>483</v>
      </c>
      <c r="G31" s="115">
        <v>31</v>
      </c>
      <c r="H31" s="115">
        <v>29</v>
      </c>
      <c r="I31" s="194">
        <v>60</v>
      </c>
      <c r="J31" s="116">
        <v>1195344</v>
      </c>
      <c r="K31" s="116">
        <v>879088</v>
      </c>
      <c r="L31" s="116">
        <v>27248</v>
      </c>
      <c r="M31" s="195">
        <v>2.5906735751295335E-2</v>
      </c>
      <c r="N31" s="195">
        <v>3.5054128673330277E-2</v>
      </c>
      <c r="O31" s="195">
        <v>3.2184999161955767E-2</v>
      </c>
      <c r="P31" s="195">
        <v>1.5433410762821589E-3</v>
      </c>
      <c r="R31" s="201" t="s">
        <v>469</v>
      </c>
      <c r="S31" s="202">
        <f>SUMIFS(Scoreboard_20[Damage Taken],Scoreboard_20[Role],"Ranged DPS",Scoreboard_20[Team],"Yellow")</f>
        <v>6353586</v>
      </c>
      <c r="T31" s="203">
        <f>SUMIFS(Scoreboard_20[Damage Taken],Scoreboard_20[Role],"Ranged DPS",Scoreboard_20[Team],"Red")</f>
        <v>6741870</v>
      </c>
    </row>
    <row r="32" spans="1:26" ht="22.5" customHeight="1">
      <c r="A32" s="115">
        <v>54</v>
      </c>
      <c r="B32" s="115" t="s">
        <v>11</v>
      </c>
      <c r="C32" s="115" t="s">
        <v>9</v>
      </c>
      <c r="D32" s="115" t="s">
        <v>573</v>
      </c>
      <c r="E32" s="98" t="s">
        <v>602</v>
      </c>
      <c r="F32" s="115" t="s">
        <v>483</v>
      </c>
      <c r="G32" s="115">
        <v>0</v>
      </c>
      <c r="H32" s="115">
        <v>60</v>
      </c>
      <c r="I32" s="194">
        <v>60</v>
      </c>
      <c r="J32" s="116">
        <v>18595</v>
      </c>
      <c r="K32" s="116">
        <v>617637</v>
      </c>
      <c r="L32" s="116">
        <v>503946</v>
      </c>
      <c r="M32" s="195">
        <v>2.5906735751295335E-2</v>
      </c>
      <c r="N32" s="195">
        <v>5.4530873345294442E-4</v>
      </c>
      <c r="O32" s="195">
        <v>2.2612805916350665E-2</v>
      </c>
      <c r="P32" s="195">
        <v>2.8543766956403729E-2</v>
      </c>
      <c r="R32" s="201" t="s">
        <v>470</v>
      </c>
      <c r="S32" s="202">
        <f>SUMIFS(Scoreboard_20[Amount Healed],Scoreboard_20[Role],"Ranged DPS",Scoreboard_20[Team],"Yellow")</f>
        <v>100947</v>
      </c>
      <c r="T32" s="203">
        <f>SUMIFS(Scoreboard_20[Amount Healed],Scoreboard_20[Role],"Ranged DPS",Scoreboard_20[Team],"Red")</f>
        <v>175008</v>
      </c>
    </row>
    <row r="33" spans="1:20" ht="22.5" customHeight="1">
      <c r="A33" s="115">
        <v>55</v>
      </c>
      <c r="B33" s="115" t="s">
        <v>11</v>
      </c>
      <c r="C33" s="115" t="s">
        <v>9</v>
      </c>
      <c r="D33" s="115" t="s">
        <v>573</v>
      </c>
      <c r="E33" s="98" t="s">
        <v>641</v>
      </c>
      <c r="F33" s="115" t="s">
        <v>483</v>
      </c>
      <c r="G33" s="115">
        <v>0</v>
      </c>
      <c r="H33" s="115">
        <v>60</v>
      </c>
      <c r="I33" s="194">
        <v>60</v>
      </c>
      <c r="J33" s="116">
        <v>17903</v>
      </c>
      <c r="K33" s="116">
        <v>375573</v>
      </c>
      <c r="L33" s="116">
        <v>1166242</v>
      </c>
      <c r="M33" s="195">
        <v>2.5906735751295335E-2</v>
      </c>
      <c r="N33" s="195">
        <v>5.2501544797031805E-4</v>
      </c>
      <c r="O33" s="195">
        <v>1.3750405750338092E-2</v>
      </c>
      <c r="P33" s="195">
        <v>6.6056561343418141E-2</v>
      </c>
      <c r="R33" s="201" t="s">
        <v>465</v>
      </c>
      <c r="S33" s="202">
        <f>SUMIFS(Scoreboard_20[Kills],Scoreboard_20[Role],"Ranged DPS",Scoreboard_20[Team],"Yellow")</f>
        <v>193</v>
      </c>
      <c r="T33" s="203">
        <f>SUMIFS(Scoreboard_20[Kills],Scoreboard_20[Role],"Ranged DPS",Scoreboard_20[Team],"Red")</f>
        <v>292</v>
      </c>
    </row>
    <row r="34" spans="1:20" ht="22.5" customHeight="1">
      <c r="A34" s="115">
        <v>25</v>
      </c>
      <c r="B34" s="115" t="s">
        <v>39</v>
      </c>
      <c r="C34" s="115" t="s">
        <v>45</v>
      </c>
      <c r="D34" s="115" t="s">
        <v>573</v>
      </c>
      <c r="E34" s="98" t="s">
        <v>141</v>
      </c>
      <c r="F34" s="115" t="s">
        <v>483</v>
      </c>
      <c r="G34" s="115">
        <v>18</v>
      </c>
      <c r="H34" s="115">
        <v>41</v>
      </c>
      <c r="I34" s="194">
        <v>59</v>
      </c>
      <c r="J34" s="116">
        <v>1583430</v>
      </c>
      <c r="K34" s="116">
        <v>295683</v>
      </c>
      <c r="L34" s="116">
        <v>750</v>
      </c>
      <c r="M34" s="195">
        <v>2.547495682210708E-2</v>
      </c>
      <c r="N34" s="195">
        <v>4.643496680889464E-2</v>
      </c>
      <c r="O34" s="195">
        <v>1.0825488582718187E-2</v>
      </c>
      <c r="P34" s="195">
        <v>4.2480395156034176E-5</v>
      </c>
      <c r="R34" s="201" t="s">
        <v>466</v>
      </c>
      <c r="S34" s="202">
        <f>SUMIFS(Scoreboard_20[Assists],Scoreboard_20[Role],"Ranged DPS",Scoreboard_20[Team],"Yellow")</f>
        <v>327</v>
      </c>
      <c r="T34" s="203">
        <f>SUMIFS(Scoreboard_20[Assists],Scoreboard_20[Role],"Ranged DPS",Scoreboard_20[Team],"Red")</f>
        <v>583</v>
      </c>
    </row>
    <row r="35" spans="1:20" ht="22.5" customHeight="1">
      <c r="A35" s="115">
        <v>22</v>
      </c>
      <c r="B35" s="115" t="s">
        <v>25</v>
      </c>
      <c r="C35" s="115" t="s">
        <v>69</v>
      </c>
      <c r="D35" s="115" t="s">
        <v>573</v>
      </c>
      <c r="E35" s="98" t="s">
        <v>642</v>
      </c>
      <c r="F35" s="115" t="s">
        <v>483</v>
      </c>
      <c r="G35" s="115">
        <v>22</v>
      </c>
      <c r="H35" s="115">
        <v>36</v>
      </c>
      <c r="I35" s="194">
        <v>58</v>
      </c>
      <c r="J35" s="116">
        <v>874538</v>
      </c>
      <c r="K35" s="116">
        <v>1143697</v>
      </c>
      <c r="L35" s="116">
        <v>39357</v>
      </c>
      <c r="M35" s="195">
        <v>2.5043177892918825E-2</v>
      </c>
      <c r="N35" s="195">
        <v>2.5646314016481375E-2</v>
      </c>
      <c r="O35" s="195">
        <v>4.1872812490366521E-2</v>
      </c>
      <c r="P35" s="195">
        <v>2.2292012162080494E-3</v>
      </c>
      <c r="R35" s="201" t="s">
        <v>54</v>
      </c>
      <c r="S35" s="202">
        <f t="shared" ref="S35:S46" si="2">COUNTIFS(C:C,R35,F:F,"Yellow")</f>
        <v>2</v>
      </c>
      <c r="T35" s="203">
        <f t="shared" ref="T35:T46" si="3">COUNTIFS(C:C,R35,F:F,"Red")</f>
        <v>3</v>
      </c>
    </row>
    <row r="36" spans="1:20" ht="22.5" customHeight="1">
      <c r="A36" s="115">
        <v>23</v>
      </c>
      <c r="B36" s="115" t="s">
        <v>25</v>
      </c>
      <c r="C36" s="115" t="s">
        <v>69</v>
      </c>
      <c r="D36" s="115" t="s">
        <v>573</v>
      </c>
      <c r="E36" s="98" t="s">
        <v>643</v>
      </c>
      <c r="F36" s="115" t="s">
        <v>483</v>
      </c>
      <c r="G36" s="115">
        <v>22</v>
      </c>
      <c r="H36" s="115">
        <v>35</v>
      </c>
      <c r="I36" s="194">
        <v>57</v>
      </c>
      <c r="J36" s="116">
        <v>867545</v>
      </c>
      <c r="K36" s="116">
        <v>972711</v>
      </c>
      <c r="L36" s="116">
        <v>27954</v>
      </c>
      <c r="M36" s="195">
        <v>2.4611398963730571E-2</v>
      </c>
      <c r="N36" s="195">
        <v>2.5441240395990036E-2</v>
      </c>
      <c r="O36" s="195">
        <v>3.5612706259015199E-2</v>
      </c>
      <c r="P36" s="195">
        <v>1.5833292882557056E-3</v>
      </c>
      <c r="R36" s="201" t="s">
        <v>43</v>
      </c>
      <c r="S36" s="202">
        <f t="shared" si="2"/>
        <v>0</v>
      </c>
      <c r="T36" s="203">
        <f t="shared" si="3"/>
        <v>0</v>
      </c>
    </row>
    <row r="37" spans="1:20" ht="22.5" customHeight="1">
      <c r="A37" s="115">
        <v>33</v>
      </c>
      <c r="B37" s="115" t="s">
        <v>39</v>
      </c>
      <c r="C37" s="115" t="s">
        <v>58</v>
      </c>
      <c r="D37" s="115" t="s">
        <v>573</v>
      </c>
      <c r="E37" s="98" t="s">
        <v>644</v>
      </c>
      <c r="F37" s="115" t="s">
        <v>483</v>
      </c>
      <c r="G37" s="115">
        <v>8</v>
      </c>
      <c r="H37" s="115">
        <v>47</v>
      </c>
      <c r="I37" s="194">
        <v>55</v>
      </c>
      <c r="J37" s="116">
        <v>1836054</v>
      </c>
      <c r="K37" s="116">
        <v>743770</v>
      </c>
      <c r="L37" s="116">
        <v>37379</v>
      </c>
      <c r="M37" s="195">
        <v>2.3747841105354058E-2</v>
      </c>
      <c r="N37" s="195">
        <v>5.3843306334563724E-2</v>
      </c>
      <c r="O37" s="195">
        <v>2.723076282088692E-2</v>
      </c>
      <c r="P37" s="195">
        <v>2.1171662540498686E-3</v>
      </c>
      <c r="R37" s="201" t="s">
        <v>45</v>
      </c>
      <c r="S37" s="202">
        <f t="shared" si="2"/>
        <v>0</v>
      </c>
      <c r="T37" s="203">
        <f t="shared" si="3"/>
        <v>2</v>
      </c>
    </row>
    <row r="38" spans="1:20" ht="22.5" customHeight="1">
      <c r="A38" s="115">
        <v>14</v>
      </c>
      <c r="B38" s="115" t="s">
        <v>25</v>
      </c>
      <c r="C38" s="115" t="s">
        <v>69</v>
      </c>
      <c r="D38" s="115" t="s">
        <v>7</v>
      </c>
      <c r="E38" s="98" t="s">
        <v>110</v>
      </c>
      <c r="F38" s="115" t="s">
        <v>476</v>
      </c>
      <c r="G38" s="115">
        <v>28</v>
      </c>
      <c r="H38" s="115">
        <v>27</v>
      </c>
      <c r="I38" s="194">
        <v>55</v>
      </c>
      <c r="J38" s="116">
        <v>901654</v>
      </c>
      <c r="K38" s="116">
        <v>902466</v>
      </c>
      <c r="L38" s="116">
        <v>36637</v>
      </c>
      <c r="M38" s="195">
        <v>2.3923444976076555E-2</v>
      </c>
      <c r="N38" s="195">
        <v>3.1410134059522608E-2</v>
      </c>
      <c r="O38" s="195">
        <v>2.600336428498571E-2</v>
      </c>
      <c r="P38" s="195">
        <v>1.6761756093276014E-3</v>
      </c>
      <c r="R38" s="201" t="s">
        <v>81</v>
      </c>
      <c r="S38" s="202">
        <f t="shared" si="2"/>
        <v>0</v>
      </c>
      <c r="T38" s="203">
        <f t="shared" si="3"/>
        <v>0</v>
      </c>
    </row>
    <row r="39" spans="1:20" ht="22.5" customHeight="1">
      <c r="A39" s="115">
        <v>56</v>
      </c>
      <c r="B39" s="115" t="s">
        <v>11</v>
      </c>
      <c r="C39" s="115" t="s">
        <v>9</v>
      </c>
      <c r="D39" s="115" t="s">
        <v>7</v>
      </c>
      <c r="E39" s="98" t="s">
        <v>51</v>
      </c>
      <c r="F39" s="115" t="s">
        <v>476</v>
      </c>
      <c r="G39" s="115">
        <v>0</v>
      </c>
      <c r="H39" s="115">
        <v>54</v>
      </c>
      <c r="I39" s="194">
        <v>54</v>
      </c>
      <c r="J39" s="116">
        <v>59680</v>
      </c>
      <c r="K39" s="116">
        <v>316888</v>
      </c>
      <c r="L39" s="116">
        <v>467297</v>
      </c>
      <c r="M39" s="195">
        <v>2.3488473249238799E-2</v>
      </c>
      <c r="N39" s="195">
        <v>2.0790201126732752E-3</v>
      </c>
      <c r="O39" s="195">
        <v>9.1307086378218712E-3</v>
      </c>
      <c r="P39" s="195">
        <v>2.1379256863606741E-2</v>
      </c>
      <c r="R39" s="201" t="s">
        <v>48</v>
      </c>
      <c r="S39" s="202">
        <f t="shared" si="2"/>
        <v>0</v>
      </c>
      <c r="T39" s="203">
        <f t="shared" si="3"/>
        <v>0</v>
      </c>
    </row>
    <row r="40" spans="1:20" ht="22.5" customHeight="1">
      <c r="A40" s="115">
        <v>58</v>
      </c>
      <c r="B40" s="115" t="s">
        <v>11</v>
      </c>
      <c r="C40" s="115" t="s">
        <v>9</v>
      </c>
      <c r="D40" s="115" t="s">
        <v>573</v>
      </c>
      <c r="E40" s="98" t="s">
        <v>593</v>
      </c>
      <c r="F40" s="115" t="s">
        <v>483</v>
      </c>
      <c r="G40" s="115">
        <v>0</v>
      </c>
      <c r="H40" s="115">
        <v>53</v>
      </c>
      <c r="I40" s="194">
        <v>53</v>
      </c>
      <c r="J40" s="116">
        <v>35582</v>
      </c>
      <c r="K40" s="116">
        <v>409869</v>
      </c>
      <c r="L40" s="116">
        <v>980900</v>
      </c>
      <c r="M40" s="195">
        <v>2.2884283246977548E-2</v>
      </c>
      <c r="N40" s="195">
        <v>1.0434619711601329E-3</v>
      </c>
      <c r="O40" s="195">
        <v>1.5006044243024187E-2</v>
      </c>
      <c r="P40" s="195">
        <v>5.5558692811405228E-2</v>
      </c>
      <c r="R40" s="201" t="s">
        <v>50</v>
      </c>
      <c r="S40" s="202">
        <f t="shared" si="2"/>
        <v>0</v>
      </c>
      <c r="T40" s="203">
        <f t="shared" si="3"/>
        <v>0</v>
      </c>
    </row>
    <row r="41" spans="1:20" ht="22.5" customHeight="1">
      <c r="A41" s="115">
        <v>57</v>
      </c>
      <c r="B41" s="115" t="s">
        <v>11</v>
      </c>
      <c r="C41" s="115" t="s">
        <v>10</v>
      </c>
      <c r="D41" s="115" t="s">
        <v>573</v>
      </c>
      <c r="E41" s="98" t="s">
        <v>366</v>
      </c>
      <c r="F41" s="115" t="s">
        <v>483</v>
      </c>
      <c r="G41" s="115">
        <v>0</v>
      </c>
      <c r="H41" s="115">
        <v>53</v>
      </c>
      <c r="I41" s="194">
        <v>53</v>
      </c>
      <c r="J41" s="116">
        <v>30602</v>
      </c>
      <c r="K41" s="116">
        <v>368963</v>
      </c>
      <c r="L41" s="116">
        <v>1042282</v>
      </c>
      <c r="M41" s="195">
        <v>2.2884283246977548E-2</v>
      </c>
      <c r="N41" s="195">
        <v>8.974206970221568E-4</v>
      </c>
      <c r="O41" s="195">
        <v>1.3508401713813276E-2</v>
      </c>
      <c r="P41" s="195">
        <v>5.9035401632028812E-2</v>
      </c>
      <c r="R41" s="201" t="s">
        <v>52</v>
      </c>
      <c r="S41" s="202">
        <f t="shared" si="2"/>
        <v>0</v>
      </c>
      <c r="T41" s="203">
        <f t="shared" si="3"/>
        <v>0</v>
      </c>
    </row>
    <row r="42" spans="1:20" ht="22.5" customHeight="1">
      <c r="A42" s="115">
        <v>30</v>
      </c>
      <c r="B42" s="115" t="s">
        <v>39</v>
      </c>
      <c r="C42" s="115" t="s">
        <v>58</v>
      </c>
      <c r="D42" s="115" t="s">
        <v>7</v>
      </c>
      <c r="E42" s="98" t="s">
        <v>116</v>
      </c>
      <c r="F42" s="115" t="s">
        <v>476</v>
      </c>
      <c r="G42" s="115">
        <v>12</v>
      </c>
      <c r="H42" s="115">
        <v>40</v>
      </c>
      <c r="I42" s="194">
        <v>52</v>
      </c>
      <c r="J42" s="116">
        <v>1167719</v>
      </c>
      <c r="K42" s="116">
        <v>946982</v>
      </c>
      <c r="L42" s="116">
        <v>0</v>
      </c>
      <c r="M42" s="195">
        <v>2.2618529795563287E-2</v>
      </c>
      <c r="N42" s="195">
        <v>4.0678808427458517E-2</v>
      </c>
      <c r="O42" s="195">
        <v>2.7286033952885026E-2</v>
      </c>
      <c r="P42" s="195">
        <v>0</v>
      </c>
      <c r="R42" s="201" t="s">
        <v>32</v>
      </c>
      <c r="S42" s="202">
        <f t="shared" si="2"/>
        <v>0</v>
      </c>
      <c r="T42" s="203">
        <f t="shared" si="3"/>
        <v>0</v>
      </c>
    </row>
    <row r="43" spans="1:20" ht="22.5" customHeight="1">
      <c r="A43" s="115">
        <v>59</v>
      </c>
      <c r="B43" s="115" t="s">
        <v>11</v>
      </c>
      <c r="C43" s="115" t="s">
        <v>9</v>
      </c>
      <c r="D43" s="115" t="s">
        <v>7</v>
      </c>
      <c r="E43" s="98" t="s">
        <v>96</v>
      </c>
      <c r="F43" s="115" t="s">
        <v>476</v>
      </c>
      <c r="G43" s="115">
        <v>0</v>
      </c>
      <c r="H43" s="115">
        <v>52</v>
      </c>
      <c r="I43" s="194">
        <v>52</v>
      </c>
      <c r="J43" s="116">
        <v>26602</v>
      </c>
      <c r="K43" s="116">
        <v>263428</v>
      </c>
      <c r="L43" s="116">
        <v>838222</v>
      </c>
      <c r="M43" s="195">
        <v>2.2618529795563287E-2</v>
      </c>
      <c r="N43" s="195">
        <v>9.2671067421807088E-4</v>
      </c>
      <c r="O43" s="195">
        <v>7.5903294383004079E-3</v>
      </c>
      <c r="P43" s="195">
        <v>3.8349408292212811E-2</v>
      </c>
      <c r="R43" s="201" t="s">
        <v>56</v>
      </c>
      <c r="S43" s="202">
        <f t="shared" si="2"/>
        <v>0</v>
      </c>
      <c r="T43" s="203">
        <f t="shared" si="3"/>
        <v>0</v>
      </c>
    </row>
    <row r="44" spans="1:20" ht="22.5" customHeight="1">
      <c r="A44" s="115">
        <v>39</v>
      </c>
      <c r="B44" s="115" t="s">
        <v>11</v>
      </c>
      <c r="C44" s="115" t="s">
        <v>9</v>
      </c>
      <c r="D44" s="115" t="s">
        <v>7</v>
      </c>
      <c r="E44" s="98" t="s">
        <v>44</v>
      </c>
      <c r="F44" s="115" t="s">
        <v>476</v>
      </c>
      <c r="G44" s="115">
        <v>1</v>
      </c>
      <c r="H44" s="115">
        <v>50</v>
      </c>
      <c r="I44" s="194">
        <v>51</v>
      </c>
      <c r="J44" s="116">
        <v>1633</v>
      </c>
      <c r="K44" s="116">
        <v>244241</v>
      </c>
      <c r="L44" s="116">
        <v>884391</v>
      </c>
      <c r="M44" s="195">
        <v>2.2183558068725531E-2</v>
      </c>
      <c r="N44" s="195">
        <v>5.6887396849789859E-5</v>
      </c>
      <c r="O44" s="195">
        <v>7.037481407974589E-3</v>
      </c>
      <c r="P44" s="195">
        <v>4.0461681450687736E-2</v>
      </c>
      <c r="R44" s="201" t="s">
        <v>58</v>
      </c>
      <c r="S44" s="202">
        <f t="shared" si="2"/>
        <v>5</v>
      </c>
      <c r="T44" s="203">
        <f t="shared" si="3"/>
        <v>6</v>
      </c>
    </row>
    <row r="45" spans="1:20" ht="22.5" customHeight="1">
      <c r="A45" s="115">
        <v>34</v>
      </c>
      <c r="B45" s="115" t="s">
        <v>67</v>
      </c>
      <c r="C45" s="115" t="s">
        <v>14</v>
      </c>
      <c r="D45" s="115" t="s">
        <v>7</v>
      </c>
      <c r="E45" s="98" t="s">
        <v>37</v>
      </c>
      <c r="F45" s="115" t="s">
        <v>476</v>
      </c>
      <c r="G45" s="115">
        <v>6</v>
      </c>
      <c r="H45" s="115">
        <v>44</v>
      </c>
      <c r="I45" s="194">
        <v>50</v>
      </c>
      <c r="J45" s="116">
        <v>1311901</v>
      </c>
      <c r="K45" s="116">
        <v>763111</v>
      </c>
      <c r="L45" s="116">
        <v>33778</v>
      </c>
      <c r="M45" s="195">
        <v>2.1748586341887779E-2</v>
      </c>
      <c r="N45" s="195">
        <v>4.5701551019373031E-2</v>
      </c>
      <c r="O45" s="195">
        <v>2.1988034256004915E-2</v>
      </c>
      <c r="P45" s="195">
        <v>1.5453737951215362E-3</v>
      </c>
      <c r="R45" s="201" t="s">
        <v>60</v>
      </c>
      <c r="S45" s="202">
        <f t="shared" si="2"/>
        <v>0</v>
      </c>
      <c r="T45" s="203">
        <f t="shared" si="3"/>
        <v>0</v>
      </c>
    </row>
    <row r="46" spans="1:20" ht="22.5" customHeight="1">
      <c r="A46" s="115">
        <v>40</v>
      </c>
      <c r="B46" s="115" t="s">
        <v>11</v>
      </c>
      <c r="C46" s="115" t="s">
        <v>9</v>
      </c>
      <c r="D46" s="115" t="s">
        <v>7</v>
      </c>
      <c r="E46" s="98" t="s">
        <v>72</v>
      </c>
      <c r="F46" s="115" t="s">
        <v>476</v>
      </c>
      <c r="G46" s="115">
        <v>1</v>
      </c>
      <c r="H46" s="115">
        <v>46</v>
      </c>
      <c r="I46" s="194">
        <v>47</v>
      </c>
      <c r="J46" s="116">
        <v>20620</v>
      </c>
      <c r="K46" s="116">
        <v>297300</v>
      </c>
      <c r="L46" s="116">
        <v>506934</v>
      </c>
      <c r="M46" s="195">
        <v>2.0443671161374511E-2</v>
      </c>
      <c r="N46" s="195">
        <v>7.1832095716023686E-4</v>
      </c>
      <c r="O46" s="195">
        <v>8.5663063228157647E-3</v>
      </c>
      <c r="P46" s="195">
        <v>2.3192685163601776E-2</v>
      </c>
      <c r="R46" s="201" t="s">
        <v>63</v>
      </c>
      <c r="S46" s="202">
        <f t="shared" si="2"/>
        <v>0</v>
      </c>
      <c r="T46" s="203">
        <f t="shared" si="3"/>
        <v>0</v>
      </c>
    </row>
    <row r="47" spans="1:20" ht="22.5" customHeight="1">
      <c r="A47" s="115">
        <v>31</v>
      </c>
      <c r="B47" s="115" t="s">
        <v>39</v>
      </c>
      <c r="C47" s="115" t="s">
        <v>58</v>
      </c>
      <c r="D47" s="115" t="s">
        <v>7</v>
      </c>
      <c r="E47" s="98" t="s">
        <v>76</v>
      </c>
      <c r="F47" s="115" t="s">
        <v>476</v>
      </c>
      <c r="G47" s="115">
        <v>9</v>
      </c>
      <c r="H47" s="115">
        <v>37</v>
      </c>
      <c r="I47" s="194">
        <v>46</v>
      </c>
      <c r="J47" s="116">
        <v>767737</v>
      </c>
      <c r="K47" s="116">
        <v>1479615</v>
      </c>
      <c r="L47" s="116">
        <v>39851</v>
      </c>
      <c r="M47" s="195">
        <v>2.0008699434536755E-2</v>
      </c>
      <c r="N47" s="195">
        <v>2.6744984320433016E-2</v>
      </c>
      <c r="O47" s="195">
        <v>4.2633149444443484E-2</v>
      </c>
      <c r="P47" s="195">
        <v>1.8232189919293131E-3</v>
      </c>
      <c r="R47" s="204"/>
      <c r="S47" s="208"/>
      <c r="T47" s="208"/>
    </row>
    <row r="48" spans="1:20" ht="22.5" customHeight="1">
      <c r="A48" s="115">
        <v>60</v>
      </c>
      <c r="B48" s="115" t="s">
        <v>11</v>
      </c>
      <c r="C48" s="115" t="s">
        <v>10</v>
      </c>
      <c r="D48" s="115" t="s">
        <v>7</v>
      </c>
      <c r="E48" s="98" t="s">
        <v>645</v>
      </c>
      <c r="F48" s="115" t="s">
        <v>476</v>
      </c>
      <c r="G48" s="115">
        <v>0</v>
      </c>
      <c r="H48" s="115">
        <v>46</v>
      </c>
      <c r="I48" s="194">
        <v>46</v>
      </c>
      <c r="J48" s="116">
        <v>39796</v>
      </c>
      <c r="K48" s="116">
        <v>591061</v>
      </c>
      <c r="L48" s="116">
        <v>1476602</v>
      </c>
      <c r="M48" s="195">
        <v>2.0008699434536755E-2</v>
      </c>
      <c r="N48" s="195">
        <v>1.3863385456425212E-3</v>
      </c>
      <c r="O48" s="195">
        <v>1.7030641040934439E-2</v>
      </c>
      <c r="P48" s="195">
        <v>6.7555865848305127E-2</v>
      </c>
      <c r="R48" s="6"/>
      <c r="S48" s="209"/>
      <c r="T48" s="209"/>
    </row>
    <row r="49" spans="1:20" ht="22.5" customHeight="1">
      <c r="A49" s="115">
        <v>61</v>
      </c>
      <c r="B49" s="115" t="s">
        <v>11</v>
      </c>
      <c r="C49" s="115" t="s">
        <v>9</v>
      </c>
      <c r="D49" s="115" t="s">
        <v>7</v>
      </c>
      <c r="E49" s="98" t="s">
        <v>97</v>
      </c>
      <c r="F49" s="115" t="s">
        <v>476</v>
      </c>
      <c r="G49" s="115">
        <v>0</v>
      </c>
      <c r="H49" s="115">
        <v>44</v>
      </c>
      <c r="I49" s="194">
        <v>44</v>
      </c>
      <c r="J49" s="116">
        <v>47438</v>
      </c>
      <c r="K49" s="116">
        <v>365826</v>
      </c>
      <c r="L49" s="116">
        <v>603406</v>
      </c>
      <c r="M49" s="195">
        <v>1.9138755980861243E-2</v>
      </c>
      <c r="N49" s="195">
        <v>1.6525562350032646E-3</v>
      </c>
      <c r="O49" s="195">
        <v>1.0540792387656912E-2</v>
      </c>
      <c r="P49" s="195">
        <v>2.7606365688291362E-2</v>
      </c>
      <c r="R49" s="232" t="s">
        <v>67</v>
      </c>
      <c r="S49" s="228"/>
      <c r="T49" s="228"/>
    </row>
    <row r="50" spans="1:20" ht="22.5" customHeight="1">
      <c r="A50" s="115">
        <v>62</v>
      </c>
      <c r="B50" s="115" t="s">
        <v>11</v>
      </c>
      <c r="C50" s="115" t="s">
        <v>9</v>
      </c>
      <c r="D50" s="115" t="s">
        <v>573</v>
      </c>
      <c r="E50" s="98" t="s">
        <v>594</v>
      </c>
      <c r="F50" s="115" t="s">
        <v>483</v>
      </c>
      <c r="G50" s="115">
        <v>0</v>
      </c>
      <c r="H50" s="115">
        <v>44</v>
      </c>
      <c r="I50" s="194">
        <v>44</v>
      </c>
      <c r="J50" s="116">
        <v>35449</v>
      </c>
      <c r="K50" s="116">
        <v>490992</v>
      </c>
      <c r="L50" s="116">
        <v>738716</v>
      </c>
      <c r="M50" s="195">
        <v>1.8998272884283247E-2</v>
      </c>
      <c r="N50" s="195">
        <v>1.0395616720717089E-3</v>
      </c>
      <c r="O50" s="195">
        <v>1.7976103767230339E-2</v>
      </c>
      <c r="P50" s="195">
        <v>4.1841263450779917E-2</v>
      </c>
      <c r="R50" s="197" t="s">
        <v>482</v>
      </c>
      <c r="S50" s="198" t="s">
        <v>476</v>
      </c>
      <c r="T50" s="198" t="s">
        <v>483</v>
      </c>
    </row>
    <row r="51" spans="1:20" ht="22.5" customHeight="1">
      <c r="A51" s="115">
        <v>32</v>
      </c>
      <c r="B51" s="115" t="s">
        <v>25</v>
      </c>
      <c r="C51" s="115" t="s">
        <v>69</v>
      </c>
      <c r="D51" s="115" t="s">
        <v>573</v>
      </c>
      <c r="E51" s="98" t="s">
        <v>581</v>
      </c>
      <c r="F51" s="115" t="s">
        <v>483</v>
      </c>
      <c r="G51" s="115">
        <v>9</v>
      </c>
      <c r="H51" s="115">
        <v>34</v>
      </c>
      <c r="I51" s="194">
        <v>43</v>
      </c>
      <c r="J51" s="116">
        <v>793314</v>
      </c>
      <c r="K51" s="116">
        <v>994200</v>
      </c>
      <c r="L51" s="116">
        <v>96214</v>
      </c>
      <c r="M51" s="195">
        <v>1.8566493955094993E-2</v>
      </c>
      <c r="N51" s="195">
        <v>2.3264374970179573E-2</v>
      </c>
      <c r="O51" s="195">
        <v>3.6399457354458736E-2</v>
      </c>
      <c r="P51" s="195">
        <v>5.4496116527235627E-3</v>
      </c>
      <c r="R51" s="201" t="s">
        <v>468</v>
      </c>
      <c r="S51" s="202">
        <f>SUMIFS(Scoreboard_20[Damage Dealt],Scoreboard_20[Role],"Tank",Scoreboard_20[Team],"Yellow")</f>
        <v>2022641</v>
      </c>
      <c r="T51" s="203">
        <f>SUMIFS(Scoreboard_20[Damage Dealt],Scoreboard_20[Role],"Tank",Scoreboard_20[Team],"Red")</f>
        <v>1283246</v>
      </c>
    </row>
    <row r="52" spans="1:20" ht="22.5" customHeight="1">
      <c r="A52" s="115">
        <v>63</v>
      </c>
      <c r="B52" s="115" t="s">
        <v>11</v>
      </c>
      <c r="C52" s="115" t="s">
        <v>9</v>
      </c>
      <c r="D52" s="115" t="s">
        <v>7</v>
      </c>
      <c r="E52" s="98" t="s">
        <v>41</v>
      </c>
      <c r="F52" s="115" t="s">
        <v>476</v>
      </c>
      <c r="G52" s="115">
        <v>0</v>
      </c>
      <c r="H52" s="115">
        <v>43</v>
      </c>
      <c r="I52" s="194">
        <v>43</v>
      </c>
      <c r="J52" s="116">
        <v>188289</v>
      </c>
      <c r="K52" s="116">
        <v>1077842</v>
      </c>
      <c r="L52" s="116">
        <v>0</v>
      </c>
      <c r="M52" s="195">
        <v>1.8703784254023487E-2</v>
      </c>
      <c r="N52" s="195">
        <v>6.5592596849051331E-3</v>
      </c>
      <c r="O52" s="195">
        <v>3.1056591791444297E-2</v>
      </c>
      <c r="P52" s="195">
        <v>0</v>
      </c>
      <c r="R52" s="201" t="s">
        <v>469</v>
      </c>
      <c r="S52" s="202">
        <f>SUMIFS(Scoreboard_20[Damage Taken],Scoreboard_20[Role],"Tank",Scoreboard_20[Team],"Yellow")</f>
        <v>9561427</v>
      </c>
      <c r="T52" s="203">
        <f>SUMIFS(Scoreboard_20[Damage Taken],Scoreboard_20[Role],"Tank",Scoreboard_20[Team],"Red")</f>
        <v>6294400</v>
      </c>
    </row>
    <row r="53" spans="1:20" ht="22.5" customHeight="1">
      <c r="A53" s="115">
        <v>64</v>
      </c>
      <c r="B53" s="115" t="s">
        <v>11</v>
      </c>
      <c r="C53" s="115" t="s">
        <v>10</v>
      </c>
      <c r="D53" s="115" t="s">
        <v>7</v>
      </c>
      <c r="E53" s="98" t="s">
        <v>49</v>
      </c>
      <c r="F53" s="115" t="s">
        <v>476</v>
      </c>
      <c r="G53" s="115">
        <v>0</v>
      </c>
      <c r="H53" s="115">
        <v>42</v>
      </c>
      <c r="I53" s="194">
        <v>42</v>
      </c>
      <c r="J53" s="116">
        <v>34693</v>
      </c>
      <c r="K53" s="116">
        <v>416045</v>
      </c>
      <c r="L53" s="116">
        <v>1251045</v>
      </c>
      <c r="M53" s="195">
        <v>1.8268812527185731E-2</v>
      </c>
      <c r="N53" s="195">
        <v>1.2085697850029145E-3</v>
      </c>
      <c r="O53" s="195">
        <v>1.1987786458378355E-2</v>
      </c>
      <c r="P53" s="195">
        <v>5.7236430798680273E-2</v>
      </c>
      <c r="R53" s="201" t="s">
        <v>470</v>
      </c>
      <c r="S53" s="202">
        <f>SUMIFS(Scoreboard_20[Amount Healed],Scoreboard_20[Role],"Tank",Scoreboard_20[Team],"Yellow")</f>
        <v>501387</v>
      </c>
      <c r="T53" s="203">
        <f>SUMIFS(Scoreboard_20[Amount Healed],Scoreboard_20[Role],"Tank",Scoreboard_20[Team],"Red")</f>
        <v>525836</v>
      </c>
    </row>
    <row r="54" spans="1:20" ht="22.5" customHeight="1">
      <c r="A54" s="115">
        <v>65</v>
      </c>
      <c r="B54" s="115" t="s">
        <v>11</v>
      </c>
      <c r="C54" s="115" t="s">
        <v>10</v>
      </c>
      <c r="D54" s="115" t="s">
        <v>573</v>
      </c>
      <c r="E54" s="98" t="s">
        <v>605</v>
      </c>
      <c r="F54" s="115" t="s">
        <v>483</v>
      </c>
      <c r="G54" s="115">
        <v>0</v>
      </c>
      <c r="H54" s="115">
        <v>39</v>
      </c>
      <c r="I54" s="194">
        <v>39</v>
      </c>
      <c r="J54" s="116">
        <v>51075</v>
      </c>
      <c r="K54" s="116">
        <v>533428</v>
      </c>
      <c r="L54" s="116">
        <v>835533</v>
      </c>
      <c r="M54" s="195">
        <v>1.683937823834197E-2</v>
      </c>
      <c r="N54" s="195">
        <v>1.4978028266259284E-3</v>
      </c>
      <c r="O54" s="195">
        <v>1.9529762359358493E-2</v>
      </c>
      <c r="P54" s="195">
        <v>4.7325029341208934E-2</v>
      </c>
      <c r="R54" s="201" t="s">
        <v>465</v>
      </c>
      <c r="S54" s="202">
        <f>SUMIFS(Scoreboard_20[Kills],Scoreboard_20[Role],"Tank",Scoreboard_20[Team],"Yellow")</f>
        <v>13</v>
      </c>
      <c r="T54" s="203">
        <f>SUMIFS(Scoreboard_20[Kills],Scoreboard_20[Role],"Tank",Scoreboard_20[Team],"Red")</f>
        <v>10</v>
      </c>
    </row>
    <row r="55" spans="1:20" ht="22.5" customHeight="1">
      <c r="A55" s="115">
        <v>66</v>
      </c>
      <c r="B55" s="115" t="s">
        <v>11</v>
      </c>
      <c r="C55" s="115" t="s">
        <v>9</v>
      </c>
      <c r="D55" s="115" t="s">
        <v>7</v>
      </c>
      <c r="E55" s="98" t="s">
        <v>91</v>
      </c>
      <c r="F55" s="115" t="s">
        <v>476</v>
      </c>
      <c r="G55" s="115">
        <v>0</v>
      </c>
      <c r="H55" s="115">
        <v>39</v>
      </c>
      <c r="I55" s="194">
        <v>39</v>
      </c>
      <c r="J55" s="116">
        <v>4130</v>
      </c>
      <c r="K55" s="116">
        <v>735837</v>
      </c>
      <c r="L55" s="116">
        <v>1227508</v>
      </c>
      <c r="M55" s="195">
        <v>1.6963897346672467E-2</v>
      </c>
      <c r="N55" s="195">
        <v>1.438732081994073E-4</v>
      </c>
      <c r="O55" s="195">
        <v>2.1202170015680404E-2</v>
      </c>
      <c r="P55" s="195">
        <v>5.6159591938600463E-2</v>
      </c>
      <c r="R55" s="201" t="s">
        <v>466</v>
      </c>
      <c r="S55" s="202">
        <f>SUMIFS(Scoreboard_20[Assists],Scoreboard_20[Role],"Tank",Scoreboard_20[Team],"Yellow")</f>
        <v>212</v>
      </c>
      <c r="T55" s="203">
        <f>SUMIFS(Scoreboard_20[Assists],Scoreboard_20[Role],"Tank",Scoreboard_20[Team],"Red")</f>
        <v>192</v>
      </c>
    </row>
    <row r="56" spans="1:20" ht="22.5" customHeight="1">
      <c r="A56" s="115">
        <v>67</v>
      </c>
      <c r="B56" s="115" t="s">
        <v>11</v>
      </c>
      <c r="C56" s="115" t="s">
        <v>9</v>
      </c>
      <c r="D56" s="115" t="s">
        <v>7</v>
      </c>
      <c r="E56" s="98" t="s">
        <v>646</v>
      </c>
      <c r="F56" s="115" t="s">
        <v>476</v>
      </c>
      <c r="G56" s="115">
        <v>0</v>
      </c>
      <c r="H56" s="115">
        <v>38</v>
      </c>
      <c r="I56" s="194">
        <v>38</v>
      </c>
      <c r="J56" s="116">
        <v>78597</v>
      </c>
      <c r="K56" s="116">
        <v>632385</v>
      </c>
      <c r="L56" s="116">
        <v>466017</v>
      </c>
      <c r="M56" s="195">
        <v>1.6528925619834711E-2</v>
      </c>
      <c r="N56" s="195">
        <v>2.7380151440311901E-3</v>
      </c>
      <c r="O56" s="195">
        <v>1.8221337450231575E-2</v>
      </c>
      <c r="P56" s="195">
        <v>2.1320695715588634E-2</v>
      </c>
      <c r="R56" s="201" t="s">
        <v>62</v>
      </c>
      <c r="S56" s="202">
        <f t="shared" ref="S56:S60" si="4">COUNTIFS(C:C,R56,F:F,"Yellow")</f>
        <v>3</v>
      </c>
      <c r="T56" s="203">
        <f t="shared" ref="T56:T60" si="5">COUNTIFS(C:C,R56,F:F,"Red")</f>
        <v>3</v>
      </c>
    </row>
    <row r="57" spans="1:20" ht="22.5" customHeight="1">
      <c r="A57" s="115">
        <v>41</v>
      </c>
      <c r="B57" s="115" t="s">
        <v>11</v>
      </c>
      <c r="C57" s="115" t="s">
        <v>10</v>
      </c>
      <c r="D57" s="115" t="s">
        <v>7</v>
      </c>
      <c r="E57" s="98" t="s">
        <v>29</v>
      </c>
      <c r="F57" s="115" t="s">
        <v>476</v>
      </c>
      <c r="G57" s="115">
        <v>1</v>
      </c>
      <c r="H57" s="115">
        <v>37</v>
      </c>
      <c r="I57" s="194">
        <v>38</v>
      </c>
      <c r="J57" s="116">
        <v>55517</v>
      </c>
      <c r="K57" s="116">
        <v>466901</v>
      </c>
      <c r="L57" s="116">
        <v>2105776</v>
      </c>
      <c r="M57" s="195">
        <v>1.6528925619834711E-2</v>
      </c>
      <c r="N57" s="195">
        <v>1.9339973122533885E-3</v>
      </c>
      <c r="O57" s="195">
        <v>1.3453134841671724E-2</v>
      </c>
      <c r="P57" s="195">
        <v>9.6341140647635964E-2</v>
      </c>
      <c r="R57" s="201" t="s">
        <v>70</v>
      </c>
      <c r="S57" s="202">
        <f t="shared" si="4"/>
        <v>0</v>
      </c>
      <c r="T57" s="203">
        <f t="shared" si="5"/>
        <v>0</v>
      </c>
    </row>
    <row r="58" spans="1:20" ht="22.5" customHeight="1">
      <c r="A58" s="115">
        <v>68</v>
      </c>
      <c r="B58" s="115" t="s">
        <v>11</v>
      </c>
      <c r="C58" s="115" t="s">
        <v>10</v>
      </c>
      <c r="D58" s="115" t="s">
        <v>7</v>
      </c>
      <c r="E58" s="98" t="s">
        <v>115</v>
      </c>
      <c r="F58" s="115" t="s">
        <v>476</v>
      </c>
      <c r="G58" s="115">
        <v>0</v>
      </c>
      <c r="H58" s="115">
        <v>38</v>
      </c>
      <c r="I58" s="194">
        <v>38</v>
      </c>
      <c r="J58" s="116">
        <v>33940</v>
      </c>
      <c r="K58" s="116">
        <v>775885</v>
      </c>
      <c r="L58" s="116">
        <v>1530046</v>
      </c>
      <c r="M58" s="195">
        <v>1.6528925619834711E-2</v>
      </c>
      <c r="N58" s="195">
        <v>1.1823381806992453E-3</v>
      </c>
      <c r="O58" s="195">
        <v>2.2356100172478674E-2</v>
      </c>
      <c r="P58" s="195">
        <v>7.0000976781648586E-2</v>
      </c>
      <c r="R58" s="201" t="s">
        <v>14</v>
      </c>
      <c r="S58" s="202">
        <f t="shared" si="4"/>
        <v>9</v>
      </c>
      <c r="T58" s="203">
        <f t="shared" si="5"/>
        <v>8</v>
      </c>
    </row>
    <row r="59" spans="1:20" ht="22.5" customHeight="1">
      <c r="A59" s="115">
        <v>69</v>
      </c>
      <c r="B59" s="115" t="s">
        <v>11</v>
      </c>
      <c r="C59" s="115" t="s">
        <v>10</v>
      </c>
      <c r="D59" s="115" t="s">
        <v>7</v>
      </c>
      <c r="E59" s="98" t="s">
        <v>108</v>
      </c>
      <c r="F59" s="115" t="s">
        <v>476</v>
      </c>
      <c r="G59" s="115">
        <v>0</v>
      </c>
      <c r="H59" s="115">
        <v>37</v>
      </c>
      <c r="I59" s="194">
        <v>37</v>
      </c>
      <c r="J59" s="116">
        <v>51377</v>
      </c>
      <c r="K59" s="116">
        <v>447352</v>
      </c>
      <c r="L59" s="116">
        <v>1035934</v>
      </c>
      <c r="M59" s="195">
        <v>1.6093953892996955E-2</v>
      </c>
      <c r="N59" s="195">
        <v>1.789775742775048E-3</v>
      </c>
      <c r="O59" s="195">
        <v>1.2889856260088388E-2</v>
      </c>
      <c r="P59" s="195">
        <v>4.7394909617959426E-2</v>
      </c>
      <c r="R59" s="201" t="s">
        <v>73</v>
      </c>
      <c r="S59" s="202">
        <f t="shared" si="4"/>
        <v>0</v>
      </c>
      <c r="T59" s="203">
        <f t="shared" si="5"/>
        <v>0</v>
      </c>
    </row>
    <row r="60" spans="1:20" ht="22.5" customHeight="1">
      <c r="A60" s="115">
        <v>70</v>
      </c>
      <c r="B60" s="115" t="s">
        <v>11</v>
      </c>
      <c r="C60" s="115" t="s">
        <v>9</v>
      </c>
      <c r="D60" s="115" t="s">
        <v>7</v>
      </c>
      <c r="E60" s="98" t="s">
        <v>647</v>
      </c>
      <c r="F60" s="115" t="s">
        <v>476</v>
      </c>
      <c r="G60" s="115">
        <v>0</v>
      </c>
      <c r="H60" s="115">
        <v>37</v>
      </c>
      <c r="I60" s="194">
        <v>37</v>
      </c>
      <c r="J60" s="116">
        <v>11385</v>
      </c>
      <c r="K60" s="116">
        <v>270710</v>
      </c>
      <c r="L60" s="116">
        <v>348841</v>
      </c>
      <c r="M60" s="195">
        <v>1.6093953892996955E-2</v>
      </c>
      <c r="N60" s="195">
        <v>3.9660931606543633E-4</v>
      </c>
      <c r="O60" s="195">
        <v>7.8001506379060063E-3</v>
      </c>
      <c r="P60" s="195">
        <v>1.5959788621706193E-2</v>
      </c>
      <c r="R60" s="201" t="s">
        <v>75</v>
      </c>
      <c r="S60" s="202">
        <f t="shared" si="4"/>
        <v>0</v>
      </c>
      <c r="T60" s="203">
        <f t="shared" si="5"/>
        <v>0</v>
      </c>
    </row>
    <row r="61" spans="1:20" ht="22.5" customHeight="1">
      <c r="A61" s="115">
        <v>42</v>
      </c>
      <c r="B61" s="115" t="s">
        <v>67</v>
      </c>
      <c r="C61" s="115" t="s">
        <v>14</v>
      </c>
      <c r="D61" s="115" t="s">
        <v>573</v>
      </c>
      <c r="E61" s="98" t="s">
        <v>648</v>
      </c>
      <c r="F61" s="115" t="s">
        <v>483</v>
      </c>
      <c r="G61" s="115">
        <v>1</v>
      </c>
      <c r="H61" s="115">
        <v>35</v>
      </c>
      <c r="I61" s="194">
        <v>36</v>
      </c>
      <c r="J61" s="116">
        <v>80616</v>
      </c>
      <c r="K61" s="116">
        <v>447271</v>
      </c>
      <c r="L61" s="116">
        <v>42975</v>
      </c>
      <c r="M61" s="195">
        <v>1.5544041450777202E-2</v>
      </c>
      <c r="N61" s="195">
        <v>2.3641091076118618E-3</v>
      </c>
      <c r="O61" s="195">
        <v>1.6375399004612868E-2</v>
      </c>
      <c r="P61" s="195">
        <v>2.4341266424407581E-3</v>
      </c>
      <c r="R61" s="204"/>
      <c r="S61" s="208"/>
      <c r="T61" s="208"/>
    </row>
    <row r="62" spans="1:20" ht="22.5" customHeight="1">
      <c r="A62" s="115">
        <v>36</v>
      </c>
      <c r="B62" s="115" t="s">
        <v>67</v>
      </c>
      <c r="C62" s="115" t="s">
        <v>14</v>
      </c>
      <c r="D62" s="115" t="s">
        <v>7</v>
      </c>
      <c r="E62" s="98" t="s">
        <v>64</v>
      </c>
      <c r="F62" s="115" t="s">
        <v>476</v>
      </c>
      <c r="G62" s="115">
        <v>3</v>
      </c>
      <c r="H62" s="115">
        <v>33</v>
      </c>
      <c r="I62" s="194">
        <v>36</v>
      </c>
      <c r="J62" s="116">
        <v>77044</v>
      </c>
      <c r="K62" s="116">
        <v>673475</v>
      </c>
      <c r="L62" s="116">
        <v>29501</v>
      </c>
      <c r="M62" s="195">
        <v>1.5658982166159199E-2</v>
      </c>
      <c r="N62" s="195">
        <v>2.6839146374128659E-3</v>
      </c>
      <c r="O62" s="195">
        <v>1.9405291458992086E-2</v>
      </c>
      <c r="P62" s="195">
        <v>1.3496972091266634E-3</v>
      </c>
      <c r="R62" s="6"/>
      <c r="S62" s="209"/>
      <c r="T62" s="209"/>
    </row>
    <row r="63" spans="1:20" ht="22.5" customHeight="1">
      <c r="A63" s="115">
        <v>71</v>
      </c>
      <c r="B63" s="115" t="s">
        <v>67</v>
      </c>
      <c r="C63" s="115" t="s">
        <v>14</v>
      </c>
      <c r="D63" s="115" t="s">
        <v>573</v>
      </c>
      <c r="E63" s="98" t="s">
        <v>649</v>
      </c>
      <c r="F63" s="115" t="s">
        <v>483</v>
      </c>
      <c r="G63" s="115">
        <v>0</v>
      </c>
      <c r="H63" s="115">
        <v>34</v>
      </c>
      <c r="I63" s="194">
        <v>34</v>
      </c>
      <c r="J63" s="116">
        <v>99263</v>
      </c>
      <c r="K63" s="116">
        <v>329277</v>
      </c>
      <c r="L63" s="116">
        <v>33599</v>
      </c>
      <c r="M63" s="195">
        <v>1.468048359240069E-2</v>
      </c>
      <c r="N63" s="195">
        <v>2.9109427700317087E-3</v>
      </c>
      <c r="O63" s="195">
        <v>1.2055425587712843E-2</v>
      </c>
      <c r="P63" s="195">
        <v>1.9030650624634563E-3</v>
      </c>
      <c r="R63" s="232" t="s">
        <v>11</v>
      </c>
      <c r="S63" s="228"/>
      <c r="T63" s="228"/>
    </row>
    <row r="64" spans="1:20" ht="22.5" customHeight="1">
      <c r="A64" s="115">
        <v>72</v>
      </c>
      <c r="B64" s="115" t="s">
        <v>11</v>
      </c>
      <c r="C64" s="115" t="s">
        <v>9</v>
      </c>
      <c r="D64" s="115" t="s">
        <v>573</v>
      </c>
      <c r="E64" s="98" t="s">
        <v>607</v>
      </c>
      <c r="F64" s="115" t="s">
        <v>483</v>
      </c>
      <c r="G64" s="115">
        <v>0</v>
      </c>
      <c r="H64" s="115">
        <v>34</v>
      </c>
      <c r="I64" s="194">
        <v>34</v>
      </c>
      <c r="J64" s="116">
        <v>6311</v>
      </c>
      <c r="K64" s="116">
        <v>502436</v>
      </c>
      <c r="L64" s="116">
        <v>993829</v>
      </c>
      <c r="M64" s="195">
        <v>1.468048359240069E-2</v>
      </c>
      <c r="N64" s="195">
        <v>1.8507359057927036E-4</v>
      </c>
      <c r="O64" s="195">
        <v>1.8395089273128978E-2</v>
      </c>
      <c r="P64" s="195">
        <v>5.6290998183368385E-2</v>
      </c>
      <c r="R64" s="197" t="s">
        <v>482</v>
      </c>
      <c r="S64" s="198" t="s">
        <v>476</v>
      </c>
      <c r="T64" s="198" t="s">
        <v>483</v>
      </c>
    </row>
    <row r="65" spans="1:20" ht="22.5" customHeight="1">
      <c r="A65" s="115">
        <v>35</v>
      </c>
      <c r="B65" s="115" t="s">
        <v>67</v>
      </c>
      <c r="C65" s="115" t="s">
        <v>14</v>
      </c>
      <c r="D65" s="115" t="s">
        <v>573</v>
      </c>
      <c r="E65" s="98" t="s">
        <v>650</v>
      </c>
      <c r="F65" s="115" t="s">
        <v>483</v>
      </c>
      <c r="G65" s="115">
        <v>5</v>
      </c>
      <c r="H65" s="115">
        <v>28</v>
      </c>
      <c r="I65" s="194">
        <v>33</v>
      </c>
      <c r="J65" s="116">
        <v>371208</v>
      </c>
      <c r="K65" s="116">
        <v>364418</v>
      </c>
      <c r="L65" s="116">
        <v>18398</v>
      </c>
      <c r="M65" s="195">
        <v>1.4248704663212436E-2</v>
      </c>
      <c r="N65" s="195">
        <v>1.0885881383576263E-2</v>
      </c>
      <c r="O65" s="195">
        <v>1.3342001056323822E-2</v>
      </c>
      <c r="P65" s="195">
        <v>1.0420724134409555E-3</v>
      </c>
      <c r="R65" s="201" t="s">
        <v>468</v>
      </c>
      <c r="S65" s="202">
        <f>SUMIFS(Scoreboard_20[Damage Dealt],Scoreboard_20[Role],"Healer",Scoreboard_20[Team],"Yellow")</f>
        <v>931321</v>
      </c>
      <c r="T65" s="203">
        <f>SUMIFS(Scoreboard_20[Damage Dealt],Scoreboard_20[Role],"Healer",Scoreboard_20[Team],"Red")</f>
        <v>464607</v>
      </c>
    </row>
    <row r="66" spans="1:20" ht="22.5" customHeight="1">
      <c r="A66" s="115">
        <v>73</v>
      </c>
      <c r="B66" s="115" t="s">
        <v>11</v>
      </c>
      <c r="C66" s="115" t="s">
        <v>9</v>
      </c>
      <c r="D66" s="115" t="s">
        <v>573</v>
      </c>
      <c r="E66" s="98" t="s">
        <v>598</v>
      </c>
      <c r="F66" s="115" t="s">
        <v>483</v>
      </c>
      <c r="G66" s="115">
        <v>0</v>
      </c>
      <c r="H66" s="115">
        <v>30</v>
      </c>
      <c r="I66" s="194">
        <v>30</v>
      </c>
      <c r="J66" s="116">
        <v>886</v>
      </c>
      <c r="K66" s="116">
        <v>465707</v>
      </c>
      <c r="L66" s="116">
        <v>641702</v>
      </c>
      <c r="M66" s="195">
        <v>1.2953367875647668E-2</v>
      </c>
      <c r="N66" s="195">
        <v>2.5982443551455164E-5</v>
      </c>
      <c r="O66" s="195">
        <v>1.7050374256862719E-2</v>
      </c>
      <c r="P66" s="195">
        <v>3.634633937655659E-2</v>
      </c>
      <c r="R66" s="201" t="s">
        <v>469</v>
      </c>
      <c r="S66" s="202">
        <f>SUMIFS(Scoreboard_20[Damage Taken],Scoreboard_20[Role],"Healer",Scoreboard_20[Team],"Yellow")</f>
        <v>9818804</v>
      </c>
      <c r="T66" s="203">
        <f>SUMIFS(Scoreboard_20[Damage Taken],Scoreboard_20[Role],"Healer",Scoreboard_20[Team],"Red")</f>
        <v>8457686</v>
      </c>
    </row>
    <row r="67" spans="1:20" ht="22.5" customHeight="1">
      <c r="A67" s="115">
        <v>74</v>
      </c>
      <c r="B67" s="115" t="s">
        <v>11</v>
      </c>
      <c r="C67" s="115" t="s">
        <v>9</v>
      </c>
      <c r="D67" s="115" t="s">
        <v>573</v>
      </c>
      <c r="E67" s="98" t="s">
        <v>604</v>
      </c>
      <c r="F67" s="115" t="s">
        <v>483</v>
      </c>
      <c r="G67" s="115">
        <v>0</v>
      </c>
      <c r="H67" s="115">
        <v>28</v>
      </c>
      <c r="I67" s="194">
        <v>28</v>
      </c>
      <c r="J67" s="116">
        <v>11141</v>
      </c>
      <c r="K67" s="116">
        <v>318177</v>
      </c>
      <c r="L67" s="116">
        <v>1124279</v>
      </c>
      <c r="M67" s="195">
        <v>1.2089810017271158E-2</v>
      </c>
      <c r="N67" s="195">
        <v>3.2671603115887356E-4</v>
      </c>
      <c r="O67" s="195">
        <v>1.1649034543019129E-2</v>
      </c>
      <c r="P67" s="195">
        <v>6.3679754914174588E-2</v>
      </c>
      <c r="R67" s="201" t="s">
        <v>470</v>
      </c>
      <c r="S67" s="202">
        <f>SUMIFS(Scoreboard_20[Amount Healed],Scoreboard_20[Role],"Healer",Scoreboard_20[Team],"Yellow")</f>
        <v>20980924</v>
      </c>
      <c r="T67" s="203">
        <f>SUMIFS(Scoreboard_20[Amount Healed],Scoreboard_20[Role],"Healer",Scoreboard_20[Team],"Red")</f>
        <v>16674041</v>
      </c>
    </row>
    <row r="68" spans="1:20" ht="22.5" customHeight="1">
      <c r="A68" s="115">
        <v>75</v>
      </c>
      <c r="B68" s="115" t="s">
        <v>11</v>
      </c>
      <c r="C68" s="115" t="s">
        <v>9</v>
      </c>
      <c r="D68" s="115" t="s">
        <v>573</v>
      </c>
      <c r="E68" s="98" t="s">
        <v>596</v>
      </c>
      <c r="F68" s="115" t="s">
        <v>483</v>
      </c>
      <c r="G68" s="115">
        <v>0</v>
      </c>
      <c r="H68" s="115">
        <v>27</v>
      </c>
      <c r="I68" s="194">
        <v>27</v>
      </c>
      <c r="J68" s="116">
        <v>0</v>
      </c>
      <c r="K68" s="116">
        <v>266315</v>
      </c>
      <c r="L68" s="116">
        <v>452382</v>
      </c>
      <c r="M68" s="195">
        <v>1.1658031088082901E-2</v>
      </c>
      <c r="N68" s="195">
        <v>0</v>
      </c>
      <c r="O68" s="195">
        <v>9.7502730691537698E-3</v>
      </c>
      <c r="P68" s="195">
        <v>2.5623154828636068E-2</v>
      </c>
      <c r="R68" s="201" t="s">
        <v>465</v>
      </c>
      <c r="S68" s="202">
        <f>SUMIFS(Scoreboard_20[Kills],Scoreboard_20[Role],"Healer",Scoreboard_20[Team],"Yellow")</f>
        <v>4</v>
      </c>
      <c r="T68" s="203">
        <f>SUMIFS(Scoreboard_20[Kills],Scoreboard_20[Role],"Healer",Scoreboard_20[Team],"Red")</f>
        <v>1</v>
      </c>
    </row>
    <row r="69" spans="1:20" ht="22.5" customHeight="1">
      <c r="A69" s="115">
        <v>76</v>
      </c>
      <c r="B69" s="115" t="s">
        <v>11</v>
      </c>
      <c r="C69" s="115" t="s">
        <v>9</v>
      </c>
      <c r="D69" s="115" t="s">
        <v>573</v>
      </c>
      <c r="E69" s="98" t="s">
        <v>144</v>
      </c>
      <c r="F69" s="115" t="s">
        <v>483</v>
      </c>
      <c r="G69" s="115">
        <v>0</v>
      </c>
      <c r="H69" s="115">
        <v>26</v>
      </c>
      <c r="I69" s="194">
        <v>26</v>
      </c>
      <c r="J69" s="116">
        <v>14007</v>
      </c>
      <c r="K69" s="116">
        <v>233595</v>
      </c>
      <c r="L69" s="116">
        <v>782818</v>
      </c>
      <c r="M69" s="195">
        <v>1.1226252158894647E-2</v>
      </c>
      <c r="N69" s="195">
        <v>4.107630776808493E-4</v>
      </c>
      <c r="O69" s="195">
        <v>8.5523347824530156E-3</v>
      </c>
      <c r="P69" s="195">
        <v>4.4339223967008477E-2</v>
      </c>
      <c r="R69" s="201" t="s">
        <v>466</v>
      </c>
      <c r="S69" s="202">
        <f>SUMIFS(Scoreboard_20[Assists],Scoreboard_20[Role],"Healer",Scoreboard_20[Team],"Yellow")</f>
        <v>844</v>
      </c>
      <c r="T69" s="203">
        <f>SUMIFS(Scoreboard_20[Assists],Scoreboard_20[Role],"Healer",Scoreboard_20[Team],"Red")</f>
        <v>757</v>
      </c>
    </row>
    <row r="70" spans="1:20" ht="22.5" customHeight="1">
      <c r="A70" s="115">
        <v>43</v>
      </c>
      <c r="B70" s="115" t="s">
        <v>67</v>
      </c>
      <c r="C70" s="115" t="s">
        <v>14</v>
      </c>
      <c r="D70" s="115" t="s">
        <v>651</v>
      </c>
      <c r="E70" s="98" t="s">
        <v>652</v>
      </c>
      <c r="F70" s="115" t="s">
        <v>483</v>
      </c>
      <c r="G70" s="115">
        <v>1</v>
      </c>
      <c r="H70" s="115">
        <v>23</v>
      </c>
      <c r="I70" s="194">
        <v>24</v>
      </c>
      <c r="J70" s="116">
        <v>261895</v>
      </c>
      <c r="K70" s="116">
        <v>467211</v>
      </c>
      <c r="L70" s="116">
        <v>52110</v>
      </c>
      <c r="M70" s="195">
        <v>1.0362694300518135E-2</v>
      </c>
      <c r="N70" s="195">
        <v>7.6802167651335781E-3</v>
      </c>
      <c r="O70" s="195">
        <v>1.7105438412828425E-2</v>
      </c>
      <c r="P70" s="195">
        <v>2.9515378554412545E-3</v>
      </c>
      <c r="R70" s="201" t="s">
        <v>10</v>
      </c>
      <c r="S70" s="202">
        <f t="shared" ref="S70:S72" si="6">COUNTIFS(C:C,R70,F:F,"Yellow")</f>
        <v>8</v>
      </c>
      <c r="T70" s="203">
        <f t="shared" ref="T70:T72" si="7">COUNTIFS(C:C,R70,F:F,"Red")</f>
        <v>4</v>
      </c>
    </row>
    <row r="71" spans="1:20" ht="22.5" customHeight="1">
      <c r="A71" s="115">
        <v>79</v>
      </c>
      <c r="B71" s="115" t="s">
        <v>11</v>
      </c>
      <c r="C71" s="115" t="s">
        <v>9</v>
      </c>
      <c r="D71" s="115" t="s">
        <v>573</v>
      </c>
      <c r="E71" s="98" t="s">
        <v>653</v>
      </c>
      <c r="F71" s="115" t="s">
        <v>483</v>
      </c>
      <c r="G71" s="115">
        <v>0</v>
      </c>
      <c r="H71" s="115">
        <v>23</v>
      </c>
      <c r="I71" s="194">
        <v>23</v>
      </c>
      <c r="J71" s="116">
        <v>86330</v>
      </c>
      <c r="K71" s="116">
        <v>538365</v>
      </c>
      <c r="L71" s="116">
        <v>477260</v>
      </c>
      <c r="M71" s="195">
        <v>9.9309153713298785E-3</v>
      </c>
      <c r="N71" s="195">
        <v>2.5316753406288087E-3</v>
      </c>
      <c r="O71" s="195">
        <v>1.9710514844732626E-2</v>
      </c>
      <c r="P71" s="195">
        <v>2.7032257856225161E-2</v>
      </c>
      <c r="R71" s="201" t="s">
        <v>9</v>
      </c>
      <c r="S71" s="202">
        <f t="shared" si="6"/>
        <v>13</v>
      </c>
      <c r="T71" s="203">
        <f t="shared" si="7"/>
        <v>15</v>
      </c>
    </row>
    <row r="72" spans="1:20" ht="22.5" customHeight="1">
      <c r="A72" s="115">
        <v>77</v>
      </c>
      <c r="B72" s="115" t="s">
        <v>67</v>
      </c>
      <c r="C72" s="115" t="s">
        <v>62</v>
      </c>
      <c r="D72" s="115" t="s">
        <v>7</v>
      </c>
      <c r="E72" s="98" t="s">
        <v>61</v>
      </c>
      <c r="F72" s="115" t="s">
        <v>476</v>
      </c>
      <c r="G72" s="115">
        <v>0</v>
      </c>
      <c r="H72" s="115">
        <v>23</v>
      </c>
      <c r="I72" s="194">
        <v>23</v>
      </c>
      <c r="J72" s="116">
        <v>86208</v>
      </c>
      <c r="K72" s="116">
        <v>708850</v>
      </c>
      <c r="L72" s="116">
        <v>24610</v>
      </c>
      <c r="M72" s="195">
        <v>1.0004349717268378E-2</v>
      </c>
      <c r="N72" s="195">
        <v>3.0031529134272408E-3</v>
      </c>
      <c r="O72" s="195">
        <v>2.0424575300800385E-2</v>
      </c>
      <c r="P72" s="195">
        <v>1.1259295724418558E-3</v>
      </c>
      <c r="R72" s="201" t="s">
        <v>18</v>
      </c>
      <c r="S72" s="202">
        <f t="shared" si="6"/>
        <v>0</v>
      </c>
      <c r="T72" s="203">
        <f t="shared" si="7"/>
        <v>0</v>
      </c>
    </row>
    <row r="73" spans="1:20" ht="22.5" customHeight="1">
      <c r="A73" s="115">
        <v>78</v>
      </c>
      <c r="B73" s="115" t="s">
        <v>67</v>
      </c>
      <c r="C73" s="115" t="s">
        <v>14</v>
      </c>
      <c r="D73" s="115" t="s">
        <v>7</v>
      </c>
      <c r="E73" s="98" t="s">
        <v>85</v>
      </c>
      <c r="F73" s="115" t="s">
        <v>476</v>
      </c>
      <c r="G73" s="115">
        <v>0</v>
      </c>
      <c r="H73" s="115">
        <v>23</v>
      </c>
      <c r="I73" s="194">
        <v>23</v>
      </c>
      <c r="J73" s="116">
        <v>31564</v>
      </c>
      <c r="K73" s="116">
        <v>736637</v>
      </c>
      <c r="L73" s="116">
        <v>49593</v>
      </c>
      <c r="M73" s="195">
        <v>1.0004349717268378E-2</v>
      </c>
      <c r="N73" s="195">
        <v>1.0995675408247195E-3</v>
      </c>
      <c r="O73" s="195">
        <v>2.1225220957685961E-2</v>
      </c>
      <c r="P73" s="195">
        <v>2.2689242294233625E-3</v>
      </c>
    </row>
    <row r="74" spans="1:20" ht="22.5" customHeight="1">
      <c r="A74" s="115">
        <v>44</v>
      </c>
      <c r="B74" s="115" t="s">
        <v>11</v>
      </c>
      <c r="C74" s="115" t="s">
        <v>10</v>
      </c>
      <c r="D74" s="115" t="s">
        <v>573</v>
      </c>
      <c r="E74" s="98" t="s">
        <v>597</v>
      </c>
      <c r="F74" s="115" t="s">
        <v>483</v>
      </c>
      <c r="G74" s="115">
        <v>1</v>
      </c>
      <c r="H74" s="115">
        <v>22</v>
      </c>
      <c r="I74" s="194">
        <v>23</v>
      </c>
      <c r="J74" s="116">
        <v>23621</v>
      </c>
      <c r="K74" s="116">
        <v>766921</v>
      </c>
      <c r="L74" s="116">
        <v>1246557</v>
      </c>
      <c r="M74" s="195">
        <v>9.9309153713298785E-3</v>
      </c>
      <c r="N74" s="195">
        <v>6.9269898321548814E-4</v>
      </c>
      <c r="O74" s="195">
        <v>2.8078362737617026E-2</v>
      </c>
      <c r="P74" s="195">
        <v>7.0605645259360653E-2</v>
      </c>
    </row>
    <row r="75" spans="1:20" ht="22.5" customHeight="1">
      <c r="A75" s="115">
        <v>80</v>
      </c>
      <c r="B75" s="115" t="s">
        <v>11</v>
      </c>
      <c r="C75" s="115" t="s">
        <v>9</v>
      </c>
      <c r="D75" s="115" t="s">
        <v>7</v>
      </c>
      <c r="E75" s="98" t="s">
        <v>74</v>
      </c>
      <c r="F75" s="115" t="s">
        <v>476</v>
      </c>
      <c r="G75" s="115">
        <v>0</v>
      </c>
      <c r="H75" s="115">
        <v>21</v>
      </c>
      <c r="I75" s="194">
        <v>21</v>
      </c>
      <c r="J75" s="116">
        <v>17062</v>
      </c>
      <c r="K75" s="116">
        <v>416115</v>
      </c>
      <c r="L75" s="116">
        <v>650546</v>
      </c>
      <c r="M75" s="195">
        <v>9.1344062635928657E-3</v>
      </c>
      <c r="N75" s="195">
        <v>5.9437401411580808E-4</v>
      </c>
      <c r="O75" s="195">
        <v>1.1989803415803841E-2</v>
      </c>
      <c r="P75" s="195">
        <v>2.9763062967645651E-2</v>
      </c>
    </row>
    <row r="76" spans="1:20" ht="22.5" customHeight="1">
      <c r="A76" s="115">
        <v>81</v>
      </c>
      <c r="B76" s="115" t="s">
        <v>67</v>
      </c>
      <c r="C76" s="115" t="s">
        <v>14</v>
      </c>
      <c r="D76" s="115" t="s">
        <v>573</v>
      </c>
      <c r="E76" s="98" t="s">
        <v>654</v>
      </c>
      <c r="F76" s="115" t="s">
        <v>483</v>
      </c>
      <c r="G76" s="115">
        <v>0</v>
      </c>
      <c r="H76" s="115">
        <v>19</v>
      </c>
      <c r="I76" s="194">
        <v>19</v>
      </c>
      <c r="J76" s="116">
        <v>24527</v>
      </c>
      <c r="K76" s="116">
        <v>687701</v>
      </c>
      <c r="L76" s="116">
        <v>67521</v>
      </c>
      <c r="M76" s="195">
        <v>8.2037996545768575E-3</v>
      </c>
      <c r="N76" s="195">
        <v>7.1926793790805959E-4</v>
      </c>
      <c r="O76" s="195">
        <v>2.5177975479902057E-2</v>
      </c>
      <c r="P76" s="195">
        <v>3.8244250151074446E-3</v>
      </c>
    </row>
    <row r="77" spans="1:20" ht="22.5" customHeight="1">
      <c r="A77" s="115">
        <v>82</v>
      </c>
      <c r="B77" s="115" t="s">
        <v>11</v>
      </c>
      <c r="C77" s="115" t="s">
        <v>9</v>
      </c>
      <c r="D77" s="115" t="s">
        <v>7</v>
      </c>
      <c r="E77" s="98" t="s">
        <v>59</v>
      </c>
      <c r="F77" s="115" t="s">
        <v>476</v>
      </c>
      <c r="G77" s="115">
        <v>0</v>
      </c>
      <c r="H77" s="115">
        <v>18</v>
      </c>
      <c r="I77" s="194">
        <v>18</v>
      </c>
      <c r="J77" s="116">
        <v>18243</v>
      </c>
      <c r="K77" s="116">
        <v>450100</v>
      </c>
      <c r="L77" s="116">
        <v>639283</v>
      </c>
      <c r="M77" s="195">
        <v>7.8294910830795997E-3</v>
      </c>
      <c r="N77" s="195">
        <v>6.3551548115781771E-4</v>
      </c>
      <c r="O77" s="195">
        <v>1.2969036245877483E-2</v>
      </c>
      <c r="P77" s="195">
        <v>2.9247770615983212E-2</v>
      </c>
    </row>
    <row r="78" spans="1:20" ht="22.5" customHeight="1">
      <c r="A78" s="115">
        <v>84</v>
      </c>
      <c r="B78" s="115" t="s">
        <v>11</v>
      </c>
      <c r="C78" s="115" t="s">
        <v>9</v>
      </c>
      <c r="D78" s="115" t="s">
        <v>573</v>
      </c>
      <c r="E78" s="98" t="s">
        <v>164</v>
      </c>
      <c r="F78" s="115" t="s">
        <v>483</v>
      </c>
      <c r="G78" s="115">
        <v>0</v>
      </c>
      <c r="H78" s="115">
        <v>17</v>
      </c>
      <c r="I78" s="194">
        <v>17</v>
      </c>
      <c r="J78" s="116">
        <v>35579</v>
      </c>
      <c r="K78" s="116">
        <v>365405</v>
      </c>
      <c r="L78" s="116">
        <v>785780</v>
      </c>
      <c r="M78" s="195">
        <v>7.3402417962003452E-3</v>
      </c>
      <c r="N78" s="195">
        <v>1.0433739944889654E-3</v>
      </c>
      <c r="O78" s="195">
        <v>1.3378136908676317E-2</v>
      </c>
      <c r="P78" s="195">
        <v>4.4506993207611374E-2</v>
      </c>
    </row>
    <row r="79" spans="1:20" ht="22.5" customHeight="1">
      <c r="A79" s="115">
        <v>83</v>
      </c>
      <c r="B79" s="115" t="s">
        <v>67</v>
      </c>
      <c r="C79" s="115" t="s">
        <v>14</v>
      </c>
      <c r="D79" s="115" t="s">
        <v>7</v>
      </c>
      <c r="E79" s="98" t="s">
        <v>655</v>
      </c>
      <c r="F79" s="115" t="s">
        <v>476</v>
      </c>
      <c r="G79" s="115">
        <v>0</v>
      </c>
      <c r="H79" s="115">
        <v>17</v>
      </c>
      <c r="I79" s="194">
        <v>17</v>
      </c>
      <c r="J79" s="116">
        <v>33102</v>
      </c>
      <c r="K79" s="116">
        <v>925977</v>
      </c>
      <c r="L79" s="116">
        <v>44271</v>
      </c>
      <c r="M79" s="195">
        <v>7.3945193562418446E-3</v>
      </c>
      <c r="N79" s="195">
        <v>1.153145505524644E-3</v>
      </c>
      <c r="O79" s="195">
        <v>2.6680802656851577E-2</v>
      </c>
      <c r="P79" s="195">
        <v>2.0254379561793334E-3</v>
      </c>
    </row>
    <row r="80" spans="1:20" ht="22.5" customHeight="1">
      <c r="A80" s="115">
        <v>85</v>
      </c>
      <c r="B80" s="115" t="s">
        <v>11</v>
      </c>
      <c r="C80" s="115" t="s">
        <v>9</v>
      </c>
      <c r="D80" s="115" t="s">
        <v>573</v>
      </c>
      <c r="E80" s="98" t="s">
        <v>603</v>
      </c>
      <c r="F80" s="115" t="s">
        <v>483</v>
      </c>
      <c r="G80" s="115">
        <v>0</v>
      </c>
      <c r="H80" s="115">
        <v>17</v>
      </c>
      <c r="I80" s="194">
        <v>17</v>
      </c>
      <c r="J80" s="116">
        <v>126</v>
      </c>
      <c r="K80" s="116">
        <v>551389</v>
      </c>
      <c r="L80" s="116">
        <v>1195379</v>
      </c>
      <c r="M80" s="195">
        <v>7.3402417962003452E-3</v>
      </c>
      <c r="N80" s="195">
        <v>3.6950201890331271E-6</v>
      </c>
      <c r="O80" s="195">
        <v>2.0187347003839919E-2</v>
      </c>
      <c r="P80" s="195">
        <v>6.770689637496663E-2</v>
      </c>
    </row>
    <row r="81" spans="1:16" ht="22.5" customHeight="1">
      <c r="A81" s="115">
        <v>45</v>
      </c>
      <c r="B81" s="115" t="s">
        <v>67</v>
      </c>
      <c r="C81" s="115" t="s">
        <v>62</v>
      </c>
      <c r="D81" s="115" t="s">
        <v>7</v>
      </c>
      <c r="E81" s="98" t="s">
        <v>79</v>
      </c>
      <c r="F81" s="115" t="s">
        <v>476</v>
      </c>
      <c r="G81" s="115">
        <v>1</v>
      </c>
      <c r="H81" s="115">
        <v>15</v>
      </c>
      <c r="I81" s="194">
        <v>16</v>
      </c>
      <c r="J81" s="116">
        <v>98417</v>
      </c>
      <c r="K81" s="116">
        <v>555682</v>
      </c>
      <c r="L81" s="116">
        <v>38024</v>
      </c>
      <c r="M81" s="195">
        <v>6.9595476294040887E-3</v>
      </c>
      <c r="N81" s="195">
        <v>3.428467198876772E-3</v>
      </c>
      <c r="O81" s="195">
        <v>1.601124194441611E-2</v>
      </c>
      <c r="P81" s="195">
        <v>1.7396321033128453E-3</v>
      </c>
    </row>
    <row r="82" spans="1:16" ht="22.5" customHeight="1">
      <c r="A82" s="115">
        <v>86</v>
      </c>
      <c r="B82" s="115" t="s">
        <v>11</v>
      </c>
      <c r="C82" s="115" t="s">
        <v>10</v>
      </c>
      <c r="D82" s="115" t="s">
        <v>7</v>
      </c>
      <c r="E82" s="98" t="s">
        <v>105</v>
      </c>
      <c r="F82" s="115" t="s">
        <v>476</v>
      </c>
      <c r="G82" s="115">
        <v>0</v>
      </c>
      <c r="H82" s="115">
        <v>16</v>
      </c>
      <c r="I82" s="194">
        <v>16</v>
      </c>
      <c r="J82" s="116">
        <v>16237</v>
      </c>
      <c r="K82" s="116">
        <v>704311</v>
      </c>
      <c r="L82" s="116">
        <v>1330607</v>
      </c>
      <c r="M82" s="195">
        <v>6.9595476294040887E-3</v>
      </c>
      <c r="N82" s="195">
        <v>5.6563420860381995E-4</v>
      </c>
      <c r="O82" s="195">
        <v>2.0293790018596346E-2</v>
      </c>
      <c r="P82" s="195">
        <v>6.0876463656974418E-2</v>
      </c>
    </row>
    <row r="83" spans="1:16" ht="22.5" customHeight="1">
      <c r="A83" s="115">
        <v>87</v>
      </c>
      <c r="B83" s="115" t="s">
        <v>11</v>
      </c>
      <c r="C83" s="115" t="s">
        <v>9</v>
      </c>
      <c r="D83" s="115" t="s">
        <v>573</v>
      </c>
      <c r="E83" s="98" t="s">
        <v>656</v>
      </c>
      <c r="F83" s="115" t="s">
        <v>483</v>
      </c>
      <c r="G83" s="115">
        <v>0</v>
      </c>
      <c r="H83" s="115">
        <v>16</v>
      </c>
      <c r="I83" s="194">
        <v>16</v>
      </c>
      <c r="J83" s="116">
        <v>11659</v>
      </c>
      <c r="K83" s="116">
        <v>727018</v>
      </c>
      <c r="L83" s="116">
        <v>1394381</v>
      </c>
      <c r="M83" s="195">
        <v>6.9084628670120895E-3</v>
      </c>
      <c r="N83" s="195">
        <v>3.4190666971378752E-4</v>
      </c>
      <c r="O83" s="195">
        <v>2.6617441849651861E-2</v>
      </c>
      <c r="P83" s="195">
        <v>7.8978474504088111E-2</v>
      </c>
    </row>
    <row r="84" spans="1:16" ht="22.5" customHeight="1">
      <c r="A84" s="115">
        <v>37</v>
      </c>
      <c r="B84" s="115" t="s">
        <v>67</v>
      </c>
      <c r="C84" s="115" t="s">
        <v>14</v>
      </c>
      <c r="D84" s="115" t="s">
        <v>7</v>
      </c>
      <c r="E84" s="98" t="s">
        <v>57</v>
      </c>
      <c r="F84" s="115" t="s">
        <v>476</v>
      </c>
      <c r="G84" s="115">
        <v>2</v>
      </c>
      <c r="H84" s="115">
        <v>13</v>
      </c>
      <c r="I84" s="194">
        <v>15</v>
      </c>
      <c r="J84" s="116">
        <v>150256</v>
      </c>
      <c r="K84" s="116">
        <v>1037676</v>
      </c>
      <c r="L84" s="116">
        <v>43434</v>
      </c>
      <c r="M84" s="195">
        <v>6.5245759025663328E-3</v>
      </c>
      <c r="N84" s="195">
        <v>5.2343372327385328E-3</v>
      </c>
      <c r="O84" s="195">
        <v>2.9899261620700206E-2</v>
      </c>
      <c r="P84" s="195">
        <v>1.9871444554831193E-3</v>
      </c>
    </row>
    <row r="85" spans="1:16" ht="22.5" customHeight="1">
      <c r="A85" s="115">
        <v>46</v>
      </c>
      <c r="B85" s="115" t="s">
        <v>67</v>
      </c>
      <c r="C85" s="115" t="s">
        <v>14</v>
      </c>
      <c r="D85" s="115" t="s">
        <v>573</v>
      </c>
      <c r="E85" s="98" t="s">
        <v>614</v>
      </c>
      <c r="F85" s="115" t="s">
        <v>483</v>
      </c>
      <c r="G85" s="115">
        <v>1</v>
      </c>
      <c r="H85" s="115">
        <v>14</v>
      </c>
      <c r="I85" s="194">
        <v>15</v>
      </c>
      <c r="J85" s="116">
        <v>89143</v>
      </c>
      <c r="K85" s="116">
        <v>1140979</v>
      </c>
      <c r="L85" s="116">
        <v>100274</v>
      </c>
      <c r="M85" s="195">
        <v>6.4766839378238338E-3</v>
      </c>
      <c r="N85" s="195">
        <v>2.6141681326268258E-3</v>
      </c>
      <c r="O85" s="195">
        <v>4.17733016021253E-2</v>
      </c>
      <c r="P85" s="195">
        <v>5.6795721918348942E-3</v>
      </c>
    </row>
    <row r="86" spans="1:16" ht="22.5" customHeight="1">
      <c r="A86" s="115">
        <v>88</v>
      </c>
      <c r="B86" s="115" t="s">
        <v>67</v>
      </c>
      <c r="C86" s="115" t="s">
        <v>14</v>
      </c>
      <c r="D86" s="115" t="s">
        <v>7</v>
      </c>
      <c r="E86" s="98" t="s">
        <v>111</v>
      </c>
      <c r="F86" s="115" t="s">
        <v>476</v>
      </c>
      <c r="G86" s="115">
        <v>0</v>
      </c>
      <c r="H86" s="115">
        <v>15</v>
      </c>
      <c r="I86" s="194">
        <v>15</v>
      </c>
      <c r="J86" s="116">
        <v>51546</v>
      </c>
      <c r="K86" s="116">
        <v>493145</v>
      </c>
      <c r="L86" s="116">
        <v>40140</v>
      </c>
      <c r="M86" s="195">
        <v>6.5245759025663328E-3</v>
      </c>
      <c r="N86" s="195">
        <v>1.795663048389019E-3</v>
      </c>
      <c r="O86" s="195">
        <v>1.4209320994164078E-2</v>
      </c>
      <c r="P86" s="195">
        <v>1.8364410011302758E-3</v>
      </c>
    </row>
    <row r="87" spans="1:16" ht="22.5" customHeight="1">
      <c r="A87" s="115">
        <v>89</v>
      </c>
      <c r="B87" s="115" t="s">
        <v>11</v>
      </c>
      <c r="C87" s="115" t="s">
        <v>10</v>
      </c>
      <c r="D87" s="115" t="s">
        <v>7</v>
      </c>
      <c r="E87" s="98" t="s">
        <v>106</v>
      </c>
      <c r="F87" s="115" t="s">
        <v>476</v>
      </c>
      <c r="G87" s="115">
        <v>0</v>
      </c>
      <c r="H87" s="115">
        <v>11</v>
      </c>
      <c r="I87" s="194">
        <v>11</v>
      </c>
      <c r="J87" s="116">
        <v>26430</v>
      </c>
      <c r="K87" s="116">
        <v>506941</v>
      </c>
      <c r="L87" s="116">
        <v>2072003</v>
      </c>
      <c r="M87" s="195">
        <v>4.7846889952153108E-3</v>
      </c>
      <c r="N87" s="195">
        <v>9.2071886022042002E-4</v>
      </c>
      <c r="O87" s="195">
        <v>1.4606834489049939E-2</v>
      </c>
      <c r="P87" s="195">
        <v>9.4795995606998876E-2</v>
      </c>
    </row>
    <row r="88" spans="1:16" ht="22.5" customHeight="1">
      <c r="A88" s="115">
        <v>48</v>
      </c>
      <c r="B88" s="115" t="s">
        <v>67</v>
      </c>
      <c r="C88" s="115" t="s">
        <v>14</v>
      </c>
      <c r="D88" s="115" t="s">
        <v>573</v>
      </c>
      <c r="E88" s="98" t="s">
        <v>176</v>
      </c>
      <c r="F88" s="115" t="s">
        <v>483</v>
      </c>
      <c r="G88" s="115">
        <v>1</v>
      </c>
      <c r="H88" s="115">
        <v>9</v>
      </c>
      <c r="I88" s="194">
        <v>10</v>
      </c>
      <c r="J88" s="116">
        <v>133305</v>
      </c>
      <c r="K88" s="116">
        <v>644128</v>
      </c>
      <c r="L88" s="116">
        <v>47899</v>
      </c>
      <c r="M88" s="195">
        <v>4.3177892918825561E-3</v>
      </c>
      <c r="N88" s="195">
        <v>3.9092433833258812E-3</v>
      </c>
      <c r="O88" s="195">
        <v>2.3582689264547169E-2</v>
      </c>
      <c r="P88" s="195">
        <v>2.7130245967718412E-3</v>
      </c>
    </row>
    <row r="89" spans="1:16" ht="22.5" customHeight="1">
      <c r="A89" s="115">
        <v>47</v>
      </c>
      <c r="B89" s="115" t="s">
        <v>67</v>
      </c>
      <c r="C89" s="115" t="s">
        <v>62</v>
      </c>
      <c r="D89" s="115" t="s">
        <v>573</v>
      </c>
      <c r="E89" s="98" t="s">
        <v>421</v>
      </c>
      <c r="F89" s="115" t="s">
        <v>483</v>
      </c>
      <c r="G89" s="115">
        <v>1</v>
      </c>
      <c r="H89" s="115">
        <v>9</v>
      </c>
      <c r="I89" s="194">
        <v>10</v>
      </c>
      <c r="J89" s="116">
        <v>105826</v>
      </c>
      <c r="K89" s="116">
        <v>451876</v>
      </c>
      <c r="L89" s="116">
        <v>24834</v>
      </c>
      <c r="M89" s="195">
        <v>4.3177892918825561E-3</v>
      </c>
      <c r="N89" s="195">
        <v>3.1034064009890453E-3</v>
      </c>
      <c r="O89" s="195">
        <v>1.6543996370452018E-2</v>
      </c>
      <c r="P89" s="195">
        <v>1.4066108444066036E-3</v>
      </c>
    </row>
    <row r="90" spans="1:16" ht="22.5" customHeight="1">
      <c r="A90" s="115">
        <v>90</v>
      </c>
      <c r="B90" s="115" t="s">
        <v>67</v>
      </c>
      <c r="C90" s="115" t="s">
        <v>62</v>
      </c>
      <c r="D90" s="115" t="s">
        <v>573</v>
      </c>
      <c r="E90" s="98" t="s">
        <v>657</v>
      </c>
      <c r="F90" s="115" t="s">
        <v>483</v>
      </c>
      <c r="G90" s="115">
        <v>0</v>
      </c>
      <c r="H90" s="115">
        <v>10</v>
      </c>
      <c r="I90" s="194">
        <v>10</v>
      </c>
      <c r="J90" s="116">
        <v>75826</v>
      </c>
      <c r="K90" s="116">
        <v>535201</v>
      </c>
      <c r="L90" s="116">
        <v>45855</v>
      </c>
      <c r="M90" s="195">
        <v>4.3177892918825561E-3</v>
      </c>
      <c r="N90" s="195">
        <v>2.2236396893144912E-3</v>
      </c>
      <c r="O90" s="195">
        <v>1.9594675091092004E-2</v>
      </c>
      <c r="P90" s="195">
        <v>2.5972513598399292E-3</v>
      </c>
    </row>
    <row r="91" spans="1:16" ht="22.5" customHeight="1">
      <c r="A91" s="115">
        <v>91</v>
      </c>
      <c r="B91" s="115" t="s">
        <v>67</v>
      </c>
      <c r="C91" s="115" t="s">
        <v>14</v>
      </c>
      <c r="D91" s="115" t="s">
        <v>7</v>
      </c>
      <c r="E91" s="98" t="s">
        <v>35</v>
      </c>
      <c r="F91" s="115" t="s">
        <v>476</v>
      </c>
      <c r="G91" s="115">
        <v>0</v>
      </c>
      <c r="H91" s="115">
        <v>9</v>
      </c>
      <c r="I91" s="194">
        <v>9</v>
      </c>
      <c r="J91" s="116">
        <v>40976</v>
      </c>
      <c r="K91" s="116">
        <v>314211</v>
      </c>
      <c r="L91" s="116">
        <v>12671</v>
      </c>
      <c r="M91" s="195">
        <v>3.9147455415397998E-3</v>
      </c>
      <c r="N91" s="195">
        <v>1.4274451765566376E-3</v>
      </c>
      <c r="O91" s="195">
        <v>9.0535744231357695E-3</v>
      </c>
      <c r="P91" s="195">
        <v>5.7970961448235495E-4</v>
      </c>
    </row>
    <row r="92" spans="1:16" ht="22.5" customHeight="1">
      <c r="A92" s="115">
        <v>92</v>
      </c>
      <c r="B92" s="115" t="s">
        <v>11</v>
      </c>
      <c r="C92" s="115" t="s">
        <v>9</v>
      </c>
      <c r="D92" s="115" t="s">
        <v>7</v>
      </c>
      <c r="E92" s="98" t="s">
        <v>99</v>
      </c>
      <c r="F92" s="115" t="s">
        <v>476</v>
      </c>
      <c r="G92" s="115">
        <v>0</v>
      </c>
      <c r="H92" s="115">
        <v>9</v>
      </c>
      <c r="I92" s="194">
        <v>9</v>
      </c>
      <c r="J92" s="116">
        <v>30911</v>
      </c>
      <c r="K92" s="116">
        <v>363459</v>
      </c>
      <c r="L92" s="116">
        <v>925920</v>
      </c>
      <c r="M92" s="195">
        <v>3.9147455415397998E-3</v>
      </c>
      <c r="N92" s="195">
        <v>1.0768195493103822E-3</v>
      </c>
      <c r="O92" s="195">
        <v>1.0472590412997964E-2</v>
      </c>
      <c r="P92" s="195">
        <v>4.236167044759704E-2</v>
      </c>
    </row>
    <row r="93" spans="1:16" ht="22.5" customHeight="1">
      <c r="A93" s="115">
        <v>49</v>
      </c>
      <c r="B93" s="115" t="s">
        <v>67</v>
      </c>
      <c r="C93" s="115" t="s">
        <v>62</v>
      </c>
      <c r="D93" s="115" t="s">
        <v>7</v>
      </c>
      <c r="E93" s="98" t="s">
        <v>89</v>
      </c>
      <c r="F93" s="115" t="s">
        <v>476</v>
      </c>
      <c r="G93" s="115">
        <v>1</v>
      </c>
      <c r="H93" s="115">
        <v>7</v>
      </c>
      <c r="I93" s="194">
        <v>8</v>
      </c>
      <c r="J93" s="116">
        <v>94447</v>
      </c>
      <c r="K93" s="116">
        <v>939717</v>
      </c>
      <c r="L93" s="116">
        <v>52921</v>
      </c>
      <c r="M93" s="195">
        <v>3.4797738147020443E-3</v>
      </c>
      <c r="N93" s="195">
        <v>3.2901677711402954E-3</v>
      </c>
      <c r="O93" s="195">
        <v>2.7076702585797047E-2</v>
      </c>
      <c r="P93" s="195">
        <v>2.4211832142704368E-3</v>
      </c>
    </row>
    <row r="94" spans="1:16" ht="22.5" customHeight="1">
      <c r="A94" s="115">
        <v>93</v>
      </c>
      <c r="B94" s="115" t="s">
        <v>67</v>
      </c>
      <c r="C94" s="115" t="s">
        <v>14</v>
      </c>
      <c r="D94" s="115" t="s">
        <v>7</v>
      </c>
      <c r="E94" s="98" t="s">
        <v>83</v>
      </c>
      <c r="F94" s="115" t="s">
        <v>476</v>
      </c>
      <c r="G94" s="115">
        <v>0</v>
      </c>
      <c r="H94" s="115">
        <v>8</v>
      </c>
      <c r="I94" s="194">
        <v>8</v>
      </c>
      <c r="J94" s="116">
        <v>23824</v>
      </c>
      <c r="K94" s="116">
        <v>890530</v>
      </c>
      <c r="L94" s="116">
        <v>60440</v>
      </c>
      <c r="M94" s="195">
        <v>3.4797738147020443E-3</v>
      </c>
      <c r="N94" s="195">
        <v>8.2993591093043087E-4</v>
      </c>
      <c r="O94" s="195">
        <v>2.5659444230262774E-2</v>
      </c>
      <c r="P94" s="195">
        <v>2.7651842079799171E-3</v>
      </c>
    </row>
    <row r="95" spans="1:16" ht="22.5" customHeight="1">
      <c r="A95" s="115">
        <v>94</v>
      </c>
      <c r="B95" s="115" t="s">
        <v>67</v>
      </c>
      <c r="C95" s="115" t="s">
        <v>62</v>
      </c>
      <c r="D95" s="115" t="s">
        <v>573</v>
      </c>
      <c r="E95" s="98" t="s">
        <v>138</v>
      </c>
      <c r="F95" s="115" t="s">
        <v>483</v>
      </c>
      <c r="G95" s="115">
        <v>0</v>
      </c>
      <c r="H95" s="115">
        <v>7</v>
      </c>
      <c r="I95" s="194">
        <v>7</v>
      </c>
      <c r="J95" s="116">
        <v>18612</v>
      </c>
      <c r="K95" s="116">
        <v>543216</v>
      </c>
      <c r="L95" s="116">
        <v>33287</v>
      </c>
      <c r="M95" s="195">
        <v>3.0224525043177895E-3</v>
      </c>
      <c r="N95" s="195">
        <v>5.4580726792289333E-4</v>
      </c>
      <c r="O95" s="195">
        <v>1.9888118714805527E-2</v>
      </c>
      <c r="P95" s="195">
        <v>1.8853932180785461E-3</v>
      </c>
    </row>
    <row r="96" spans="1:16" ht="22.5" customHeight="1">
      <c r="A96" s="115">
        <v>95</v>
      </c>
      <c r="B96" s="115" t="s">
        <v>67</v>
      </c>
      <c r="C96" s="115" t="s">
        <v>14</v>
      </c>
      <c r="D96" s="115" t="s">
        <v>7</v>
      </c>
      <c r="E96" s="98" t="s">
        <v>658</v>
      </c>
      <c r="F96" s="115" t="s">
        <v>476</v>
      </c>
      <c r="G96" s="115">
        <v>0</v>
      </c>
      <c r="H96" s="115">
        <v>5</v>
      </c>
      <c r="I96" s="194">
        <v>5</v>
      </c>
      <c r="J96" s="116">
        <v>23356</v>
      </c>
      <c r="K96" s="116">
        <v>1522416</v>
      </c>
      <c r="L96" s="116">
        <v>72004</v>
      </c>
      <c r="M96" s="195">
        <v>2.1748586341887779E-3</v>
      </c>
      <c r="N96" s="195">
        <v>8.1363260307635752E-4</v>
      </c>
      <c r="O96" s="195">
        <v>4.3866403655418384E-2</v>
      </c>
      <c r="P96" s="195">
        <v>3.2942475796059888E-3</v>
      </c>
    </row>
    <row r="97" spans="1:16" ht="22.5" customHeight="1">
      <c r="A97" s="115">
        <v>96</v>
      </c>
      <c r="B97" s="115" t="s">
        <v>67</v>
      </c>
      <c r="C97" s="115" t="s">
        <v>14</v>
      </c>
      <c r="D97" s="115" t="s">
        <v>573</v>
      </c>
      <c r="E97" s="98" t="s">
        <v>659</v>
      </c>
      <c r="F97" s="115" t="s">
        <v>483</v>
      </c>
      <c r="G97" s="115">
        <v>0</v>
      </c>
      <c r="H97" s="115">
        <v>4</v>
      </c>
      <c r="I97" s="194">
        <v>4</v>
      </c>
      <c r="J97" s="116">
        <v>23025</v>
      </c>
      <c r="K97" s="116">
        <v>683122</v>
      </c>
      <c r="L97" s="116">
        <v>59084</v>
      </c>
      <c r="M97" s="195">
        <v>1.7271157167530224E-3</v>
      </c>
      <c r="N97" s="195">
        <v>6.7522095121022032E-4</v>
      </c>
      <c r="O97" s="195">
        <v>2.5010330021014444E-2</v>
      </c>
      <c r="P97" s="195">
        <v>3.3465488898654972E-3</v>
      </c>
    </row>
    <row r="98" spans="1:16" ht="22.5" hidden="1" customHeight="1">
      <c r="A98" s="115"/>
      <c r="B98" s="115" t="e">
        <f>VLOOKUP(C98,Lists!I:J,2,FALSE)</f>
        <v>#N/A</v>
      </c>
      <c r="C98" s="115" t="e">
        <f>VLOOKUP(E98,Lists!D:E,2,FALSE)</f>
        <v>#N/A</v>
      </c>
      <c r="D98" s="115"/>
      <c r="E98" s="98"/>
      <c r="F98" s="115"/>
      <c r="G98" s="115"/>
      <c r="H98" s="115"/>
      <c r="I98" s="194">
        <f t="shared" ref="I98:I103" si="8">SUM(G98:H98)</f>
        <v>0</v>
      </c>
      <c r="J98" s="116"/>
      <c r="K98" s="116"/>
      <c r="L98" s="116"/>
      <c r="M98" s="195" t="e">
        <f>I98/(HLOOKUP(F98,Team_Composition_20[[#All],[Yellow]:[Red]],10,FALSE)+HLOOKUP(F98,Team_Composition_20[[#All],[Yellow]:[Red]],11,FALSE))</f>
        <v>#N/A</v>
      </c>
      <c r="N98" s="195" t="e">
        <f>J98/HLOOKUP(F98,Team_Composition_20[[#All],[Yellow]:[Red]],6,FALSE)</f>
        <v>#N/A</v>
      </c>
      <c r="O98" s="195" t="e">
        <f>K98/HLOOKUP(F98,Team_Composition_20[[#All],[Yellow]:[Red]],8,FALSE)</f>
        <v>#N/A</v>
      </c>
      <c r="P98" s="195" t="e">
        <f>L98/HLOOKUP(F98,Team_Composition_20[[#All],[Yellow]:[Red]],7,FALSE)</f>
        <v>#N/A</v>
      </c>
    </row>
    <row r="99" spans="1:16" ht="22.5" hidden="1" customHeight="1">
      <c r="A99" s="115"/>
      <c r="B99" s="115" t="e">
        <f>VLOOKUP(C99,Lists!I:J,2,FALSE)</f>
        <v>#N/A</v>
      </c>
      <c r="C99" s="115" t="e">
        <f>VLOOKUP(E99,Lists!D:E,2,FALSE)</f>
        <v>#N/A</v>
      </c>
      <c r="D99" s="115"/>
      <c r="E99" s="98"/>
      <c r="F99" s="115"/>
      <c r="G99" s="115"/>
      <c r="H99" s="115"/>
      <c r="I99" s="194">
        <f t="shared" si="8"/>
        <v>0</v>
      </c>
      <c r="J99" s="116"/>
      <c r="K99" s="116"/>
      <c r="L99" s="116"/>
      <c r="M99" s="195" t="e">
        <f>I99/(HLOOKUP(F99,Team_Composition_20[[#All],[Yellow]:[Red]],10,FALSE)+HLOOKUP(F99,Team_Composition_20[[#All],[Yellow]:[Red]],11,FALSE))</f>
        <v>#N/A</v>
      </c>
      <c r="N99" s="195" t="e">
        <f>J99/HLOOKUP(F99,Team_Composition_20[[#All],[Yellow]:[Red]],6,FALSE)</f>
        <v>#N/A</v>
      </c>
      <c r="O99" s="195" t="e">
        <f>K99/HLOOKUP(F99,Team_Composition_20[[#All],[Yellow]:[Red]],8,FALSE)</f>
        <v>#N/A</v>
      </c>
      <c r="P99" s="195" t="e">
        <f>L99/HLOOKUP(F99,Team_Composition_20[[#All],[Yellow]:[Red]],7,FALSE)</f>
        <v>#N/A</v>
      </c>
    </row>
    <row r="100" spans="1:16" ht="22.5" hidden="1" customHeight="1">
      <c r="A100" s="115"/>
      <c r="B100" s="115" t="e">
        <f>VLOOKUP(C100,Lists!I:J,2,FALSE)</f>
        <v>#N/A</v>
      </c>
      <c r="C100" s="115" t="e">
        <f>VLOOKUP(E100,Lists!D:E,2,FALSE)</f>
        <v>#N/A</v>
      </c>
      <c r="D100" s="115"/>
      <c r="E100" s="98"/>
      <c r="F100" s="115"/>
      <c r="G100" s="115"/>
      <c r="H100" s="115"/>
      <c r="I100" s="194">
        <f t="shared" si="8"/>
        <v>0</v>
      </c>
      <c r="J100" s="116"/>
      <c r="K100" s="116"/>
      <c r="L100" s="116"/>
      <c r="M100" s="195" t="e">
        <f>I100/(HLOOKUP(F100,Team_Composition_20[[#All],[Yellow]:[Red]],10,FALSE)+HLOOKUP(F100,Team_Composition_20[[#All],[Yellow]:[Red]],11,FALSE))</f>
        <v>#N/A</v>
      </c>
      <c r="N100" s="195" t="e">
        <f>J100/HLOOKUP(F100,Team_Composition_20[[#All],[Yellow]:[Red]],6,FALSE)</f>
        <v>#N/A</v>
      </c>
      <c r="O100" s="195" t="e">
        <f>K100/HLOOKUP(F100,Team_Composition_20[[#All],[Yellow]:[Red]],8,FALSE)</f>
        <v>#N/A</v>
      </c>
      <c r="P100" s="195" t="e">
        <f>L100/HLOOKUP(F100,Team_Composition_20[[#All],[Yellow]:[Red]],7,FALSE)</f>
        <v>#N/A</v>
      </c>
    </row>
    <row r="101" spans="1:16" ht="22.5" hidden="1" customHeight="1">
      <c r="A101" s="115"/>
      <c r="B101" s="115" t="e">
        <f>VLOOKUP(C101,Lists!I:J,2,FALSE)</f>
        <v>#N/A</v>
      </c>
      <c r="C101" s="115" t="e">
        <f>VLOOKUP(E101,Lists!D:E,2,FALSE)</f>
        <v>#N/A</v>
      </c>
      <c r="D101" s="115"/>
      <c r="E101" s="98"/>
      <c r="F101" s="115"/>
      <c r="G101" s="115"/>
      <c r="H101" s="115"/>
      <c r="I101" s="194">
        <f t="shared" si="8"/>
        <v>0</v>
      </c>
      <c r="J101" s="116"/>
      <c r="K101" s="116"/>
      <c r="L101" s="116"/>
      <c r="M101" s="195" t="e">
        <f>I101/(HLOOKUP(F101,Team_Composition_20[[#All],[Yellow]:[Red]],10,FALSE)+HLOOKUP(F101,Team_Composition_20[[#All],[Yellow]:[Red]],11,FALSE))</f>
        <v>#N/A</v>
      </c>
      <c r="N101" s="195" t="e">
        <f>J101/HLOOKUP(F101,Team_Composition_20[[#All],[Yellow]:[Red]],6,FALSE)</f>
        <v>#N/A</v>
      </c>
      <c r="O101" s="195" t="e">
        <f>K101/HLOOKUP(F101,Team_Composition_20[[#All],[Yellow]:[Red]],8,FALSE)</f>
        <v>#N/A</v>
      </c>
      <c r="P101" s="195" t="e">
        <f>L101/HLOOKUP(F101,Team_Composition_20[[#All],[Yellow]:[Red]],7,FALSE)</f>
        <v>#N/A</v>
      </c>
    </row>
    <row r="102" spans="1:16" ht="22.5" hidden="1" customHeight="1">
      <c r="A102" s="115"/>
      <c r="B102" s="115" t="e">
        <f>VLOOKUP(C102,Lists!I:J,2,FALSE)</f>
        <v>#N/A</v>
      </c>
      <c r="C102" s="115" t="e">
        <f>VLOOKUP(E102,Lists!D:E,2,FALSE)</f>
        <v>#N/A</v>
      </c>
      <c r="D102" s="115"/>
      <c r="E102" s="98"/>
      <c r="F102" s="115"/>
      <c r="G102" s="115"/>
      <c r="H102" s="115"/>
      <c r="I102" s="194">
        <f t="shared" si="8"/>
        <v>0</v>
      </c>
      <c r="J102" s="116"/>
      <c r="K102" s="116"/>
      <c r="L102" s="116"/>
      <c r="M102" s="195" t="e">
        <f>I102/(HLOOKUP(F102,Team_Composition_20[[#All],[Yellow]:[Red]],10,FALSE)+HLOOKUP(F102,Team_Composition_20[[#All],[Yellow]:[Red]],11,FALSE))</f>
        <v>#N/A</v>
      </c>
      <c r="N102" s="195" t="e">
        <f>J102/HLOOKUP(F102,Team_Composition_20[[#All],[Yellow]:[Red]],6,FALSE)</f>
        <v>#N/A</v>
      </c>
      <c r="O102" s="195" t="e">
        <f>K102/HLOOKUP(F102,Team_Composition_20[[#All],[Yellow]:[Red]],8,FALSE)</f>
        <v>#N/A</v>
      </c>
      <c r="P102" s="195" t="e">
        <f>L102/HLOOKUP(F102,Team_Composition_20[[#All],[Yellow]:[Red]],7,FALSE)</f>
        <v>#N/A</v>
      </c>
    </row>
    <row r="103" spans="1:16" ht="22.5" hidden="1" customHeight="1">
      <c r="A103" s="115"/>
      <c r="B103" s="115" t="e">
        <f>VLOOKUP(C103,Lists!I:J,2,FALSE)</f>
        <v>#N/A</v>
      </c>
      <c r="C103" s="115" t="e">
        <f>VLOOKUP(E103,Lists!D:E,2,FALSE)</f>
        <v>#N/A</v>
      </c>
      <c r="D103" s="115"/>
      <c r="E103" s="98"/>
      <c r="F103" s="115"/>
      <c r="G103" s="115"/>
      <c r="H103" s="115"/>
      <c r="I103" s="194">
        <f t="shared" si="8"/>
        <v>0</v>
      </c>
      <c r="J103" s="116"/>
      <c r="K103" s="116"/>
      <c r="L103" s="116"/>
      <c r="M103" s="195" t="e">
        <f>I103/(HLOOKUP(F103,Team_Composition_20[[#All],[Yellow]:[Red]],10,FALSE)+HLOOKUP(F103,Team_Composition_20[[#All],[Yellow]:[Red]],11,FALSE))</f>
        <v>#N/A</v>
      </c>
      <c r="N103" s="195" t="e">
        <f>J103/HLOOKUP(F103,Team_Composition_20[[#All],[Yellow]:[Red]],6,FALSE)</f>
        <v>#N/A</v>
      </c>
      <c r="O103" s="195" t="e">
        <f>K103/HLOOKUP(F103,Team_Composition_20[[#All],[Yellow]:[Red]],8,FALSE)</f>
        <v>#N/A</v>
      </c>
      <c r="P103" s="195" t="e">
        <f>L103/HLOOKUP(F103,Team_Composition_20[[#All],[Yellow]:[Red]],7,FALSE)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800-000000000000}">
      <formula1>#REF!</formula1>
    </dataValidation>
    <dataValidation type="list" allowBlank="1" sqref="F2:F103" xr:uid="{00000000-0002-0000-1800-000002000000}">
      <formula1>"Yellow,Red"</formula1>
    </dataValidation>
    <dataValidation type="custom" allowBlank="1" showDropDown="1" sqref="S4:T13 S17:T25 S30:T46 S51:T60 S65:T72 A2:A103 G2:L103" xr:uid="{00000000-0002-0000-1800-000003000000}">
      <formula1>AND(ISNUMBER(A2),(NOT(OR(NOT(ISERROR(DATEVALUE(A2))), AND(ISNUMBER(A2), LEFT(CELL("format", A2))="D")))))</formula1>
    </dataValidation>
    <dataValidation allowBlank="1" showDropDown="1" sqref="E2:E103" xr:uid="{00000000-0002-0000-18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3</v>
      </c>
      <c r="B2" s="115" t="s">
        <v>39</v>
      </c>
      <c r="C2" s="115" t="s">
        <v>58</v>
      </c>
      <c r="D2" s="115"/>
      <c r="E2" s="98" t="s">
        <v>633</v>
      </c>
      <c r="F2" s="115" t="s">
        <v>483</v>
      </c>
      <c r="G2" s="115">
        <v>51</v>
      </c>
      <c r="H2" s="115">
        <v>124</v>
      </c>
      <c r="I2" s="194">
        <v>175</v>
      </c>
      <c r="J2" s="116">
        <v>4689276</v>
      </c>
      <c r="K2" s="116">
        <v>790825</v>
      </c>
      <c r="L2" s="116">
        <v>12136</v>
      </c>
      <c r="M2" s="195">
        <v>5.5964182922929324E-2</v>
      </c>
      <c r="N2" s="195">
        <v>0.11225106488009748</v>
      </c>
      <c r="O2" s="195">
        <v>2.5152664499920693E-2</v>
      </c>
      <c r="P2" s="195">
        <v>5.7253854893180706E-4</v>
      </c>
      <c r="R2" s="232" t="s">
        <v>477</v>
      </c>
      <c r="S2" s="228"/>
      <c r="T2" s="228"/>
      <c r="V2" s="233" t="s">
        <v>478</v>
      </c>
      <c r="W2" s="228"/>
      <c r="X2" s="196"/>
      <c r="Y2" s="233" t="s">
        <v>479</v>
      </c>
      <c r="Z2" s="228"/>
    </row>
    <row r="3" spans="1:26" ht="22.5" customHeight="1">
      <c r="A3" s="115">
        <v>1</v>
      </c>
      <c r="B3" s="115" t="s">
        <v>39</v>
      </c>
      <c r="C3" s="115" t="s">
        <v>58</v>
      </c>
      <c r="D3" s="115" t="s">
        <v>573</v>
      </c>
      <c r="E3" s="98" t="s">
        <v>632</v>
      </c>
      <c r="F3" s="115" t="s">
        <v>483</v>
      </c>
      <c r="G3" s="115">
        <v>61</v>
      </c>
      <c r="H3" s="115">
        <v>100</v>
      </c>
      <c r="I3" s="194">
        <v>161</v>
      </c>
      <c r="J3" s="116">
        <v>4916333</v>
      </c>
      <c r="K3" s="116">
        <v>827719</v>
      </c>
      <c r="L3" s="116">
        <v>0</v>
      </c>
      <c r="M3" s="195">
        <v>5.1487048289094978E-2</v>
      </c>
      <c r="N3" s="195">
        <v>0.11768631544723838</v>
      </c>
      <c r="O3" s="195">
        <v>2.6326100347371234E-2</v>
      </c>
      <c r="P3" s="195">
        <v>0</v>
      </c>
      <c r="R3" s="197" t="s">
        <v>482</v>
      </c>
      <c r="S3" s="198" t="s">
        <v>476</v>
      </c>
      <c r="T3" s="198" t="s">
        <v>483</v>
      </c>
      <c r="V3" s="199" t="s">
        <v>1</v>
      </c>
      <c r="W3" s="200" t="s">
        <v>467</v>
      </c>
      <c r="Y3" s="199" t="s">
        <v>1</v>
      </c>
      <c r="Z3" s="200" t="s">
        <v>484</v>
      </c>
    </row>
    <row r="4" spans="1:26" ht="22.5" customHeight="1">
      <c r="A4" s="115">
        <v>2</v>
      </c>
      <c r="B4" s="115" t="s">
        <v>39</v>
      </c>
      <c r="C4" s="115" t="s">
        <v>58</v>
      </c>
      <c r="D4" s="115" t="s">
        <v>660</v>
      </c>
      <c r="E4" s="98" t="s">
        <v>42</v>
      </c>
      <c r="F4" s="115" t="s">
        <v>476</v>
      </c>
      <c r="G4" s="115">
        <v>59</v>
      </c>
      <c r="H4" s="115">
        <v>99</v>
      </c>
      <c r="I4" s="194">
        <v>158</v>
      </c>
      <c r="J4" s="116">
        <v>4177970</v>
      </c>
      <c r="K4" s="116">
        <v>1121437</v>
      </c>
      <c r="L4" s="116">
        <v>26997</v>
      </c>
      <c r="M4" s="195">
        <v>5.7350272232304898E-2</v>
      </c>
      <c r="N4" s="195">
        <v>0.13275151867016721</v>
      </c>
      <c r="O4" s="195">
        <v>2.6824789124143558E-2</v>
      </c>
      <c r="P4" s="195">
        <v>9.599485922407409E-4</v>
      </c>
      <c r="R4" s="201" t="s">
        <v>25</v>
      </c>
      <c r="S4" s="202">
        <f>COUNTIFS(Scoreboard_21[Role],R4,Scoreboard_21[Team],"Yellow")</f>
        <v>8</v>
      </c>
      <c r="T4" s="203">
        <f>COUNTIFS(Scoreboard_21[Role],R4,Scoreboard_21[Team],"Red")</f>
        <v>7</v>
      </c>
      <c r="V4" s="204" t="str">
        <f ca="1">IFERROR(__xludf.DUMMYFUNCTION("query(A1:P239, ""Select E,I where B!='Healer' Order by I Desc Limit 10"", 0)"),"Levy1ng")</f>
        <v>Levy1ng</v>
      </c>
      <c r="W4" s="116">
        <f ca="1">IFERROR(__xludf.DUMMYFUNCTION("""COMPUTED_VALUE"""),175)</f>
        <v>175</v>
      </c>
      <c r="Y4" s="204" t="str">
        <f ca="1">IFERROR(__xludf.DUMMYFUNCTION("query(A1:P239, ""Select E,J Order by J Desc Limit 10"", 0)"),"BBlast")</f>
        <v>BBlast</v>
      </c>
      <c r="Z4" s="116">
        <f ca="1">IFERROR(__xludf.DUMMYFUNCTION("""COMPUTED_VALUE"""),4916333)</f>
        <v>4916333</v>
      </c>
    </row>
    <row r="5" spans="1:26" ht="22.5" customHeight="1">
      <c r="A5" s="115">
        <v>19</v>
      </c>
      <c r="B5" s="115" t="s">
        <v>25</v>
      </c>
      <c r="C5" s="115" t="s">
        <v>24</v>
      </c>
      <c r="D5" s="115" t="s">
        <v>573</v>
      </c>
      <c r="E5" s="98" t="s">
        <v>577</v>
      </c>
      <c r="F5" s="115" t="s">
        <v>483</v>
      </c>
      <c r="G5" s="115">
        <v>25</v>
      </c>
      <c r="H5" s="115">
        <v>111</v>
      </c>
      <c r="I5" s="194">
        <v>136</v>
      </c>
      <c r="J5" s="116">
        <v>1876231</v>
      </c>
      <c r="K5" s="116">
        <v>586701</v>
      </c>
      <c r="L5" s="116">
        <v>30802</v>
      </c>
      <c r="M5" s="195">
        <v>4.3492165014390786E-2</v>
      </c>
      <c r="N5" s="195">
        <v>4.4912887983358234E-2</v>
      </c>
      <c r="O5" s="195">
        <v>1.8660377978399735E-2</v>
      </c>
      <c r="P5" s="195">
        <v>1.4531420883485103E-3</v>
      </c>
      <c r="R5" s="201" t="s">
        <v>39</v>
      </c>
      <c r="S5" s="202">
        <f>COUNTIFS(Scoreboard_21[Role],R5,Scoreboard_21[Team],"Yellow")</f>
        <v>9</v>
      </c>
      <c r="T5" s="203">
        <f>COUNTIFS(Scoreboard_21[Role],R5,Scoreboard_21[Team],"Red")</f>
        <v>11</v>
      </c>
      <c r="V5" s="204" t="str">
        <f ca="1">IFERROR(__xludf.DUMMYFUNCTION("""COMPUTED_VALUE"""),"BBlast")</f>
        <v>BBlast</v>
      </c>
      <c r="W5" s="116">
        <f ca="1">IFERROR(__xludf.DUMMYFUNCTION("""COMPUTED_VALUE"""),161)</f>
        <v>161</v>
      </c>
      <c r="Y5" s="204" t="str">
        <f ca="1">IFERROR(__xludf.DUMMYFUNCTION("""COMPUTED_VALUE"""),"Levy1ng")</f>
        <v>Levy1ng</v>
      </c>
      <c r="Z5" s="116">
        <f ca="1">IFERROR(__xludf.DUMMYFUNCTION("""COMPUTED_VALUE"""),4689276)</f>
        <v>4689276</v>
      </c>
    </row>
    <row r="6" spans="1:26" ht="22.5" customHeight="1">
      <c r="A6" s="115">
        <v>6</v>
      </c>
      <c r="B6" s="115" t="s">
        <v>39</v>
      </c>
      <c r="C6" s="115" t="s">
        <v>58</v>
      </c>
      <c r="D6" s="115" t="s">
        <v>573</v>
      </c>
      <c r="E6" s="98" t="s">
        <v>582</v>
      </c>
      <c r="F6" s="115" t="s">
        <v>483</v>
      </c>
      <c r="G6" s="115">
        <v>41</v>
      </c>
      <c r="H6" s="115">
        <v>93</v>
      </c>
      <c r="I6" s="194">
        <v>134</v>
      </c>
      <c r="J6" s="116">
        <v>3566554</v>
      </c>
      <c r="K6" s="116">
        <v>698962</v>
      </c>
      <c r="L6" s="116">
        <v>3129</v>
      </c>
      <c r="M6" s="195">
        <v>4.2852574352414456E-2</v>
      </c>
      <c r="N6" s="195">
        <v>8.5375542930800227E-2</v>
      </c>
      <c r="O6" s="195">
        <v>2.223090656490825E-2</v>
      </c>
      <c r="P6" s="195">
        <v>1.4761644031045025E-4</v>
      </c>
      <c r="R6" s="201" t="s">
        <v>67</v>
      </c>
      <c r="S6" s="202">
        <f>COUNTIFS(Scoreboard_21[Role],R6,Scoreboard_21[Team],"Yellow")</f>
        <v>11</v>
      </c>
      <c r="T6" s="203">
        <f>COUNTIFS(Scoreboard_21[Role],R6,Scoreboard_21[Team],"Red")</f>
        <v>11</v>
      </c>
      <c r="V6" s="204" t="str">
        <f ca="1">IFERROR(__xludf.DUMMYFUNCTION("""COMPUTED_VALUE"""),"edmun")</f>
        <v>edmun</v>
      </c>
      <c r="W6" s="116">
        <f ca="1">IFERROR(__xludf.DUMMYFUNCTION("""COMPUTED_VALUE"""),158)</f>
        <v>158</v>
      </c>
      <c r="Y6" s="204" t="str">
        <f ca="1">IFERROR(__xludf.DUMMYFUNCTION("""COMPUTED_VALUE"""),"edmun")</f>
        <v>edmun</v>
      </c>
      <c r="Z6" s="116">
        <f ca="1">IFERROR(__xludf.DUMMYFUNCTION("""COMPUTED_VALUE"""),4177970)</f>
        <v>4177970</v>
      </c>
    </row>
    <row r="7" spans="1:26" ht="22.5" customHeight="1">
      <c r="A7" s="115">
        <v>15</v>
      </c>
      <c r="B7" s="115" t="s">
        <v>25</v>
      </c>
      <c r="C7" s="115" t="s">
        <v>23</v>
      </c>
      <c r="D7" s="115" t="s">
        <v>660</v>
      </c>
      <c r="E7" s="98" t="s">
        <v>22</v>
      </c>
      <c r="F7" s="115" t="s">
        <v>476</v>
      </c>
      <c r="G7" s="115">
        <v>30</v>
      </c>
      <c r="H7" s="115">
        <v>99</v>
      </c>
      <c r="I7" s="194">
        <v>129</v>
      </c>
      <c r="J7" s="116">
        <v>1848708</v>
      </c>
      <c r="K7" s="116">
        <v>1498798</v>
      </c>
      <c r="L7" s="116">
        <v>29982</v>
      </c>
      <c r="M7" s="195">
        <v>4.6823956442831216E-2</v>
      </c>
      <c r="N7" s="195">
        <v>5.8741157686074214E-2</v>
      </c>
      <c r="O7" s="195">
        <v>3.5851269656421283E-2</v>
      </c>
      <c r="P7" s="195">
        <v>1.0660880354321552E-3</v>
      </c>
      <c r="R7" s="201" t="s">
        <v>11</v>
      </c>
      <c r="S7" s="202">
        <f>COUNTIFS(Scoreboard_21[Role],R7,Scoreboard_21[Team],"Yellow")</f>
        <v>20</v>
      </c>
      <c r="T7" s="203">
        <f>COUNTIFS(Scoreboard_21[Role],R7,Scoreboard_21[Team],"Red")</f>
        <v>19</v>
      </c>
      <c r="V7" s="204" t="str">
        <f ca="1">IFERROR(__xludf.DUMMYFUNCTION("""COMPUTED_VALUE"""),"Keyuri")</f>
        <v>Keyuri</v>
      </c>
      <c r="W7" s="116">
        <f ca="1">IFERROR(__xludf.DUMMYFUNCTION("""COMPUTED_VALUE"""),136)</f>
        <v>136</v>
      </c>
      <c r="Y7" s="204" t="str">
        <f ca="1">IFERROR(__xludf.DUMMYFUNCTION("""COMPUTED_VALUE"""),"·Itty·")</f>
        <v>·Itty·</v>
      </c>
      <c r="Z7" s="116">
        <f ca="1">IFERROR(__xludf.DUMMYFUNCTION("""COMPUTED_VALUE"""),3566554)</f>
        <v>3566554</v>
      </c>
    </row>
    <row r="8" spans="1:26" ht="22.5" customHeight="1">
      <c r="A8" s="115">
        <v>7</v>
      </c>
      <c r="B8" s="115" t="s">
        <v>39</v>
      </c>
      <c r="C8" s="115" t="s">
        <v>58</v>
      </c>
      <c r="D8" s="115" t="s">
        <v>660</v>
      </c>
      <c r="E8" s="98" t="s">
        <v>661</v>
      </c>
      <c r="F8" s="115" t="s">
        <v>476</v>
      </c>
      <c r="G8" s="115">
        <v>41</v>
      </c>
      <c r="H8" s="115">
        <v>80</v>
      </c>
      <c r="I8" s="194">
        <v>121</v>
      </c>
      <c r="J8" s="116">
        <v>2908022</v>
      </c>
      <c r="K8" s="116">
        <v>1023181</v>
      </c>
      <c r="L8" s="116">
        <v>0</v>
      </c>
      <c r="M8" s="195">
        <v>4.3920145190562615E-2</v>
      </c>
      <c r="N8" s="195">
        <v>9.2399978177501743E-2</v>
      </c>
      <c r="O8" s="195">
        <v>2.4474504194912716E-2</v>
      </c>
      <c r="P8" s="195">
        <v>0</v>
      </c>
      <c r="R8" s="201" t="s">
        <v>468</v>
      </c>
      <c r="S8" s="202">
        <f>SUMIFS(Scoreboard_21[Damage Dealt],Scoreboard_21[Team],"Yellow")</f>
        <v>31472107</v>
      </c>
      <c r="T8" s="203">
        <f>SUMIFS(Scoreboard_21[Damage Dealt],Scoreboard_21[Team],"Red")</f>
        <v>41774891</v>
      </c>
      <c r="V8" s="204" t="str">
        <f ca="1">IFERROR(__xludf.DUMMYFUNCTION("""COMPUTED_VALUE"""),"·Itty·")</f>
        <v>·Itty·</v>
      </c>
      <c r="W8" s="116">
        <f ca="1">IFERROR(__xludf.DUMMYFUNCTION("""COMPUTED_VALUE"""),134)</f>
        <v>134</v>
      </c>
      <c r="Y8" s="204" t="str">
        <f ca="1">IFERROR(__xludf.DUMMYFUNCTION("""COMPUTED_VALUE"""),"incakolatupapa")</f>
        <v>incakolatupapa</v>
      </c>
      <c r="Z8" s="116">
        <f ca="1">IFERROR(__xludf.DUMMYFUNCTION("""COMPUTED_VALUE"""),2926400)</f>
        <v>2926400</v>
      </c>
    </row>
    <row r="9" spans="1:26" ht="22.5" customHeight="1">
      <c r="A9" s="115">
        <v>12</v>
      </c>
      <c r="B9" s="115" t="s">
        <v>25</v>
      </c>
      <c r="C9" s="115" t="s">
        <v>24</v>
      </c>
      <c r="D9" s="115" t="s">
        <v>573</v>
      </c>
      <c r="E9" s="98" t="s">
        <v>578</v>
      </c>
      <c r="F9" s="115" t="s">
        <v>483</v>
      </c>
      <c r="G9" s="115">
        <v>33</v>
      </c>
      <c r="H9" s="115">
        <v>85</v>
      </c>
      <c r="I9" s="194">
        <v>118</v>
      </c>
      <c r="J9" s="116">
        <v>2118383</v>
      </c>
      <c r="K9" s="116">
        <v>503069</v>
      </c>
      <c r="L9" s="116">
        <v>2409</v>
      </c>
      <c r="M9" s="195">
        <v>3.7735849056603772E-2</v>
      </c>
      <c r="N9" s="195">
        <v>5.0709480007978959E-2</v>
      </c>
      <c r="O9" s="195">
        <v>1.6000411946145612E-2</v>
      </c>
      <c r="P9" s="195">
        <v>1.1364909067046169E-4</v>
      </c>
      <c r="R9" s="201" t="s">
        <v>470</v>
      </c>
      <c r="S9" s="202">
        <f>SUMIFS(Scoreboard_21[Amount Healed],Scoreboard_21[Team],"Yellow")</f>
        <v>28123381</v>
      </c>
      <c r="T9" s="203">
        <f>SUMIFS(Scoreboard_21[Amount Healed],Scoreboard_21[Team],"Red")</f>
        <v>21196826</v>
      </c>
      <c r="V9" s="204" t="str">
        <f ca="1">IFERROR(__xludf.DUMMYFUNCTION("""COMPUTED_VALUE"""),"Baozer")</f>
        <v>Baozer</v>
      </c>
      <c r="W9" s="116">
        <f ca="1">IFERROR(__xludf.DUMMYFUNCTION("""COMPUTED_VALUE"""),129)</f>
        <v>129</v>
      </c>
      <c r="Y9" s="204" t="str">
        <f ca="1">IFERROR(__xludf.DUMMYFUNCTION("""COMPUTED_VALUE"""),"爱RosesAreRosie")</f>
        <v>爱RosesAreRosie</v>
      </c>
      <c r="Z9" s="116">
        <f ca="1">IFERROR(__xludf.DUMMYFUNCTION("""COMPUTED_VALUE"""),2908022)</f>
        <v>2908022</v>
      </c>
    </row>
    <row r="10" spans="1:26" ht="22.5" customHeight="1">
      <c r="A10" s="115">
        <v>9</v>
      </c>
      <c r="B10" s="115" t="s">
        <v>39</v>
      </c>
      <c r="C10" s="115" t="s">
        <v>45</v>
      </c>
      <c r="D10" s="115" t="s">
        <v>573</v>
      </c>
      <c r="E10" s="98" t="s">
        <v>535</v>
      </c>
      <c r="F10" s="115" t="s">
        <v>483</v>
      </c>
      <c r="G10" s="115">
        <v>36</v>
      </c>
      <c r="H10" s="115">
        <v>80</v>
      </c>
      <c r="I10" s="194">
        <v>116</v>
      </c>
      <c r="J10" s="116">
        <v>2926400</v>
      </c>
      <c r="K10" s="116">
        <v>343841</v>
      </c>
      <c r="L10" s="116">
        <v>0</v>
      </c>
      <c r="M10" s="195">
        <v>3.7096258394627442E-2</v>
      </c>
      <c r="N10" s="195">
        <v>7.005164896779742E-2</v>
      </c>
      <c r="O10" s="195">
        <v>1.0936069692178713E-2</v>
      </c>
      <c r="P10" s="195">
        <v>0</v>
      </c>
      <c r="R10" s="201" t="s">
        <v>469</v>
      </c>
      <c r="S10" s="202">
        <f>SUMIFS(Scoreboard_21[Damage Taken],Scoreboard_21[Team],"Yellow")</f>
        <v>41805995</v>
      </c>
      <c r="T10" s="203">
        <f>SUMIFS(Scoreboard_21[Damage Taken],Scoreboard_21[Team],"Red")</f>
        <v>31441003</v>
      </c>
      <c r="V10" s="204" t="str">
        <f ca="1">IFERROR(__xludf.DUMMYFUNCTION("""COMPUTED_VALUE"""),"爱RosesAreRosie")</f>
        <v>爱RosesAreRosie</v>
      </c>
      <c r="W10" s="116">
        <f ca="1">IFERROR(__xludf.DUMMYFUNCTION("""COMPUTED_VALUE"""),121)</f>
        <v>121</v>
      </c>
      <c r="Y10" s="204" t="str">
        <f ca="1">IFERROR(__xludf.DUMMYFUNCTION("""COMPUTED_VALUE"""),"TanksVicious")</f>
        <v>TanksVicious</v>
      </c>
      <c r="Z10" s="116">
        <f ca="1">IFERROR(__xludf.DUMMYFUNCTION("""COMPUTED_VALUE"""),2617564)</f>
        <v>2617564</v>
      </c>
    </row>
    <row r="11" spans="1:26" ht="22.5" customHeight="1">
      <c r="A11" s="115">
        <v>10</v>
      </c>
      <c r="B11" s="115" t="s">
        <v>39</v>
      </c>
      <c r="C11" s="115" t="s">
        <v>58</v>
      </c>
      <c r="D11" s="115" t="s">
        <v>660</v>
      </c>
      <c r="E11" s="98" t="s">
        <v>107</v>
      </c>
      <c r="F11" s="115" t="s">
        <v>476</v>
      </c>
      <c r="G11" s="115">
        <v>36</v>
      </c>
      <c r="H11" s="115">
        <v>76</v>
      </c>
      <c r="I11" s="194">
        <v>112</v>
      </c>
      <c r="J11" s="116">
        <v>2617564</v>
      </c>
      <c r="K11" s="116">
        <v>1266967</v>
      </c>
      <c r="L11" s="116">
        <v>14059</v>
      </c>
      <c r="M11" s="195">
        <v>4.0653357531760435E-2</v>
      </c>
      <c r="N11" s="195">
        <v>8.317091702821168E-2</v>
      </c>
      <c r="O11" s="195">
        <v>3.0305868811398941E-2</v>
      </c>
      <c r="P11" s="195">
        <v>4.9990433227071812E-4</v>
      </c>
      <c r="R11" s="201" t="s">
        <v>495</v>
      </c>
      <c r="S11" s="202">
        <f ca="1">IFERROR(DIVIDE(SUMIFS(Scoreboard_21[Amount Healed],Scoreboard_21[Team],"Yellow"), SUMIFS(Scoreboard_21[Damage Taken],Scoreboard_21[Team],"Yellow"))*(100),0)</f>
        <v>0</v>
      </c>
      <c r="T11" s="203">
        <f ca="1">IFERROR(DIVIDE(SUMIFS(Scoreboard_21[Amount Healed],Scoreboard_21[Team],"Red"), SUMIFS(Scoreboard_21[Damage Taken],Scoreboard_21[Team],"Red"))*(100),0)</f>
        <v>0</v>
      </c>
      <c r="V11" s="204" t="str">
        <f ca="1">IFERROR(__xludf.DUMMYFUNCTION("""COMPUTED_VALUE"""),"NineteenF")</f>
        <v>NineteenF</v>
      </c>
      <c r="W11" s="116">
        <f ca="1">IFERROR(__xludf.DUMMYFUNCTION("""COMPUTED_VALUE"""),118)</f>
        <v>118</v>
      </c>
      <c r="Y11" s="204" t="str">
        <f ca="1">IFERROR(__xludf.DUMMYFUNCTION("""COMPUTED_VALUE"""),"ChunkyBruhdaツ")</f>
        <v>ChunkyBruhdaツ</v>
      </c>
      <c r="Z11" s="116">
        <f ca="1">IFERROR(__xludf.DUMMYFUNCTION("""COMPUTED_VALUE"""),2590144)</f>
        <v>2590144</v>
      </c>
    </row>
    <row r="12" spans="1:26" ht="22.5" customHeight="1">
      <c r="A12" s="115">
        <v>11</v>
      </c>
      <c r="B12" s="115" t="s">
        <v>39</v>
      </c>
      <c r="C12" s="115" t="s">
        <v>45</v>
      </c>
      <c r="D12" s="115" t="s">
        <v>573</v>
      </c>
      <c r="E12" s="98" t="s">
        <v>141</v>
      </c>
      <c r="F12" s="115" t="s">
        <v>483</v>
      </c>
      <c r="G12" s="115">
        <v>34</v>
      </c>
      <c r="H12" s="115">
        <v>76</v>
      </c>
      <c r="I12" s="194">
        <v>110</v>
      </c>
      <c r="J12" s="116">
        <v>1969683</v>
      </c>
      <c r="K12" s="116">
        <v>380370</v>
      </c>
      <c r="L12" s="116">
        <v>3406</v>
      </c>
      <c r="M12" s="195">
        <v>3.517748640869843E-2</v>
      </c>
      <c r="N12" s="195">
        <v>4.7149925537806912E-2</v>
      </c>
      <c r="O12" s="195">
        <v>1.2097896495223132E-2</v>
      </c>
      <c r="P12" s="195">
        <v>1.6068443454694584E-4</v>
      </c>
      <c r="R12" s="201" t="s">
        <v>465</v>
      </c>
      <c r="S12" s="202">
        <f>SUMIFS(Scoreboard_21[Kills],Scoreboard_21[Team],"Yellow")</f>
        <v>491</v>
      </c>
      <c r="T12" s="203">
        <f>SUMIFS(Scoreboard_21[Kills],Scoreboard_21[Team],"Red")</f>
        <v>572</v>
      </c>
      <c r="V12" s="204" t="str">
        <f ca="1">IFERROR(__xludf.DUMMYFUNCTION("""COMPUTED_VALUE"""),"incakolatupapa")</f>
        <v>incakolatupapa</v>
      </c>
      <c r="W12" s="116">
        <f ca="1">IFERROR(__xludf.DUMMYFUNCTION("""COMPUTED_VALUE"""),116)</f>
        <v>116</v>
      </c>
      <c r="Y12" s="204" t="str">
        <f ca="1">IFERROR(__xludf.DUMMYFUNCTION("""COMPUTED_VALUE"""),"Spot·")</f>
        <v>Spot·</v>
      </c>
      <c r="Z12" s="116">
        <f ca="1">IFERROR(__xludf.DUMMYFUNCTION("""COMPUTED_VALUE"""),2203775)</f>
        <v>2203775</v>
      </c>
    </row>
    <row r="13" spans="1:26" ht="22.5" customHeight="1">
      <c r="A13" s="115">
        <v>28</v>
      </c>
      <c r="B13" s="115" t="s">
        <v>39</v>
      </c>
      <c r="C13" s="115" t="s">
        <v>58</v>
      </c>
      <c r="D13" s="115" t="s">
        <v>573</v>
      </c>
      <c r="E13" s="98" t="s">
        <v>636</v>
      </c>
      <c r="F13" s="115" t="s">
        <v>483</v>
      </c>
      <c r="G13" s="115">
        <v>20</v>
      </c>
      <c r="H13" s="115">
        <v>88</v>
      </c>
      <c r="I13" s="194">
        <v>108</v>
      </c>
      <c r="J13" s="116">
        <v>2590144</v>
      </c>
      <c r="K13" s="116">
        <v>890393</v>
      </c>
      <c r="L13" s="116">
        <v>22779</v>
      </c>
      <c r="M13" s="195">
        <v>3.45378957467221E-2</v>
      </c>
      <c r="N13" s="195">
        <v>6.2002411927298627E-2</v>
      </c>
      <c r="O13" s="195">
        <v>2.8319484591506194E-2</v>
      </c>
      <c r="P13" s="195">
        <v>1.0746420242351378E-3</v>
      </c>
      <c r="R13" s="201" t="s">
        <v>466</v>
      </c>
      <c r="S13" s="202">
        <f>SUMIFS(Scoreboard_21[Assists],Scoreboard_21[Team],"Yellow")</f>
        <v>2264</v>
      </c>
      <c r="T13" s="203">
        <f>SUMIFS(Scoreboard_21[Assists],Scoreboard_21[Team],"Red")</f>
        <v>2555</v>
      </c>
      <c r="V13" s="204" t="str">
        <f ca="1">IFERROR(__xludf.DUMMYFUNCTION("""COMPUTED_VALUE"""),"TanksVicious")</f>
        <v>TanksVicious</v>
      </c>
      <c r="W13" s="116">
        <f ca="1">IFERROR(__xludf.DUMMYFUNCTION("""COMPUTED_VALUE"""),112)</f>
        <v>112</v>
      </c>
      <c r="Y13" s="204" t="str">
        <f ca="1">IFERROR(__xludf.DUMMYFUNCTION("""COMPUTED_VALUE"""),"GuaroHC")</f>
        <v>GuaroHC</v>
      </c>
      <c r="Z13" s="116">
        <f ca="1">IFERROR(__xludf.DUMMYFUNCTION("""COMPUTED_VALUE"""),2200064)</f>
        <v>2200064</v>
      </c>
    </row>
    <row r="14" spans="1:26" ht="22.5" customHeight="1">
      <c r="A14" s="115">
        <v>5</v>
      </c>
      <c r="B14" s="115" t="s">
        <v>25</v>
      </c>
      <c r="C14" s="115" t="s">
        <v>23</v>
      </c>
      <c r="D14" s="115" t="s">
        <v>660</v>
      </c>
      <c r="E14" s="98" t="s">
        <v>27</v>
      </c>
      <c r="F14" s="115" t="s">
        <v>476</v>
      </c>
      <c r="G14" s="115">
        <v>43</v>
      </c>
      <c r="H14" s="115">
        <v>65</v>
      </c>
      <c r="I14" s="194">
        <v>108</v>
      </c>
      <c r="J14" s="116">
        <v>2082274</v>
      </c>
      <c r="K14" s="116">
        <v>2041566</v>
      </c>
      <c r="L14" s="116">
        <v>17938</v>
      </c>
      <c r="M14" s="195">
        <v>3.9201451905626135E-2</v>
      </c>
      <c r="N14" s="195">
        <v>6.6162522896862294E-2</v>
      </c>
      <c r="O14" s="195">
        <v>4.8834288001039082E-2</v>
      </c>
      <c r="P14" s="195">
        <v>6.3783227201594293E-4</v>
      </c>
    </row>
    <row r="15" spans="1:26" ht="22.5" customHeight="1">
      <c r="A15" s="115">
        <v>18</v>
      </c>
      <c r="B15" s="115" t="s">
        <v>39</v>
      </c>
      <c r="C15" s="115" t="s">
        <v>58</v>
      </c>
      <c r="D15" s="115" t="s">
        <v>660</v>
      </c>
      <c r="E15" s="98" t="s">
        <v>624</v>
      </c>
      <c r="F15" s="115" t="s">
        <v>476</v>
      </c>
      <c r="G15" s="115">
        <v>28</v>
      </c>
      <c r="H15" s="115">
        <v>79</v>
      </c>
      <c r="I15" s="194">
        <v>107</v>
      </c>
      <c r="J15" s="116">
        <v>2137150</v>
      </c>
      <c r="K15" s="116">
        <v>1777517</v>
      </c>
      <c r="L15" s="116">
        <v>0</v>
      </c>
      <c r="M15" s="195">
        <v>3.8838475499092556E-2</v>
      </c>
      <c r="N15" s="195">
        <v>6.7906162113645585E-2</v>
      </c>
      <c r="O15" s="195">
        <v>4.2518232133931987E-2</v>
      </c>
      <c r="P15" s="195">
        <v>0</v>
      </c>
      <c r="R15" s="232" t="s">
        <v>25</v>
      </c>
      <c r="S15" s="228"/>
      <c r="T15" s="228"/>
      <c r="V15" s="233" t="s">
        <v>496</v>
      </c>
      <c r="W15" s="228"/>
      <c r="Y15" s="233" t="s">
        <v>497</v>
      </c>
      <c r="Z15" s="228"/>
    </row>
    <row r="16" spans="1:26" ht="22.5" customHeight="1">
      <c r="A16" s="115">
        <v>42</v>
      </c>
      <c r="B16" s="115" t="s">
        <v>11</v>
      </c>
      <c r="C16" s="115" t="s">
        <v>10</v>
      </c>
      <c r="D16" s="115" t="s">
        <v>573</v>
      </c>
      <c r="E16" s="98" t="s">
        <v>662</v>
      </c>
      <c r="F16" s="115" t="s">
        <v>483</v>
      </c>
      <c r="G16" s="115">
        <v>1</v>
      </c>
      <c r="H16" s="115">
        <v>97</v>
      </c>
      <c r="I16" s="194">
        <v>98</v>
      </c>
      <c r="J16" s="116">
        <v>57051</v>
      </c>
      <c r="K16" s="116">
        <v>386963</v>
      </c>
      <c r="L16" s="116">
        <v>1291211</v>
      </c>
      <c r="M16" s="195">
        <v>3.1339942436840421E-2</v>
      </c>
      <c r="N16" s="195">
        <v>1.3656768128970103E-3</v>
      </c>
      <c r="O16" s="195">
        <v>1.2307590823358911E-2</v>
      </c>
      <c r="P16" s="195">
        <v>6.0915299299998969E-2</v>
      </c>
      <c r="R16" s="197" t="s">
        <v>482</v>
      </c>
      <c r="S16" s="198" t="s">
        <v>476</v>
      </c>
      <c r="T16" s="198" t="s">
        <v>483</v>
      </c>
      <c r="V16" s="199" t="s">
        <v>1</v>
      </c>
      <c r="W16" s="200" t="s">
        <v>498</v>
      </c>
      <c r="Y16" s="199" t="s">
        <v>1</v>
      </c>
      <c r="Z16" s="200" t="s">
        <v>499</v>
      </c>
    </row>
    <row r="17" spans="1:26" ht="22.5" customHeight="1">
      <c r="A17" s="115">
        <v>4</v>
      </c>
      <c r="B17" s="115" t="s">
        <v>39</v>
      </c>
      <c r="C17" s="115" t="s">
        <v>54</v>
      </c>
      <c r="D17" s="115" t="s">
        <v>573</v>
      </c>
      <c r="E17" s="98" t="s">
        <v>634</v>
      </c>
      <c r="F17" s="115" t="s">
        <v>483</v>
      </c>
      <c r="G17" s="115">
        <v>50</v>
      </c>
      <c r="H17" s="115">
        <v>47</v>
      </c>
      <c r="I17" s="194">
        <v>97</v>
      </c>
      <c r="J17" s="116">
        <v>2013210</v>
      </c>
      <c r="K17" s="116">
        <v>785974</v>
      </c>
      <c r="L17" s="116">
        <v>8709</v>
      </c>
      <c r="M17" s="195">
        <v>3.1020147105852255E-2</v>
      </c>
      <c r="N17" s="195">
        <v>4.8191867215165204E-2</v>
      </c>
      <c r="O17" s="195">
        <v>2.4998375528923172E-2</v>
      </c>
      <c r="P17" s="195">
        <v>4.1086340002036153E-4</v>
      </c>
      <c r="R17" s="201" t="s">
        <v>468</v>
      </c>
      <c r="S17" s="202">
        <f>SUMIFS(Scoreboard_21[Damage Dealt],Scoreboard_21[Role],"Melee DPS",Scoreboard_21[Team],"Yellow")</f>
        <v>11295869</v>
      </c>
      <c r="T17" s="203">
        <f>SUMIFS(Scoreboard_21[Damage Dealt],Scoreboard_21[Role],"Melee DPS",Scoreboard_21[Team],"Red")</f>
        <v>9520472</v>
      </c>
      <c r="V17" s="204" t="str">
        <f ca="1">IFERROR(__xludf.DUMMYFUNCTION("query(A1:P239, ""Select E,K Order by K Desc Limit 10"", 0)"),"Blee")</f>
        <v>Blee</v>
      </c>
      <c r="W17" s="116">
        <f ca="1">IFERROR(__xludf.DUMMYFUNCTION("""COMPUTED_VALUE"""),2041566)</f>
        <v>2041566</v>
      </c>
      <c r="Y17" s="204" t="str">
        <f ca="1">IFERROR(__xludf.DUMMYFUNCTION("query(A1:P239, ""Select E,L Order by L Desc Limit 10"", 0)"),"Boharding")</f>
        <v>Boharding</v>
      </c>
      <c r="Z17" s="116">
        <f ca="1">IFERROR(__xludf.DUMMYFUNCTION("""COMPUTED_VALUE"""),3355200)</f>
        <v>3355200</v>
      </c>
    </row>
    <row r="18" spans="1:26" ht="22.5" customHeight="1">
      <c r="A18" s="115">
        <v>13</v>
      </c>
      <c r="B18" s="115" t="s">
        <v>39</v>
      </c>
      <c r="C18" s="115" t="s">
        <v>54</v>
      </c>
      <c r="D18" s="115" t="s">
        <v>573</v>
      </c>
      <c r="E18" s="98" t="s">
        <v>637</v>
      </c>
      <c r="F18" s="115" t="s">
        <v>483</v>
      </c>
      <c r="G18" s="115">
        <v>33</v>
      </c>
      <c r="H18" s="115">
        <v>61</v>
      </c>
      <c r="I18" s="194">
        <v>94</v>
      </c>
      <c r="J18" s="116">
        <v>2090010</v>
      </c>
      <c r="K18" s="116">
        <v>792115</v>
      </c>
      <c r="L18" s="116">
        <v>11591</v>
      </c>
      <c r="M18" s="195">
        <v>3.0060761112887753E-2</v>
      </c>
      <c r="N18" s="195">
        <v>5.003029211973288E-2</v>
      </c>
      <c r="O18" s="195">
        <v>2.5193693725356025E-2</v>
      </c>
      <c r="P18" s="195">
        <v>5.4682715232931567E-4</v>
      </c>
      <c r="R18" s="201" t="s">
        <v>469</v>
      </c>
      <c r="S18" s="202">
        <f>SUMIFS(Scoreboard_21[Damage Taken],Scoreboard_21[Role],"Melee DPS",Scoreboard_21[Team],"Yellow")</f>
        <v>11466785</v>
      </c>
      <c r="T18" s="203">
        <f>SUMIFS(Scoreboard_21[Damage Taken],Scoreboard_21[Role],"Melee DPS",Scoreboard_21[Team],"Red")</f>
        <v>7014716</v>
      </c>
      <c r="V18" s="204" t="str">
        <f ca="1">IFERROR(__xludf.DUMMYFUNCTION("""COMPUTED_VALUE"""),"CLEM*")</f>
        <v>CLEM*</v>
      </c>
      <c r="W18" s="116">
        <f ca="1">IFERROR(__xludf.DUMMYFUNCTION("""COMPUTED_VALUE"""),1777517)</f>
        <v>1777517</v>
      </c>
      <c r="Y18" s="204" t="str">
        <f ca="1">IFERROR(__xludf.DUMMYFUNCTION("""COMPUTED_VALUE"""),"soju·")</f>
        <v>soju·</v>
      </c>
      <c r="Z18" s="116">
        <f ca="1">IFERROR(__xludf.DUMMYFUNCTION("""COMPUTED_VALUE"""),2621646)</f>
        <v>2621646</v>
      </c>
    </row>
    <row r="19" spans="1:26" ht="22.5" customHeight="1">
      <c r="A19" s="115">
        <v>8</v>
      </c>
      <c r="B19" s="115" t="s">
        <v>39</v>
      </c>
      <c r="C19" s="115" t="s">
        <v>54</v>
      </c>
      <c r="D19" s="115" t="s">
        <v>660</v>
      </c>
      <c r="E19" s="98" t="s">
        <v>103</v>
      </c>
      <c r="F19" s="115" t="s">
        <v>476</v>
      </c>
      <c r="G19" s="115">
        <v>38</v>
      </c>
      <c r="H19" s="115">
        <v>52</v>
      </c>
      <c r="I19" s="194">
        <v>90</v>
      </c>
      <c r="J19" s="116">
        <v>2203775</v>
      </c>
      <c r="K19" s="116">
        <v>396977</v>
      </c>
      <c r="L19" s="116">
        <v>0</v>
      </c>
      <c r="M19" s="195">
        <v>3.2667876588021776E-2</v>
      </c>
      <c r="N19" s="195">
        <v>7.0023116024611892E-2</v>
      </c>
      <c r="O19" s="195">
        <v>9.4956955336190415E-3</v>
      </c>
      <c r="P19" s="195">
        <v>0</v>
      </c>
      <c r="R19" s="201" t="s">
        <v>470</v>
      </c>
      <c r="S19" s="202">
        <f>SUMIFS(Scoreboard_21[Amount Healed],Scoreboard_21[Role],"Melee DPS",Scoreboard_21[Team],"Yellow")</f>
        <v>449809</v>
      </c>
      <c r="T19" s="203">
        <f>SUMIFS(Scoreboard_21[Amount Healed],Scoreboard_21[Role],"Melee DPS",Scoreboard_21[Team],"Red")</f>
        <v>372685</v>
      </c>
      <c r="V19" s="204" t="str">
        <f ca="1">IFERROR(__xludf.DUMMYFUNCTION("""COMPUTED_VALUE"""),"Guddle")</f>
        <v>Guddle</v>
      </c>
      <c r="W19" s="116">
        <f ca="1">IFERROR(__xludf.DUMMYFUNCTION("""COMPUTED_VALUE"""),1557281)</f>
        <v>1557281</v>
      </c>
      <c r="Y19" s="204" t="str">
        <f ca="1">IFERROR(__xludf.DUMMYFUNCTION("""COMPUTED_VALUE"""),"FarseerRain")</f>
        <v>FarseerRain</v>
      </c>
      <c r="Z19" s="116">
        <f ca="1">IFERROR(__xludf.DUMMYFUNCTION("""COMPUTED_VALUE"""),2237626)</f>
        <v>2237626</v>
      </c>
    </row>
    <row r="20" spans="1:26" ht="22.5" customHeight="1">
      <c r="A20" s="115">
        <v>22</v>
      </c>
      <c r="B20" s="115" t="s">
        <v>25</v>
      </c>
      <c r="C20" s="115" t="s">
        <v>23</v>
      </c>
      <c r="D20" s="115" t="s">
        <v>573</v>
      </c>
      <c r="E20" s="98" t="s">
        <v>640</v>
      </c>
      <c r="F20" s="115" t="s">
        <v>483</v>
      </c>
      <c r="G20" s="115">
        <v>22</v>
      </c>
      <c r="H20" s="115">
        <v>68</v>
      </c>
      <c r="I20" s="194">
        <v>90</v>
      </c>
      <c r="J20" s="116">
        <v>1392558</v>
      </c>
      <c r="K20" s="116">
        <v>1007874</v>
      </c>
      <c r="L20" s="116">
        <v>76166</v>
      </c>
      <c r="M20" s="195">
        <v>2.8781579788935082E-2</v>
      </c>
      <c r="N20" s="195">
        <v>3.3334808701236347E-2</v>
      </c>
      <c r="O20" s="195">
        <v>3.2056038415822802E-2</v>
      </c>
      <c r="P20" s="195">
        <v>3.5932738231657891E-3</v>
      </c>
      <c r="R20" s="201" t="s">
        <v>465</v>
      </c>
      <c r="S20" s="202">
        <f>SUMIFS(Scoreboard_21[Kills],Scoreboard_21[Role],"Melee DPS",Scoreboard_21[Team],"Yellow")</f>
        <v>205</v>
      </c>
      <c r="T20" s="203">
        <f>SUMIFS(Scoreboard_21[Kills],Scoreboard_21[Role],"Melee DPS",Scoreboard_21[Team],"Red")</f>
        <v>152</v>
      </c>
      <c r="V20" s="204" t="str">
        <f ca="1">IFERROR(__xludf.DUMMYFUNCTION("""COMPUTED_VALUE"""),"Thana")</f>
        <v>Thana</v>
      </c>
      <c r="W20" s="116">
        <f ca="1">IFERROR(__xludf.DUMMYFUNCTION("""COMPUTED_VALUE"""),1549436)</f>
        <v>1549436</v>
      </c>
      <c r="Y20" s="204" t="str">
        <f ca="1">IFERROR(__xludf.DUMMYFUNCTION("""COMPUTED_VALUE"""),"Tagato")</f>
        <v>Tagato</v>
      </c>
      <c r="Z20" s="116">
        <f ca="1">IFERROR(__xludf.DUMMYFUNCTION("""COMPUTED_VALUE"""),2167114)</f>
        <v>2167114</v>
      </c>
    </row>
    <row r="21" spans="1:26" ht="22.5" customHeight="1">
      <c r="A21" s="115">
        <v>52</v>
      </c>
      <c r="B21" s="115" t="s">
        <v>11</v>
      </c>
      <c r="C21" s="115" t="s">
        <v>9</v>
      </c>
      <c r="D21" s="115" t="s">
        <v>573</v>
      </c>
      <c r="E21" s="98" t="s">
        <v>592</v>
      </c>
      <c r="F21" s="115" t="s">
        <v>483</v>
      </c>
      <c r="G21" s="115">
        <v>0</v>
      </c>
      <c r="H21" s="115">
        <v>87</v>
      </c>
      <c r="I21" s="194">
        <v>87</v>
      </c>
      <c r="J21" s="116">
        <v>31525</v>
      </c>
      <c r="K21" s="116">
        <v>470356</v>
      </c>
      <c r="L21" s="116">
        <v>1282414</v>
      </c>
      <c r="M21" s="195">
        <v>2.782219379597058E-2</v>
      </c>
      <c r="N21" s="195">
        <v>7.546399103710408E-4</v>
      </c>
      <c r="O21" s="195">
        <v>1.495995531694711E-2</v>
      </c>
      <c r="P21" s="195">
        <v>6.0500284335022608E-2</v>
      </c>
      <c r="R21" s="201" t="s">
        <v>466</v>
      </c>
      <c r="S21" s="202">
        <f>SUMIFS(Scoreboard_21[Assists],Scoreboard_21[Role],"Melee DPS",Scoreboard_21[Team],"Yellow")</f>
        <v>448</v>
      </c>
      <c r="T21" s="203">
        <f>SUMIFS(Scoreboard_21[Assists],Scoreboard_21[Role],"Melee DPS",Scoreboard_21[Team],"Red")</f>
        <v>450</v>
      </c>
      <c r="V21" s="204" t="str">
        <f ca="1">IFERROR(__xludf.DUMMYFUNCTION("""COMPUTED_VALUE"""),"Baozer")</f>
        <v>Baozer</v>
      </c>
      <c r="W21" s="116">
        <f ca="1">IFERROR(__xludf.DUMMYFUNCTION("""COMPUTED_VALUE"""),1498798)</f>
        <v>1498798</v>
      </c>
      <c r="Y21" s="204" t="str">
        <f ca="1">IFERROR(__xludf.DUMMYFUNCTION("""COMPUTED_VALUE"""),"Dioxin")</f>
        <v>Dioxin</v>
      </c>
      <c r="Z21" s="116">
        <f ca="1">IFERROR(__xludf.DUMMYFUNCTION("""COMPUTED_VALUE"""),2069009)</f>
        <v>2069009</v>
      </c>
    </row>
    <row r="22" spans="1:26" ht="22.5" customHeight="1">
      <c r="A22" s="115">
        <v>23</v>
      </c>
      <c r="B22" s="115" t="s">
        <v>39</v>
      </c>
      <c r="C22" s="115" t="s">
        <v>58</v>
      </c>
      <c r="D22" s="115" t="s">
        <v>573</v>
      </c>
      <c r="E22" s="98" t="s">
        <v>579</v>
      </c>
      <c r="F22" s="115" t="s">
        <v>483</v>
      </c>
      <c r="G22" s="115">
        <v>22</v>
      </c>
      <c r="H22" s="115">
        <v>60</v>
      </c>
      <c r="I22" s="194">
        <v>82</v>
      </c>
      <c r="J22" s="116">
        <v>1789661</v>
      </c>
      <c r="K22" s="116">
        <v>1052288</v>
      </c>
      <c r="L22" s="116">
        <v>19234</v>
      </c>
      <c r="M22" s="195">
        <v>2.622321714102974E-2</v>
      </c>
      <c r="N22" s="195">
        <v>4.2840590535592304E-2</v>
      </c>
      <c r="O22" s="195">
        <v>3.3468652383640558E-2</v>
      </c>
      <c r="P22" s="195">
        <v>9.0740000413269423E-4</v>
      </c>
      <c r="R22" s="201" t="s">
        <v>24</v>
      </c>
      <c r="S22" s="202">
        <f t="shared" ref="S22:S25" si="0">COUNTIFS(C:C,R22,F:F,"Yellow")</f>
        <v>0</v>
      </c>
      <c r="T22" s="203">
        <f t="shared" ref="T22:T25" si="1">COUNTIFS(C:C,R22,F:F,"Red")</f>
        <v>2</v>
      </c>
      <c r="V22" s="204" t="str">
        <f ca="1">IFERROR(__xludf.DUMMYFUNCTION("""COMPUTED_VALUE"""),"Jawz")</f>
        <v>Jawz</v>
      </c>
      <c r="W22" s="116">
        <f ca="1">IFERROR(__xludf.DUMMYFUNCTION("""COMPUTED_VALUE"""),1479297)</f>
        <v>1479297</v>
      </c>
      <c r="Y22" s="204" t="str">
        <f ca="1">IFERROR(__xludf.DUMMYFUNCTION("""COMPUTED_VALUE"""),"Kyraxi")</f>
        <v>Kyraxi</v>
      </c>
      <c r="Z22" s="116">
        <f ca="1">IFERROR(__xludf.DUMMYFUNCTION("""COMPUTED_VALUE"""),1977383)</f>
        <v>1977383</v>
      </c>
    </row>
    <row r="23" spans="1:26" ht="22.5" customHeight="1">
      <c r="A23" s="115">
        <v>14</v>
      </c>
      <c r="B23" s="115" t="s">
        <v>39</v>
      </c>
      <c r="C23" s="115" t="s">
        <v>54</v>
      </c>
      <c r="D23" s="115" t="s">
        <v>573</v>
      </c>
      <c r="E23" s="98" t="s">
        <v>638</v>
      </c>
      <c r="F23" s="115" t="s">
        <v>483</v>
      </c>
      <c r="G23" s="115">
        <v>33</v>
      </c>
      <c r="H23" s="115">
        <v>49</v>
      </c>
      <c r="I23" s="194">
        <v>82</v>
      </c>
      <c r="J23" s="116">
        <v>1598038</v>
      </c>
      <c r="K23" s="116">
        <v>400024</v>
      </c>
      <c r="L23" s="116">
        <v>56773</v>
      </c>
      <c r="M23" s="195">
        <v>2.622321714102974E-2</v>
      </c>
      <c r="N23" s="195">
        <v>3.8253552833926008E-2</v>
      </c>
      <c r="O23" s="195">
        <v>1.2723003779491386E-2</v>
      </c>
      <c r="P23" s="195">
        <v>2.6783726959875975E-3</v>
      </c>
      <c r="R23" s="201" t="s">
        <v>69</v>
      </c>
      <c r="S23" s="202">
        <f t="shared" si="0"/>
        <v>4</v>
      </c>
      <c r="T23" s="203">
        <f t="shared" si="1"/>
        <v>4</v>
      </c>
      <c r="V23" s="204" t="str">
        <f ca="1">IFERROR(__xludf.DUMMYFUNCTION("""COMPUTED_VALUE"""),"ShawarmaShuffle")</f>
        <v>ShawarmaShuffle</v>
      </c>
      <c r="W23" s="116">
        <f ca="1">IFERROR(__xludf.DUMMYFUNCTION("""COMPUTED_VALUE"""),1435709)</f>
        <v>1435709</v>
      </c>
      <c r="Y23" s="204" t="str">
        <f ca="1">IFERROR(__xludf.DUMMYFUNCTION("""COMPUTED_VALUE"""),"Zanax")</f>
        <v>Zanax</v>
      </c>
      <c r="Z23" s="116">
        <f ca="1">IFERROR(__xludf.DUMMYFUNCTION("""COMPUTED_VALUE"""),1855425)</f>
        <v>1855425</v>
      </c>
    </row>
    <row r="24" spans="1:26" ht="22.5" customHeight="1">
      <c r="A24" s="115">
        <v>43</v>
      </c>
      <c r="B24" s="115" t="s">
        <v>11</v>
      </c>
      <c r="C24" s="115" t="s">
        <v>9</v>
      </c>
      <c r="D24" s="115" t="s">
        <v>660</v>
      </c>
      <c r="E24" s="98" t="s">
        <v>87</v>
      </c>
      <c r="F24" s="115" t="s">
        <v>476</v>
      </c>
      <c r="G24" s="115">
        <v>1</v>
      </c>
      <c r="H24" s="115">
        <v>80</v>
      </c>
      <c r="I24" s="194">
        <v>81</v>
      </c>
      <c r="J24" s="116">
        <v>41263</v>
      </c>
      <c r="K24" s="116">
        <v>508079</v>
      </c>
      <c r="L24" s="116">
        <v>791341</v>
      </c>
      <c r="M24" s="195">
        <v>2.9401088929219599E-2</v>
      </c>
      <c r="N24" s="195">
        <v>1.3110974743445044E-3</v>
      </c>
      <c r="O24" s="195">
        <v>1.2153256967092877E-2</v>
      </c>
      <c r="P24" s="195">
        <v>2.813818864808609E-2</v>
      </c>
      <c r="R24" s="201" t="s">
        <v>23</v>
      </c>
      <c r="S24" s="202">
        <f t="shared" si="0"/>
        <v>4</v>
      </c>
      <c r="T24" s="203">
        <f t="shared" si="1"/>
        <v>1</v>
      </c>
      <c r="V24" s="204" t="str">
        <f ca="1">IFERROR(__xludf.DUMMYFUNCTION("""COMPUTED_VALUE"""),"iOryx")</f>
        <v>iOryx</v>
      </c>
      <c r="W24" s="116">
        <f ca="1">IFERROR(__xludf.DUMMYFUNCTION("""COMPUTED_VALUE"""),1431070)</f>
        <v>1431070</v>
      </c>
      <c r="Y24" s="204" t="str">
        <f ca="1">IFERROR(__xludf.DUMMYFUNCTION("""COMPUTED_VALUE"""),"IPeriett")</f>
        <v>IPeriett</v>
      </c>
      <c r="Z24" s="116">
        <f ca="1">IFERROR(__xludf.DUMMYFUNCTION("""COMPUTED_VALUE"""),1712964)</f>
        <v>1712964</v>
      </c>
    </row>
    <row r="25" spans="1:26" ht="22.5" customHeight="1">
      <c r="A25" s="115">
        <v>29</v>
      </c>
      <c r="B25" s="115" t="s">
        <v>25</v>
      </c>
      <c r="C25" s="115" t="s">
        <v>23</v>
      </c>
      <c r="D25" s="115" t="s">
        <v>660</v>
      </c>
      <c r="E25" s="98" t="s">
        <v>77</v>
      </c>
      <c r="F25" s="115" t="s">
        <v>476</v>
      </c>
      <c r="G25" s="115">
        <v>19</v>
      </c>
      <c r="H25" s="115">
        <v>60</v>
      </c>
      <c r="I25" s="194">
        <v>79</v>
      </c>
      <c r="J25" s="116">
        <v>1427037</v>
      </c>
      <c r="K25" s="116">
        <v>1054568</v>
      </c>
      <c r="L25" s="116">
        <v>17695</v>
      </c>
      <c r="M25" s="195">
        <v>2.8675136116152449E-2</v>
      </c>
      <c r="N25" s="195">
        <v>4.5342912694088133E-2</v>
      </c>
      <c r="O25" s="195">
        <v>2.5225281685078899E-2</v>
      </c>
      <c r="P25" s="195">
        <v>6.2919177463051118E-4</v>
      </c>
      <c r="R25" s="201" t="s">
        <v>33</v>
      </c>
      <c r="S25" s="202">
        <f t="shared" si="0"/>
        <v>0</v>
      </c>
      <c r="T25" s="203">
        <f t="shared" si="1"/>
        <v>0</v>
      </c>
      <c r="V25" s="204" t="str">
        <f ca="1">IFERROR(__xludf.DUMMYFUNCTION("""COMPUTED_VALUE"""),"Prefire")</f>
        <v>Prefire</v>
      </c>
      <c r="W25" s="116">
        <f ca="1">IFERROR(__xludf.DUMMYFUNCTION("""COMPUTED_VALUE"""),1412739)</f>
        <v>1412739</v>
      </c>
      <c r="Y25" s="204" t="str">
        <f ca="1">IFERROR(__xludf.DUMMYFUNCTION("""COMPUTED_VALUE"""),"Jenna")</f>
        <v>Jenna</v>
      </c>
      <c r="Z25" s="116">
        <f ca="1">IFERROR(__xludf.DUMMYFUNCTION("""COMPUTED_VALUE"""),1583042)</f>
        <v>1583042</v>
      </c>
    </row>
    <row r="26" spans="1:26" ht="22.5" customHeight="1">
      <c r="A26" s="115">
        <v>53</v>
      </c>
      <c r="B26" s="115" t="s">
        <v>11</v>
      </c>
      <c r="C26" s="115" t="s">
        <v>9</v>
      </c>
      <c r="D26" s="115" t="s">
        <v>573</v>
      </c>
      <c r="E26" s="98" t="s">
        <v>639</v>
      </c>
      <c r="F26" s="115" t="s">
        <v>483</v>
      </c>
      <c r="G26" s="115">
        <v>0</v>
      </c>
      <c r="H26" s="115">
        <v>79</v>
      </c>
      <c r="I26" s="194">
        <v>79</v>
      </c>
      <c r="J26" s="116">
        <v>9362</v>
      </c>
      <c r="K26" s="116">
        <v>517256</v>
      </c>
      <c r="L26" s="116">
        <v>627677</v>
      </c>
      <c r="M26" s="195">
        <v>2.5263831148065238E-2</v>
      </c>
      <c r="N26" s="195">
        <v>2.2410591089274176E-4</v>
      </c>
      <c r="O26" s="195">
        <v>1.6451638009130944E-2</v>
      </c>
      <c r="P26" s="195">
        <v>2.9611839055526522E-2</v>
      </c>
      <c r="R26" s="204"/>
      <c r="S26" s="208"/>
      <c r="T26" s="208"/>
      <c r="V26" s="204" t="str">
        <f ca="1">IFERROR(__xludf.DUMMYFUNCTION("""COMPUTED_VALUE"""),"Feelix✗")</f>
        <v>Feelix✗</v>
      </c>
      <c r="W26" s="116">
        <f ca="1">IFERROR(__xludf.DUMMYFUNCTION("""COMPUTED_VALUE"""),1333697)</f>
        <v>1333697</v>
      </c>
      <c r="Y26" s="204" t="str">
        <f ca="1">IFERROR(__xludf.DUMMYFUNCTION("""COMPUTED_VALUE"""),"EsperC")</f>
        <v>EsperC</v>
      </c>
      <c r="Z26" s="116">
        <f ca="1">IFERROR(__xludf.DUMMYFUNCTION("""COMPUTED_VALUE"""),1491500)</f>
        <v>1491500</v>
      </c>
    </row>
    <row r="27" spans="1:26" ht="22.5" customHeight="1">
      <c r="A27" s="115">
        <v>54</v>
      </c>
      <c r="B27" s="115" t="s">
        <v>11</v>
      </c>
      <c r="C27" s="115" t="s">
        <v>9</v>
      </c>
      <c r="D27" s="115" t="s">
        <v>573</v>
      </c>
      <c r="E27" s="98" t="s">
        <v>602</v>
      </c>
      <c r="F27" s="115" t="s">
        <v>483</v>
      </c>
      <c r="G27" s="115">
        <v>0</v>
      </c>
      <c r="H27" s="115">
        <v>78</v>
      </c>
      <c r="I27" s="194">
        <v>78</v>
      </c>
      <c r="J27" s="116">
        <v>44170</v>
      </c>
      <c r="K27" s="116">
        <v>494699</v>
      </c>
      <c r="L27" s="116">
        <v>509103</v>
      </c>
      <c r="M27" s="195">
        <v>2.4944035817077069E-2</v>
      </c>
      <c r="N27" s="195">
        <v>1.0573336983691951E-3</v>
      </c>
      <c r="O27" s="195">
        <v>1.5734199064832633E-2</v>
      </c>
      <c r="P27" s="195">
        <v>2.4017888338565406E-2</v>
      </c>
      <c r="R27" s="6"/>
      <c r="S27" s="209"/>
      <c r="T27" s="209"/>
    </row>
    <row r="28" spans="1:26" ht="22.5" customHeight="1">
      <c r="A28" s="115">
        <v>16</v>
      </c>
      <c r="B28" s="115" t="s">
        <v>25</v>
      </c>
      <c r="C28" s="115" t="s">
        <v>69</v>
      </c>
      <c r="D28" s="115" t="s">
        <v>660</v>
      </c>
      <c r="E28" s="98" t="s">
        <v>98</v>
      </c>
      <c r="F28" s="115" t="s">
        <v>476</v>
      </c>
      <c r="G28" s="115">
        <v>29</v>
      </c>
      <c r="H28" s="115">
        <v>48</v>
      </c>
      <c r="I28" s="194">
        <v>77</v>
      </c>
      <c r="J28" s="116">
        <v>1460468</v>
      </c>
      <c r="K28" s="116">
        <v>1435709</v>
      </c>
      <c r="L28" s="116">
        <v>14798</v>
      </c>
      <c r="M28" s="195">
        <v>2.7949183303085299E-2</v>
      </c>
      <c r="N28" s="195">
        <v>4.6405154888422312E-2</v>
      </c>
      <c r="O28" s="195">
        <v>3.4342179871571052E-2</v>
      </c>
      <c r="P28" s="195">
        <v>5.2618140045110513E-4</v>
      </c>
      <c r="R28" s="232" t="s">
        <v>39</v>
      </c>
      <c r="S28" s="228"/>
      <c r="T28" s="228"/>
    </row>
    <row r="29" spans="1:26" ht="22.5" customHeight="1">
      <c r="A29" s="115">
        <v>24</v>
      </c>
      <c r="B29" s="115" t="s">
        <v>25</v>
      </c>
      <c r="C29" s="115" t="s">
        <v>23</v>
      </c>
      <c r="D29" s="115" t="s">
        <v>660</v>
      </c>
      <c r="E29" s="98" t="s">
        <v>47</v>
      </c>
      <c r="F29" s="115" t="s">
        <v>476</v>
      </c>
      <c r="G29" s="115">
        <v>22</v>
      </c>
      <c r="H29" s="115">
        <v>55</v>
      </c>
      <c r="I29" s="194">
        <v>77</v>
      </c>
      <c r="J29" s="116">
        <v>1336930</v>
      </c>
      <c r="K29" s="116">
        <v>994672</v>
      </c>
      <c r="L29" s="116">
        <v>24879</v>
      </c>
      <c r="M29" s="195">
        <v>2.7949183303085299E-2</v>
      </c>
      <c r="N29" s="195">
        <v>4.2479837781436117E-2</v>
      </c>
      <c r="O29" s="195">
        <v>2.3792568506024077E-2</v>
      </c>
      <c r="P29" s="195">
        <v>8.8463759033808914E-4</v>
      </c>
      <c r="R29" s="197" t="s">
        <v>482</v>
      </c>
      <c r="S29" s="198" t="s">
        <v>476</v>
      </c>
      <c r="T29" s="198" t="s">
        <v>483</v>
      </c>
    </row>
    <row r="30" spans="1:26" ht="22.5" customHeight="1">
      <c r="A30" s="115">
        <v>26</v>
      </c>
      <c r="B30" s="115" t="s">
        <v>39</v>
      </c>
      <c r="C30" s="115" t="s">
        <v>58</v>
      </c>
      <c r="D30" s="115" t="s">
        <v>573</v>
      </c>
      <c r="E30" s="98" t="s">
        <v>644</v>
      </c>
      <c r="F30" s="115" t="s">
        <v>483</v>
      </c>
      <c r="G30" s="115">
        <v>21</v>
      </c>
      <c r="H30" s="115">
        <v>54</v>
      </c>
      <c r="I30" s="194">
        <v>75</v>
      </c>
      <c r="J30" s="116">
        <v>2200064</v>
      </c>
      <c r="K30" s="116">
        <v>1055050</v>
      </c>
      <c r="L30" s="116">
        <v>12476</v>
      </c>
      <c r="M30" s="195">
        <v>2.3984649824112567E-2</v>
      </c>
      <c r="N30" s="195">
        <v>5.2664745432848645E-2</v>
      </c>
      <c r="O30" s="195">
        <v>3.355649945391373E-2</v>
      </c>
      <c r="P30" s="195">
        <v>5.885786862618017E-4</v>
      </c>
      <c r="R30" s="201" t="s">
        <v>468</v>
      </c>
      <c r="S30" s="202">
        <f>SUMIFS(Scoreboard_21[Damage Dealt],Scoreboard_21[Role],"Ranged DPS",Scoreboard_21[Team],"Yellow")</f>
        <v>18813643</v>
      </c>
      <c r="T30" s="203">
        <f>SUMIFS(Scoreboard_21[Damage Dealt],Scoreboard_21[Role],"Ranged DPS",Scoreboard_21[Team],"Red")</f>
        <v>30349373</v>
      </c>
    </row>
    <row r="31" spans="1:26" ht="22.5" customHeight="1">
      <c r="A31" s="115">
        <v>44</v>
      </c>
      <c r="B31" s="115" t="s">
        <v>11</v>
      </c>
      <c r="C31" s="115" t="s">
        <v>10</v>
      </c>
      <c r="D31" s="115" t="s">
        <v>660</v>
      </c>
      <c r="E31" s="98" t="s">
        <v>101</v>
      </c>
      <c r="F31" s="115" t="s">
        <v>476</v>
      </c>
      <c r="G31" s="115">
        <v>1</v>
      </c>
      <c r="H31" s="115">
        <v>74</v>
      </c>
      <c r="I31" s="194">
        <v>75</v>
      </c>
      <c r="J31" s="116">
        <v>26020</v>
      </c>
      <c r="K31" s="116">
        <v>632168</v>
      </c>
      <c r="L31" s="116">
        <v>2621646</v>
      </c>
      <c r="M31" s="195">
        <v>2.7223230490018149E-2</v>
      </c>
      <c r="N31" s="195">
        <v>8.2676383884942948E-4</v>
      </c>
      <c r="O31" s="195">
        <v>1.5121467626831989E-2</v>
      </c>
      <c r="P31" s="195">
        <v>9.3219446125627645E-2</v>
      </c>
      <c r="R31" s="201" t="s">
        <v>469</v>
      </c>
      <c r="S31" s="202">
        <f>SUMIFS(Scoreboard_21[Damage Taken],Scoreboard_21[Role],"Ranged DPS",Scoreboard_21[Team],"Yellow")</f>
        <v>9789967</v>
      </c>
      <c r="T31" s="203">
        <f>SUMIFS(Scoreboard_21[Damage Taken],Scoreboard_21[Role],"Ranged DPS",Scoreboard_21[Team],"Red")</f>
        <v>8017561</v>
      </c>
    </row>
    <row r="32" spans="1:26" ht="22.5" customHeight="1">
      <c r="A32" s="115">
        <v>25</v>
      </c>
      <c r="B32" s="115" t="s">
        <v>25</v>
      </c>
      <c r="C32" s="115" t="s">
        <v>69</v>
      </c>
      <c r="D32" s="115" t="s">
        <v>660</v>
      </c>
      <c r="E32" s="98" t="s">
        <v>90</v>
      </c>
      <c r="F32" s="115" t="s">
        <v>476</v>
      </c>
      <c r="G32" s="115">
        <v>22</v>
      </c>
      <c r="H32" s="115">
        <v>52</v>
      </c>
      <c r="I32" s="194">
        <v>74</v>
      </c>
      <c r="J32" s="116">
        <v>1087532</v>
      </c>
      <c r="K32" s="116">
        <v>1412739</v>
      </c>
      <c r="L32" s="116">
        <v>113695</v>
      </c>
      <c r="M32" s="195">
        <v>2.6860254083484573E-2</v>
      </c>
      <c r="N32" s="195">
        <v>3.4555423950484151E-2</v>
      </c>
      <c r="O32" s="195">
        <v>3.379273714212519E-2</v>
      </c>
      <c r="P32" s="195">
        <v>4.0427216059121772E-3</v>
      </c>
      <c r="R32" s="201" t="s">
        <v>470</v>
      </c>
      <c r="S32" s="202">
        <f>SUMIFS(Scoreboard_21[Amount Healed],Scoreboard_21[Role],"Ranged DPS",Scoreboard_21[Team],"Yellow")</f>
        <v>244162</v>
      </c>
      <c r="T32" s="203">
        <f>SUMIFS(Scoreboard_21[Amount Healed],Scoreboard_21[Role],"Ranged DPS",Scoreboard_21[Team],"Red")</f>
        <v>150233</v>
      </c>
    </row>
    <row r="33" spans="1:20" ht="22.5" customHeight="1">
      <c r="A33" s="115">
        <v>21</v>
      </c>
      <c r="B33" s="115" t="s">
        <v>25</v>
      </c>
      <c r="C33" s="115" t="s">
        <v>69</v>
      </c>
      <c r="D33" s="115" t="s">
        <v>573</v>
      </c>
      <c r="E33" s="98" t="s">
        <v>642</v>
      </c>
      <c r="F33" s="115" t="s">
        <v>483</v>
      </c>
      <c r="G33" s="115">
        <v>23</v>
      </c>
      <c r="H33" s="115">
        <v>50</v>
      </c>
      <c r="I33" s="194">
        <v>73</v>
      </c>
      <c r="J33" s="116">
        <v>1392073</v>
      </c>
      <c r="K33" s="116">
        <v>1557281</v>
      </c>
      <c r="L33" s="116">
        <v>68296</v>
      </c>
      <c r="M33" s="195">
        <v>2.3345059162136233E-2</v>
      </c>
      <c r="N33" s="195">
        <v>3.3323198856461407E-2</v>
      </c>
      <c r="O33" s="195">
        <v>4.953025830632693E-2</v>
      </c>
      <c r="P33" s="195">
        <v>3.2219918208509142E-3</v>
      </c>
      <c r="R33" s="201" t="s">
        <v>465</v>
      </c>
      <c r="S33" s="202">
        <f>SUMIFS(Scoreboard_21[Kills],Scoreboard_21[Role],"Ranged DPS",Scoreboard_21[Team],"Yellow")</f>
        <v>270</v>
      </c>
      <c r="T33" s="203">
        <f>SUMIFS(Scoreboard_21[Kills],Scoreboard_21[Role],"Ranged DPS",Scoreboard_21[Team],"Red")</f>
        <v>402</v>
      </c>
    </row>
    <row r="34" spans="1:20" ht="22.5" customHeight="1">
      <c r="A34" s="115">
        <v>17</v>
      </c>
      <c r="B34" s="115" t="s">
        <v>39</v>
      </c>
      <c r="C34" s="115" t="s">
        <v>54</v>
      </c>
      <c r="D34" s="115" t="s">
        <v>660</v>
      </c>
      <c r="E34" s="98" t="s">
        <v>95</v>
      </c>
      <c r="F34" s="115" t="s">
        <v>476</v>
      </c>
      <c r="G34" s="115">
        <v>29</v>
      </c>
      <c r="H34" s="115">
        <v>43</v>
      </c>
      <c r="I34" s="194">
        <v>72</v>
      </c>
      <c r="J34" s="116">
        <v>1446569</v>
      </c>
      <c r="K34" s="116">
        <v>1144955</v>
      </c>
      <c r="L34" s="116">
        <v>3914</v>
      </c>
      <c r="M34" s="195">
        <v>2.6134301270417423E-2</v>
      </c>
      <c r="N34" s="195">
        <v>4.596352573407303E-2</v>
      </c>
      <c r="O34" s="195">
        <v>2.7387340021449078E-2</v>
      </c>
      <c r="P34" s="195">
        <v>1.3917245582954624E-4</v>
      </c>
      <c r="R34" s="201" t="s">
        <v>466</v>
      </c>
      <c r="S34" s="202">
        <f>SUMIFS(Scoreboard_21[Assists],Scoreboard_21[Role],"Ranged DPS",Scoreboard_21[Team],"Yellow")</f>
        <v>601</v>
      </c>
      <c r="T34" s="203">
        <f>SUMIFS(Scoreboard_21[Assists],Scoreboard_21[Role],"Ranged DPS",Scoreboard_21[Team],"Red")</f>
        <v>832</v>
      </c>
    </row>
    <row r="35" spans="1:20" ht="22.5" customHeight="1">
      <c r="A35" s="115">
        <v>27</v>
      </c>
      <c r="B35" s="115" t="s">
        <v>39</v>
      </c>
      <c r="C35" s="115" t="s">
        <v>58</v>
      </c>
      <c r="D35" s="115" t="s">
        <v>660</v>
      </c>
      <c r="E35" s="98" t="s">
        <v>104</v>
      </c>
      <c r="F35" s="115" t="s">
        <v>476</v>
      </c>
      <c r="G35" s="115">
        <v>21</v>
      </c>
      <c r="H35" s="115">
        <v>51</v>
      </c>
      <c r="I35" s="194">
        <v>72</v>
      </c>
      <c r="J35" s="116">
        <v>1401508</v>
      </c>
      <c r="K35" s="116">
        <v>1062434</v>
      </c>
      <c r="L35" s="116">
        <v>22596</v>
      </c>
      <c r="M35" s="195">
        <v>2.6134301270417423E-2</v>
      </c>
      <c r="N35" s="195">
        <v>4.4531749971490626E-2</v>
      </c>
      <c r="O35" s="195">
        <v>2.5413436517896536E-2</v>
      </c>
      <c r="P35" s="195">
        <v>8.0345958403792205E-4</v>
      </c>
      <c r="R35" s="201" t="s">
        <v>54</v>
      </c>
      <c r="S35" s="202">
        <f t="shared" ref="S35:S46" si="2">COUNTIFS(C:C,R35,F:F,"Yellow")</f>
        <v>2</v>
      </c>
      <c r="T35" s="203">
        <f t="shared" ref="T35:T46" si="3">COUNTIFS(C:C,R35,F:F,"Red")</f>
        <v>3</v>
      </c>
    </row>
    <row r="36" spans="1:20" ht="22.5" customHeight="1">
      <c r="A36" s="115">
        <v>37</v>
      </c>
      <c r="B36" s="115" t="s">
        <v>39</v>
      </c>
      <c r="C36" s="115" t="s">
        <v>50</v>
      </c>
      <c r="D36" s="115" t="s">
        <v>660</v>
      </c>
      <c r="E36" s="98" t="s">
        <v>94</v>
      </c>
      <c r="F36" s="115" t="s">
        <v>476</v>
      </c>
      <c r="G36" s="115">
        <v>4</v>
      </c>
      <c r="H36" s="115">
        <v>66</v>
      </c>
      <c r="I36" s="194">
        <v>70</v>
      </c>
      <c r="J36" s="116">
        <v>740256</v>
      </c>
      <c r="K36" s="116">
        <v>696740</v>
      </c>
      <c r="L36" s="116">
        <v>156160</v>
      </c>
      <c r="M36" s="195">
        <v>2.5408348457350273E-2</v>
      </c>
      <c r="N36" s="195">
        <v>2.3521018151088518E-2</v>
      </c>
      <c r="O36" s="195">
        <v>1.6666030792952063E-2</v>
      </c>
      <c r="P36" s="195">
        <v>5.5526751922181762E-3</v>
      </c>
      <c r="R36" s="201" t="s">
        <v>43</v>
      </c>
      <c r="S36" s="202">
        <f t="shared" si="2"/>
        <v>0</v>
      </c>
      <c r="T36" s="203">
        <f t="shared" si="3"/>
        <v>0</v>
      </c>
    </row>
    <row r="37" spans="1:20" ht="22.5" customHeight="1">
      <c r="A37" s="115">
        <v>34</v>
      </c>
      <c r="B37" s="115" t="s">
        <v>39</v>
      </c>
      <c r="C37" s="115" t="s">
        <v>58</v>
      </c>
      <c r="D37" s="115" t="s">
        <v>660</v>
      </c>
      <c r="E37" s="98" t="s">
        <v>76</v>
      </c>
      <c r="F37" s="115" t="s">
        <v>476</v>
      </c>
      <c r="G37" s="115">
        <v>14</v>
      </c>
      <c r="H37" s="115">
        <v>55</v>
      </c>
      <c r="I37" s="194">
        <v>69</v>
      </c>
      <c r="J37" s="116">
        <v>1180829</v>
      </c>
      <c r="K37" s="116">
        <v>1299759</v>
      </c>
      <c r="L37" s="116">
        <v>20436</v>
      </c>
      <c r="M37" s="195">
        <v>2.5045372050816698E-2</v>
      </c>
      <c r="N37" s="195">
        <v>3.7519858457522405E-2</v>
      </c>
      <c r="O37" s="195">
        <v>3.109025392171625E-2</v>
      </c>
      <c r="P37" s="195">
        <v>7.2665516283408453E-4</v>
      </c>
      <c r="R37" s="201" t="s">
        <v>45</v>
      </c>
      <c r="S37" s="202">
        <f t="shared" si="2"/>
        <v>0</v>
      </c>
      <c r="T37" s="203">
        <f t="shared" si="3"/>
        <v>2</v>
      </c>
    </row>
    <row r="38" spans="1:20" ht="22.5" customHeight="1">
      <c r="A38" s="115">
        <v>55</v>
      </c>
      <c r="B38" s="115" t="s">
        <v>11</v>
      </c>
      <c r="C38" s="115" t="s">
        <v>10</v>
      </c>
      <c r="D38" s="115" t="s">
        <v>660</v>
      </c>
      <c r="E38" s="98" t="s">
        <v>49</v>
      </c>
      <c r="F38" s="115" t="s">
        <v>476</v>
      </c>
      <c r="G38" s="115">
        <v>0</v>
      </c>
      <c r="H38" s="115">
        <v>69</v>
      </c>
      <c r="I38" s="194">
        <v>69</v>
      </c>
      <c r="J38" s="116">
        <v>30950</v>
      </c>
      <c r="K38" s="116">
        <v>393327</v>
      </c>
      <c r="L38" s="116">
        <v>2237626</v>
      </c>
      <c r="M38" s="195">
        <v>2.5045372050816698E-2</v>
      </c>
      <c r="N38" s="195">
        <v>9.8341048471905623E-4</v>
      </c>
      <c r="O38" s="195">
        <v>9.4083874812691346E-3</v>
      </c>
      <c r="P38" s="195">
        <v>7.9564615648452797E-2</v>
      </c>
      <c r="R38" s="201" t="s">
        <v>81</v>
      </c>
      <c r="S38" s="202">
        <f t="shared" si="2"/>
        <v>0</v>
      </c>
      <c r="T38" s="203">
        <f t="shared" si="3"/>
        <v>0</v>
      </c>
    </row>
    <row r="39" spans="1:20" ht="22.5" customHeight="1">
      <c r="A39" s="115">
        <v>56</v>
      </c>
      <c r="B39" s="115" t="s">
        <v>11</v>
      </c>
      <c r="C39" s="115" t="s">
        <v>10</v>
      </c>
      <c r="D39" s="115" t="s">
        <v>660</v>
      </c>
      <c r="E39" s="98" t="s">
        <v>115</v>
      </c>
      <c r="F39" s="115" t="s">
        <v>476</v>
      </c>
      <c r="G39" s="115">
        <v>0</v>
      </c>
      <c r="H39" s="115">
        <v>67</v>
      </c>
      <c r="I39" s="194">
        <v>67</v>
      </c>
      <c r="J39" s="116">
        <v>29287</v>
      </c>
      <c r="K39" s="116">
        <v>796079</v>
      </c>
      <c r="L39" s="116">
        <v>1855425</v>
      </c>
      <c r="M39" s="195">
        <v>2.4319419237749548E-2</v>
      </c>
      <c r="N39" s="195">
        <v>9.3057004413463641E-4</v>
      </c>
      <c r="O39" s="195">
        <v>1.9042221097715771E-2</v>
      </c>
      <c r="P39" s="195">
        <v>6.597446445006025E-2</v>
      </c>
      <c r="R39" s="201" t="s">
        <v>48</v>
      </c>
      <c r="S39" s="202">
        <f t="shared" si="2"/>
        <v>0</v>
      </c>
      <c r="T39" s="203">
        <f t="shared" si="3"/>
        <v>0</v>
      </c>
    </row>
    <row r="40" spans="1:20" ht="22.5" customHeight="1">
      <c r="A40" s="115">
        <v>30</v>
      </c>
      <c r="B40" s="115" t="s">
        <v>25</v>
      </c>
      <c r="C40" s="115" t="s">
        <v>69</v>
      </c>
      <c r="D40" s="115" t="s">
        <v>573</v>
      </c>
      <c r="E40" s="98" t="s">
        <v>643</v>
      </c>
      <c r="F40" s="115" t="s">
        <v>483</v>
      </c>
      <c r="G40" s="115">
        <v>18</v>
      </c>
      <c r="H40" s="115">
        <v>48</v>
      </c>
      <c r="I40" s="194">
        <v>66</v>
      </c>
      <c r="J40" s="116">
        <v>1017821</v>
      </c>
      <c r="K40" s="116">
        <v>1036605</v>
      </c>
      <c r="L40" s="116">
        <v>59803</v>
      </c>
      <c r="M40" s="195">
        <v>2.1106491845219059E-2</v>
      </c>
      <c r="N40" s="195">
        <v>2.4364420244687175E-2</v>
      </c>
      <c r="O40" s="195">
        <v>3.2969845141390688E-2</v>
      </c>
      <c r="P40" s="195">
        <v>2.821318625722549E-3</v>
      </c>
      <c r="R40" s="201" t="s">
        <v>50</v>
      </c>
      <c r="S40" s="202">
        <f t="shared" si="2"/>
        <v>1</v>
      </c>
      <c r="T40" s="203">
        <f t="shared" si="3"/>
        <v>0</v>
      </c>
    </row>
    <row r="41" spans="1:20" ht="22.5" customHeight="1">
      <c r="A41" s="115">
        <v>20</v>
      </c>
      <c r="B41" s="115" t="s">
        <v>25</v>
      </c>
      <c r="C41" s="115" t="s">
        <v>69</v>
      </c>
      <c r="D41" s="115" t="s">
        <v>660</v>
      </c>
      <c r="E41" s="98" t="s">
        <v>68</v>
      </c>
      <c r="F41" s="115" t="s">
        <v>476</v>
      </c>
      <c r="G41" s="115">
        <v>25</v>
      </c>
      <c r="H41" s="115">
        <v>40</v>
      </c>
      <c r="I41" s="194">
        <v>65</v>
      </c>
      <c r="J41" s="116">
        <v>1246886</v>
      </c>
      <c r="K41" s="116">
        <v>1479297</v>
      </c>
      <c r="L41" s="116">
        <v>119412</v>
      </c>
      <c r="M41" s="195">
        <v>2.3593466424682397E-2</v>
      </c>
      <c r="N41" s="195">
        <v>3.9618764641337803E-2</v>
      </c>
      <c r="O41" s="195">
        <v>3.5384805456729354E-2</v>
      </c>
      <c r="P41" s="195">
        <v>4.2460044188854821E-3</v>
      </c>
      <c r="R41" s="201" t="s">
        <v>52</v>
      </c>
      <c r="S41" s="202">
        <f t="shared" si="2"/>
        <v>0</v>
      </c>
      <c r="T41" s="203">
        <f t="shared" si="3"/>
        <v>0</v>
      </c>
    </row>
    <row r="42" spans="1:20" ht="22.5" customHeight="1">
      <c r="A42" s="115">
        <v>57</v>
      </c>
      <c r="B42" s="115" t="s">
        <v>11</v>
      </c>
      <c r="C42" s="115" t="s">
        <v>9</v>
      </c>
      <c r="D42" s="115" t="s">
        <v>573</v>
      </c>
      <c r="E42" s="98" t="s">
        <v>641</v>
      </c>
      <c r="F42" s="115" t="s">
        <v>483</v>
      </c>
      <c r="G42" s="115">
        <v>0</v>
      </c>
      <c r="H42" s="115">
        <v>64</v>
      </c>
      <c r="I42" s="194">
        <v>64</v>
      </c>
      <c r="J42" s="116">
        <v>9593</v>
      </c>
      <c r="K42" s="116">
        <v>141412</v>
      </c>
      <c r="L42" s="116">
        <v>1168141</v>
      </c>
      <c r="M42" s="195">
        <v>2.0466901183242726E-2</v>
      </c>
      <c r="N42" s="195">
        <v>2.2963554830101172E-4</v>
      </c>
      <c r="O42" s="195">
        <v>4.4976936645437166E-3</v>
      </c>
      <c r="P42" s="195">
        <v>5.5109241355285929E-2</v>
      </c>
      <c r="R42" s="201" t="s">
        <v>32</v>
      </c>
      <c r="S42" s="202">
        <f t="shared" si="2"/>
        <v>0</v>
      </c>
      <c r="T42" s="203">
        <f t="shared" si="3"/>
        <v>0</v>
      </c>
    </row>
    <row r="43" spans="1:20" ht="22.5" customHeight="1">
      <c r="A43" s="115">
        <v>58</v>
      </c>
      <c r="B43" s="115" t="s">
        <v>11</v>
      </c>
      <c r="C43" s="115" t="s">
        <v>10</v>
      </c>
      <c r="D43" s="115" t="s">
        <v>573</v>
      </c>
      <c r="E43" s="98" t="s">
        <v>366</v>
      </c>
      <c r="F43" s="115" t="s">
        <v>483</v>
      </c>
      <c r="G43" s="115">
        <v>0</v>
      </c>
      <c r="H43" s="115">
        <v>63</v>
      </c>
      <c r="I43" s="194">
        <v>63</v>
      </c>
      <c r="J43" s="116">
        <v>38339</v>
      </c>
      <c r="K43" s="116">
        <v>527174</v>
      </c>
      <c r="L43" s="116">
        <v>1393480</v>
      </c>
      <c r="M43" s="195">
        <v>2.0147105852254557E-2</v>
      </c>
      <c r="N43" s="195">
        <v>9.1775224500286552E-4</v>
      </c>
      <c r="O43" s="195">
        <v>1.6767085960966321E-2</v>
      </c>
      <c r="P43" s="195">
        <v>6.5740031078237851E-2</v>
      </c>
      <c r="R43" s="201" t="s">
        <v>56</v>
      </c>
      <c r="S43" s="202">
        <f t="shared" si="2"/>
        <v>0</v>
      </c>
      <c r="T43" s="203">
        <f t="shared" si="3"/>
        <v>0</v>
      </c>
    </row>
    <row r="44" spans="1:20" ht="22.5" customHeight="1">
      <c r="A44" s="115">
        <v>59</v>
      </c>
      <c r="B44" s="115" t="s">
        <v>11</v>
      </c>
      <c r="C44" s="115" t="s">
        <v>9</v>
      </c>
      <c r="D44" s="115"/>
      <c r="E44" s="98" t="s">
        <v>97</v>
      </c>
      <c r="F44" s="115" t="s">
        <v>476</v>
      </c>
      <c r="G44" s="115">
        <v>0</v>
      </c>
      <c r="H44" s="115">
        <v>63</v>
      </c>
      <c r="I44" s="194">
        <v>63</v>
      </c>
      <c r="J44" s="116">
        <v>11986</v>
      </c>
      <c r="K44" s="116">
        <v>302892</v>
      </c>
      <c r="L44" s="116">
        <v>807558</v>
      </c>
      <c r="M44" s="195">
        <v>2.2867513611615244E-2</v>
      </c>
      <c r="N44" s="195">
        <v>3.8084517188505999E-4</v>
      </c>
      <c r="O44" s="195">
        <v>7.2451809842105181E-3</v>
      </c>
      <c r="P44" s="195">
        <v>2.8714826286355827E-2</v>
      </c>
      <c r="R44" s="201" t="s">
        <v>58</v>
      </c>
      <c r="S44" s="202">
        <f t="shared" si="2"/>
        <v>6</v>
      </c>
      <c r="T44" s="203">
        <f t="shared" si="3"/>
        <v>6</v>
      </c>
    </row>
    <row r="45" spans="1:20" ht="22.5" customHeight="1">
      <c r="A45" s="115">
        <v>31</v>
      </c>
      <c r="B45" s="115" t="s">
        <v>25</v>
      </c>
      <c r="C45" s="115" t="s">
        <v>69</v>
      </c>
      <c r="D45" s="115" t="s">
        <v>573</v>
      </c>
      <c r="E45" s="98" t="s">
        <v>663</v>
      </c>
      <c r="F45" s="115" t="s">
        <v>483</v>
      </c>
      <c r="G45" s="115">
        <v>16</v>
      </c>
      <c r="H45" s="115">
        <v>46</v>
      </c>
      <c r="I45" s="194">
        <v>62</v>
      </c>
      <c r="J45" s="116">
        <v>838908</v>
      </c>
      <c r="K45" s="116">
        <v>892116</v>
      </c>
      <c r="L45" s="116">
        <v>15148</v>
      </c>
      <c r="M45" s="195">
        <v>1.9827310521266388E-2</v>
      </c>
      <c r="N45" s="195">
        <v>2.0081632289597116E-2</v>
      </c>
      <c r="O45" s="195">
        <v>2.8374285642223308E-2</v>
      </c>
      <c r="P45" s="195">
        <v>7.1463529492575919E-4</v>
      </c>
      <c r="R45" s="201" t="s">
        <v>60</v>
      </c>
      <c r="S45" s="202">
        <f t="shared" si="2"/>
        <v>0</v>
      </c>
      <c r="T45" s="203">
        <f t="shared" si="3"/>
        <v>0</v>
      </c>
    </row>
    <row r="46" spans="1:20" ht="22.5" customHeight="1">
      <c r="A46" s="115">
        <v>60</v>
      </c>
      <c r="B46" s="115" t="s">
        <v>11</v>
      </c>
      <c r="C46" s="115" t="s">
        <v>9</v>
      </c>
      <c r="D46" s="115" t="s">
        <v>660</v>
      </c>
      <c r="E46" s="98" t="s">
        <v>51</v>
      </c>
      <c r="F46" s="115" t="s">
        <v>476</v>
      </c>
      <c r="G46" s="115">
        <v>0</v>
      </c>
      <c r="H46" s="115">
        <v>62</v>
      </c>
      <c r="I46" s="194">
        <v>62</v>
      </c>
      <c r="J46" s="116">
        <v>42824</v>
      </c>
      <c r="K46" s="116">
        <v>670617</v>
      </c>
      <c r="L46" s="116">
        <v>707118</v>
      </c>
      <c r="M46" s="195">
        <v>2.2504537205081668E-2</v>
      </c>
      <c r="N46" s="195">
        <v>1.3606969498419664E-3</v>
      </c>
      <c r="O46" s="195">
        <v>1.6041168258284489E-2</v>
      </c>
      <c r="P46" s="195">
        <v>2.5143420700377384E-2</v>
      </c>
      <c r="R46" s="201" t="s">
        <v>63</v>
      </c>
      <c r="S46" s="202">
        <f t="shared" si="2"/>
        <v>0</v>
      </c>
      <c r="T46" s="203">
        <f t="shared" si="3"/>
        <v>0</v>
      </c>
    </row>
    <row r="47" spans="1:20" ht="22.5" customHeight="1">
      <c r="A47" s="115">
        <v>62</v>
      </c>
      <c r="B47" s="115" t="s">
        <v>11</v>
      </c>
      <c r="C47" s="115" t="s">
        <v>9</v>
      </c>
      <c r="D47" s="115"/>
      <c r="E47" s="98" t="s">
        <v>664</v>
      </c>
      <c r="F47" s="115" t="s">
        <v>476</v>
      </c>
      <c r="G47" s="115">
        <v>0</v>
      </c>
      <c r="H47" s="115">
        <v>61</v>
      </c>
      <c r="I47" s="194">
        <v>61</v>
      </c>
      <c r="J47" s="116">
        <v>5651</v>
      </c>
      <c r="K47" s="116">
        <v>436743</v>
      </c>
      <c r="L47" s="116">
        <v>501217</v>
      </c>
      <c r="M47" s="195">
        <v>2.2141560798548093E-2</v>
      </c>
      <c r="N47" s="195">
        <v>1.7955582065096564E-4</v>
      </c>
      <c r="O47" s="195">
        <v>1.0446898823960535E-2</v>
      </c>
      <c r="P47" s="195">
        <v>1.7822074806723986E-2</v>
      </c>
      <c r="R47" s="204"/>
      <c r="S47" s="208"/>
      <c r="T47" s="208"/>
    </row>
    <row r="48" spans="1:20" ht="22.5" customHeight="1">
      <c r="A48" s="115">
        <v>61</v>
      </c>
      <c r="B48" s="115" t="s">
        <v>11</v>
      </c>
      <c r="C48" s="115" t="s">
        <v>9</v>
      </c>
      <c r="D48" s="115" t="s">
        <v>573</v>
      </c>
      <c r="E48" s="98" t="s">
        <v>593</v>
      </c>
      <c r="F48" s="115" t="s">
        <v>483</v>
      </c>
      <c r="G48" s="115">
        <v>0</v>
      </c>
      <c r="H48" s="115">
        <v>61</v>
      </c>
      <c r="I48" s="194">
        <v>61</v>
      </c>
      <c r="J48" s="116">
        <v>8664</v>
      </c>
      <c r="K48" s="116">
        <v>356690</v>
      </c>
      <c r="L48" s="116">
        <v>1199019</v>
      </c>
      <c r="M48" s="195">
        <v>1.9507515190278223E-2</v>
      </c>
      <c r="N48" s="195">
        <v>2.0739730954654078E-4</v>
      </c>
      <c r="O48" s="195">
        <v>1.1344739860875303E-2</v>
      </c>
      <c r="P48" s="195">
        <v>5.656596888609644E-2</v>
      </c>
      <c r="R48" s="6"/>
      <c r="S48" s="209"/>
      <c r="T48" s="209"/>
    </row>
    <row r="49" spans="1:20" ht="22.5" customHeight="1">
      <c r="A49" s="115">
        <v>63</v>
      </c>
      <c r="B49" s="115" t="s">
        <v>11</v>
      </c>
      <c r="C49" s="115" t="s">
        <v>10</v>
      </c>
      <c r="D49" s="115"/>
      <c r="E49" s="98" t="s">
        <v>645</v>
      </c>
      <c r="F49" s="115" t="s">
        <v>476</v>
      </c>
      <c r="G49" s="115">
        <v>0</v>
      </c>
      <c r="H49" s="115">
        <v>60</v>
      </c>
      <c r="I49" s="194">
        <v>60</v>
      </c>
      <c r="J49" s="116">
        <v>28668</v>
      </c>
      <c r="K49" s="116">
        <v>562580</v>
      </c>
      <c r="L49" s="116">
        <v>2069009</v>
      </c>
      <c r="M49" s="195">
        <v>2.1778584392014518E-2</v>
      </c>
      <c r="N49" s="195">
        <v>9.1090183444025527E-4</v>
      </c>
      <c r="O49" s="195">
        <v>1.3456921668770232E-2</v>
      </c>
      <c r="P49" s="195">
        <v>7.3568999403023416E-2</v>
      </c>
      <c r="R49" s="232" t="s">
        <v>67</v>
      </c>
      <c r="S49" s="228"/>
      <c r="T49" s="228"/>
    </row>
    <row r="50" spans="1:20" ht="22.5" customHeight="1">
      <c r="A50" s="115">
        <v>64</v>
      </c>
      <c r="B50" s="115" t="s">
        <v>11</v>
      </c>
      <c r="C50" s="115" t="s">
        <v>9</v>
      </c>
      <c r="D50" s="115" t="s">
        <v>660</v>
      </c>
      <c r="E50" s="98" t="s">
        <v>96</v>
      </c>
      <c r="F50" s="115" t="s">
        <v>476</v>
      </c>
      <c r="G50" s="115">
        <v>0</v>
      </c>
      <c r="H50" s="115">
        <v>59</v>
      </c>
      <c r="I50" s="194">
        <v>59</v>
      </c>
      <c r="J50" s="116">
        <v>28346</v>
      </c>
      <c r="K50" s="116">
        <v>549306</v>
      </c>
      <c r="L50" s="116">
        <v>828528</v>
      </c>
      <c r="M50" s="195">
        <v>2.1415607985480943E-2</v>
      </c>
      <c r="N50" s="195">
        <v>9.0067055249907482E-4</v>
      </c>
      <c r="O50" s="195">
        <v>1.3139407398388677E-2</v>
      </c>
      <c r="P50" s="195">
        <v>2.9460469208876416E-2</v>
      </c>
      <c r="R50" s="197" t="s">
        <v>482</v>
      </c>
      <c r="S50" s="198" t="s">
        <v>476</v>
      </c>
      <c r="T50" s="198" t="s">
        <v>483</v>
      </c>
    </row>
    <row r="51" spans="1:20" ht="22.5" customHeight="1">
      <c r="A51" s="115">
        <v>65</v>
      </c>
      <c r="B51" s="115" t="s">
        <v>11</v>
      </c>
      <c r="C51" s="115" t="s">
        <v>9</v>
      </c>
      <c r="D51" s="115" t="s">
        <v>660</v>
      </c>
      <c r="E51" s="98" t="s">
        <v>44</v>
      </c>
      <c r="F51" s="115" t="s">
        <v>476</v>
      </c>
      <c r="G51" s="115">
        <v>0</v>
      </c>
      <c r="H51" s="115">
        <v>59</v>
      </c>
      <c r="I51" s="194">
        <v>59</v>
      </c>
      <c r="J51" s="116">
        <v>3086</v>
      </c>
      <c r="K51" s="116">
        <v>475766</v>
      </c>
      <c r="L51" s="116">
        <v>999178</v>
      </c>
      <c r="M51" s="195">
        <v>2.1415607985480943E-2</v>
      </c>
      <c r="N51" s="195">
        <v>9.8055080964232872E-5</v>
      </c>
      <c r="O51" s="195">
        <v>1.1380329543645594E-2</v>
      </c>
      <c r="P51" s="195">
        <v>3.552837406000367E-2</v>
      </c>
      <c r="R51" s="201" t="s">
        <v>468</v>
      </c>
      <c r="S51" s="202">
        <f>SUMIFS(Scoreboard_21[Damage Dealt],Scoreboard_21[Role],"Tank",Scoreboard_21[Team],"Yellow")</f>
        <v>898503</v>
      </c>
      <c r="T51" s="203">
        <f>SUMIFS(Scoreboard_21[Damage Dealt],Scoreboard_21[Role],"Tank",Scoreboard_21[Team],"Red")</f>
        <v>1577237</v>
      </c>
    </row>
    <row r="52" spans="1:20" ht="22.5" customHeight="1">
      <c r="A52" s="115">
        <v>32</v>
      </c>
      <c r="B52" s="115" t="s">
        <v>25</v>
      </c>
      <c r="C52" s="115" t="s">
        <v>69</v>
      </c>
      <c r="D52" s="115" t="s">
        <v>573</v>
      </c>
      <c r="E52" s="98" t="s">
        <v>581</v>
      </c>
      <c r="F52" s="115" t="s">
        <v>483</v>
      </c>
      <c r="G52" s="115">
        <v>15</v>
      </c>
      <c r="H52" s="115">
        <v>42</v>
      </c>
      <c r="I52" s="194">
        <v>57</v>
      </c>
      <c r="J52" s="116">
        <v>884498</v>
      </c>
      <c r="K52" s="116">
        <v>1431070</v>
      </c>
      <c r="L52" s="116">
        <v>120061</v>
      </c>
      <c r="M52" s="195">
        <v>1.8228333866325552E-2</v>
      </c>
      <c r="N52" s="195">
        <v>2.1172957698441391E-2</v>
      </c>
      <c r="O52" s="195">
        <v>4.5516041584296785E-2</v>
      </c>
      <c r="P52" s="195">
        <v>5.6641027293425914E-3</v>
      </c>
      <c r="R52" s="201" t="s">
        <v>469</v>
      </c>
      <c r="S52" s="202">
        <f>SUMIFS(Scoreboard_21[Damage Taken],Scoreboard_21[Role],"Tank",Scoreboard_21[Team],"Yellow")</f>
        <v>9855656</v>
      </c>
      <c r="T52" s="203">
        <f>SUMIFS(Scoreboard_21[Damage Taken],Scoreboard_21[Role],"Tank",Scoreboard_21[Team],"Red")</f>
        <v>8381740</v>
      </c>
    </row>
    <row r="53" spans="1:20" ht="22.5" customHeight="1">
      <c r="A53" s="115">
        <v>66</v>
      </c>
      <c r="B53" s="115" t="s">
        <v>11</v>
      </c>
      <c r="C53" s="115" t="s">
        <v>10</v>
      </c>
      <c r="D53" s="115" t="s">
        <v>660</v>
      </c>
      <c r="E53" s="98" t="s">
        <v>29</v>
      </c>
      <c r="F53" s="115" t="s">
        <v>476</v>
      </c>
      <c r="G53" s="115">
        <v>0</v>
      </c>
      <c r="H53" s="115">
        <v>57</v>
      </c>
      <c r="I53" s="194">
        <v>57</v>
      </c>
      <c r="J53" s="116">
        <v>63865</v>
      </c>
      <c r="K53" s="116">
        <v>651455</v>
      </c>
      <c r="L53" s="116">
        <v>3355200</v>
      </c>
      <c r="M53" s="195">
        <v>2.0689655172413793E-2</v>
      </c>
      <c r="N53" s="195">
        <v>2.0292572086133285E-3</v>
      </c>
      <c r="O53" s="195">
        <v>1.5582812943454641E-2</v>
      </c>
      <c r="P53" s="195">
        <v>0.11930286760329421</v>
      </c>
      <c r="R53" s="201" t="s">
        <v>470</v>
      </c>
      <c r="S53" s="202">
        <f>SUMIFS(Scoreboard_21[Amount Healed],Scoreboard_21[Role],"Tank",Scoreboard_21[Team],"Yellow")</f>
        <v>663052</v>
      </c>
      <c r="T53" s="203">
        <f>SUMIFS(Scoreboard_21[Amount Healed],Scoreboard_21[Role],"Tank",Scoreboard_21[Team],"Red")</f>
        <v>467338</v>
      </c>
    </row>
    <row r="54" spans="1:20" ht="22.5" customHeight="1">
      <c r="A54" s="115">
        <v>67</v>
      </c>
      <c r="B54" s="115" t="s">
        <v>11</v>
      </c>
      <c r="C54" s="115" t="s">
        <v>9</v>
      </c>
      <c r="D54" s="115" t="s">
        <v>660</v>
      </c>
      <c r="E54" s="98" t="s">
        <v>91</v>
      </c>
      <c r="F54" s="115" t="s">
        <v>476</v>
      </c>
      <c r="G54" s="115">
        <v>0</v>
      </c>
      <c r="H54" s="115">
        <v>57</v>
      </c>
      <c r="I54" s="194">
        <v>57</v>
      </c>
      <c r="J54" s="116">
        <v>8549</v>
      </c>
      <c r="K54" s="116">
        <v>551358</v>
      </c>
      <c r="L54" s="116">
        <v>1390063</v>
      </c>
      <c r="M54" s="195">
        <v>2.0689655172413793E-2</v>
      </c>
      <c r="N54" s="195">
        <v>2.7163735812159003E-4</v>
      </c>
      <c r="O54" s="195">
        <v>1.3188491267819364E-2</v>
      </c>
      <c r="P54" s="195">
        <v>4.9427307477717564E-2</v>
      </c>
      <c r="R54" s="201" t="s">
        <v>465</v>
      </c>
      <c r="S54" s="202">
        <f>SUMIFS(Scoreboard_21[Kills],Scoreboard_21[Role],"Tank",Scoreboard_21[Team],"Yellow")</f>
        <v>14</v>
      </c>
      <c r="T54" s="203">
        <f>SUMIFS(Scoreboard_21[Kills],Scoreboard_21[Role],"Tank",Scoreboard_21[Team],"Red")</f>
        <v>16</v>
      </c>
    </row>
    <row r="55" spans="1:20" ht="22.5" customHeight="1">
      <c r="A55" s="115">
        <v>68</v>
      </c>
      <c r="B55" s="115" t="s">
        <v>11</v>
      </c>
      <c r="C55" s="115" t="s">
        <v>9</v>
      </c>
      <c r="D55" s="115" t="s">
        <v>573</v>
      </c>
      <c r="E55" s="98" t="s">
        <v>596</v>
      </c>
      <c r="F55" s="115" t="s">
        <v>483</v>
      </c>
      <c r="G55" s="115">
        <v>0</v>
      </c>
      <c r="H55" s="115">
        <v>54</v>
      </c>
      <c r="I55" s="194">
        <v>54</v>
      </c>
      <c r="J55" s="116">
        <v>870</v>
      </c>
      <c r="K55" s="116">
        <v>177902</v>
      </c>
      <c r="L55" s="116">
        <v>378244</v>
      </c>
      <c r="M55" s="195">
        <v>1.726894787336105E-2</v>
      </c>
      <c r="N55" s="195">
        <v>2.0825907122055685E-5</v>
      </c>
      <c r="O55" s="195">
        <v>5.6582800491447429E-3</v>
      </c>
      <c r="P55" s="195">
        <v>1.7844369718371986E-2</v>
      </c>
      <c r="R55" s="201" t="s">
        <v>466</v>
      </c>
      <c r="S55" s="202">
        <f>SUMIFS(Scoreboard_21[Assists],Scoreboard_21[Role],"Tank",Scoreboard_21[Team],"Yellow")</f>
        <v>230</v>
      </c>
      <c r="T55" s="203">
        <f>SUMIFS(Scoreboard_21[Assists],Scoreboard_21[Role],"Tank",Scoreboard_21[Team],"Red")</f>
        <v>242</v>
      </c>
    </row>
    <row r="56" spans="1:20" ht="22.5" customHeight="1">
      <c r="A56" s="115">
        <v>69</v>
      </c>
      <c r="B56" s="115" t="s">
        <v>11</v>
      </c>
      <c r="C56" s="115" t="s">
        <v>9</v>
      </c>
      <c r="D56" s="115" t="s">
        <v>573</v>
      </c>
      <c r="E56" s="98" t="s">
        <v>594</v>
      </c>
      <c r="F56" s="115" t="s">
        <v>483</v>
      </c>
      <c r="G56" s="115">
        <v>0</v>
      </c>
      <c r="H56" s="115">
        <v>52</v>
      </c>
      <c r="I56" s="194">
        <v>52</v>
      </c>
      <c r="J56" s="116">
        <v>984</v>
      </c>
      <c r="K56" s="116">
        <v>298719</v>
      </c>
      <c r="L56" s="116">
        <v>775628</v>
      </c>
      <c r="M56" s="195">
        <v>1.6629357211384713E-2</v>
      </c>
      <c r="N56" s="195">
        <v>2.3554819089773328E-5</v>
      </c>
      <c r="O56" s="195">
        <v>9.5009373587731927E-3</v>
      </c>
      <c r="P56" s="195">
        <v>3.6591704814673671E-2</v>
      </c>
      <c r="R56" s="201" t="s">
        <v>62</v>
      </c>
      <c r="S56" s="202">
        <f t="shared" ref="S56:S60" si="4">COUNTIFS(C:C,R56,F:F,"Yellow")</f>
        <v>1</v>
      </c>
      <c r="T56" s="203">
        <f t="shared" ref="T56:T60" si="5">COUNTIFS(C:C,R56,F:F,"Red")</f>
        <v>3</v>
      </c>
    </row>
    <row r="57" spans="1:20" ht="22.5" customHeight="1">
      <c r="A57" s="115">
        <v>70</v>
      </c>
      <c r="B57" s="115" t="s">
        <v>11</v>
      </c>
      <c r="C57" s="115" t="s">
        <v>9</v>
      </c>
      <c r="D57" s="115" t="s">
        <v>573</v>
      </c>
      <c r="E57" s="98" t="s">
        <v>144</v>
      </c>
      <c r="F57" s="115" t="s">
        <v>483</v>
      </c>
      <c r="G57" s="115">
        <v>0</v>
      </c>
      <c r="H57" s="115">
        <v>49</v>
      </c>
      <c r="I57" s="194">
        <v>49</v>
      </c>
      <c r="J57" s="116">
        <v>98</v>
      </c>
      <c r="K57" s="116">
        <v>290559</v>
      </c>
      <c r="L57" s="116">
        <v>1044886</v>
      </c>
      <c r="M57" s="195">
        <v>1.566997121842021E-2</v>
      </c>
      <c r="N57" s="195">
        <v>2.3459067792660429E-6</v>
      </c>
      <c r="O57" s="195">
        <v>9.2414036536938721E-3</v>
      </c>
      <c r="P57" s="195">
        <v>4.9294455688790387E-2</v>
      </c>
      <c r="R57" s="201" t="s">
        <v>70</v>
      </c>
      <c r="S57" s="202">
        <f t="shared" si="4"/>
        <v>0</v>
      </c>
      <c r="T57" s="203">
        <f t="shared" si="5"/>
        <v>0</v>
      </c>
    </row>
    <row r="58" spans="1:20" ht="22.5" customHeight="1">
      <c r="A58" s="115">
        <v>71</v>
      </c>
      <c r="B58" s="115" t="s">
        <v>11</v>
      </c>
      <c r="C58" s="115" t="s">
        <v>10</v>
      </c>
      <c r="D58" s="115" t="s">
        <v>573</v>
      </c>
      <c r="E58" s="98" t="s">
        <v>605</v>
      </c>
      <c r="F58" s="115" t="s">
        <v>483</v>
      </c>
      <c r="G58" s="115">
        <v>0</v>
      </c>
      <c r="H58" s="115">
        <v>45</v>
      </c>
      <c r="I58" s="194">
        <v>45</v>
      </c>
      <c r="J58" s="116">
        <v>44916</v>
      </c>
      <c r="K58" s="116">
        <v>603354</v>
      </c>
      <c r="L58" s="116">
        <v>628167</v>
      </c>
      <c r="M58" s="195">
        <v>1.4390789894467541E-2</v>
      </c>
      <c r="N58" s="195">
        <v>1.0751913152807508E-3</v>
      </c>
      <c r="O58" s="195">
        <v>1.9190036653728891E-2</v>
      </c>
      <c r="P58" s="195">
        <v>2.9634955724031513E-2</v>
      </c>
      <c r="R58" s="201" t="s">
        <v>14</v>
      </c>
      <c r="S58" s="202">
        <f t="shared" si="4"/>
        <v>9</v>
      </c>
      <c r="T58" s="203">
        <f t="shared" si="5"/>
        <v>8</v>
      </c>
    </row>
    <row r="59" spans="1:20" ht="22.5" customHeight="1">
      <c r="A59" s="115">
        <v>33</v>
      </c>
      <c r="B59" s="115" t="s">
        <v>25</v>
      </c>
      <c r="C59" s="115" t="s">
        <v>69</v>
      </c>
      <c r="D59" s="115" t="s">
        <v>660</v>
      </c>
      <c r="E59" s="98" t="s">
        <v>110</v>
      </c>
      <c r="F59" s="115" t="s">
        <v>476</v>
      </c>
      <c r="G59" s="115">
        <v>15</v>
      </c>
      <c r="H59" s="115">
        <v>29</v>
      </c>
      <c r="I59" s="194">
        <v>44</v>
      </c>
      <c r="J59" s="116">
        <v>806034</v>
      </c>
      <c r="K59" s="116">
        <v>1549436</v>
      </c>
      <c r="L59" s="116">
        <v>111410</v>
      </c>
      <c r="M59" s="195">
        <v>1.5970961887477313E-2</v>
      </c>
      <c r="N59" s="195">
        <v>2.5611059342166065E-2</v>
      </c>
      <c r="O59" s="195">
        <v>3.7062531342693793E-2</v>
      </c>
      <c r="P59" s="195">
        <v>3.9614724844071912E-3</v>
      </c>
      <c r="R59" s="201" t="s">
        <v>73</v>
      </c>
      <c r="S59" s="202">
        <f t="shared" si="4"/>
        <v>0</v>
      </c>
      <c r="T59" s="203">
        <f t="shared" si="5"/>
        <v>0</v>
      </c>
    </row>
    <row r="60" spans="1:20" ht="22.5" customHeight="1">
      <c r="A60" s="115">
        <v>72</v>
      </c>
      <c r="B60" s="115" t="s">
        <v>11</v>
      </c>
      <c r="C60" s="115" t="s">
        <v>9</v>
      </c>
      <c r="D60" s="115" t="s">
        <v>573</v>
      </c>
      <c r="E60" s="98" t="s">
        <v>598</v>
      </c>
      <c r="F60" s="115" t="s">
        <v>483</v>
      </c>
      <c r="G60" s="115">
        <v>0</v>
      </c>
      <c r="H60" s="115">
        <v>44</v>
      </c>
      <c r="I60" s="194">
        <v>44</v>
      </c>
      <c r="J60" s="116">
        <v>2584</v>
      </c>
      <c r="K60" s="116">
        <v>654401</v>
      </c>
      <c r="L60" s="116">
        <v>744332</v>
      </c>
      <c r="M60" s="195">
        <v>1.4070994563479372E-2</v>
      </c>
      <c r="N60" s="195">
        <v>6.1855337934933207E-5</v>
      </c>
      <c r="O60" s="195">
        <v>2.0813617173726932E-2</v>
      </c>
      <c r="P60" s="195">
        <v>3.5115257350322164E-2</v>
      </c>
      <c r="R60" s="201" t="s">
        <v>75</v>
      </c>
      <c r="S60" s="202">
        <f t="shared" si="4"/>
        <v>1</v>
      </c>
      <c r="T60" s="203">
        <f t="shared" si="5"/>
        <v>0</v>
      </c>
    </row>
    <row r="61" spans="1:20" ht="22.5" customHeight="1">
      <c r="A61" s="115">
        <v>38</v>
      </c>
      <c r="B61" s="115" t="s">
        <v>67</v>
      </c>
      <c r="C61" s="115" t="s">
        <v>14</v>
      </c>
      <c r="D61" s="115" t="s">
        <v>651</v>
      </c>
      <c r="E61" s="98" t="s">
        <v>665</v>
      </c>
      <c r="F61" s="115" t="s">
        <v>483</v>
      </c>
      <c r="G61" s="115">
        <v>4</v>
      </c>
      <c r="H61" s="115">
        <v>38</v>
      </c>
      <c r="I61" s="194">
        <v>42</v>
      </c>
      <c r="J61" s="116">
        <v>400659</v>
      </c>
      <c r="K61" s="116">
        <v>759363</v>
      </c>
      <c r="L61" s="116">
        <v>94986</v>
      </c>
      <c r="M61" s="195">
        <v>1.3431403901503039E-2</v>
      </c>
      <c r="N61" s="195">
        <v>9.5909047374893204E-3</v>
      </c>
      <c r="O61" s="195">
        <v>2.415199667771413E-2</v>
      </c>
      <c r="P61" s="195">
        <v>4.4811426012554894E-3</v>
      </c>
      <c r="R61" s="204"/>
      <c r="S61" s="208"/>
      <c r="T61" s="208"/>
    </row>
    <row r="62" spans="1:20" ht="22.5" customHeight="1">
      <c r="A62" s="115">
        <v>73</v>
      </c>
      <c r="B62" s="115" t="s">
        <v>11</v>
      </c>
      <c r="C62" s="115" t="s">
        <v>9</v>
      </c>
      <c r="D62" s="115" t="s">
        <v>573</v>
      </c>
      <c r="E62" s="98" t="s">
        <v>653</v>
      </c>
      <c r="F62" s="115" t="s">
        <v>483</v>
      </c>
      <c r="G62" s="115">
        <v>0</v>
      </c>
      <c r="H62" s="115">
        <v>41</v>
      </c>
      <c r="I62" s="194">
        <v>41</v>
      </c>
      <c r="J62" s="116">
        <v>15915</v>
      </c>
      <c r="K62" s="116">
        <v>316485</v>
      </c>
      <c r="L62" s="116">
        <v>320804</v>
      </c>
      <c r="M62" s="195">
        <v>1.311160857051487E-2</v>
      </c>
      <c r="N62" s="195">
        <v>3.8097047338794972E-4</v>
      </c>
      <c r="O62" s="195">
        <v>1.006599566814074E-2</v>
      </c>
      <c r="P62" s="195">
        <v>1.5134530047092899E-2</v>
      </c>
      <c r="R62" s="6"/>
      <c r="S62" s="209"/>
      <c r="T62" s="209"/>
    </row>
    <row r="63" spans="1:20" ht="22.5" customHeight="1">
      <c r="A63" s="115">
        <v>45</v>
      </c>
      <c r="B63" s="115" t="s">
        <v>67</v>
      </c>
      <c r="C63" s="115" t="s">
        <v>62</v>
      </c>
      <c r="D63" s="115" t="s">
        <v>660</v>
      </c>
      <c r="E63" s="98" t="s">
        <v>61</v>
      </c>
      <c r="F63" s="115" t="s">
        <v>476</v>
      </c>
      <c r="G63" s="115">
        <v>1</v>
      </c>
      <c r="H63" s="115">
        <v>39</v>
      </c>
      <c r="I63" s="194">
        <v>40</v>
      </c>
      <c r="J63" s="116">
        <v>150778</v>
      </c>
      <c r="K63" s="116">
        <v>977736</v>
      </c>
      <c r="L63" s="116">
        <v>22785</v>
      </c>
      <c r="M63" s="195">
        <v>1.4519056261343012E-2</v>
      </c>
      <c r="N63" s="195">
        <v>4.7908454302090422E-3</v>
      </c>
      <c r="O63" s="195">
        <v>2.3387459143120501E-2</v>
      </c>
      <c r="P63" s="195">
        <v>8.1017997089325778E-4</v>
      </c>
      <c r="R63" s="232" t="s">
        <v>11</v>
      </c>
      <c r="S63" s="228"/>
      <c r="T63" s="228"/>
    </row>
    <row r="64" spans="1:20" ht="22.5" customHeight="1">
      <c r="A64" s="115">
        <v>35</v>
      </c>
      <c r="B64" s="115" t="s">
        <v>67</v>
      </c>
      <c r="C64" s="115" t="s">
        <v>14</v>
      </c>
      <c r="D64" s="115" t="s">
        <v>573</v>
      </c>
      <c r="E64" s="98" t="s">
        <v>650</v>
      </c>
      <c r="F64" s="115" t="s">
        <v>483</v>
      </c>
      <c r="G64" s="115">
        <v>7</v>
      </c>
      <c r="H64" s="115">
        <v>33</v>
      </c>
      <c r="I64" s="194">
        <v>40</v>
      </c>
      <c r="J64" s="116">
        <v>423972</v>
      </c>
      <c r="K64" s="116">
        <v>640581</v>
      </c>
      <c r="L64" s="116">
        <v>3229</v>
      </c>
      <c r="M64" s="195">
        <v>1.2791813239526703E-2</v>
      </c>
      <c r="N64" s="195">
        <v>1.0148967234887578E-2</v>
      </c>
      <c r="O64" s="195">
        <v>2.0374063766349947E-2</v>
      </c>
      <c r="P64" s="195">
        <v>1.5233412776044866E-4</v>
      </c>
      <c r="R64" s="197" t="s">
        <v>482</v>
      </c>
      <c r="S64" s="198" t="s">
        <v>476</v>
      </c>
      <c r="T64" s="198" t="s">
        <v>483</v>
      </c>
    </row>
    <row r="65" spans="1:20" ht="22.5" customHeight="1">
      <c r="A65" s="115">
        <v>39</v>
      </c>
      <c r="B65" s="115" t="s">
        <v>67</v>
      </c>
      <c r="C65" s="115" t="s">
        <v>14</v>
      </c>
      <c r="D65" s="115" t="s">
        <v>573</v>
      </c>
      <c r="E65" s="98" t="s">
        <v>649</v>
      </c>
      <c r="F65" s="115" t="s">
        <v>483</v>
      </c>
      <c r="G65" s="115">
        <v>2</v>
      </c>
      <c r="H65" s="115">
        <v>38</v>
      </c>
      <c r="I65" s="194">
        <v>40</v>
      </c>
      <c r="J65" s="116">
        <v>114503</v>
      </c>
      <c r="K65" s="116">
        <v>564426</v>
      </c>
      <c r="L65" s="116">
        <v>29820</v>
      </c>
      <c r="M65" s="195">
        <v>1.2791813239526703E-2</v>
      </c>
      <c r="N65" s="195">
        <v>2.7409526933295887E-3</v>
      </c>
      <c r="O65" s="195">
        <v>1.7951908213615194E-2</v>
      </c>
      <c r="P65" s="195">
        <v>1.4068143975895259E-3</v>
      </c>
      <c r="R65" s="201" t="s">
        <v>468</v>
      </c>
      <c r="S65" s="202">
        <f>SUMIFS(Scoreboard_21[Damage Dealt],Scoreboard_21[Role],"Healer",Scoreboard_21[Team],"Yellow")</f>
        <v>464092</v>
      </c>
      <c r="T65" s="203">
        <f>SUMIFS(Scoreboard_21[Damage Dealt],Scoreboard_21[Role],"Healer",Scoreboard_21[Team],"Red")</f>
        <v>327809</v>
      </c>
    </row>
    <row r="66" spans="1:20" ht="22.5" customHeight="1">
      <c r="A66" s="115">
        <v>75</v>
      </c>
      <c r="B66" s="115" t="s">
        <v>11</v>
      </c>
      <c r="C66" s="115" t="s">
        <v>9</v>
      </c>
      <c r="D66" s="115" t="s">
        <v>660</v>
      </c>
      <c r="E66" s="98" t="s">
        <v>41</v>
      </c>
      <c r="F66" s="115" t="s">
        <v>476</v>
      </c>
      <c r="G66" s="115">
        <v>0</v>
      </c>
      <c r="H66" s="115">
        <v>40</v>
      </c>
      <c r="I66" s="194">
        <v>40</v>
      </c>
      <c r="J66" s="116">
        <v>28</v>
      </c>
      <c r="K66" s="116">
        <v>260091</v>
      </c>
      <c r="L66" s="116">
        <v>949134</v>
      </c>
      <c r="M66" s="195">
        <v>1.4519056261343012E-2</v>
      </c>
      <c r="N66" s="195">
        <v>8.8967669053743369E-7</v>
      </c>
      <c r="O66" s="195">
        <v>6.2213804503397181E-3</v>
      </c>
      <c r="P66" s="195">
        <v>3.3748929405038465E-2</v>
      </c>
      <c r="R66" s="201" t="s">
        <v>470</v>
      </c>
      <c r="S66" s="202">
        <f>SUMIFS(Scoreboard_21[Amount Healed],Scoreboard_21[Role],"Healer",Scoreboard_21[Team],"Yellow")</f>
        <v>26766358</v>
      </c>
      <c r="T66" s="203">
        <f>SUMIFS(Scoreboard_21[Amount Healed],Scoreboard_21[Role],"Healer",Scoreboard_21[Team],"Red")</f>
        <v>20206570</v>
      </c>
    </row>
    <row r="67" spans="1:20" ht="22.5" customHeight="1">
      <c r="A67" s="115">
        <v>36</v>
      </c>
      <c r="B67" s="115" t="s">
        <v>67</v>
      </c>
      <c r="C67" s="115" t="s">
        <v>14</v>
      </c>
      <c r="D67" s="115" t="s">
        <v>660</v>
      </c>
      <c r="E67" s="98" t="s">
        <v>37</v>
      </c>
      <c r="F67" s="115" t="s">
        <v>476</v>
      </c>
      <c r="G67" s="115">
        <v>7</v>
      </c>
      <c r="H67" s="115">
        <v>31</v>
      </c>
      <c r="I67" s="194">
        <v>38</v>
      </c>
      <c r="J67" s="116">
        <v>276169</v>
      </c>
      <c r="K67" s="116">
        <v>1201447</v>
      </c>
      <c r="L67" s="116">
        <v>44662</v>
      </c>
      <c r="M67" s="195">
        <v>1.3793103448275862E-2</v>
      </c>
      <c r="N67" s="195">
        <v>8.7750400696083048E-3</v>
      </c>
      <c r="O67" s="195">
        <v>2.873862947168223E-2</v>
      </c>
      <c r="P67" s="195">
        <v>1.5880736387989766E-3</v>
      </c>
      <c r="R67" s="201" t="s">
        <v>465</v>
      </c>
      <c r="S67" s="202">
        <f>SUMIFS(Scoreboard_21[Kills],Scoreboard_21[Role],"Healer",Scoreboard_21[Team],"Yellow")</f>
        <v>2</v>
      </c>
      <c r="T67" s="203">
        <f>SUMIFS(Scoreboard_21[Kills],Scoreboard_21[Role],"Healer",Scoreboard_21[Team],"Red")</f>
        <v>2</v>
      </c>
    </row>
    <row r="68" spans="1:20" ht="22.5" customHeight="1">
      <c r="A68" s="115">
        <v>76</v>
      </c>
      <c r="B68" s="115" t="s">
        <v>11</v>
      </c>
      <c r="C68" s="115" t="s">
        <v>9</v>
      </c>
      <c r="D68" s="115" t="s">
        <v>573</v>
      </c>
      <c r="E68" s="98" t="s">
        <v>607</v>
      </c>
      <c r="F68" s="115" t="s">
        <v>483</v>
      </c>
      <c r="G68" s="115">
        <v>0</v>
      </c>
      <c r="H68" s="115">
        <v>38</v>
      </c>
      <c r="I68" s="194">
        <v>38</v>
      </c>
      <c r="J68" s="116">
        <v>16337</v>
      </c>
      <c r="K68" s="116">
        <v>646409</v>
      </c>
      <c r="L68" s="116">
        <v>1583042</v>
      </c>
      <c r="M68" s="195">
        <v>1.2152222577550368E-2</v>
      </c>
      <c r="N68" s="195">
        <v>3.9107223523336063E-4</v>
      </c>
      <c r="O68" s="195">
        <v>2.0559426809634539E-2</v>
      </c>
      <c r="P68" s="195">
        <v>7.4682973762203828E-2</v>
      </c>
      <c r="R68" s="201" t="s">
        <v>466</v>
      </c>
      <c r="S68" s="202">
        <f>SUMIFS(Scoreboard_21[Assists],Scoreboard_21[Role],"Healer",Scoreboard_21[Team],"Yellow")</f>
        <v>985</v>
      </c>
      <c r="T68" s="203">
        <f>SUMIFS(Scoreboard_21[Assists],Scoreboard_21[Role],"Healer",Scoreboard_21[Team],"Red")</f>
        <v>1031</v>
      </c>
    </row>
    <row r="69" spans="1:20" ht="22.5" customHeight="1">
      <c r="A69" s="115">
        <v>46</v>
      </c>
      <c r="B69" s="115" t="s">
        <v>11</v>
      </c>
      <c r="C69" s="115" t="s">
        <v>10</v>
      </c>
      <c r="D69" s="115" t="s">
        <v>573</v>
      </c>
      <c r="E69" s="98" t="s">
        <v>597</v>
      </c>
      <c r="F69" s="115" t="s">
        <v>483</v>
      </c>
      <c r="G69" s="115">
        <v>1</v>
      </c>
      <c r="H69" s="115">
        <v>37</v>
      </c>
      <c r="I69" s="194">
        <v>38</v>
      </c>
      <c r="J69" s="116">
        <v>32320</v>
      </c>
      <c r="K69" s="116">
        <v>295049</v>
      </c>
      <c r="L69" s="116">
        <v>885358</v>
      </c>
      <c r="M69" s="195">
        <v>1.2152222577550368E-2</v>
      </c>
      <c r="N69" s="195">
        <v>7.7367048067222962E-4</v>
      </c>
      <c r="O69" s="195">
        <v>9.3842108026897242E-3</v>
      </c>
      <c r="P69" s="195">
        <v>4.1768423253556924E-2</v>
      </c>
      <c r="R69" s="201" t="s">
        <v>10</v>
      </c>
      <c r="S69" s="202">
        <f t="shared" ref="S69:S71" si="6">COUNTIFS(C:C,R69,F:F,"Yellow")</f>
        <v>8</v>
      </c>
      <c r="T69" s="203">
        <f t="shared" ref="T69:T71" si="7">COUNTIFS(C:C,R69,F:F,"Red")</f>
        <v>4</v>
      </c>
    </row>
    <row r="70" spans="1:20" ht="22.5" customHeight="1">
      <c r="A70" s="115">
        <v>77</v>
      </c>
      <c r="B70" s="115" t="s">
        <v>11</v>
      </c>
      <c r="C70" s="115" t="s">
        <v>9</v>
      </c>
      <c r="D70" s="115" t="s">
        <v>573</v>
      </c>
      <c r="E70" s="98" t="s">
        <v>164</v>
      </c>
      <c r="F70" s="115" t="s">
        <v>483</v>
      </c>
      <c r="G70" s="115">
        <v>0</v>
      </c>
      <c r="H70" s="115">
        <v>37</v>
      </c>
      <c r="I70" s="194">
        <v>37</v>
      </c>
      <c r="J70" s="116">
        <v>2966</v>
      </c>
      <c r="K70" s="116">
        <v>311957</v>
      </c>
      <c r="L70" s="116">
        <v>1193217</v>
      </c>
      <c r="M70" s="195">
        <v>1.1832427246562201E-2</v>
      </c>
      <c r="N70" s="195">
        <v>7.0999586809215127E-5</v>
      </c>
      <c r="O70" s="195">
        <v>9.9219799063026068E-3</v>
      </c>
      <c r="P70" s="195">
        <v>5.6292248660247526E-2</v>
      </c>
      <c r="R70" s="201" t="s">
        <v>9</v>
      </c>
      <c r="S70" s="202">
        <f t="shared" si="6"/>
        <v>12</v>
      </c>
      <c r="T70" s="203">
        <f t="shared" si="7"/>
        <v>15</v>
      </c>
    </row>
    <row r="71" spans="1:20" ht="22.5" customHeight="1">
      <c r="A71" s="115">
        <v>79</v>
      </c>
      <c r="B71" s="115" t="s">
        <v>11</v>
      </c>
      <c r="C71" s="115" t="s">
        <v>9</v>
      </c>
      <c r="D71" s="115" t="s">
        <v>573</v>
      </c>
      <c r="E71" s="98" t="s">
        <v>656</v>
      </c>
      <c r="F71" s="115" t="s">
        <v>483</v>
      </c>
      <c r="G71" s="115">
        <v>0</v>
      </c>
      <c r="H71" s="115">
        <v>36</v>
      </c>
      <c r="I71" s="194">
        <v>36</v>
      </c>
      <c r="J71" s="116">
        <v>7008</v>
      </c>
      <c r="K71" s="116">
        <v>569740</v>
      </c>
      <c r="L71" s="116">
        <v>1712964</v>
      </c>
      <c r="M71" s="195">
        <v>1.1512631915574032E-2</v>
      </c>
      <c r="N71" s="195">
        <v>1.677562725418003E-4</v>
      </c>
      <c r="O71" s="195">
        <v>1.8120923177927881E-2</v>
      </c>
      <c r="P71" s="195">
        <v>8.0812287650990772E-2</v>
      </c>
      <c r="R71" s="201" t="s">
        <v>18</v>
      </c>
      <c r="S71" s="202">
        <f t="shared" si="6"/>
        <v>0</v>
      </c>
      <c r="T71" s="203">
        <f t="shared" si="7"/>
        <v>0</v>
      </c>
    </row>
    <row r="72" spans="1:20" ht="22.5" customHeight="1">
      <c r="A72" s="115">
        <v>80</v>
      </c>
      <c r="B72" s="115" t="s">
        <v>11</v>
      </c>
      <c r="C72" s="115" t="s">
        <v>9</v>
      </c>
      <c r="D72" s="115" t="s">
        <v>573</v>
      </c>
      <c r="E72" s="98" t="s">
        <v>604</v>
      </c>
      <c r="F72" s="115" t="s">
        <v>483</v>
      </c>
      <c r="G72" s="115">
        <v>0</v>
      </c>
      <c r="H72" s="115">
        <v>36</v>
      </c>
      <c r="I72" s="194">
        <v>36</v>
      </c>
      <c r="J72" s="116">
        <v>4848</v>
      </c>
      <c r="K72" s="116">
        <v>318440</v>
      </c>
      <c r="L72" s="116">
        <v>1491500</v>
      </c>
      <c r="M72" s="195">
        <v>1.1512631915574032E-2</v>
      </c>
      <c r="N72" s="195">
        <v>1.1605057210083444E-4</v>
      </c>
      <c r="O72" s="195">
        <v>1.0128175618315994E-2</v>
      </c>
      <c r="P72" s="195">
        <v>7.0364308316726284E-2</v>
      </c>
    </row>
    <row r="73" spans="1:20" ht="22.5" customHeight="1">
      <c r="A73" s="115">
        <v>78</v>
      </c>
      <c r="B73" s="115" t="s">
        <v>11</v>
      </c>
      <c r="C73" s="115" t="s">
        <v>9</v>
      </c>
      <c r="D73" s="115" t="s">
        <v>660</v>
      </c>
      <c r="E73" s="98" t="s">
        <v>72</v>
      </c>
      <c r="F73" s="115" t="s">
        <v>476</v>
      </c>
      <c r="G73" s="115">
        <v>0</v>
      </c>
      <c r="H73" s="115">
        <v>36</v>
      </c>
      <c r="I73" s="194">
        <v>36</v>
      </c>
      <c r="J73" s="116">
        <v>15018</v>
      </c>
      <c r="K73" s="116">
        <v>281102</v>
      </c>
      <c r="L73" s="116">
        <v>575270</v>
      </c>
      <c r="M73" s="195">
        <v>1.3067150635208712E-2</v>
      </c>
      <c r="N73" s="195">
        <v>4.7718444780325641E-4</v>
      </c>
      <c r="O73" s="195">
        <v>6.7239638716887372E-3</v>
      </c>
      <c r="P73" s="195">
        <v>2.0455221937931291E-2</v>
      </c>
    </row>
    <row r="74" spans="1:20" ht="22.5" customHeight="1">
      <c r="A74" s="115">
        <v>74</v>
      </c>
      <c r="B74" s="115" t="s">
        <v>11</v>
      </c>
      <c r="C74" s="115" t="s">
        <v>10</v>
      </c>
      <c r="D74" s="115" t="s">
        <v>660</v>
      </c>
      <c r="E74" s="98" t="s">
        <v>108</v>
      </c>
      <c r="F74" s="115" t="s">
        <v>476</v>
      </c>
      <c r="G74" s="115">
        <v>0</v>
      </c>
      <c r="H74" s="115">
        <v>40</v>
      </c>
      <c r="I74" s="194">
        <v>40</v>
      </c>
      <c r="J74" s="116">
        <v>53731</v>
      </c>
      <c r="K74" s="116">
        <v>699230</v>
      </c>
      <c r="L74" s="116">
        <v>959129</v>
      </c>
      <c r="M74" s="195">
        <v>1.4519056261343012E-2</v>
      </c>
      <c r="N74" s="195">
        <v>1.7072577949738159E-3</v>
      </c>
      <c r="O74" s="195">
        <v>1.672559162866474E-2</v>
      </c>
      <c r="P74" s="195">
        <v>3.4104327641118259E-2</v>
      </c>
      <c r="R74" s="201" t="s">
        <v>469</v>
      </c>
      <c r="S74" s="220">
        <f>SUMIFS(Scoreboard_21[Damage Taken],Scoreboard_21[Role],"Healer",Scoreboard_21[Team],"Yellow")</f>
        <v>10693587</v>
      </c>
      <c r="T74" s="221">
        <f>SUMIFS(Scoreboard_21[Damage Taken],Scoreboard_21[Role],"Healer",Scoreboard_21[Team],"Red")</f>
        <v>8026986</v>
      </c>
    </row>
    <row r="75" spans="1:20" ht="22.5" customHeight="1">
      <c r="A75" s="115">
        <v>47</v>
      </c>
      <c r="B75" s="115" t="s">
        <v>67</v>
      </c>
      <c r="C75" s="115" t="s">
        <v>14</v>
      </c>
      <c r="D75" s="115" t="s">
        <v>573</v>
      </c>
      <c r="E75" s="98" t="s">
        <v>590</v>
      </c>
      <c r="F75" s="115" t="s">
        <v>483</v>
      </c>
      <c r="G75" s="115">
        <v>1</v>
      </c>
      <c r="H75" s="115">
        <v>33</v>
      </c>
      <c r="I75" s="194">
        <v>34</v>
      </c>
      <c r="J75" s="116">
        <v>181444</v>
      </c>
      <c r="K75" s="116">
        <v>316407</v>
      </c>
      <c r="L75" s="116">
        <v>10784</v>
      </c>
      <c r="M75" s="195">
        <v>1.0873041253597697E-2</v>
      </c>
      <c r="N75" s="195">
        <v>4.3433745883382432E-3</v>
      </c>
      <c r="O75" s="195">
        <v>1.0063514831253952E-2</v>
      </c>
      <c r="P75" s="195">
        <v>5.087554146078286E-4</v>
      </c>
    </row>
    <row r="76" spans="1:20" ht="22.5" customHeight="1">
      <c r="A76" s="115">
        <v>81</v>
      </c>
      <c r="B76" s="115" t="s">
        <v>11</v>
      </c>
      <c r="C76" s="115" t="s">
        <v>9</v>
      </c>
      <c r="D76" s="115" t="s">
        <v>573</v>
      </c>
      <c r="E76" s="98" t="s">
        <v>603</v>
      </c>
      <c r="F76" s="115" t="s">
        <v>483</v>
      </c>
      <c r="G76" s="115">
        <v>0</v>
      </c>
      <c r="H76" s="115">
        <v>33</v>
      </c>
      <c r="I76" s="194">
        <v>33</v>
      </c>
      <c r="J76" s="116">
        <v>259</v>
      </c>
      <c r="K76" s="116">
        <v>649421</v>
      </c>
      <c r="L76" s="116">
        <v>1977383</v>
      </c>
      <c r="M76" s="195">
        <v>1.055324592260953E-2</v>
      </c>
      <c r="N76" s="195">
        <v>6.1998964880602559E-6</v>
      </c>
      <c r="O76" s="195">
        <v>2.0655225280185877E-2</v>
      </c>
      <c r="P76" s="195">
        <v>9.328674962940206E-2</v>
      </c>
    </row>
    <row r="77" spans="1:20" ht="22.5" customHeight="1">
      <c r="A77" s="115">
        <v>48</v>
      </c>
      <c r="B77" s="115" t="s">
        <v>67</v>
      </c>
      <c r="C77" s="115" t="s">
        <v>14</v>
      </c>
      <c r="D77" s="115" t="s">
        <v>660</v>
      </c>
      <c r="E77" s="98" t="s">
        <v>117</v>
      </c>
      <c r="F77" s="115" t="s">
        <v>476</v>
      </c>
      <c r="G77" s="115">
        <v>1</v>
      </c>
      <c r="H77" s="115">
        <v>30</v>
      </c>
      <c r="I77" s="194">
        <v>31</v>
      </c>
      <c r="J77" s="116">
        <v>29940</v>
      </c>
      <c r="K77" s="116">
        <v>1033251</v>
      </c>
      <c r="L77" s="116">
        <v>51246</v>
      </c>
      <c r="M77" s="195">
        <v>1.1252268602540834E-2</v>
      </c>
      <c r="N77" s="195">
        <v>9.5131857552467017E-4</v>
      </c>
      <c r="O77" s="195">
        <v>2.4715378739341091E-2</v>
      </c>
      <c r="P77" s="195">
        <v>1.8221848930610441E-3</v>
      </c>
    </row>
    <row r="78" spans="1:20" ht="22.5" customHeight="1">
      <c r="A78" s="115">
        <v>83</v>
      </c>
      <c r="B78" s="115" t="s">
        <v>11</v>
      </c>
      <c r="C78" s="115" t="s">
        <v>9</v>
      </c>
      <c r="D78" s="115" t="s">
        <v>660</v>
      </c>
      <c r="E78" s="98" t="s">
        <v>74</v>
      </c>
      <c r="F78" s="115" t="s">
        <v>476</v>
      </c>
      <c r="G78" s="115">
        <v>0</v>
      </c>
      <c r="H78" s="115">
        <v>28</v>
      </c>
      <c r="I78" s="194">
        <v>28</v>
      </c>
      <c r="J78" s="116">
        <v>659</v>
      </c>
      <c r="K78" s="116">
        <v>453912</v>
      </c>
      <c r="L78" s="116">
        <v>637343</v>
      </c>
      <c r="M78" s="195">
        <v>1.0163339382940109E-2</v>
      </c>
      <c r="N78" s="195">
        <v>2.0939176395148885E-5</v>
      </c>
      <c r="O78" s="195">
        <v>1.0857581550205898E-2</v>
      </c>
      <c r="P78" s="195">
        <v>2.2662388992276569E-2</v>
      </c>
    </row>
    <row r="79" spans="1:20" ht="22.5" customHeight="1">
      <c r="A79" s="115">
        <v>82</v>
      </c>
      <c r="B79" s="115" t="s">
        <v>11</v>
      </c>
      <c r="C79" s="115" t="s">
        <v>9</v>
      </c>
      <c r="D79" s="115" t="s">
        <v>660</v>
      </c>
      <c r="E79" s="98" t="s">
        <v>59</v>
      </c>
      <c r="F79" s="115" t="s">
        <v>476</v>
      </c>
      <c r="G79" s="115">
        <v>0</v>
      </c>
      <c r="H79" s="115">
        <v>28</v>
      </c>
      <c r="I79" s="194">
        <v>28</v>
      </c>
      <c r="J79" s="116">
        <v>5197</v>
      </c>
      <c r="K79" s="116">
        <v>424440</v>
      </c>
      <c r="L79" s="116">
        <v>878861</v>
      </c>
      <c r="M79" s="195">
        <v>1.0163339382940109E-2</v>
      </c>
      <c r="N79" s="195">
        <v>1.6513034859725153E-4</v>
      </c>
      <c r="O79" s="195">
        <v>1.0152610887505489E-2</v>
      </c>
      <c r="P79" s="195">
        <v>3.1250190010937873E-2</v>
      </c>
    </row>
    <row r="80" spans="1:20" ht="22.5" customHeight="1">
      <c r="A80" s="115">
        <v>40</v>
      </c>
      <c r="B80" s="115" t="s">
        <v>67</v>
      </c>
      <c r="C80" s="115" t="s">
        <v>14</v>
      </c>
      <c r="D80" s="115" t="s">
        <v>660</v>
      </c>
      <c r="E80" s="98" t="s">
        <v>79</v>
      </c>
      <c r="F80" s="115" t="s">
        <v>476</v>
      </c>
      <c r="G80" s="115">
        <v>2</v>
      </c>
      <c r="H80" s="115">
        <v>24</v>
      </c>
      <c r="I80" s="194">
        <v>26</v>
      </c>
      <c r="J80" s="116">
        <v>116853</v>
      </c>
      <c r="K80" s="116">
        <v>1093389</v>
      </c>
      <c r="L80" s="116">
        <v>100954</v>
      </c>
      <c r="M80" s="195">
        <v>9.4373865698729586E-3</v>
      </c>
      <c r="N80" s="195">
        <v>3.7129067971203833E-3</v>
      </c>
      <c r="O80" s="195">
        <v>2.6153880561866787E-2</v>
      </c>
      <c r="P80" s="195">
        <v>3.5896821936167631E-3</v>
      </c>
    </row>
    <row r="81" spans="1:16" ht="22.5" customHeight="1">
      <c r="A81" s="115">
        <v>84</v>
      </c>
      <c r="B81" s="115" t="s">
        <v>11</v>
      </c>
      <c r="C81" s="115" t="s">
        <v>10</v>
      </c>
      <c r="D81" s="115" t="s">
        <v>660</v>
      </c>
      <c r="E81" s="98" t="s">
        <v>105</v>
      </c>
      <c r="F81" s="115" t="s">
        <v>476</v>
      </c>
      <c r="G81" s="115">
        <v>0</v>
      </c>
      <c r="H81" s="115">
        <v>24</v>
      </c>
      <c r="I81" s="194">
        <v>24</v>
      </c>
      <c r="J81" s="116">
        <v>18686</v>
      </c>
      <c r="K81" s="116">
        <v>648404</v>
      </c>
      <c r="L81" s="116">
        <v>1359225</v>
      </c>
      <c r="M81" s="195">
        <v>8.7114337568058083E-3</v>
      </c>
      <c r="N81" s="195">
        <v>5.9373209426366016E-4</v>
      </c>
      <c r="O81" s="195">
        <v>1.5509832979695855E-2</v>
      </c>
      <c r="P81" s="195">
        <v>4.8330782134623142E-2</v>
      </c>
    </row>
    <row r="82" spans="1:16" ht="22.5" customHeight="1">
      <c r="A82" s="115">
        <v>86</v>
      </c>
      <c r="B82" s="115" t="s">
        <v>67</v>
      </c>
      <c r="C82" s="115" t="s">
        <v>14</v>
      </c>
      <c r="D82" s="115" t="s">
        <v>660</v>
      </c>
      <c r="E82" s="98" t="s">
        <v>57</v>
      </c>
      <c r="F82" s="115" t="s">
        <v>476</v>
      </c>
      <c r="G82" s="115">
        <v>0</v>
      </c>
      <c r="H82" s="115">
        <v>23</v>
      </c>
      <c r="I82" s="194">
        <v>23</v>
      </c>
      <c r="J82" s="116">
        <v>40503</v>
      </c>
      <c r="K82" s="116">
        <v>1262603</v>
      </c>
      <c r="L82" s="116">
        <v>52603</v>
      </c>
      <c r="M82" s="195">
        <v>8.3484573502722315E-3</v>
      </c>
      <c r="N82" s="195">
        <v>1.286949107029917E-3</v>
      </c>
      <c r="O82" s="195">
        <v>3.0201481868808527E-2</v>
      </c>
      <c r="P82" s="195">
        <v>1.8704365595303069E-3</v>
      </c>
    </row>
    <row r="83" spans="1:16" ht="22.5" customHeight="1">
      <c r="A83" s="115">
        <v>85</v>
      </c>
      <c r="B83" s="115" t="s">
        <v>67</v>
      </c>
      <c r="C83" s="115" t="s">
        <v>14</v>
      </c>
      <c r="D83" s="115" t="s">
        <v>660</v>
      </c>
      <c r="E83" s="98" t="s">
        <v>64</v>
      </c>
      <c r="F83" s="115" t="s">
        <v>476</v>
      </c>
      <c r="G83" s="115">
        <v>0</v>
      </c>
      <c r="H83" s="115">
        <v>23</v>
      </c>
      <c r="I83" s="194">
        <v>23</v>
      </c>
      <c r="J83" s="116">
        <v>45538</v>
      </c>
      <c r="K83" s="116">
        <v>629457</v>
      </c>
      <c r="L83" s="116">
        <v>42056</v>
      </c>
      <c r="M83" s="195">
        <v>8.3484573502722315E-3</v>
      </c>
      <c r="N83" s="195">
        <v>1.4469320404890591E-3</v>
      </c>
      <c r="O83" s="195">
        <v>1.5056620467949632E-2</v>
      </c>
      <c r="P83" s="195">
        <v>1.4954105269206429E-3</v>
      </c>
    </row>
    <row r="84" spans="1:16" ht="22.5" customHeight="1">
      <c r="A84" s="115">
        <v>49</v>
      </c>
      <c r="B84" s="115" t="s">
        <v>67</v>
      </c>
      <c r="C84" s="115" t="s">
        <v>14</v>
      </c>
      <c r="D84" s="115" t="s">
        <v>573</v>
      </c>
      <c r="E84" s="98" t="s">
        <v>614</v>
      </c>
      <c r="F84" s="115" t="s">
        <v>483</v>
      </c>
      <c r="G84" s="115">
        <v>1</v>
      </c>
      <c r="H84" s="115">
        <v>20</v>
      </c>
      <c r="I84" s="194">
        <v>21</v>
      </c>
      <c r="J84" s="116">
        <v>148948</v>
      </c>
      <c r="K84" s="116">
        <v>1235602</v>
      </c>
      <c r="L84" s="116">
        <v>108901</v>
      </c>
      <c r="M84" s="195">
        <v>6.7157019507515193E-3</v>
      </c>
      <c r="N84" s="195">
        <v>3.5654910505930463E-3</v>
      </c>
      <c r="O84" s="195">
        <v>3.929906434600703E-2</v>
      </c>
      <c r="P84" s="195">
        <v>5.1376088099227687E-3</v>
      </c>
    </row>
    <row r="85" spans="1:16" ht="22.5" customHeight="1">
      <c r="A85" s="115">
        <v>87</v>
      </c>
      <c r="B85" s="115" t="s">
        <v>67</v>
      </c>
      <c r="C85" s="115" t="s">
        <v>62</v>
      </c>
      <c r="D85" s="115" t="s">
        <v>573</v>
      </c>
      <c r="E85" s="98" t="s">
        <v>421</v>
      </c>
      <c r="F85" s="115" t="s">
        <v>483</v>
      </c>
      <c r="G85" s="115">
        <v>0</v>
      </c>
      <c r="H85" s="115">
        <v>20</v>
      </c>
      <c r="I85" s="194">
        <v>20</v>
      </c>
      <c r="J85" s="116">
        <v>115161</v>
      </c>
      <c r="K85" s="116">
        <v>813911</v>
      </c>
      <c r="L85" s="116">
        <v>17007</v>
      </c>
      <c r="M85" s="195">
        <v>6.3959066197633516E-3</v>
      </c>
      <c r="N85" s="195">
        <v>2.7567037817046607E-3</v>
      </c>
      <c r="O85" s="195">
        <v>2.58869286072076E-2</v>
      </c>
      <c r="P85" s="195">
        <v>8.0233710462122962E-4</v>
      </c>
    </row>
    <row r="86" spans="1:16" ht="22.5" customHeight="1">
      <c r="A86" s="115">
        <v>88</v>
      </c>
      <c r="B86" s="115" t="s">
        <v>67</v>
      </c>
      <c r="C86" s="115" t="s">
        <v>14</v>
      </c>
      <c r="D86" s="115" t="s">
        <v>573</v>
      </c>
      <c r="E86" s="98" t="s">
        <v>608</v>
      </c>
      <c r="F86" s="115" t="s">
        <v>483</v>
      </c>
      <c r="G86" s="115">
        <v>0</v>
      </c>
      <c r="H86" s="115">
        <v>18</v>
      </c>
      <c r="I86" s="194">
        <v>18</v>
      </c>
      <c r="J86" s="116">
        <v>26118</v>
      </c>
      <c r="K86" s="116">
        <v>996448</v>
      </c>
      <c r="L86" s="116">
        <v>91665</v>
      </c>
      <c r="M86" s="195">
        <v>5.7563159577870161E-3</v>
      </c>
      <c r="N86" s="195">
        <v>6.2520809449867867E-4</v>
      </c>
      <c r="O86" s="195">
        <v>3.1692627617509531E-2</v>
      </c>
      <c r="P86" s="195">
        <v>4.3244682010410429E-3</v>
      </c>
    </row>
    <row r="87" spans="1:16" ht="22.5" customHeight="1">
      <c r="A87" s="115">
        <v>50</v>
      </c>
      <c r="B87" s="115" t="s">
        <v>67</v>
      </c>
      <c r="C87" s="115" t="s">
        <v>14</v>
      </c>
      <c r="D87" s="115" t="s">
        <v>660</v>
      </c>
      <c r="E87" s="98" t="s">
        <v>85</v>
      </c>
      <c r="F87" s="115" t="s">
        <v>476</v>
      </c>
      <c r="G87" s="115">
        <v>1</v>
      </c>
      <c r="H87" s="115">
        <v>17</v>
      </c>
      <c r="I87" s="194">
        <v>18</v>
      </c>
      <c r="J87" s="116">
        <v>68564</v>
      </c>
      <c r="K87" s="116">
        <v>457405</v>
      </c>
      <c r="L87" s="116">
        <v>61131</v>
      </c>
      <c r="M87" s="195">
        <v>6.5335753176043558E-3</v>
      </c>
      <c r="N87" s="195">
        <v>2.1785640217860214E-3</v>
      </c>
      <c r="O87" s="195">
        <v>1.0941134160304043E-2</v>
      </c>
      <c r="P87" s="195">
        <v>2.1736717928758282E-3</v>
      </c>
    </row>
    <row r="88" spans="1:16" ht="22.5" customHeight="1">
      <c r="A88" s="115">
        <v>90</v>
      </c>
      <c r="B88" s="115" t="s">
        <v>67</v>
      </c>
      <c r="C88" s="115" t="s">
        <v>14</v>
      </c>
      <c r="D88" s="115" t="s">
        <v>573</v>
      </c>
      <c r="E88" s="98" t="s">
        <v>176</v>
      </c>
      <c r="F88" s="115" t="s">
        <v>483</v>
      </c>
      <c r="G88" s="115">
        <v>0</v>
      </c>
      <c r="H88" s="115">
        <v>15</v>
      </c>
      <c r="I88" s="194">
        <v>15</v>
      </c>
      <c r="J88" s="116">
        <v>26006</v>
      </c>
      <c r="K88" s="116">
        <v>559432</v>
      </c>
      <c r="L88" s="116">
        <v>28776</v>
      </c>
      <c r="M88" s="195">
        <v>4.7969299648225137E-3</v>
      </c>
      <c r="N88" s="195">
        <v>6.2252705817951741E-4</v>
      </c>
      <c r="O88" s="195">
        <v>1.7793071041658563E-2</v>
      </c>
      <c r="P88" s="195">
        <v>1.3575617406115425E-3</v>
      </c>
    </row>
    <row r="89" spans="1:16" ht="22.5" customHeight="1">
      <c r="A89" s="115">
        <v>89</v>
      </c>
      <c r="B89" s="115" t="s">
        <v>67</v>
      </c>
      <c r="C89" s="115" t="s">
        <v>14</v>
      </c>
      <c r="D89" s="115" t="s">
        <v>660</v>
      </c>
      <c r="E89" s="98" t="s">
        <v>35</v>
      </c>
      <c r="F89" s="115" t="s">
        <v>476</v>
      </c>
      <c r="G89" s="115">
        <v>0</v>
      </c>
      <c r="H89" s="115">
        <v>15</v>
      </c>
      <c r="I89" s="194">
        <v>15</v>
      </c>
      <c r="J89" s="116">
        <v>54998</v>
      </c>
      <c r="K89" s="116">
        <v>344466</v>
      </c>
      <c r="L89" s="116">
        <v>6345</v>
      </c>
      <c r="M89" s="195">
        <v>5.4446460980036296E-3</v>
      </c>
      <c r="N89" s="195">
        <v>1.7475156652206349E-3</v>
      </c>
      <c r="O89" s="195">
        <v>8.2396316604831429E-3</v>
      </c>
      <c r="P89" s="195">
        <v>2.2561298728627257E-4</v>
      </c>
    </row>
    <row r="90" spans="1:16" ht="22.5" customHeight="1">
      <c r="A90" s="115">
        <v>41</v>
      </c>
      <c r="B90" s="115" t="s">
        <v>67</v>
      </c>
      <c r="C90" s="115" t="s">
        <v>75</v>
      </c>
      <c r="D90" s="115" t="s">
        <v>660</v>
      </c>
      <c r="E90" s="98" t="s">
        <v>89</v>
      </c>
      <c r="F90" s="115" t="s">
        <v>476</v>
      </c>
      <c r="G90" s="115">
        <v>2</v>
      </c>
      <c r="H90" s="115">
        <v>12</v>
      </c>
      <c r="I90" s="194">
        <v>14</v>
      </c>
      <c r="J90" s="116">
        <v>68737</v>
      </c>
      <c r="K90" s="116">
        <v>812204</v>
      </c>
      <c r="L90" s="116">
        <v>152000</v>
      </c>
      <c r="M90" s="195">
        <v>5.0816696914700544E-3</v>
      </c>
      <c r="N90" s="195">
        <v>2.1840609527668422E-3</v>
      </c>
      <c r="O90" s="195">
        <v>1.9427931328987624E-2</v>
      </c>
      <c r="P90" s="195">
        <v>5.4047555661959701E-3</v>
      </c>
    </row>
    <row r="91" spans="1:16" ht="22.5" customHeight="1">
      <c r="A91" s="115">
        <v>91</v>
      </c>
      <c r="B91" s="115" t="s">
        <v>11</v>
      </c>
      <c r="C91" s="115" t="s">
        <v>10</v>
      </c>
      <c r="D91" s="115" t="s">
        <v>660</v>
      </c>
      <c r="E91" s="98" t="s">
        <v>106</v>
      </c>
      <c r="F91" s="115" t="s">
        <v>476</v>
      </c>
      <c r="G91" s="115">
        <v>0</v>
      </c>
      <c r="H91" s="115">
        <v>13</v>
      </c>
      <c r="I91" s="194">
        <v>13</v>
      </c>
      <c r="J91" s="116">
        <v>31376</v>
      </c>
      <c r="K91" s="116">
        <v>846077</v>
      </c>
      <c r="L91" s="116">
        <v>2167114</v>
      </c>
      <c r="M91" s="195">
        <v>4.7186932849364793E-3</v>
      </c>
      <c r="N91" s="195">
        <v>9.9694628008223287E-4</v>
      </c>
      <c r="O91" s="195">
        <v>2.0238173974809114E-2</v>
      </c>
      <c r="P91" s="195">
        <v>7.7057377987376413E-2</v>
      </c>
    </row>
    <row r="92" spans="1:16" ht="22.5" customHeight="1">
      <c r="A92" s="115">
        <v>51</v>
      </c>
      <c r="B92" s="115" t="s">
        <v>67</v>
      </c>
      <c r="C92" s="115" t="s">
        <v>62</v>
      </c>
      <c r="D92" s="115" t="s">
        <v>573</v>
      </c>
      <c r="E92" s="98" t="s">
        <v>657</v>
      </c>
      <c r="F92" s="115" t="s">
        <v>483</v>
      </c>
      <c r="G92" s="115">
        <v>1</v>
      </c>
      <c r="H92" s="115">
        <v>11</v>
      </c>
      <c r="I92" s="194">
        <v>12</v>
      </c>
      <c r="J92" s="116">
        <v>98461</v>
      </c>
      <c r="K92" s="116">
        <v>1075263</v>
      </c>
      <c r="L92" s="116">
        <v>26003</v>
      </c>
      <c r="M92" s="195">
        <v>3.8375439718580109E-3</v>
      </c>
      <c r="N92" s="195">
        <v>2.3569421162583045E-3</v>
      </c>
      <c r="O92" s="195">
        <v>3.419938606920396E-2</v>
      </c>
      <c r="P92" s="195">
        <v>1.2267402676230865E-3</v>
      </c>
    </row>
    <row r="93" spans="1:16" ht="22.5" customHeight="1">
      <c r="A93" s="115">
        <v>92</v>
      </c>
      <c r="B93" s="115" t="s">
        <v>67</v>
      </c>
      <c r="C93" s="115" t="s">
        <v>14</v>
      </c>
      <c r="D93" s="115" t="s">
        <v>660</v>
      </c>
      <c r="E93" s="98" t="s">
        <v>111</v>
      </c>
      <c r="F93" s="115" t="s">
        <v>476</v>
      </c>
      <c r="G93" s="115">
        <v>0</v>
      </c>
      <c r="H93" s="115">
        <v>11</v>
      </c>
      <c r="I93" s="194">
        <v>11</v>
      </c>
      <c r="J93" s="116">
        <v>18695</v>
      </c>
      <c r="K93" s="116">
        <v>710001</v>
      </c>
      <c r="L93" s="116">
        <v>13601</v>
      </c>
      <c r="M93" s="195">
        <v>3.9927404718693282E-3</v>
      </c>
      <c r="N93" s="195">
        <v>5.9401806177133293E-4</v>
      </c>
      <c r="O93" s="195">
        <v>1.6983234103147168E-2</v>
      </c>
      <c r="P93" s="195">
        <v>4.8361895036731181E-4</v>
      </c>
    </row>
    <row r="94" spans="1:16" ht="22.5" customHeight="1">
      <c r="A94" s="115">
        <v>93</v>
      </c>
      <c r="B94" s="115" t="s">
        <v>67</v>
      </c>
      <c r="C94" s="115" t="s">
        <v>14</v>
      </c>
      <c r="D94" s="115" t="s">
        <v>573</v>
      </c>
      <c r="E94" s="98" t="s">
        <v>659</v>
      </c>
      <c r="F94" s="115" t="s">
        <v>483</v>
      </c>
      <c r="G94" s="115">
        <v>0</v>
      </c>
      <c r="H94" s="115">
        <v>9</v>
      </c>
      <c r="I94" s="194">
        <v>9</v>
      </c>
      <c r="J94" s="116">
        <v>16432</v>
      </c>
      <c r="K94" s="116">
        <v>657189</v>
      </c>
      <c r="L94" s="116">
        <v>46515</v>
      </c>
      <c r="M94" s="195">
        <v>2.878157978893508E-3</v>
      </c>
      <c r="N94" s="195">
        <v>3.9334632853979198E-4</v>
      </c>
      <c r="O94" s="195">
        <v>2.0902291189629035E-2</v>
      </c>
      <c r="P94" s="195">
        <v>2.1944323173667605E-3</v>
      </c>
    </row>
    <row r="95" spans="1:16" ht="22.5" customHeight="1">
      <c r="A95" s="115">
        <v>94</v>
      </c>
      <c r="B95" s="115" t="s">
        <v>11</v>
      </c>
      <c r="C95" s="115" t="s">
        <v>9</v>
      </c>
      <c r="D95" s="115" t="s">
        <v>660</v>
      </c>
      <c r="E95" s="98" t="s">
        <v>99</v>
      </c>
      <c r="F95" s="115" t="s">
        <v>476</v>
      </c>
      <c r="G95" s="115">
        <v>0</v>
      </c>
      <c r="H95" s="115">
        <v>8</v>
      </c>
      <c r="I95" s="194">
        <v>8</v>
      </c>
      <c r="J95" s="116">
        <v>18902</v>
      </c>
      <c r="K95" s="116">
        <v>549961</v>
      </c>
      <c r="L95" s="116">
        <v>1076373</v>
      </c>
      <c r="M95" s="195">
        <v>2.9038112522686023E-3</v>
      </c>
      <c r="N95" s="195">
        <v>6.0059531444780611E-4</v>
      </c>
      <c r="O95" s="195">
        <v>1.3155075007782974E-2</v>
      </c>
      <c r="P95" s="195">
        <v>3.8273243177980629E-2</v>
      </c>
    </row>
    <row r="96" spans="1:16" ht="22.5" customHeight="1">
      <c r="A96" s="115">
        <v>95</v>
      </c>
      <c r="B96" s="115" t="s">
        <v>67</v>
      </c>
      <c r="C96" s="115" t="s">
        <v>62</v>
      </c>
      <c r="D96" s="115" t="s">
        <v>573</v>
      </c>
      <c r="E96" s="98" t="s">
        <v>138</v>
      </c>
      <c r="F96" s="115" t="s">
        <v>483</v>
      </c>
      <c r="G96" s="115">
        <v>0</v>
      </c>
      <c r="H96" s="115">
        <v>7</v>
      </c>
      <c r="I96" s="194">
        <v>7</v>
      </c>
      <c r="J96" s="116">
        <v>25533</v>
      </c>
      <c r="K96" s="116">
        <v>763118</v>
      </c>
      <c r="L96" s="116">
        <v>9652</v>
      </c>
      <c r="M96" s="195">
        <v>2.238567316917173E-3</v>
      </c>
      <c r="N96" s="195">
        <v>6.1120446729591709E-4</v>
      </c>
      <c r="O96" s="195">
        <v>2.4271426709892175E-2</v>
      </c>
      <c r="P96" s="195">
        <v>4.5535119267384655E-4</v>
      </c>
    </row>
    <row r="97" spans="1:16" ht="22.5" customHeight="1">
      <c r="A97" s="115">
        <v>96</v>
      </c>
      <c r="B97" s="115" t="s">
        <v>67</v>
      </c>
      <c r="C97" s="115" t="s">
        <v>14</v>
      </c>
      <c r="D97" s="115" t="s">
        <v>660</v>
      </c>
      <c r="E97" s="98" t="s">
        <v>666</v>
      </c>
      <c r="F97" s="115" t="s">
        <v>476</v>
      </c>
      <c r="G97" s="115">
        <v>0</v>
      </c>
      <c r="H97" s="115">
        <v>5</v>
      </c>
      <c r="I97" s="194">
        <v>5</v>
      </c>
      <c r="J97" s="116">
        <v>27728</v>
      </c>
      <c r="K97" s="116">
        <v>1333697</v>
      </c>
      <c r="L97" s="116">
        <v>115669</v>
      </c>
      <c r="M97" s="195">
        <v>1.8148820326678765E-3</v>
      </c>
      <c r="N97" s="195">
        <v>8.8103411697221289E-4</v>
      </c>
      <c r="O97" s="195">
        <v>3.1902051368469998E-2</v>
      </c>
      <c r="P97" s="195">
        <v>4.1129123130679056E-3</v>
      </c>
    </row>
    <row r="98" spans="1:16" ht="22.5" hidden="1" customHeight="1">
      <c r="A98" s="115"/>
      <c r="B98" s="115" t="e">
        <f>VLOOKUP(C98,Lists!I:J,2,FALSE)</f>
        <v>#N/A</v>
      </c>
      <c r="C98" s="115" t="e">
        <f>VLOOKUP(E98,Lists!D:E,2,FALSE)</f>
        <v>#N/A</v>
      </c>
      <c r="D98" s="115"/>
      <c r="E98" s="98"/>
      <c r="F98" s="115"/>
      <c r="G98" s="115"/>
      <c r="H98" s="115"/>
      <c r="I98" s="194">
        <f t="shared" ref="I98:I103" si="8">SUM(G98:H98)</f>
        <v>0</v>
      </c>
      <c r="J98" s="116"/>
      <c r="K98" s="116"/>
      <c r="L98" s="116"/>
      <c r="M98" s="195" t="e">
        <f>I98/(HLOOKUP(F98,Team_Composition_21[[#All],[Yellow]:[Red]],10,FALSE)+HLOOKUP(F98,Team_Composition_21[[#All],[Yellow]:[Red]],11,FALSE))</f>
        <v>#N/A</v>
      </c>
      <c r="N98" s="195" t="e">
        <f>J98/HLOOKUP(F98,Team_Composition_21[[#All],[Yellow]:[Red]],6,FALSE)</f>
        <v>#N/A</v>
      </c>
      <c r="O98" s="195" t="e">
        <f>K98/HLOOKUP(F98,Team_Composition_21[[#All],[Yellow]:[Red]],8,FALSE)</f>
        <v>#N/A</v>
      </c>
      <c r="P98" s="195" t="e">
        <f>L98/HLOOKUP(F98,Team_Composition_21[[#All],[Yellow]:[Red]],7,FALSE)</f>
        <v>#N/A</v>
      </c>
    </row>
    <row r="99" spans="1:16" ht="22.5" hidden="1" customHeight="1">
      <c r="A99" s="115"/>
      <c r="B99" s="115" t="e">
        <f>VLOOKUP(C99,Lists!I:J,2,FALSE)</f>
        <v>#N/A</v>
      </c>
      <c r="C99" s="115" t="e">
        <f>VLOOKUP(E99,Lists!D:E,2,FALSE)</f>
        <v>#N/A</v>
      </c>
      <c r="D99" s="115"/>
      <c r="E99" s="98"/>
      <c r="F99" s="115"/>
      <c r="G99" s="115"/>
      <c r="H99" s="115"/>
      <c r="I99" s="194">
        <f t="shared" si="8"/>
        <v>0</v>
      </c>
      <c r="J99" s="116"/>
      <c r="K99" s="116"/>
      <c r="L99" s="116"/>
      <c r="M99" s="195" t="e">
        <f>I99/(HLOOKUP(F99,Team_Composition_21[[#All],[Yellow]:[Red]],10,FALSE)+HLOOKUP(F99,Team_Composition_21[[#All],[Yellow]:[Red]],11,FALSE))</f>
        <v>#N/A</v>
      </c>
      <c r="N99" s="195" t="e">
        <f>J99/HLOOKUP(F99,Team_Composition_21[[#All],[Yellow]:[Red]],6,FALSE)</f>
        <v>#N/A</v>
      </c>
      <c r="O99" s="195" t="e">
        <f>K99/HLOOKUP(F99,Team_Composition_21[[#All],[Yellow]:[Red]],8,FALSE)</f>
        <v>#N/A</v>
      </c>
      <c r="P99" s="195" t="e">
        <f>L99/HLOOKUP(F99,Team_Composition_21[[#All],[Yellow]:[Red]],7,FALSE)</f>
        <v>#N/A</v>
      </c>
    </row>
    <row r="100" spans="1:16" ht="22.5" hidden="1" customHeight="1">
      <c r="A100" s="115"/>
      <c r="B100" s="115" t="e">
        <f>VLOOKUP(C100,Lists!I:J,2,FALSE)</f>
        <v>#N/A</v>
      </c>
      <c r="C100" s="115" t="e">
        <f>VLOOKUP(E100,Lists!D:E,2,FALSE)</f>
        <v>#N/A</v>
      </c>
      <c r="D100" s="115"/>
      <c r="E100" s="98"/>
      <c r="F100" s="115"/>
      <c r="G100" s="115"/>
      <c r="H100" s="115"/>
      <c r="I100" s="194">
        <f t="shared" si="8"/>
        <v>0</v>
      </c>
      <c r="J100" s="116"/>
      <c r="K100" s="116"/>
      <c r="L100" s="116"/>
      <c r="M100" s="195" t="e">
        <f>I100/(HLOOKUP(F100,Team_Composition_21[[#All],[Yellow]:[Red]],10,FALSE)+HLOOKUP(F100,Team_Composition_21[[#All],[Yellow]:[Red]],11,FALSE))</f>
        <v>#N/A</v>
      </c>
      <c r="N100" s="195" t="e">
        <f>J100/HLOOKUP(F100,Team_Composition_21[[#All],[Yellow]:[Red]],6,FALSE)</f>
        <v>#N/A</v>
      </c>
      <c r="O100" s="195" t="e">
        <f>K100/HLOOKUP(F100,Team_Composition_21[[#All],[Yellow]:[Red]],8,FALSE)</f>
        <v>#N/A</v>
      </c>
      <c r="P100" s="195" t="e">
        <f>L100/HLOOKUP(F100,Team_Composition_21[[#All],[Yellow]:[Red]],7,FALSE)</f>
        <v>#N/A</v>
      </c>
    </row>
    <row r="101" spans="1:16" ht="22.5" hidden="1" customHeight="1">
      <c r="A101" s="115"/>
      <c r="B101" s="115" t="e">
        <f>VLOOKUP(C101,Lists!I:J,2,FALSE)</f>
        <v>#N/A</v>
      </c>
      <c r="C101" s="115" t="e">
        <f>VLOOKUP(E101,Lists!D:E,2,FALSE)</f>
        <v>#N/A</v>
      </c>
      <c r="D101" s="115"/>
      <c r="E101" s="98"/>
      <c r="F101" s="115"/>
      <c r="G101" s="115"/>
      <c r="H101" s="115"/>
      <c r="I101" s="194">
        <f t="shared" si="8"/>
        <v>0</v>
      </c>
      <c r="J101" s="116"/>
      <c r="K101" s="116"/>
      <c r="L101" s="116"/>
      <c r="M101" s="195" t="e">
        <f>I101/(HLOOKUP(F101,Team_Composition_21[[#All],[Yellow]:[Red]],10,FALSE)+HLOOKUP(F101,Team_Composition_21[[#All],[Yellow]:[Red]],11,FALSE))</f>
        <v>#N/A</v>
      </c>
      <c r="N101" s="195" t="e">
        <f>J101/HLOOKUP(F101,Team_Composition_21[[#All],[Yellow]:[Red]],6,FALSE)</f>
        <v>#N/A</v>
      </c>
      <c r="O101" s="195" t="e">
        <f>K101/HLOOKUP(F101,Team_Composition_21[[#All],[Yellow]:[Red]],8,FALSE)</f>
        <v>#N/A</v>
      </c>
      <c r="P101" s="195" t="e">
        <f>L101/HLOOKUP(F101,Team_Composition_21[[#All],[Yellow]:[Red]],7,FALSE)</f>
        <v>#N/A</v>
      </c>
    </row>
    <row r="102" spans="1:16" ht="22.5" hidden="1" customHeight="1">
      <c r="A102" s="115"/>
      <c r="B102" s="115" t="e">
        <f>VLOOKUP(C102,Lists!I:J,2,FALSE)</f>
        <v>#N/A</v>
      </c>
      <c r="C102" s="115" t="e">
        <f>VLOOKUP(E102,Lists!D:E,2,FALSE)</f>
        <v>#N/A</v>
      </c>
      <c r="D102" s="115"/>
      <c r="E102" s="98"/>
      <c r="F102" s="115"/>
      <c r="G102" s="115"/>
      <c r="H102" s="115"/>
      <c r="I102" s="194">
        <f t="shared" si="8"/>
        <v>0</v>
      </c>
      <c r="J102" s="116"/>
      <c r="K102" s="116"/>
      <c r="L102" s="116"/>
      <c r="M102" s="195" t="e">
        <f>I102/(HLOOKUP(F102,Team_Composition_21[[#All],[Yellow]:[Red]],10,FALSE)+HLOOKUP(F102,Team_Composition_21[[#All],[Yellow]:[Red]],11,FALSE))</f>
        <v>#N/A</v>
      </c>
      <c r="N102" s="195" t="e">
        <f>J102/HLOOKUP(F102,Team_Composition_21[[#All],[Yellow]:[Red]],6,FALSE)</f>
        <v>#N/A</v>
      </c>
      <c r="O102" s="195" t="e">
        <f>K102/HLOOKUP(F102,Team_Composition_21[[#All],[Yellow]:[Red]],8,FALSE)</f>
        <v>#N/A</v>
      </c>
      <c r="P102" s="195" t="e">
        <f>L102/HLOOKUP(F102,Team_Composition_21[[#All],[Yellow]:[Red]],7,FALSE)</f>
        <v>#N/A</v>
      </c>
    </row>
    <row r="103" spans="1:16" ht="22.5" hidden="1" customHeight="1">
      <c r="A103" s="115"/>
      <c r="B103" s="115" t="e">
        <f>VLOOKUP(C103,Lists!I:J,2,FALSE)</f>
        <v>#N/A</v>
      </c>
      <c r="C103" s="115" t="e">
        <f>VLOOKUP(E103,Lists!D:E,2,FALSE)</f>
        <v>#N/A</v>
      </c>
      <c r="D103" s="115"/>
      <c r="E103" s="98"/>
      <c r="F103" s="115"/>
      <c r="G103" s="115"/>
      <c r="H103" s="115"/>
      <c r="I103" s="194">
        <f t="shared" si="8"/>
        <v>0</v>
      </c>
      <c r="J103" s="116"/>
      <c r="K103" s="116"/>
      <c r="L103" s="116"/>
      <c r="M103" s="195" t="e">
        <f>I103/(HLOOKUP(F103,Team_Composition_21[[#All],[Yellow]:[Red]],10,FALSE)+HLOOKUP(F103,Team_Composition_21[[#All],[Yellow]:[Red]],11,FALSE))</f>
        <v>#N/A</v>
      </c>
      <c r="N103" s="195" t="e">
        <f>J103/HLOOKUP(F103,Team_Composition_21[[#All],[Yellow]:[Red]],6,FALSE)</f>
        <v>#N/A</v>
      </c>
      <c r="O103" s="195" t="e">
        <f>K103/HLOOKUP(F103,Team_Composition_21[[#All],[Yellow]:[Red]],8,FALSE)</f>
        <v>#N/A</v>
      </c>
      <c r="P103" s="195" t="e">
        <f>L103/HLOOKUP(F103,Team_Composition_21[[#All],[Yellow]:[Red]],7,FALSE)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900-000000000000}">
      <formula1>#REF!</formula1>
    </dataValidation>
    <dataValidation type="list" allowBlank="1" sqref="F2:F103" xr:uid="{00000000-0002-0000-1900-000002000000}">
      <formula1>"Yellow,Red"</formula1>
    </dataValidation>
    <dataValidation type="custom" allowBlank="1" showDropDown="1" sqref="S4:T13 S17:T25 S30:T46 S51:T60 S65:T71 A2:A103 G2:L103" xr:uid="{00000000-0002-0000-1900-000003000000}">
      <formula1>AND(ISNUMBER(A2),(NOT(OR(NOT(ISERROR(DATEVALUE(A2))), AND(ISNUMBER(A2), LEFT(CELL("format", A2))="D")))))</formula1>
    </dataValidation>
    <dataValidation allowBlank="1" showDropDown="1" sqref="E2:E103" xr:uid="{00000000-0002-0000-19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
        <v>39</v>
      </c>
      <c r="C2" s="115" t="s">
        <v>58</v>
      </c>
      <c r="D2" s="115" t="s">
        <v>667</v>
      </c>
      <c r="E2" s="98" t="s">
        <v>668</v>
      </c>
      <c r="F2" s="115" t="s">
        <v>476</v>
      </c>
      <c r="G2" s="115">
        <v>67</v>
      </c>
      <c r="H2" s="115">
        <v>131</v>
      </c>
      <c r="I2" s="194">
        <v>198</v>
      </c>
      <c r="J2" s="116">
        <v>3735733</v>
      </c>
      <c r="K2" s="116">
        <v>266508</v>
      </c>
      <c r="L2" s="116">
        <v>0</v>
      </c>
      <c r="M2" s="195">
        <v>7.268722466960352E-2</v>
      </c>
      <c r="N2" s="195">
        <v>0.11282266916802978</v>
      </c>
      <c r="O2" s="195">
        <v>1.4673356121408274E-2</v>
      </c>
      <c r="P2" s="195">
        <v>0</v>
      </c>
      <c r="R2" s="232" t="s">
        <v>477</v>
      </c>
      <c r="S2" s="228"/>
      <c r="T2" s="228"/>
      <c r="V2" s="233" t="s">
        <v>478</v>
      </c>
      <c r="W2" s="228"/>
      <c r="X2" s="196"/>
      <c r="Y2" s="233" t="s">
        <v>479</v>
      </c>
      <c r="Z2" s="228"/>
    </row>
    <row r="3" spans="1:26" ht="22.5" customHeight="1">
      <c r="A3" s="115">
        <v>2</v>
      </c>
      <c r="B3" s="115" t="s">
        <v>39</v>
      </c>
      <c r="C3" s="115" t="s">
        <v>58</v>
      </c>
      <c r="D3" s="115" t="s">
        <v>667</v>
      </c>
      <c r="E3" s="98" t="s">
        <v>632</v>
      </c>
      <c r="F3" s="115" t="s">
        <v>476</v>
      </c>
      <c r="G3" s="115">
        <v>59</v>
      </c>
      <c r="H3" s="115">
        <v>112</v>
      </c>
      <c r="I3" s="194">
        <v>171</v>
      </c>
      <c r="J3" s="116">
        <v>3800992</v>
      </c>
      <c r="K3" s="116">
        <v>249140</v>
      </c>
      <c r="L3" s="116">
        <v>0</v>
      </c>
      <c r="M3" s="195">
        <v>6.2775330396475773E-2</v>
      </c>
      <c r="N3" s="195">
        <v>0.11479355267796919</v>
      </c>
      <c r="O3" s="195">
        <v>1.371711147165435E-2</v>
      </c>
      <c r="P3" s="195">
        <v>0</v>
      </c>
      <c r="R3" s="197" t="s">
        <v>482</v>
      </c>
      <c r="S3" s="198" t="s">
        <v>476</v>
      </c>
      <c r="T3" s="198" t="s">
        <v>483</v>
      </c>
      <c r="V3" s="199" t="s">
        <v>1</v>
      </c>
      <c r="W3" s="200" t="s">
        <v>467</v>
      </c>
      <c r="Y3" s="199" t="s">
        <v>1</v>
      </c>
      <c r="Z3" s="200" t="s">
        <v>484</v>
      </c>
    </row>
    <row r="4" spans="1:26" ht="22.5" customHeight="1">
      <c r="A4" s="115">
        <v>9</v>
      </c>
      <c r="B4" s="115" t="s">
        <v>25</v>
      </c>
      <c r="C4" s="115" t="s">
        <v>23</v>
      </c>
      <c r="D4" s="115" t="s">
        <v>667</v>
      </c>
      <c r="E4" s="98" t="s">
        <v>669</v>
      </c>
      <c r="F4" s="115" t="s">
        <v>476</v>
      </c>
      <c r="G4" s="115">
        <v>28</v>
      </c>
      <c r="H4" s="115">
        <v>110</v>
      </c>
      <c r="I4" s="194">
        <v>138</v>
      </c>
      <c r="J4" s="116">
        <v>2112993</v>
      </c>
      <c r="K4" s="116">
        <v>348745</v>
      </c>
      <c r="L4" s="116">
        <v>12460</v>
      </c>
      <c r="M4" s="195">
        <v>5.0660792951541848E-2</v>
      </c>
      <c r="N4" s="195">
        <v>6.3814386679498444E-2</v>
      </c>
      <c r="O4" s="195">
        <v>1.9201148110227568E-2</v>
      </c>
      <c r="P4" s="195">
        <v>9.748967986454724E-4</v>
      </c>
      <c r="R4" s="201" t="s">
        <v>25</v>
      </c>
      <c r="S4" s="202">
        <f>COUNTIFS(Scoreboard_18[Role],R4,Scoreboard_18[Team],"Yellow")</f>
        <v>6</v>
      </c>
      <c r="T4" s="203">
        <f>COUNTIFS(Scoreboard_18[Role],R4,Scoreboard_18[Team],"Red")</f>
        <v>8</v>
      </c>
      <c r="V4" s="204" t="str">
        <f ca="1">IFERROR(__xludf.DUMMYFUNCTION("query(A1:P239, ""Select E,I where B!='Healer' Order by I Desc Limit 10"", 0)"),"Leyv1ng")</f>
        <v>Leyv1ng</v>
      </c>
      <c r="W4" s="116">
        <f ca="1">IFERROR(__xludf.DUMMYFUNCTION("""COMPUTED_VALUE"""),198)</f>
        <v>198</v>
      </c>
      <c r="Y4" s="204" t="str">
        <f ca="1">IFERROR(__xludf.DUMMYFUNCTION("query(A1:P239, ""Select E,J Order by J Desc Limit 10"", 0)"),"BBlast")</f>
        <v>BBlast</v>
      </c>
      <c r="Z4" s="116">
        <f ca="1">IFERROR(__xludf.DUMMYFUNCTION("""COMPUTED_VALUE"""),3800992)</f>
        <v>3800992</v>
      </c>
    </row>
    <row r="5" spans="1:26" ht="22.5" customHeight="1">
      <c r="A5" s="115">
        <v>3</v>
      </c>
      <c r="B5" s="115" t="s">
        <v>39</v>
      </c>
      <c r="C5" s="115" t="s">
        <v>38</v>
      </c>
      <c r="D5" s="115" t="s">
        <v>667</v>
      </c>
      <c r="E5" s="98" t="s">
        <v>670</v>
      </c>
      <c r="F5" s="115" t="s">
        <v>476</v>
      </c>
      <c r="G5" s="115">
        <v>52</v>
      </c>
      <c r="H5" s="115">
        <v>84</v>
      </c>
      <c r="I5" s="194">
        <v>136</v>
      </c>
      <c r="J5" s="116">
        <v>2807266</v>
      </c>
      <c r="K5" s="116">
        <v>613488</v>
      </c>
      <c r="L5" s="116">
        <v>3221</v>
      </c>
      <c r="M5" s="195">
        <v>4.9926578560939794E-2</v>
      </c>
      <c r="N5" s="195">
        <v>8.4782087794994535E-2</v>
      </c>
      <c r="O5" s="195">
        <v>3.3777327135435034E-2</v>
      </c>
      <c r="P5" s="195">
        <v>2.5201786424053504E-4</v>
      </c>
      <c r="R5" s="201" t="s">
        <v>39</v>
      </c>
      <c r="S5" s="202">
        <f>COUNTIFS(Scoreboard_18[Role],R5,Scoreboard_18[Team],"Yellow")</f>
        <v>9</v>
      </c>
      <c r="T5" s="203">
        <f>COUNTIFS(Scoreboard_18[Role],R5,Scoreboard_18[Team],"Red")</f>
        <v>9</v>
      </c>
      <c r="V5" s="204" t="str">
        <f ca="1">IFERROR(__xludf.DUMMYFUNCTION("""COMPUTED_VALUE"""),"BBlast")</f>
        <v>BBlast</v>
      </c>
      <c r="W5" s="116">
        <f ca="1">IFERROR(__xludf.DUMMYFUNCTION("""COMPUTED_VALUE"""),171)</f>
        <v>171</v>
      </c>
      <c r="Y5" s="204" t="str">
        <f ca="1">IFERROR(__xludf.DUMMYFUNCTION("""COMPUTED_VALUE"""),"Leyv1ng")</f>
        <v>Leyv1ng</v>
      </c>
      <c r="Z5" s="116">
        <f ca="1">IFERROR(__xludf.DUMMYFUNCTION("""COMPUTED_VALUE"""),3735733)</f>
        <v>3735733</v>
      </c>
    </row>
    <row r="6" spans="1:26" ht="22.5" customHeight="1">
      <c r="A6" s="115">
        <v>4</v>
      </c>
      <c r="B6" s="115" t="s">
        <v>39</v>
      </c>
      <c r="C6" s="115" t="s">
        <v>38</v>
      </c>
      <c r="D6" s="115" t="s">
        <v>667</v>
      </c>
      <c r="E6" s="98" t="s">
        <v>671</v>
      </c>
      <c r="F6" s="115" t="s">
        <v>476</v>
      </c>
      <c r="G6" s="115">
        <v>46</v>
      </c>
      <c r="H6" s="115">
        <v>87</v>
      </c>
      <c r="I6" s="194">
        <v>133</v>
      </c>
      <c r="J6" s="116">
        <v>2546672</v>
      </c>
      <c r="K6" s="116">
        <v>423450</v>
      </c>
      <c r="L6" s="116">
        <v>16949</v>
      </c>
      <c r="M6" s="195">
        <v>4.8825256975036709E-2</v>
      </c>
      <c r="N6" s="195">
        <v>7.691190257319909E-2</v>
      </c>
      <c r="O6" s="195">
        <v>2.3314244411463573E-2</v>
      </c>
      <c r="P6" s="195">
        <v>1.3261256693613253E-3</v>
      </c>
      <c r="R6" s="201" t="s">
        <v>67</v>
      </c>
      <c r="S6" s="202">
        <f>COUNTIFS(Scoreboard_18[Role],R6,Scoreboard_18[Team],"Yellow")</f>
        <v>14</v>
      </c>
      <c r="T6" s="203">
        <f>COUNTIFS(Scoreboard_18[Role],R6,Scoreboard_18[Team],"Red")</f>
        <v>10</v>
      </c>
      <c r="V6" s="204" t="str">
        <f ca="1">IFERROR(__xludf.DUMMYFUNCTION("""COMPUTED_VALUE"""),"Cygg")</f>
        <v>Cygg</v>
      </c>
      <c r="W6" s="116">
        <f ca="1">IFERROR(__xludf.DUMMYFUNCTION("""COMPUTED_VALUE"""),138)</f>
        <v>138</v>
      </c>
      <c r="Y6" s="204" t="str">
        <f ca="1">IFERROR(__xludf.DUMMYFUNCTION("""COMPUTED_VALUE"""),"TechnoDroid")</f>
        <v>TechnoDroid</v>
      </c>
      <c r="Z6" s="116">
        <f ca="1">IFERROR(__xludf.DUMMYFUNCTION("""COMPUTED_VALUE"""),2807266)</f>
        <v>2807266</v>
      </c>
    </row>
    <row r="7" spans="1:26" ht="22.5" customHeight="1">
      <c r="A7" s="115">
        <v>10</v>
      </c>
      <c r="B7" s="115" t="s">
        <v>39</v>
      </c>
      <c r="C7" s="115" t="s">
        <v>58</v>
      </c>
      <c r="D7" s="115" t="s">
        <v>667</v>
      </c>
      <c r="E7" s="98" t="s">
        <v>672</v>
      </c>
      <c r="F7" s="115" t="s">
        <v>476</v>
      </c>
      <c r="G7" s="115">
        <v>25</v>
      </c>
      <c r="H7" s="115">
        <v>96</v>
      </c>
      <c r="I7" s="194">
        <v>121</v>
      </c>
      <c r="J7" s="116">
        <v>1947364</v>
      </c>
      <c r="K7" s="116">
        <v>370717</v>
      </c>
      <c r="L7" s="116">
        <v>10197</v>
      </c>
      <c r="M7" s="195">
        <v>4.4419970631424374E-2</v>
      </c>
      <c r="N7" s="195">
        <v>5.8812234258104411E-2</v>
      </c>
      <c r="O7" s="195">
        <v>2.0410879077776695E-2</v>
      </c>
      <c r="P7" s="195">
        <v>7.9783488409212544E-4</v>
      </c>
      <c r="R7" s="201" t="s">
        <v>11</v>
      </c>
      <c r="S7" s="202">
        <f>COUNTIFS(Scoreboard_18[Role],R7,Scoreboard_18[Team],"Yellow")</f>
        <v>19</v>
      </c>
      <c r="T7" s="203">
        <f>COUNTIFS(Scoreboard_18[Role],R7,Scoreboard_18[Team],"Red")</f>
        <v>21</v>
      </c>
      <c r="V7" s="204" t="str">
        <f ca="1">IFERROR(__xludf.DUMMYFUNCTION("""COMPUTED_VALUE"""),"TechnoDroid")</f>
        <v>TechnoDroid</v>
      </c>
      <c r="W7" s="116">
        <f ca="1">IFERROR(__xludf.DUMMYFUNCTION("""COMPUTED_VALUE"""),136)</f>
        <v>136</v>
      </c>
      <c r="Y7" s="204" t="str">
        <f ca="1">IFERROR(__xludf.DUMMYFUNCTION("""COMPUTED_VALUE"""),"Fearcely")</f>
        <v>Fearcely</v>
      </c>
      <c r="Z7" s="116">
        <f ca="1">IFERROR(__xludf.DUMMYFUNCTION("""COMPUTED_VALUE"""),2546672)</f>
        <v>2546672</v>
      </c>
    </row>
    <row r="8" spans="1:26" ht="22.5" customHeight="1">
      <c r="A8" s="115">
        <v>5</v>
      </c>
      <c r="B8" s="115" t="s">
        <v>39</v>
      </c>
      <c r="C8" s="115" t="s">
        <v>38</v>
      </c>
      <c r="D8" s="115" t="s">
        <v>667</v>
      </c>
      <c r="E8" s="98" t="s">
        <v>673</v>
      </c>
      <c r="F8" s="115" t="s">
        <v>476</v>
      </c>
      <c r="G8" s="115">
        <v>38</v>
      </c>
      <c r="H8" s="115">
        <v>67</v>
      </c>
      <c r="I8" s="194">
        <v>105</v>
      </c>
      <c r="J8" s="116">
        <v>2263297</v>
      </c>
      <c r="K8" s="116">
        <v>458152</v>
      </c>
      <c r="L8" s="116">
        <v>0</v>
      </c>
      <c r="M8" s="195">
        <v>3.8546255506607931E-2</v>
      </c>
      <c r="N8" s="195">
        <v>6.8353709609330834E-2</v>
      </c>
      <c r="O8" s="195">
        <v>2.5224861744245739E-2</v>
      </c>
      <c r="P8" s="195">
        <v>0</v>
      </c>
      <c r="R8" s="201" t="s">
        <v>468</v>
      </c>
      <c r="S8" s="202">
        <f>SUMIFS(Scoreboard_18[Damage Dealt],Scoreboard_18[Team],"Yellow")</f>
        <v>33111546</v>
      </c>
      <c r="T8" s="203">
        <f>SUMIFS(Scoreboard_18[Damage Dealt],Scoreboard_18[Team],"Red")</f>
        <v>18606072</v>
      </c>
      <c r="V8" s="204" t="str">
        <f ca="1">IFERROR(__xludf.DUMMYFUNCTION("""COMPUTED_VALUE"""),"Fearcely")</f>
        <v>Fearcely</v>
      </c>
      <c r="W8" s="116">
        <f ca="1">IFERROR(__xludf.DUMMYFUNCTION("""COMPUTED_VALUE"""),133)</f>
        <v>133</v>
      </c>
      <c r="Y8" s="204" t="str">
        <f ca="1">IFERROR(__xludf.DUMMYFUNCTION("""COMPUTED_VALUE"""),"Zahli")</f>
        <v>Zahli</v>
      </c>
      <c r="Z8" s="116">
        <f ca="1">IFERROR(__xludf.DUMMYFUNCTION("""COMPUTED_VALUE"""),2263297)</f>
        <v>2263297</v>
      </c>
    </row>
    <row r="9" spans="1:26" ht="22.5" customHeight="1">
      <c r="A9" s="115">
        <v>7</v>
      </c>
      <c r="B9" s="115" t="s">
        <v>39</v>
      </c>
      <c r="C9" s="115" t="s">
        <v>58</v>
      </c>
      <c r="D9" s="115" t="s">
        <v>667</v>
      </c>
      <c r="E9" s="98" t="s">
        <v>674</v>
      </c>
      <c r="F9" s="115" t="s">
        <v>476</v>
      </c>
      <c r="G9" s="115">
        <v>29</v>
      </c>
      <c r="H9" s="115">
        <v>67</v>
      </c>
      <c r="I9" s="194">
        <v>96</v>
      </c>
      <c r="J9" s="116">
        <v>1691128</v>
      </c>
      <c r="K9" s="116">
        <v>694344</v>
      </c>
      <c r="L9" s="116">
        <v>0</v>
      </c>
      <c r="M9" s="195">
        <v>3.5242290748898682E-2</v>
      </c>
      <c r="N9" s="195">
        <v>5.1073664757302482E-2</v>
      </c>
      <c r="O9" s="195">
        <v>3.822908424048474E-2</v>
      </c>
      <c r="P9" s="195">
        <v>0</v>
      </c>
      <c r="R9" s="201" t="s">
        <v>470</v>
      </c>
      <c r="S9" s="202">
        <f>SUMIFS(Scoreboard_18[Amount Healed],Scoreboard_18[Team],"Yellow")</f>
        <v>12780840</v>
      </c>
      <c r="T9" s="203">
        <f>SUMIFS(Scoreboard_18[Amount Healed],Scoreboard_18[Team],"Red")</f>
        <v>20444527</v>
      </c>
      <c r="V9" s="204" t="str">
        <f ca="1">IFERROR(__xludf.DUMMYFUNCTION("""COMPUTED_VALUE"""),"Crypticx")</f>
        <v>Crypticx</v>
      </c>
      <c r="W9" s="116">
        <f ca="1">IFERROR(__xludf.DUMMYFUNCTION("""COMPUTED_VALUE"""),121)</f>
        <v>121</v>
      </c>
      <c r="Y9" s="204" t="str">
        <f ca="1">IFERROR(__xludf.DUMMYFUNCTION("""COMPUTED_VALUE"""),"TanksVicious")</f>
        <v>TanksVicious</v>
      </c>
      <c r="Z9" s="116">
        <f ca="1">IFERROR(__xludf.DUMMYFUNCTION("""COMPUTED_VALUE"""),2166997)</f>
        <v>2166997</v>
      </c>
    </row>
    <row r="10" spans="1:26" ht="22.5" customHeight="1">
      <c r="A10" s="115">
        <v>8</v>
      </c>
      <c r="B10" s="115" t="s">
        <v>39</v>
      </c>
      <c r="C10" s="115" t="s">
        <v>58</v>
      </c>
      <c r="D10" s="115" t="s">
        <v>667</v>
      </c>
      <c r="E10" s="98" t="s">
        <v>675</v>
      </c>
      <c r="F10" s="115" t="s">
        <v>476</v>
      </c>
      <c r="G10" s="115">
        <v>29</v>
      </c>
      <c r="H10" s="115">
        <v>54</v>
      </c>
      <c r="I10" s="194">
        <v>83</v>
      </c>
      <c r="J10" s="116">
        <v>2070901</v>
      </c>
      <c r="K10" s="116">
        <v>589933</v>
      </c>
      <c r="L10" s="116">
        <v>0</v>
      </c>
      <c r="M10" s="195">
        <v>3.0469897209985317E-2</v>
      </c>
      <c r="N10" s="195">
        <v>6.2543168476639543E-2</v>
      </c>
      <c r="O10" s="195">
        <v>3.2480439599451974E-2</v>
      </c>
      <c r="P10" s="195">
        <v>0</v>
      </c>
      <c r="R10" s="201" t="s">
        <v>469</v>
      </c>
      <c r="S10" s="202">
        <f>SUMIFS(Scoreboard_18[Damage Taken],Scoreboard_18[Team],"Yellow")</f>
        <v>18162716</v>
      </c>
      <c r="T10" s="203">
        <f>SUMIFS(Scoreboard_18[Damage Taken],Scoreboard_18[Team],"Red")</f>
        <v>32092902</v>
      </c>
      <c r="V10" s="204" t="str">
        <f ca="1">IFERROR(__xludf.DUMMYFUNCTION("""COMPUTED_VALUE"""),"Zahli")</f>
        <v>Zahli</v>
      </c>
      <c r="W10" s="116">
        <f ca="1">IFERROR(__xludf.DUMMYFUNCTION("""COMPUTED_VALUE"""),105)</f>
        <v>105</v>
      </c>
      <c r="Y10" s="204" t="str">
        <f ca="1">IFERROR(__xludf.DUMMYFUNCTION("""COMPUTED_VALUE"""),"Suaga")</f>
        <v>Suaga</v>
      </c>
      <c r="Z10" s="116">
        <f ca="1">IFERROR(__xludf.DUMMYFUNCTION("""COMPUTED_VALUE"""),2136410)</f>
        <v>2136410</v>
      </c>
    </row>
    <row r="11" spans="1:26" ht="22.5" customHeight="1">
      <c r="A11" s="115">
        <v>54</v>
      </c>
      <c r="B11" s="115" t="s">
        <v>11</v>
      </c>
      <c r="C11" s="115" t="s">
        <v>9</v>
      </c>
      <c r="D11" s="115" t="s">
        <v>667</v>
      </c>
      <c r="E11" s="98" t="s">
        <v>639</v>
      </c>
      <c r="F11" s="115" t="s">
        <v>476</v>
      </c>
      <c r="G11" s="115">
        <v>0</v>
      </c>
      <c r="H11" s="115">
        <v>80</v>
      </c>
      <c r="I11" s="194">
        <v>80</v>
      </c>
      <c r="J11" s="116">
        <v>3937</v>
      </c>
      <c r="K11" s="116">
        <v>143109</v>
      </c>
      <c r="L11" s="116">
        <v>150541</v>
      </c>
      <c r="M11" s="195">
        <v>2.9368575624082231E-2</v>
      </c>
      <c r="N11" s="195">
        <v>1.1890112288927857E-4</v>
      </c>
      <c r="O11" s="195">
        <v>7.8792731219273597E-3</v>
      </c>
      <c r="P11" s="195">
        <v>1.1778646786909154E-2</v>
      </c>
      <c r="R11" s="201" t="s">
        <v>495</v>
      </c>
      <c r="S11" s="202">
        <f ca="1">IFERROR(DIVIDE(SUMIFS(Scoreboard_18[Amount Healed],Scoreboard_18[Team],"Yellow"), SUMIFS(Scoreboard_18[Damage Taken],Scoreboard_18[Team],"Yellow"))*(100),0)</f>
        <v>0</v>
      </c>
      <c r="T11" s="203">
        <f ca="1">IFERROR(DIVIDE(SUMIFS(Scoreboard_18[Amount Healed],Scoreboard_18[Team],"Red"), SUMIFS(Scoreboard_18[Damage Taken],Scoreboard_18[Team],"Red"))*(100),0)</f>
        <v>0</v>
      </c>
      <c r="V11" s="204" t="str">
        <f ca="1">IFERROR(__xludf.DUMMYFUNCTION("""COMPUTED_VALUE"""),"Dhakoツ")</f>
        <v>Dhakoツ</v>
      </c>
      <c r="W11" s="116">
        <f ca="1">IFERROR(__xludf.DUMMYFUNCTION("""COMPUTED_VALUE"""),96)</f>
        <v>96</v>
      </c>
      <c r="Y11" s="204" t="str">
        <f ca="1">IFERROR(__xludf.DUMMYFUNCTION("""COMPUTED_VALUE"""),"Cygg")</f>
        <v>Cygg</v>
      </c>
      <c r="Z11" s="116">
        <f ca="1">IFERROR(__xludf.DUMMYFUNCTION("""COMPUTED_VALUE"""),2112993)</f>
        <v>2112993</v>
      </c>
    </row>
    <row r="12" spans="1:26" ht="22.5" customHeight="1">
      <c r="A12" s="115">
        <v>55</v>
      </c>
      <c r="B12" s="115" t="s">
        <v>11</v>
      </c>
      <c r="C12" s="115" t="s">
        <v>9</v>
      </c>
      <c r="D12" s="115" t="s">
        <v>667</v>
      </c>
      <c r="E12" s="98" t="s">
        <v>602</v>
      </c>
      <c r="F12" s="115" t="s">
        <v>476</v>
      </c>
      <c r="G12" s="115">
        <v>0</v>
      </c>
      <c r="H12" s="115">
        <v>76</v>
      </c>
      <c r="I12" s="194">
        <v>76</v>
      </c>
      <c r="J12" s="116">
        <v>23756</v>
      </c>
      <c r="K12" s="116">
        <v>118717</v>
      </c>
      <c r="L12" s="116">
        <v>156165</v>
      </c>
      <c r="M12" s="195">
        <v>2.7900146842878122E-2</v>
      </c>
      <c r="N12" s="195">
        <v>7.1745366404818423E-4</v>
      </c>
      <c r="O12" s="195">
        <v>6.5363021697856204E-3</v>
      </c>
      <c r="P12" s="195">
        <v>1.2218680462317031E-2</v>
      </c>
      <c r="R12" s="201" t="s">
        <v>465</v>
      </c>
      <c r="S12" s="202">
        <f>SUMIFS(Scoreboard_18[Kills],Scoreboard_18[Team],"Yellow")</f>
        <v>516</v>
      </c>
      <c r="T12" s="203">
        <f>SUMIFS(Scoreboard_18[Kills],Scoreboard_18[Team],"Red")</f>
        <v>252</v>
      </c>
      <c r="V12" s="204" t="str">
        <f ca="1">IFERROR(__xludf.DUMMYFUNCTION("""COMPUTED_VALUE"""),"Robin一btwツ")</f>
        <v>Robin一btwツ</v>
      </c>
      <c r="W12" s="116">
        <f ca="1">IFERROR(__xludf.DUMMYFUNCTION("""COMPUTED_VALUE"""),83)</f>
        <v>83</v>
      </c>
      <c r="Y12" s="204" t="str">
        <f ca="1">IFERROR(__xludf.DUMMYFUNCTION("""COMPUTED_VALUE"""),"Robin一btwツ")</f>
        <v>Robin一btwツ</v>
      </c>
      <c r="Z12" s="116">
        <f ca="1">IFERROR(__xludf.DUMMYFUNCTION("""COMPUTED_VALUE"""),2070901)</f>
        <v>2070901</v>
      </c>
    </row>
    <row r="13" spans="1:26" ht="22.5" customHeight="1">
      <c r="A13" s="115">
        <v>6</v>
      </c>
      <c r="B13" s="115" t="s">
        <v>39</v>
      </c>
      <c r="C13" s="115" t="s">
        <v>54</v>
      </c>
      <c r="D13" s="115" t="s">
        <v>667</v>
      </c>
      <c r="E13" s="98" t="s">
        <v>227</v>
      </c>
      <c r="F13" s="115" t="s">
        <v>476</v>
      </c>
      <c r="G13" s="115">
        <v>37</v>
      </c>
      <c r="H13" s="115">
        <v>38</v>
      </c>
      <c r="I13" s="194">
        <v>75</v>
      </c>
      <c r="J13" s="116">
        <v>2136410</v>
      </c>
      <c r="K13" s="116">
        <v>973842</v>
      </c>
      <c r="L13" s="116">
        <v>9725</v>
      </c>
      <c r="M13" s="195">
        <v>2.7533039647577091E-2</v>
      </c>
      <c r="N13" s="195">
        <v>6.452160222298288E-2</v>
      </c>
      <c r="O13" s="195">
        <v>5.3617641766793026E-2</v>
      </c>
      <c r="P13" s="195">
        <v>7.6090460407923105E-4</v>
      </c>
      <c r="R13" s="201" t="s">
        <v>466</v>
      </c>
      <c r="S13" s="202">
        <f>SUMIFS(Scoreboard_18[Assists],Scoreboard_18[Team],"Yellow")</f>
        <v>2208</v>
      </c>
      <c r="T13" s="203">
        <f>SUMIFS(Scoreboard_18[Assists],Scoreboard_18[Team],"Red")</f>
        <v>1072</v>
      </c>
      <c r="V13" s="204" t="str">
        <f ca="1">IFERROR(__xludf.DUMMYFUNCTION("""COMPUTED_VALUE"""),"Suaga")</f>
        <v>Suaga</v>
      </c>
      <c r="W13" s="116">
        <f ca="1">IFERROR(__xludf.DUMMYFUNCTION("""COMPUTED_VALUE"""),75)</f>
        <v>75</v>
      </c>
      <c r="Y13" s="204" t="str">
        <f ca="1">IFERROR(__xludf.DUMMYFUNCTION("""COMPUTED_VALUE"""),"Crypticx")</f>
        <v>Crypticx</v>
      </c>
      <c r="Z13" s="116">
        <f ca="1">IFERROR(__xludf.DUMMYFUNCTION("""COMPUTED_VALUE"""),1947364)</f>
        <v>1947364</v>
      </c>
    </row>
    <row r="14" spans="1:26" ht="22.5" customHeight="1">
      <c r="A14" s="115">
        <v>56</v>
      </c>
      <c r="B14" s="115" t="s">
        <v>11</v>
      </c>
      <c r="C14" s="115" t="s">
        <v>10</v>
      </c>
      <c r="D14" s="115" t="s">
        <v>667</v>
      </c>
      <c r="E14" s="98" t="s">
        <v>676</v>
      </c>
      <c r="F14" s="115" t="s">
        <v>476</v>
      </c>
      <c r="G14" s="115">
        <v>0</v>
      </c>
      <c r="H14" s="115">
        <v>70</v>
      </c>
      <c r="I14" s="194">
        <v>70</v>
      </c>
      <c r="J14" s="116">
        <v>38973</v>
      </c>
      <c r="K14" s="116">
        <v>352990</v>
      </c>
      <c r="L14" s="116">
        <v>1564527</v>
      </c>
      <c r="M14" s="195">
        <v>2.5697503671071951E-2</v>
      </c>
      <c r="N14" s="195">
        <v>1.1770214534833256E-3</v>
      </c>
      <c r="O14" s="195">
        <v>1.9434868661713369E-2</v>
      </c>
      <c r="P14" s="195">
        <v>0.12241190719858788</v>
      </c>
    </row>
    <row r="15" spans="1:26" ht="22.5" customHeight="1">
      <c r="A15" s="115">
        <v>57</v>
      </c>
      <c r="B15" s="115" t="s">
        <v>11</v>
      </c>
      <c r="C15" s="115" t="s">
        <v>9</v>
      </c>
      <c r="D15" s="115" t="s">
        <v>667</v>
      </c>
      <c r="E15" s="98" t="s">
        <v>197</v>
      </c>
      <c r="F15" s="115" t="s">
        <v>476</v>
      </c>
      <c r="G15" s="115">
        <v>0</v>
      </c>
      <c r="H15" s="115">
        <v>70</v>
      </c>
      <c r="I15" s="194">
        <v>70</v>
      </c>
      <c r="J15" s="116">
        <v>111382</v>
      </c>
      <c r="K15" s="116">
        <v>230932</v>
      </c>
      <c r="L15" s="116">
        <v>936603</v>
      </c>
      <c r="M15" s="195">
        <v>2.5697503671071951E-2</v>
      </c>
      <c r="N15" s="195">
        <v>3.3638417245754697E-3</v>
      </c>
      <c r="O15" s="195">
        <v>1.2714618232207122E-2</v>
      </c>
      <c r="P15" s="195">
        <v>7.3281803073976359E-2</v>
      </c>
      <c r="R15" s="232" t="s">
        <v>25</v>
      </c>
      <c r="S15" s="228"/>
      <c r="T15" s="228"/>
      <c r="V15" s="233" t="s">
        <v>496</v>
      </c>
      <c r="W15" s="228"/>
      <c r="Y15" s="233" t="s">
        <v>497</v>
      </c>
      <c r="Z15" s="228"/>
    </row>
    <row r="16" spans="1:26" ht="22.5" customHeight="1">
      <c r="A16" s="115">
        <v>13</v>
      </c>
      <c r="B16" s="115" t="s">
        <v>39</v>
      </c>
      <c r="C16" s="115" t="s">
        <v>54</v>
      </c>
      <c r="D16" s="115" t="s">
        <v>7</v>
      </c>
      <c r="E16" s="98" t="s">
        <v>95</v>
      </c>
      <c r="F16" s="115" t="s">
        <v>483</v>
      </c>
      <c r="G16" s="115">
        <v>23</v>
      </c>
      <c r="H16" s="115">
        <v>45</v>
      </c>
      <c r="I16" s="194">
        <v>68</v>
      </c>
      <c r="J16" s="116">
        <v>1422574</v>
      </c>
      <c r="K16" s="116">
        <v>989635</v>
      </c>
      <c r="L16" s="116">
        <v>4518</v>
      </c>
      <c r="M16" s="195">
        <v>5.1359516616314202E-2</v>
      </c>
      <c r="N16" s="195">
        <v>7.6457513439698616E-2</v>
      </c>
      <c r="O16" s="195">
        <v>3.0836569407154266E-2</v>
      </c>
      <c r="P16" s="195">
        <v>2.2098823807466909E-4</v>
      </c>
      <c r="R16" s="197" t="s">
        <v>482</v>
      </c>
      <c r="S16" s="198" t="s">
        <v>476</v>
      </c>
      <c r="T16" s="198" t="s">
        <v>483</v>
      </c>
      <c r="V16" s="199" t="s">
        <v>1</v>
      </c>
      <c r="W16" s="200" t="s">
        <v>498</v>
      </c>
      <c r="Y16" s="199" t="s">
        <v>1</v>
      </c>
      <c r="Z16" s="200" t="s">
        <v>499</v>
      </c>
    </row>
    <row r="17" spans="1:26" ht="22.5" customHeight="1">
      <c r="A17" s="115">
        <v>58</v>
      </c>
      <c r="B17" s="115" t="s">
        <v>11</v>
      </c>
      <c r="C17" s="115" t="s">
        <v>10</v>
      </c>
      <c r="D17" s="115" t="s">
        <v>667</v>
      </c>
      <c r="E17" s="98" t="s">
        <v>366</v>
      </c>
      <c r="F17" s="115" t="s">
        <v>476</v>
      </c>
      <c r="G17" s="115">
        <v>0</v>
      </c>
      <c r="H17" s="115">
        <v>67</v>
      </c>
      <c r="I17" s="194">
        <v>67</v>
      </c>
      <c r="J17" s="116">
        <v>35495</v>
      </c>
      <c r="K17" s="116">
        <v>152628</v>
      </c>
      <c r="L17" s="116">
        <v>505446</v>
      </c>
      <c r="M17" s="195">
        <v>2.459618208516887E-2</v>
      </c>
      <c r="N17" s="195">
        <v>1.0719825646316847E-3</v>
      </c>
      <c r="O17" s="195">
        <v>8.4033687472732602E-3</v>
      </c>
      <c r="P17" s="195">
        <v>3.9547165913977486E-2</v>
      </c>
      <c r="R17" s="201" t="s">
        <v>468</v>
      </c>
      <c r="S17" s="202">
        <f>SUMIFS(Scoreboard_18[Damage Dealt],Scoreboard_18[Role],"Melee DPS",Scoreboard_18[Team],"Yellow")</f>
        <v>6737575</v>
      </c>
      <c r="T17" s="203">
        <f>SUMIFS(Scoreboard_18[Damage Dealt],Scoreboard_18[Role],"Melee DPS",Scoreboard_18[Team],"Red")</f>
        <v>7187869</v>
      </c>
      <c r="V17" s="204" t="str">
        <f ca="1">IFERROR(__xludf.DUMMYFUNCTION("query(A1:P239, ""Select E,K Order by K Desc Limit 10"", 0)"),"Baozer")</f>
        <v>Baozer</v>
      </c>
      <c r="W17" s="116">
        <f ca="1">IFERROR(__xludf.DUMMYFUNCTION("""COMPUTED_VALUE"""),1527356)</f>
        <v>1527356</v>
      </c>
      <c r="Y17" s="204" t="str">
        <f ca="1">IFERROR(__xludf.DUMMYFUNCTION("query(A1:P239, ""Select E,L Order by L Desc Limit 10"", 0)"),"apgonzo")</f>
        <v>apgonzo</v>
      </c>
      <c r="Z17" s="116">
        <f ca="1">IFERROR(__xludf.DUMMYFUNCTION("""COMPUTED_VALUE"""),2252088)</f>
        <v>2252088</v>
      </c>
    </row>
    <row r="18" spans="1:26" ht="22.5" customHeight="1">
      <c r="A18" s="115">
        <v>14</v>
      </c>
      <c r="B18" s="115" t="s">
        <v>39</v>
      </c>
      <c r="C18" s="115" t="s">
        <v>58</v>
      </c>
      <c r="D18" s="115" t="s">
        <v>7</v>
      </c>
      <c r="E18" s="98" t="s">
        <v>107</v>
      </c>
      <c r="F18" s="115" t="s">
        <v>483</v>
      </c>
      <c r="G18" s="115">
        <v>22</v>
      </c>
      <c r="H18" s="115">
        <v>44</v>
      </c>
      <c r="I18" s="194">
        <v>66</v>
      </c>
      <c r="J18" s="116">
        <v>2166997</v>
      </c>
      <c r="K18" s="116">
        <v>378367</v>
      </c>
      <c r="L18" s="116">
        <v>1796</v>
      </c>
      <c r="M18" s="195">
        <v>4.9848942598187312E-2</v>
      </c>
      <c r="N18" s="195">
        <v>0.11646719415038273</v>
      </c>
      <c r="O18" s="195">
        <v>1.178974092152838E-2</v>
      </c>
      <c r="P18" s="195">
        <v>8.784747135504774E-5</v>
      </c>
      <c r="R18" s="201" t="s">
        <v>469</v>
      </c>
      <c r="S18" s="202">
        <f>SUMIFS(Scoreboard_18[Damage Taken],Scoreboard_18[Role],"Melee DPS",Scoreboard_18[Team],"Yellow")</f>
        <v>4009248</v>
      </c>
      <c r="T18" s="203">
        <f>SUMIFS(Scoreboard_18[Damage Taken],Scoreboard_18[Role],"Melee DPS",Scoreboard_18[Team],"Red")</f>
        <v>7677589</v>
      </c>
      <c r="V18" s="204" t="str">
        <f ca="1">IFERROR(__xludf.DUMMYFUNCTION("""COMPUTED_VALUE"""),"Hayler")</f>
        <v>Hayler</v>
      </c>
      <c r="W18" s="116">
        <f ca="1">IFERROR(__xludf.DUMMYFUNCTION("""COMPUTED_VALUE"""),1269252)</f>
        <v>1269252</v>
      </c>
      <c r="Y18" s="204" t="str">
        <f ca="1">IFERROR(__xludf.DUMMYFUNCTION("""COMPUTED_VALUE"""),"Boharding")</f>
        <v>Boharding</v>
      </c>
      <c r="Z18" s="116">
        <f ca="1">IFERROR(__xludf.DUMMYFUNCTION("""COMPUTED_VALUE"""),1909851)</f>
        <v>1909851</v>
      </c>
    </row>
    <row r="19" spans="1:26" ht="22.5" customHeight="1">
      <c r="A19" s="115">
        <v>59</v>
      </c>
      <c r="B19" s="115" t="s">
        <v>11</v>
      </c>
      <c r="C19" s="115" t="s">
        <v>9</v>
      </c>
      <c r="D19" s="115" t="s">
        <v>667</v>
      </c>
      <c r="E19" s="98" t="s">
        <v>677</v>
      </c>
      <c r="F19" s="115" t="s">
        <v>476</v>
      </c>
      <c r="G19" s="115">
        <v>0</v>
      </c>
      <c r="H19" s="115">
        <v>63</v>
      </c>
      <c r="I19" s="194">
        <v>63</v>
      </c>
      <c r="J19" s="116">
        <v>36523</v>
      </c>
      <c r="K19" s="116">
        <v>80446</v>
      </c>
      <c r="L19" s="116">
        <v>343919</v>
      </c>
      <c r="M19" s="195">
        <v>2.3127753303964757E-2</v>
      </c>
      <c r="N19" s="195">
        <v>1.1030291367246942E-3</v>
      </c>
      <c r="O19" s="195">
        <v>4.429183388651785E-3</v>
      </c>
      <c r="P19" s="195">
        <v>2.6908951211344481E-2</v>
      </c>
      <c r="R19" s="201" t="s">
        <v>470</v>
      </c>
      <c r="S19" s="202">
        <f>SUMIFS(Scoreboard_18[Amount Healed],Scoreboard_18[Role],"Melee DPS",Scoreboard_18[Team],"Yellow")</f>
        <v>97366</v>
      </c>
      <c r="T19" s="203">
        <f>SUMIFS(Scoreboard_18[Amount Healed],Scoreboard_18[Role],"Melee DPS",Scoreboard_18[Team],"Red")</f>
        <v>286422</v>
      </c>
      <c r="V19" s="204" t="str">
        <f ca="1">IFERROR(__xludf.DUMMYFUNCTION("""COMPUTED_VALUE"""),"Jawz")</f>
        <v>Jawz</v>
      </c>
      <c r="W19" s="116">
        <f ca="1">IFERROR(__xludf.DUMMYFUNCTION("""COMPUTED_VALUE"""),1164286)</f>
        <v>1164286</v>
      </c>
      <c r="Y19" s="204" t="str">
        <f ca="1">IFERROR(__xludf.DUMMYFUNCTION("""COMPUTED_VALUE"""),"Breedable")</f>
        <v>Breedable</v>
      </c>
      <c r="Z19" s="116">
        <f ca="1">IFERROR(__xludf.DUMMYFUNCTION("""COMPUTED_VALUE"""),1854596)</f>
        <v>1854596</v>
      </c>
    </row>
    <row r="20" spans="1:26" ht="22.5" customHeight="1">
      <c r="A20" s="115">
        <v>17</v>
      </c>
      <c r="B20" s="115" t="s">
        <v>25</v>
      </c>
      <c r="C20" s="115" t="s">
        <v>69</v>
      </c>
      <c r="D20" s="115" t="s">
        <v>667</v>
      </c>
      <c r="E20" s="98" t="s">
        <v>221</v>
      </c>
      <c r="F20" s="115" t="s">
        <v>476</v>
      </c>
      <c r="G20" s="115">
        <v>17</v>
      </c>
      <c r="H20" s="115">
        <v>45</v>
      </c>
      <c r="I20" s="194">
        <v>62</v>
      </c>
      <c r="J20" s="116">
        <v>973374</v>
      </c>
      <c r="K20" s="116">
        <v>1159078</v>
      </c>
      <c r="L20" s="116">
        <v>14685</v>
      </c>
      <c r="M20" s="195">
        <v>2.276064610866373E-2</v>
      </c>
      <c r="N20" s="195">
        <v>2.9396815237802548E-2</v>
      </c>
      <c r="O20" s="195">
        <v>6.3816336719684438E-2</v>
      </c>
      <c r="P20" s="195">
        <v>1.1489855126893067E-3</v>
      </c>
      <c r="R20" s="201" t="s">
        <v>465</v>
      </c>
      <c r="S20" s="202">
        <f>SUMIFS(Scoreboard_18[Kills],Scoreboard_18[Role],"Melee DPS",Scoreboard_18[Team],"Yellow")</f>
        <v>105</v>
      </c>
      <c r="T20" s="203">
        <f>SUMIFS(Scoreboard_18[Kills],Scoreboard_18[Role],"Melee DPS",Scoreboard_18[Team],"Red")</f>
        <v>119</v>
      </c>
      <c r="V20" s="204" t="str">
        <f ca="1">IFERROR(__xludf.DUMMYFUNCTION("""COMPUTED_VALUE"""),"尺巳几七ロ几")</f>
        <v>尺巳几七ロ几</v>
      </c>
      <c r="W20" s="116">
        <f ca="1">IFERROR(__xludf.DUMMYFUNCTION("""COMPUTED_VALUE"""),1159078)</f>
        <v>1159078</v>
      </c>
      <c r="Y20" s="204" t="str">
        <f ca="1">IFERROR(__xludf.DUMMYFUNCTION("""COMPUTED_VALUE"""),"Purple")</f>
        <v>Purple</v>
      </c>
      <c r="Z20" s="116">
        <f ca="1">IFERROR(__xludf.DUMMYFUNCTION("""COMPUTED_VALUE"""),1648954)</f>
        <v>1648954</v>
      </c>
    </row>
    <row r="21" spans="1:26" ht="22.5" customHeight="1">
      <c r="A21" s="115">
        <v>24</v>
      </c>
      <c r="B21" s="115" t="s">
        <v>25</v>
      </c>
      <c r="C21" s="115" t="s">
        <v>23</v>
      </c>
      <c r="D21" s="115" t="s">
        <v>7</v>
      </c>
      <c r="E21" s="98" t="s">
        <v>22</v>
      </c>
      <c r="F21" s="115" t="s">
        <v>483</v>
      </c>
      <c r="G21" s="115">
        <v>12</v>
      </c>
      <c r="H21" s="115">
        <v>47</v>
      </c>
      <c r="I21" s="194">
        <v>59</v>
      </c>
      <c r="J21" s="116">
        <v>937934</v>
      </c>
      <c r="K21" s="116">
        <v>1527356</v>
      </c>
      <c r="L21" s="116">
        <v>52079</v>
      </c>
      <c r="M21" s="195">
        <v>4.4561933534743199E-2</v>
      </c>
      <c r="N21" s="195">
        <v>5.0410102680458292E-2</v>
      </c>
      <c r="O21" s="195">
        <v>4.7591707350117481E-2</v>
      </c>
      <c r="P21" s="195">
        <v>2.5473321050665538E-3</v>
      </c>
      <c r="R21" s="201" t="s">
        <v>466</v>
      </c>
      <c r="S21" s="202">
        <f>SUMIFS(Scoreboard_18[Assists],Scoreboard_18[Role],"Melee DPS",Scoreboard_18[Team],"Yellow")</f>
        <v>307</v>
      </c>
      <c r="T21" s="203">
        <f>SUMIFS(Scoreboard_18[Assists],Scoreboard_18[Role],"Melee DPS",Scoreboard_18[Team],"Red")</f>
        <v>240</v>
      </c>
      <c r="V21" s="204" t="str">
        <f ca="1">IFERROR(__xludf.DUMMYFUNCTION("""COMPUTED_VALUE"""),"Blee")</f>
        <v>Blee</v>
      </c>
      <c r="W21" s="116">
        <f ca="1">IFERROR(__xludf.DUMMYFUNCTION("""COMPUTED_VALUE"""),1006707)</f>
        <v>1006707</v>
      </c>
      <c r="Y21" s="204" t="str">
        <f ca="1">IFERROR(__xludf.DUMMYFUNCTION("""COMPUTED_VALUE"""),"FarseerRain")</f>
        <v>FarseerRain</v>
      </c>
      <c r="Z21" s="116">
        <f ca="1">IFERROR(__xludf.DUMMYFUNCTION("""COMPUTED_VALUE"""),1630755)</f>
        <v>1630755</v>
      </c>
    </row>
    <row r="22" spans="1:26" ht="22.5" customHeight="1">
      <c r="A22" s="115">
        <v>25</v>
      </c>
      <c r="B22" s="115" t="s">
        <v>25</v>
      </c>
      <c r="C22" s="115" t="s">
        <v>23</v>
      </c>
      <c r="D22" s="115" t="s">
        <v>667</v>
      </c>
      <c r="E22" s="98" t="s">
        <v>678</v>
      </c>
      <c r="F22" s="115" t="s">
        <v>476</v>
      </c>
      <c r="G22" s="115">
        <v>12</v>
      </c>
      <c r="H22" s="115">
        <v>47</v>
      </c>
      <c r="I22" s="194">
        <v>59</v>
      </c>
      <c r="J22" s="116">
        <v>896830</v>
      </c>
      <c r="K22" s="116">
        <v>650332</v>
      </c>
      <c r="L22" s="116">
        <v>12838</v>
      </c>
      <c r="M22" s="195">
        <v>2.1659324522760644E-2</v>
      </c>
      <c r="N22" s="195">
        <v>2.7085114056589202E-2</v>
      </c>
      <c r="O22" s="195">
        <v>3.5805878371935121E-2</v>
      </c>
      <c r="P22" s="195">
        <v>1.0044723195032565E-3</v>
      </c>
      <c r="R22" s="201" t="s">
        <v>24</v>
      </c>
      <c r="S22" s="202">
        <f t="shared" ref="S22:S25" si="0">COUNTIFS(C:C,R22,F:F,"Yellow")</f>
        <v>2</v>
      </c>
      <c r="T22" s="203">
        <f t="shared" ref="T22:T25" si="1">COUNTIFS(C:C,R22,F:F,"Red")</f>
        <v>2</v>
      </c>
      <c r="V22" s="204" t="str">
        <f ca="1">IFERROR(__xludf.DUMMYFUNCTION("""COMPUTED_VALUE"""),"Kyu")</f>
        <v>Kyu</v>
      </c>
      <c r="W22" s="116">
        <f ca="1">IFERROR(__xludf.DUMMYFUNCTION("""COMPUTED_VALUE"""),995117)</f>
        <v>995117</v>
      </c>
      <c r="Y22" s="204" t="str">
        <f ca="1">IFERROR(__xludf.DUMMYFUNCTION("""COMPUTED_VALUE"""),"EgirlWaifu")</f>
        <v>EgirlWaifu</v>
      </c>
      <c r="Z22" s="116">
        <f ca="1">IFERROR(__xludf.DUMMYFUNCTION("""COMPUTED_VALUE"""),1614674)</f>
        <v>1614674</v>
      </c>
    </row>
    <row r="23" spans="1:26" ht="22.5" customHeight="1">
      <c r="A23" s="115">
        <v>60</v>
      </c>
      <c r="B23" s="115" t="s">
        <v>11</v>
      </c>
      <c r="C23" s="115" t="s">
        <v>9</v>
      </c>
      <c r="D23" s="115" t="s">
        <v>667</v>
      </c>
      <c r="E23" s="98" t="s">
        <v>679</v>
      </c>
      <c r="F23" s="115" t="s">
        <v>476</v>
      </c>
      <c r="G23" s="115">
        <v>0</v>
      </c>
      <c r="H23" s="115">
        <v>59</v>
      </c>
      <c r="I23" s="194">
        <v>59</v>
      </c>
      <c r="J23" s="116">
        <v>2537</v>
      </c>
      <c r="K23" s="116">
        <v>116122</v>
      </c>
      <c r="L23" s="116">
        <v>378903</v>
      </c>
      <c r="M23" s="195">
        <v>2.1659324522760644E-2</v>
      </c>
      <c r="N23" s="195">
        <v>7.6619799027203376E-5</v>
      </c>
      <c r="O23" s="195">
        <v>6.3934270623402355E-3</v>
      </c>
      <c r="P23" s="195">
        <v>2.9646173490944259E-2</v>
      </c>
      <c r="R23" s="201" t="s">
        <v>69</v>
      </c>
      <c r="S23" s="202">
        <f t="shared" si="0"/>
        <v>2</v>
      </c>
      <c r="T23" s="203">
        <f t="shared" si="1"/>
        <v>2</v>
      </c>
      <c r="V23" s="204" t="str">
        <f ca="1">IFERROR(__xludf.DUMMYFUNCTION("""COMPUTED_VALUE"""),"Regentlord")</f>
        <v>Regentlord</v>
      </c>
      <c r="W23" s="116">
        <f ca="1">IFERROR(__xludf.DUMMYFUNCTION("""COMPUTED_VALUE"""),989635)</f>
        <v>989635</v>
      </c>
      <c r="Y23" s="204" t="str">
        <f ca="1">IFERROR(__xludf.DUMMYFUNCTION("""COMPUTED_VALUE"""),"DaVinciメ")</f>
        <v>DaVinciメ</v>
      </c>
      <c r="Z23" s="116">
        <f ca="1">IFERROR(__xludf.DUMMYFUNCTION("""COMPUTED_VALUE"""),1564527)</f>
        <v>1564527</v>
      </c>
    </row>
    <row r="24" spans="1:26" ht="22.5" customHeight="1">
      <c r="A24" s="115">
        <v>12</v>
      </c>
      <c r="B24" s="115" t="s">
        <v>25</v>
      </c>
      <c r="C24" s="115" t="s">
        <v>69</v>
      </c>
      <c r="D24" s="115" t="s">
        <v>7</v>
      </c>
      <c r="E24" s="98" t="s">
        <v>98</v>
      </c>
      <c r="F24" s="115" t="s">
        <v>483</v>
      </c>
      <c r="G24" s="115">
        <v>24</v>
      </c>
      <c r="H24" s="115">
        <v>33</v>
      </c>
      <c r="I24" s="194">
        <v>57</v>
      </c>
      <c r="J24" s="116">
        <v>1303441</v>
      </c>
      <c r="K24" s="116">
        <v>714495</v>
      </c>
      <c r="L24" s="116">
        <v>18103</v>
      </c>
      <c r="M24" s="195">
        <v>4.3051359516616317E-2</v>
      </c>
      <c r="N24" s="195">
        <v>7.0054603679916963E-2</v>
      </c>
      <c r="O24" s="195">
        <v>2.226333411668412E-2</v>
      </c>
      <c r="P24" s="195">
        <v>8.8546925052362425E-4</v>
      </c>
      <c r="R24" s="201" t="s">
        <v>23</v>
      </c>
      <c r="S24" s="202">
        <f t="shared" si="0"/>
        <v>2</v>
      </c>
      <c r="T24" s="203">
        <f t="shared" si="1"/>
        <v>4</v>
      </c>
      <c r="V24" s="204" t="str">
        <f ca="1">IFERROR(__xludf.DUMMYFUNCTION("""COMPUTED_VALUE"""),"Suaga")</f>
        <v>Suaga</v>
      </c>
      <c r="W24" s="116">
        <f ca="1">IFERROR(__xludf.DUMMYFUNCTION("""COMPUTED_VALUE"""),973842)</f>
        <v>973842</v>
      </c>
      <c r="Y24" s="204" t="str">
        <f ca="1">IFERROR(__xludf.DUMMYFUNCTION("""COMPUTED_VALUE"""),"Sybilene")</f>
        <v>Sybilene</v>
      </c>
      <c r="Z24" s="116">
        <f ca="1">IFERROR(__xludf.DUMMYFUNCTION("""COMPUTED_VALUE"""),1316960)</f>
        <v>1316960</v>
      </c>
    </row>
    <row r="25" spans="1:26" ht="22.5" customHeight="1">
      <c r="A25" s="115">
        <v>61</v>
      </c>
      <c r="B25" s="115" t="s">
        <v>11</v>
      </c>
      <c r="C25" s="115" t="s">
        <v>9</v>
      </c>
      <c r="D25" s="115" t="s">
        <v>7</v>
      </c>
      <c r="E25" s="98" t="s">
        <v>8</v>
      </c>
      <c r="F25" s="115" t="s">
        <v>483</v>
      </c>
      <c r="G25" s="115">
        <v>0</v>
      </c>
      <c r="H25" s="115">
        <v>56</v>
      </c>
      <c r="I25" s="194">
        <v>56</v>
      </c>
      <c r="J25" s="116">
        <v>24081</v>
      </c>
      <c r="K25" s="116">
        <v>575680</v>
      </c>
      <c r="L25" s="116">
        <v>947464</v>
      </c>
      <c r="M25" s="195">
        <v>4.2296072507552872E-2</v>
      </c>
      <c r="N25" s="195">
        <v>1.294254907752695E-3</v>
      </c>
      <c r="O25" s="195">
        <v>1.7937922846615741E-2</v>
      </c>
      <c r="P25" s="195">
        <v>4.6343160690389171E-2</v>
      </c>
      <c r="R25" s="201" t="s">
        <v>33</v>
      </c>
      <c r="S25" s="202">
        <f t="shared" si="0"/>
        <v>0</v>
      </c>
      <c r="T25" s="203">
        <f t="shared" si="1"/>
        <v>0</v>
      </c>
      <c r="V25" s="204" t="str">
        <f ca="1">IFERROR(__xludf.DUMMYFUNCTION("""COMPUTED_VALUE"""),"Darkseid✗")</f>
        <v>Darkseid✗</v>
      </c>
      <c r="W25" s="116">
        <f ca="1">IFERROR(__xludf.DUMMYFUNCTION("""COMPUTED_VALUE"""),956630)</f>
        <v>956630</v>
      </c>
      <c r="Y25" s="204" t="str">
        <f ca="1">IFERROR(__xludf.DUMMYFUNCTION("""COMPUTED_VALUE"""),"L1AM27")</f>
        <v>L1AM27</v>
      </c>
      <c r="Z25" s="116">
        <f ca="1">IFERROR(__xludf.DUMMYFUNCTION("""COMPUTED_VALUE"""),1034648)</f>
        <v>1034648</v>
      </c>
    </row>
    <row r="26" spans="1:26" ht="22.5" customHeight="1">
      <c r="A26" s="115">
        <v>31</v>
      </c>
      <c r="B26" s="115" t="s">
        <v>67</v>
      </c>
      <c r="C26" s="115" t="s">
        <v>14</v>
      </c>
      <c r="D26" s="115" t="s">
        <v>667</v>
      </c>
      <c r="E26" s="98" t="s">
        <v>216</v>
      </c>
      <c r="F26" s="115" t="s">
        <v>476</v>
      </c>
      <c r="G26" s="115">
        <v>6</v>
      </c>
      <c r="H26" s="115">
        <v>49</v>
      </c>
      <c r="I26" s="194">
        <v>55</v>
      </c>
      <c r="J26" s="116">
        <v>437664</v>
      </c>
      <c r="K26" s="116">
        <v>354511</v>
      </c>
      <c r="L26" s="116">
        <v>44412</v>
      </c>
      <c r="M26" s="195">
        <v>2.0190895741556535E-2</v>
      </c>
      <c r="N26" s="195">
        <v>1.321786666197948E-2</v>
      </c>
      <c r="O26" s="195">
        <v>1.9518611643765171E-2</v>
      </c>
      <c r="P26" s="195">
        <v>3.4748889744336052E-3</v>
      </c>
      <c r="R26" s="204"/>
      <c r="S26" s="208"/>
      <c r="T26" s="208"/>
      <c r="V26" s="204" t="str">
        <f ca="1">IFERROR(__xludf.DUMMYFUNCTION("""COMPUTED_VALUE"""),"apgonzo")</f>
        <v>apgonzo</v>
      </c>
      <c r="W26" s="116">
        <f ca="1">IFERROR(__xludf.DUMMYFUNCTION("""COMPUTED_VALUE"""),930558)</f>
        <v>930558</v>
      </c>
      <c r="Y26" s="204" t="str">
        <f ca="1">IFERROR(__xludf.DUMMYFUNCTION("""COMPUTED_VALUE"""),"Akaru华")</f>
        <v>Akaru华</v>
      </c>
      <c r="Z26" s="116">
        <f ca="1">IFERROR(__xludf.DUMMYFUNCTION("""COMPUTED_VALUE"""),947464)</f>
        <v>947464</v>
      </c>
    </row>
    <row r="27" spans="1:26" ht="22.5" customHeight="1">
      <c r="A27" s="115">
        <v>18</v>
      </c>
      <c r="B27" s="115" t="s">
        <v>39</v>
      </c>
      <c r="C27" s="115" t="s">
        <v>45</v>
      </c>
      <c r="D27" s="115" t="s">
        <v>7</v>
      </c>
      <c r="E27" s="98" t="s">
        <v>84</v>
      </c>
      <c r="F27" s="115" t="s">
        <v>483</v>
      </c>
      <c r="G27" s="115">
        <v>17</v>
      </c>
      <c r="H27" s="115">
        <v>36</v>
      </c>
      <c r="I27" s="194">
        <v>53</v>
      </c>
      <c r="J27" s="116">
        <v>1261020</v>
      </c>
      <c r="K27" s="116">
        <v>500665</v>
      </c>
      <c r="L27" s="116">
        <v>30911</v>
      </c>
      <c r="M27" s="195">
        <v>4.0030211480362538E-2</v>
      </c>
      <c r="N27" s="195">
        <v>6.7774649050052052E-2</v>
      </c>
      <c r="O27" s="195">
        <v>1.5600490102141588E-2</v>
      </c>
      <c r="P27" s="195">
        <v>1.511944981656949E-3</v>
      </c>
      <c r="R27" s="6"/>
      <c r="S27" s="209"/>
      <c r="T27" s="209"/>
    </row>
    <row r="28" spans="1:26" ht="22.5" customHeight="1">
      <c r="A28" s="115">
        <v>27</v>
      </c>
      <c r="B28" s="115" t="s">
        <v>39</v>
      </c>
      <c r="C28" s="115" t="s">
        <v>45</v>
      </c>
      <c r="D28" s="115" t="s">
        <v>7</v>
      </c>
      <c r="E28" s="98" t="s">
        <v>88</v>
      </c>
      <c r="F28" s="115" t="s">
        <v>483</v>
      </c>
      <c r="G28" s="115">
        <v>11</v>
      </c>
      <c r="H28" s="115">
        <v>41</v>
      </c>
      <c r="I28" s="194">
        <v>52</v>
      </c>
      <c r="J28" s="116">
        <v>824538</v>
      </c>
      <c r="K28" s="116">
        <v>430769</v>
      </c>
      <c r="L28" s="116">
        <v>6270</v>
      </c>
      <c r="M28" s="195">
        <v>3.9274924471299093E-2</v>
      </c>
      <c r="N28" s="195">
        <v>4.4315533122735416E-2</v>
      </c>
      <c r="O28" s="195">
        <v>1.3422563032785256E-2</v>
      </c>
      <c r="P28" s="195">
        <v>3.0668354420721009E-4</v>
      </c>
      <c r="R28" s="232" t="s">
        <v>39</v>
      </c>
      <c r="S28" s="228"/>
      <c r="T28" s="228"/>
    </row>
    <row r="29" spans="1:26" ht="22.5" customHeight="1">
      <c r="A29" s="115">
        <v>11</v>
      </c>
      <c r="B29" s="115" t="s">
        <v>25</v>
      </c>
      <c r="C29" s="115" t="s">
        <v>69</v>
      </c>
      <c r="D29" s="115" t="s">
        <v>7</v>
      </c>
      <c r="E29" s="98" t="s">
        <v>68</v>
      </c>
      <c r="F29" s="115" t="s">
        <v>483</v>
      </c>
      <c r="G29" s="115">
        <v>25</v>
      </c>
      <c r="H29" s="115">
        <v>27</v>
      </c>
      <c r="I29" s="194">
        <v>52</v>
      </c>
      <c r="J29" s="116">
        <v>1014700</v>
      </c>
      <c r="K29" s="116">
        <v>1164286</v>
      </c>
      <c r="L29" s="116">
        <v>62694</v>
      </c>
      <c r="M29" s="195">
        <v>3.9274924471299093E-2</v>
      </c>
      <c r="N29" s="195">
        <v>5.4535960088728026E-2</v>
      </c>
      <c r="O29" s="195">
        <v>3.6278613881661433E-2</v>
      </c>
      <c r="P29" s="195">
        <v>3.0665419649963045E-3</v>
      </c>
      <c r="R29" s="197" t="s">
        <v>482</v>
      </c>
      <c r="S29" s="198" t="s">
        <v>476</v>
      </c>
      <c r="T29" s="198" t="s">
        <v>483</v>
      </c>
    </row>
    <row r="30" spans="1:26" ht="22.5" customHeight="1">
      <c r="A30" s="115">
        <v>15</v>
      </c>
      <c r="B30" s="115" t="s">
        <v>25</v>
      </c>
      <c r="C30" s="115" t="s">
        <v>69</v>
      </c>
      <c r="D30" s="115" t="s">
        <v>667</v>
      </c>
      <c r="E30" s="98" t="s">
        <v>680</v>
      </c>
      <c r="F30" s="115" t="s">
        <v>476</v>
      </c>
      <c r="G30" s="115">
        <v>22</v>
      </c>
      <c r="H30" s="115">
        <v>30</v>
      </c>
      <c r="I30" s="194">
        <v>52</v>
      </c>
      <c r="J30" s="116">
        <v>1126219</v>
      </c>
      <c r="K30" s="116">
        <v>837003</v>
      </c>
      <c r="L30" s="116">
        <v>27913</v>
      </c>
      <c r="M30" s="195">
        <v>1.908957415565345E-2</v>
      </c>
      <c r="N30" s="195">
        <v>3.4012878770444607E-2</v>
      </c>
      <c r="O30" s="195">
        <v>4.6083581332219258E-2</v>
      </c>
      <c r="P30" s="195">
        <v>2.1839722584744039E-3</v>
      </c>
      <c r="R30" s="201" t="s">
        <v>468</v>
      </c>
      <c r="S30" s="202">
        <f>SUMIFS(Scoreboard_18[Damage Dealt],Scoreboard_18[Role],"Ranged DPS",Scoreboard_18[Team],"Yellow")</f>
        <v>22999763</v>
      </c>
      <c r="T30" s="203">
        <f>SUMIFS(Scoreboard_18[Damage Dealt],Scoreboard_18[Role],"Ranged DPS",Scoreboard_18[Team],"Red")</f>
        <v>9910537</v>
      </c>
    </row>
    <row r="31" spans="1:26" ht="22.5" customHeight="1">
      <c r="A31" s="115">
        <v>20</v>
      </c>
      <c r="B31" s="115" t="s">
        <v>25</v>
      </c>
      <c r="C31" s="115" t="s">
        <v>24</v>
      </c>
      <c r="D31" s="115" t="s">
        <v>667</v>
      </c>
      <c r="E31" s="98" t="s">
        <v>681</v>
      </c>
      <c r="F31" s="115" t="s">
        <v>476</v>
      </c>
      <c r="G31" s="115">
        <v>14</v>
      </c>
      <c r="H31" s="115">
        <v>38</v>
      </c>
      <c r="I31" s="194">
        <v>52</v>
      </c>
      <c r="J31" s="116">
        <v>952585</v>
      </c>
      <c r="K31" s="116">
        <v>362968</v>
      </c>
      <c r="L31" s="116">
        <v>20803</v>
      </c>
      <c r="M31" s="195">
        <v>1.908957415565345E-2</v>
      </c>
      <c r="N31" s="195">
        <v>2.8768967779396346E-2</v>
      </c>
      <c r="O31" s="195">
        <v>1.9984235837855968E-2</v>
      </c>
      <c r="P31" s="195">
        <v>1.6276707947208478E-3</v>
      </c>
      <c r="R31" s="201" t="s">
        <v>469</v>
      </c>
      <c r="S31" s="202">
        <f>SUMIFS(Scoreboard_18[Damage Taken],Scoreboard_18[Role],"Ranged DPS",Scoreboard_18[Team],"Yellow")</f>
        <v>4639574</v>
      </c>
      <c r="T31" s="203">
        <f>SUMIFS(Scoreboard_18[Damage Taken],Scoreboard_18[Role],"Ranged DPS",Scoreboard_18[Team],"Red")</f>
        <v>5516073</v>
      </c>
    </row>
    <row r="32" spans="1:26" ht="22.5" customHeight="1">
      <c r="A32" s="115">
        <v>62</v>
      </c>
      <c r="B32" s="115" t="s">
        <v>11</v>
      </c>
      <c r="C32" s="115" t="s">
        <v>10</v>
      </c>
      <c r="D32" s="115" t="s">
        <v>7</v>
      </c>
      <c r="E32" s="98" t="s">
        <v>49</v>
      </c>
      <c r="F32" s="115" t="s">
        <v>483</v>
      </c>
      <c r="G32" s="115">
        <v>0</v>
      </c>
      <c r="H32" s="115">
        <v>51</v>
      </c>
      <c r="I32" s="194">
        <v>51</v>
      </c>
      <c r="J32" s="116">
        <v>14456</v>
      </c>
      <c r="K32" s="116">
        <v>241900</v>
      </c>
      <c r="L32" s="116">
        <v>1630755</v>
      </c>
      <c r="M32" s="195">
        <v>3.8519637462235648E-2</v>
      </c>
      <c r="N32" s="195">
        <v>7.7695066427776907E-4</v>
      </c>
      <c r="O32" s="195">
        <v>7.5374922467279521E-3</v>
      </c>
      <c r="P32" s="195">
        <v>7.976486812338579E-2</v>
      </c>
      <c r="R32" s="201" t="s">
        <v>470</v>
      </c>
      <c r="S32" s="202">
        <f>SUMIFS(Scoreboard_18[Amount Healed],Scoreboard_18[Role],"Ranged DPS",Scoreboard_18[Team],"Yellow")</f>
        <v>40092</v>
      </c>
      <c r="T32" s="203">
        <f>SUMIFS(Scoreboard_18[Amount Healed],Scoreboard_18[Role],"Ranged DPS",Scoreboard_18[Team],"Red")</f>
        <v>120317</v>
      </c>
    </row>
    <row r="33" spans="1:20" ht="22.5" customHeight="1">
      <c r="A33" s="115">
        <v>26</v>
      </c>
      <c r="B33" s="115" t="s">
        <v>25</v>
      </c>
      <c r="C33" s="115" t="s">
        <v>24</v>
      </c>
      <c r="D33" s="115" t="s">
        <v>667</v>
      </c>
      <c r="E33" s="98" t="s">
        <v>682</v>
      </c>
      <c r="F33" s="115" t="s">
        <v>476</v>
      </c>
      <c r="G33" s="115">
        <v>12</v>
      </c>
      <c r="H33" s="115">
        <v>37</v>
      </c>
      <c r="I33" s="194">
        <v>49</v>
      </c>
      <c r="J33" s="116">
        <v>675574</v>
      </c>
      <c r="K33" s="116">
        <v>651122</v>
      </c>
      <c r="L33" s="116">
        <v>8667</v>
      </c>
      <c r="M33" s="195">
        <v>1.7988252569750368E-2</v>
      </c>
      <c r="N33" s="195">
        <v>2.040297363342684E-2</v>
      </c>
      <c r="O33" s="195">
        <v>3.5849374069384779E-2</v>
      </c>
      <c r="P33" s="195">
        <v>6.7812444252490442E-4</v>
      </c>
      <c r="R33" s="201" t="s">
        <v>465</v>
      </c>
      <c r="S33" s="202">
        <f>SUMIFS(Scoreboard_18[Kills],Scoreboard_18[Role],"Ranged DPS",Scoreboard_18[Team],"Yellow")</f>
        <v>382</v>
      </c>
      <c r="T33" s="203">
        <f>SUMIFS(Scoreboard_18[Kills],Scoreboard_18[Role],"Ranged DPS",Scoreboard_18[Team],"Red")</f>
        <v>123</v>
      </c>
    </row>
    <row r="34" spans="1:20" ht="22.5" customHeight="1">
      <c r="A34" s="115">
        <v>63</v>
      </c>
      <c r="B34" s="115" t="s">
        <v>11</v>
      </c>
      <c r="C34" s="115" t="s">
        <v>9</v>
      </c>
      <c r="D34" s="115" t="s">
        <v>667</v>
      </c>
      <c r="E34" s="98" t="s">
        <v>641</v>
      </c>
      <c r="F34" s="115" t="s">
        <v>476</v>
      </c>
      <c r="G34" s="115">
        <v>0</v>
      </c>
      <c r="H34" s="115">
        <v>49</v>
      </c>
      <c r="I34" s="194">
        <v>49</v>
      </c>
      <c r="J34" s="116">
        <v>4186</v>
      </c>
      <c r="K34" s="116">
        <v>44144</v>
      </c>
      <c r="L34" s="116">
        <v>416119</v>
      </c>
      <c r="M34" s="195">
        <v>1.7988252569750368E-2</v>
      </c>
      <c r="N34" s="195">
        <v>1.2642115834760479E-4</v>
      </c>
      <c r="O34" s="195">
        <v>2.4304735040728488E-3</v>
      </c>
      <c r="P34" s="195">
        <v>3.2558032179418564E-2</v>
      </c>
      <c r="R34" s="201" t="s">
        <v>466</v>
      </c>
      <c r="S34" s="202">
        <f>SUMIFS(Scoreboard_18[Assists],Scoreboard_18[Role],"Ranged DPS",Scoreboard_18[Team],"Yellow")</f>
        <v>736</v>
      </c>
      <c r="T34" s="203">
        <f>SUMIFS(Scoreboard_18[Assists],Scoreboard_18[Role],"Ranged DPS",Scoreboard_18[Team],"Red")</f>
        <v>269</v>
      </c>
    </row>
    <row r="35" spans="1:20" ht="22.5" customHeight="1">
      <c r="A35" s="115">
        <v>64</v>
      </c>
      <c r="B35" s="115" t="s">
        <v>11</v>
      </c>
      <c r="C35" s="115" t="s">
        <v>10</v>
      </c>
      <c r="D35" s="115" t="s">
        <v>667</v>
      </c>
      <c r="E35" s="98" t="s">
        <v>683</v>
      </c>
      <c r="F35" s="115" t="s">
        <v>476</v>
      </c>
      <c r="G35" s="115">
        <v>0</v>
      </c>
      <c r="H35" s="115">
        <v>48</v>
      </c>
      <c r="I35" s="194">
        <v>48</v>
      </c>
      <c r="J35" s="116">
        <v>52241</v>
      </c>
      <c r="K35" s="116">
        <v>221579</v>
      </c>
      <c r="L35" s="116">
        <v>530214</v>
      </c>
      <c r="M35" s="195">
        <v>1.7621145374449341E-2</v>
      </c>
      <c r="N35" s="195">
        <v>1.5777275999133353E-3</v>
      </c>
      <c r="O35" s="195">
        <v>1.2199662209110135E-2</v>
      </c>
      <c r="P35" s="195">
        <v>4.1485066709230377E-2</v>
      </c>
      <c r="R35" s="201" t="s">
        <v>54</v>
      </c>
      <c r="S35" s="202">
        <f t="shared" ref="S35:S46" si="2">COUNTIFS(C:C,R35,F:F,"Yellow")</f>
        <v>1</v>
      </c>
      <c r="T35" s="203">
        <f t="shared" ref="T35:T46" si="3">COUNTIFS(C:C,R35,F:F,"Red")</f>
        <v>2</v>
      </c>
    </row>
    <row r="36" spans="1:20" ht="22.5" customHeight="1">
      <c r="A36" s="115">
        <v>16</v>
      </c>
      <c r="B36" s="115" t="s">
        <v>25</v>
      </c>
      <c r="C36" s="115" t="s">
        <v>23</v>
      </c>
      <c r="D36" s="115" t="s">
        <v>7</v>
      </c>
      <c r="E36" s="98" t="s">
        <v>27</v>
      </c>
      <c r="F36" s="115" t="s">
        <v>483</v>
      </c>
      <c r="G36" s="115">
        <v>18</v>
      </c>
      <c r="H36" s="115">
        <v>29</v>
      </c>
      <c r="I36" s="194">
        <v>47</v>
      </c>
      <c r="J36" s="116">
        <v>923458</v>
      </c>
      <c r="K36" s="116">
        <v>1006707</v>
      </c>
      <c r="L36" s="116">
        <v>13419</v>
      </c>
      <c r="M36" s="195">
        <v>3.5498489425981876E-2</v>
      </c>
      <c r="N36" s="195">
        <v>4.9632077098272005E-2</v>
      </c>
      <c r="O36" s="195">
        <v>3.1368525040209823E-2</v>
      </c>
      <c r="P36" s="195">
        <v>6.5636148001858884E-4</v>
      </c>
      <c r="R36" s="201" t="s">
        <v>43</v>
      </c>
      <c r="S36" s="202">
        <f t="shared" si="2"/>
        <v>0</v>
      </c>
      <c r="T36" s="203">
        <f t="shared" si="3"/>
        <v>0</v>
      </c>
    </row>
    <row r="37" spans="1:20" ht="22.5" customHeight="1">
      <c r="A37" s="115">
        <v>42</v>
      </c>
      <c r="B37" s="115" t="s">
        <v>11</v>
      </c>
      <c r="C37" s="115" t="s">
        <v>10</v>
      </c>
      <c r="D37" s="115" t="s">
        <v>667</v>
      </c>
      <c r="E37" s="98" t="s">
        <v>258</v>
      </c>
      <c r="F37" s="115" t="s">
        <v>476</v>
      </c>
      <c r="G37" s="115">
        <v>1</v>
      </c>
      <c r="H37" s="115">
        <v>46</v>
      </c>
      <c r="I37" s="194">
        <v>47</v>
      </c>
      <c r="J37" s="116">
        <v>29976</v>
      </c>
      <c r="K37" s="116">
        <v>655084</v>
      </c>
      <c r="L37" s="116">
        <v>1854596</v>
      </c>
      <c r="M37" s="195">
        <v>1.725403817914831E-2</v>
      </c>
      <c r="N37" s="195">
        <v>9.0530354577826112E-4</v>
      </c>
      <c r="O37" s="195">
        <v>3.6067513250771524E-2</v>
      </c>
      <c r="P37" s="195">
        <v>0.14510752031947821</v>
      </c>
      <c r="R37" s="201" t="s">
        <v>45</v>
      </c>
      <c r="S37" s="202">
        <f t="shared" si="2"/>
        <v>0</v>
      </c>
      <c r="T37" s="203">
        <f t="shared" si="3"/>
        <v>3</v>
      </c>
    </row>
    <row r="38" spans="1:20" ht="22.5" customHeight="1">
      <c r="A38" s="115">
        <v>19</v>
      </c>
      <c r="B38" s="115" t="s">
        <v>39</v>
      </c>
      <c r="C38" s="115" t="s">
        <v>45</v>
      </c>
      <c r="D38" s="115" t="s">
        <v>7</v>
      </c>
      <c r="E38" s="98" t="s">
        <v>83</v>
      </c>
      <c r="F38" s="115" t="s">
        <v>483</v>
      </c>
      <c r="G38" s="115">
        <v>15</v>
      </c>
      <c r="H38" s="115">
        <v>30</v>
      </c>
      <c r="I38" s="194">
        <v>45</v>
      </c>
      <c r="J38" s="116">
        <v>866638</v>
      </c>
      <c r="K38" s="116">
        <v>413168</v>
      </c>
      <c r="L38" s="116">
        <v>19813</v>
      </c>
      <c r="M38" s="195">
        <v>3.3987915407854986E-2</v>
      </c>
      <c r="N38" s="195">
        <v>4.6578235320168596E-2</v>
      </c>
      <c r="O38" s="195">
        <v>1.2874124004117795E-2</v>
      </c>
      <c r="P38" s="195">
        <v>9.6911021712559064E-4</v>
      </c>
      <c r="R38" s="201" t="s">
        <v>81</v>
      </c>
      <c r="S38" s="202">
        <f t="shared" si="2"/>
        <v>0</v>
      </c>
      <c r="T38" s="203">
        <f t="shared" si="3"/>
        <v>0</v>
      </c>
    </row>
    <row r="39" spans="1:20" ht="22.5" customHeight="1">
      <c r="A39" s="115">
        <v>65</v>
      </c>
      <c r="B39" s="115" t="s">
        <v>11</v>
      </c>
      <c r="C39" s="115" t="s">
        <v>9</v>
      </c>
      <c r="D39" s="115" t="s">
        <v>667</v>
      </c>
      <c r="E39" s="98" t="s">
        <v>664</v>
      </c>
      <c r="F39" s="115" t="s">
        <v>476</v>
      </c>
      <c r="G39" s="115">
        <v>0</v>
      </c>
      <c r="H39" s="115">
        <v>44</v>
      </c>
      <c r="I39" s="194">
        <v>44</v>
      </c>
      <c r="J39" s="116">
        <v>33339</v>
      </c>
      <c r="K39" s="116">
        <v>169122</v>
      </c>
      <c r="L39" s="116">
        <v>188364</v>
      </c>
      <c r="M39" s="195">
        <v>1.6152716593245228E-2</v>
      </c>
      <c r="N39" s="195">
        <v>1.0068693258840889E-3</v>
      </c>
      <c r="O39" s="195">
        <v>9.3114928406082004E-3</v>
      </c>
      <c r="P39" s="195">
        <v>1.4737998441416995E-2</v>
      </c>
      <c r="R39" s="201" t="s">
        <v>48</v>
      </c>
      <c r="S39" s="202">
        <f t="shared" si="2"/>
        <v>0</v>
      </c>
      <c r="T39" s="203">
        <f t="shared" si="3"/>
        <v>0</v>
      </c>
    </row>
    <row r="40" spans="1:20" ht="22.5" customHeight="1">
      <c r="A40" s="115">
        <v>32</v>
      </c>
      <c r="B40" s="115" t="s">
        <v>67</v>
      </c>
      <c r="C40" s="115" t="s">
        <v>14</v>
      </c>
      <c r="D40" s="115" t="s">
        <v>667</v>
      </c>
      <c r="E40" s="98" t="s">
        <v>684</v>
      </c>
      <c r="F40" s="115" t="s">
        <v>476</v>
      </c>
      <c r="G40" s="115">
        <v>5</v>
      </c>
      <c r="H40" s="115">
        <v>37</v>
      </c>
      <c r="I40" s="194">
        <v>42</v>
      </c>
      <c r="J40" s="116">
        <v>317295</v>
      </c>
      <c r="K40" s="116">
        <v>43893</v>
      </c>
      <c r="L40" s="116">
        <v>5892</v>
      </c>
      <c r="M40" s="195">
        <v>1.5418502202643172E-2</v>
      </c>
      <c r="N40" s="195">
        <v>9.5826090391551034E-3</v>
      </c>
      <c r="O40" s="195">
        <v>2.4166539850097308E-3</v>
      </c>
      <c r="P40" s="195">
        <v>4.6100256321180766E-4</v>
      </c>
      <c r="R40" s="201" t="s">
        <v>50</v>
      </c>
      <c r="S40" s="202">
        <f t="shared" si="2"/>
        <v>0</v>
      </c>
      <c r="T40" s="203">
        <f t="shared" si="3"/>
        <v>0</v>
      </c>
    </row>
    <row r="41" spans="1:20" ht="22.5" customHeight="1">
      <c r="A41" s="115">
        <v>29</v>
      </c>
      <c r="B41" s="115" t="s">
        <v>25</v>
      </c>
      <c r="C41" s="115" t="s">
        <v>23</v>
      </c>
      <c r="D41" s="115" t="s">
        <v>7</v>
      </c>
      <c r="E41" s="98" t="s">
        <v>47</v>
      </c>
      <c r="F41" s="115" t="s">
        <v>483</v>
      </c>
      <c r="G41" s="115">
        <v>10</v>
      </c>
      <c r="H41" s="115">
        <v>32</v>
      </c>
      <c r="I41" s="194">
        <v>42</v>
      </c>
      <c r="J41" s="116">
        <v>887566</v>
      </c>
      <c r="K41" s="116">
        <v>748552</v>
      </c>
      <c r="L41" s="116">
        <v>17429</v>
      </c>
      <c r="M41" s="195">
        <v>3.1722054380664652E-2</v>
      </c>
      <c r="N41" s="195">
        <v>4.7703029419643224E-2</v>
      </c>
      <c r="O41" s="195">
        <v>2.3324534502987607E-2</v>
      </c>
      <c r="P41" s="195">
        <v>8.525019923424983E-4</v>
      </c>
      <c r="R41" s="201" t="s">
        <v>52</v>
      </c>
      <c r="S41" s="202">
        <f t="shared" si="2"/>
        <v>0</v>
      </c>
      <c r="T41" s="203">
        <f t="shared" si="3"/>
        <v>0</v>
      </c>
    </row>
    <row r="42" spans="1:20" ht="22.5" customHeight="1">
      <c r="A42" s="115">
        <v>43</v>
      </c>
      <c r="B42" s="115" t="s">
        <v>67</v>
      </c>
      <c r="C42" s="115" t="s">
        <v>14</v>
      </c>
      <c r="D42" s="115" t="s">
        <v>667</v>
      </c>
      <c r="E42" s="98" t="s">
        <v>685</v>
      </c>
      <c r="F42" s="115" t="s">
        <v>476</v>
      </c>
      <c r="G42" s="115">
        <v>1</v>
      </c>
      <c r="H42" s="115">
        <v>40</v>
      </c>
      <c r="I42" s="194">
        <v>41</v>
      </c>
      <c r="J42" s="116">
        <v>241494</v>
      </c>
      <c r="K42" s="116">
        <v>235769</v>
      </c>
      <c r="L42" s="116">
        <v>64132</v>
      </c>
      <c r="M42" s="195">
        <v>1.5051395007342145E-2</v>
      </c>
      <c r="N42" s="195">
        <v>7.2933471605342737E-3</v>
      </c>
      <c r="O42" s="195">
        <v>1.2980933027857728E-2</v>
      </c>
      <c r="P42" s="195">
        <v>5.0178235546333421E-3</v>
      </c>
      <c r="R42" s="201" t="s">
        <v>32</v>
      </c>
      <c r="S42" s="202">
        <f t="shared" si="2"/>
        <v>0</v>
      </c>
      <c r="T42" s="203">
        <f t="shared" si="3"/>
        <v>0</v>
      </c>
    </row>
    <row r="43" spans="1:20" ht="22.5" customHeight="1">
      <c r="A43" s="115">
        <v>36</v>
      </c>
      <c r="B43" s="115" t="s">
        <v>67</v>
      </c>
      <c r="C43" s="115" t="s">
        <v>14</v>
      </c>
      <c r="D43" s="115" t="s">
        <v>667</v>
      </c>
      <c r="E43" s="98" t="s">
        <v>686</v>
      </c>
      <c r="F43" s="115" t="s">
        <v>476</v>
      </c>
      <c r="G43" s="115">
        <v>2</v>
      </c>
      <c r="H43" s="115">
        <v>35</v>
      </c>
      <c r="I43" s="194">
        <v>37</v>
      </c>
      <c r="J43" s="116">
        <v>181154</v>
      </c>
      <c r="K43" s="116">
        <v>617363</v>
      </c>
      <c r="L43" s="116">
        <v>27895</v>
      </c>
      <c r="M43" s="195">
        <v>1.3582966226138032E-2</v>
      </c>
      <c r="N43" s="195">
        <v>5.471022102078834E-3</v>
      </c>
      <c r="O43" s="195">
        <v>3.3990676284317831E-2</v>
      </c>
      <c r="P43" s="195">
        <v>2.1825639003383189E-3</v>
      </c>
      <c r="R43" s="201" t="s">
        <v>56</v>
      </c>
      <c r="S43" s="202">
        <f t="shared" si="2"/>
        <v>0</v>
      </c>
      <c r="T43" s="203">
        <f t="shared" si="3"/>
        <v>0</v>
      </c>
    </row>
    <row r="44" spans="1:20" ht="22.5" customHeight="1">
      <c r="A44" s="115">
        <v>22</v>
      </c>
      <c r="B44" s="115" t="s">
        <v>25</v>
      </c>
      <c r="C44" s="115" t="s">
        <v>24</v>
      </c>
      <c r="D44" s="115" t="s">
        <v>7</v>
      </c>
      <c r="E44" s="98" t="s">
        <v>104</v>
      </c>
      <c r="F44" s="115" t="s">
        <v>483</v>
      </c>
      <c r="G44" s="115">
        <v>13</v>
      </c>
      <c r="H44" s="115">
        <v>24</v>
      </c>
      <c r="I44" s="194">
        <v>37</v>
      </c>
      <c r="J44" s="116">
        <v>1022119</v>
      </c>
      <c r="K44" s="116">
        <v>650857</v>
      </c>
      <c r="L44" s="116">
        <v>10006</v>
      </c>
      <c r="M44" s="195">
        <v>2.7945619335347432E-2</v>
      </c>
      <c r="N44" s="195">
        <v>5.493470088689327E-2</v>
      </c>
      <c r="O44" s="195">
        <v>2.0280403436248925E-2</v>
      </c>
      <c r="P44" s="195">
        <v>4.8942193673641855E-4</v>
      </c>
      <c r="R44" s="201" t="s">
        <v>58</v>
      </c>
      <c r="S44" s="202">
        <f t="shared" si="2"/>
        <v>5</v>
      </c>
      <c r="T44" s="203">
        <f t="shared" si="3"/>
        <v>4</v>
      </c>
    </row>
    <row r="45" spans="1:20" ht="22.5" customHeight="1">
      <c r="A45" s="115">
        <v>23</v>
      </c>
      <c r="B45" s="115" t="s">
        <v>39</v>
      </c>
      <c r="C45" s="115" t="s">
        <v>58</v>
      </c>
      <c r="D45" s="115" t="s">
        <v>7</v>
      </c>
      <c r="E45" s="98" t="s">
        <v>112</v>
      </c>
      <c r="F45" s="115" t="s">
        <v>483</v>
      </c>
      <c r="G45" s="115">
        <v>13</v>
      </c>
      <c r="H45" s="115">
        <v>23</v>
      </c>
      <c r="I45" s="194">
        <v>36</v>
      </c>
      <c r="J45" s="116">
        <v>1190469</v>
      </c>
      <c r="K45" s="116">
        <v>785277</v>
      </c>
      <c r="L45" s="116">
        <v>9884</v>
      </c>
      <c r="M45" s="195">
        <v>2.7190332326283987E-2</v>
      </c>
      <c r="N45" s="195">
        <v>6.3982822381854695E-2</v>
      </c>
      <c r="O45" s="195">
        <v>2.4468868536725037E-2</v>
      </c>
      <c r="P45" s="195">
        <v>4.8345456952855894E-4</v>
      </c>
      <c r="R45" s="201" t="s">
        <v>60</v>
      </c>
      <c r="S45" s="202">
        <f t="shared" si="2"/>
        <v>0</v>
      </c>
      <c r="T45" s="203">
        <f t="shared" si="3"/>
        <v>0</v>
      </c>
    </row>
    <row r="46" spans="1:20" ht="22.5" customHeight="1">
      <c r="A46" s="115">
        <v>44</v>
      </c>
      <c r="B46" s="115" t="s">
        <v>11</v>
      </c>
      <c r="C46" s="115" t="s">
        <v>10</v>
      </c>
      <c r="D46" s="115" t="s">
        <v>667</v>
      </c>
      <c r="E46" s="98" t="s">
        <v>687</v>
      </c>
      <c r="F46" s="115" t="s">
        <v>476</v>
      </c>
      <c r="G46" s="115">
        <v>1</v>
      </c>
      <c r="H46" s="115">
        <v>34</v>
      </c>
      <c r="I46" s="194">
        <v>35</v>
      </c>
      <c r="J46" s="116">
        <v>23159</v>
      </c>
      <c r="K46" s="116">
        <v>194340</v>
      </c>
      <c r="L46" s="116">
        <v>430356</v>
      </c>
      <c r="M46" s="195">
        <v>1.2848751835535976E-2</v>
      </c>
      <c r="N46" s="195">
        <v>6.9942369951557081E-4</v>
      </c>
      <c r="O46" s="195">
        <v>1.0699941572615021E-2</v>
      </c>
      <c r="P46" s="195">
        <v>3.3671965222943093E-2</v>
      </c>
      <c r="R46" s="201" t="s">
        <v>63</v>
      </c>
      <c r="S46" s="202">
        <f t="shared" si="2"/>
        <v>0</v>
      </c>
      <c r="T46" s="203">
        <f t="shared" si="3"/>
        <v>0</v>
      </c>
    </row>
    <row r="47" spans="1:20" ht="22.5" customHeight="1">
      <c r="A47" s="115">
        <v>45</v>
      </c>
      <c r="B47" s="115" t="s">
        <v>11</v>
      </c>
      <c r="C47" s="115" t="s">
        <v>9</v>
      </c>
      <c r="D47" s="115" t="s">
        <v>667</v>
      </c>
      <c r="E47" s="98" t="s">
        <v>126</v>
      </c>
      <c r="F47" s="115" t="s">
        <v>476</v>
      </c>
      <c r="G47" s="115">
        <v>1</v>
      </c>
      <c r="H47" s="115">
        <v>33</v>
      </c>
      <c r="I47" s="194">
        <v>34</v>
      </c>
      <c r="J47" s="116">
        <v>16331</v>
      </c>
      <c r="K47" s="116">
        <v>287220</v>
      </c>
      <c r="L47" s="116">
        <v>649941</v>
      </c>
      <c r="M47" s="195">
        <v>1.2481644640234948E-2</v>
      </c>
      <c r="N47" s="195">
        <v>4.93211642851107E-4</v>
      </c>
      <c r="O47" s="195">
        <v>1.5813714204417444E-2</v>
      </c>
      <c r="P47" s="195">
        <v>5.0852760851399441E-2</v>
      </c>
      <c r="R47" s="204"/>
      <c r="S47" s="208"/>
      <c r="T47" s="208"/>
    </row>
    <row r="48" spans="1:20" ht="22.5" customHeight="1">
      <c r="A48" s="115">
        <v>21</v>
      </c>
      <c r="B48" s="115" t="s">
        <v>25</v>
      </c>
      <c r="C48" s="115" t="s">
        <v>23</v>
      </c>
      <c r="D48" s="115" t="s">
        <v>7</v>
      </c>
      <c r="E48" s="98" t="s">
        <v>77</v>
      </c>
      <c r="F48" s="115" t="s">
        <v>483</v>
      </c>
      <c r="G48" s="115">
        <v>14</v>
      </c>
      <c r="H48" s="115">
        <v>19</v>
      </c>
      <c r="I48" s="194">
        <v>33</v>
      </c>
      <c r="J48" s="116">
        <v>643191</v>
      </c>
      <c r="K48" s="116">
        <v>995117</v>
      </c>
      <c r="L48" s="116">
        <v>50499</v>
      </c>
      <c r="M48" s="195">
        <v>2.4924471299093656E-2</v>
      </c>
      <c r="N48" s="195">
        <v>3.4568876224922704E-2</v>
      </c>
      <c r="O48" s="195">
        <v>3.1007385994572881E-2</v>
      </c>
      <c r="P48" s="195">
        <v>2.4700498084401757E-3</v>
      </c>
      <c r="R48" s="6"/>
      <c r="S48" s="209"/>
      <c r="T48" s="209"/>
    </row>
    <row r="49" spans="1:20" ht="22.5" customHeight="1">
      <c r="A49" s="115">
        <v>66</v>
      </c>
      <c r="B49" s="115" t="s">
        <v>11</v>
      </c>
      <c r="C49" s="115" t="s">
        <v>10</v>
      </c>
      <c r="D49" s="115" t="s">
        <v>7</v>
      </c>
      <c r="E49" s="98" t="s">
        <v>29</v>
      </c>
      <c r="F49" s="115" t="s">
        <v>483</v>
      </c>
      <c r="G49" s="115">
        <v>0</v>
      </c>
      <c r="H49" s="115">
        <v>33</v>
      </c>
      <c r="I49" s="194">
        <v>33</v>
      </c>
      <c r="J49" s="116">
        <v>58567</v>
      </c>
      <c r="K49" s="116">
        <v>723408</v>
      </c>
      <c r="L49" s="116">
        <v>1909851</v>
      </c>
      <c r="M49" s="195">
        <v>2.4924471299093656E-2</v>
      </c>
      <c r="N49" s="195">
        <v>3.1477358574125694E-3</v>
      </c>
      <c r="O49" s="195">
        <v>2.2541059079044957E-2</v>
      </c>
      <c r="P49" s="195">
        <v>9.3416247781129877E-2</v>
      </c>
      <c r="R49" s="232" t="s">
        <v>67</v>
      </c>
      <c r="S49" s="228"/>
      <c r="T49" s="228"/>
    </row>
    <row r="50" spans="1:20" ht="22.5" customHeight="1">
      <c r="A50" s="115">
        <v>33</v>
      </c>
      <c r="B50" s="115" t="s">
        <v>25</v>
      </c>
      <c r="C50" s="115" t="s">
        <v>24</v>
      </c>
      <c r="D50" s="115" t="s">
        <v>7</v>
      </c>
      <c r="E50" s="98" t="s">
        <v>113</v>
      </c>
      <c r="F50" s="115" t="s">
        <v>483</v>
      </c>
      <c r="G50" s="115">
        <v>3</v>
      </c>
      <c r="H50" s="115">
        <v>29</v>
      </c>
      <c r="I50" s="194">
        <v>32</v>
      </c>
      <c r="J50" s="116">
        <v>455460</v>
      </c>
      <c r="K50" s="116">
        <v>870219</v>
      </c>
      <c r="L50" s="116">
        <v>62193</v>
      </c>
      <c r="M50" s="195">
        <v>2.4169184290030211E-2</v>
      </c>
      <c r="N50" s="195">
        <v>2.4479105530710619E-2</v>
      </c>
      <c r="O50" s="195">
        <v>2.7115622015111005E-2</v>
      </c>
      <c r="P50" s="195">
        <v>3.0420366291673074E-3</v>
      </c>
      <c r="R50" s="197" t="s">
        <v>482</v>
      </c>
      <c r="S50" s="198" t="s">
        <v>476</v>
      </c>
      <c r="T50" s="198" t="s">
        <v>483</v>
      </c>
    </row>
    <row r="51" spans="1:20" ht="22.5" customHeight="1">
      <c r="A51" s="115">
        <v>67</v>
      </c>
      <c r="B51" s="115" t="s">
        <v>11</v>
      </c>
      <c r="C51" s="115" t="s">
        <v>9</v>
      </c>
      <c r="D51" s="115" t="s">
        <v>667</v>
      </c>
      <c r="E51" s="98" t="s">
        <v>688</v>
      </c>
      <c r="F51" s="115" t="s">
        <v>476</v>
      </c>
      <c r="G51" s="115">
        <v>0</v>
      </c>
      <c r="H51" s="115">
        <v>31</v>
      </c>
      <c r="I51" s="194">
        <v>31</v>
      </c>
      <c r="J51" s="116">
        <v>22269</v>
      </c>
      <c r="K51" s="116">
        <v>336618</v>
      </c>
      <c r="L51" s="116">
        <v>743241</v>
      </c>
      <c r="M51" s="195">
        <v>1.1380323054331865E-2</v>
      </c>
      <c r="N51" s="195">
        <v>6.7254485791753732E-4</v>
      </c>
      <c r="O51" s="195">
        <v>1.8533461625452934E-2</v>
      </c>
      <c r="P51" s="195">
        <v>5.8152750523439774E-2</v>
      </c>
      <c r="R51" s="201" t="s">
        <v>468</v>
      </c>
      <c r="S51" s="202">
        <f>SUMIFS(Scoreboard_18[Damage Dealt],Scoreboard_18[Role],"Tank",Scoreboard_18[Team],"Yellow")</f>
        <v>2699540</v>
      </c>
      <c r="T51" s="203">
        <f>SUMIFS(Scoreboard_18[Damage Dealt],Scoreboard_18[Role],"Tank",Scoreboard_18[Team],"Red")</f>
        <v>464693</v>
      </c>
    </row>
    <row r="52" spans="1:20" ht="22.5" customHeight="1">
      <c r="A52" s="115">
        <v>28</v>
      </c>
      <c r="B52" s="115" t="s">
        <v>39</v>
      </c>
      <c r="C52" s="115" t="s">
        <v>54</v>
      </c>
      <c r="D52" s="115" t="s">
        <v>7</v>
      </c>
      <c r="E52" s="98" t="s">
        <v>103</v>
      </c>
      <c r="F52" s="115" t="s">
        <v>483</v>
      </c>
      <c r="G52" s="115">
        <v>11</v>
      </c>
      <c r="H52" s="115">
        <v>18</v>
      </c>
      <c r="I52" s="194">
        <v>29</v>
      </c>
      <c r="J52" s="116">
        <v>727769</v>
      </c>
      <c r="K52" s="116">
        <v>610692</v>
      </c>
      <c r="L52" s="116">
        <v>23564</v>
      </c>
      <c r="M52" s="195">
        <v>2.1903323262839881E-2</v>
      </c>
      <c r="N52" s="195">
        <v>3.9114596568260079E-2</v>
      </c>
      <c r="O52" s="195">
        <v>1.9028880591727106E-2</v>
      </c>
      <c r="P52" s="195">
        <v>1.1525823023442901E-3</v>
      </c>
      <c r="R52" s="201" t="s">
        <v>469</v>
      </c>
      <c r="S52" s="202">
        <f>SUMIFS(Scoreboard_18[Damage Taken],Scoreboard_18[Role],"Tank",Scoreboard_18[Team],"Yellow")</f>
        <v>4559513</v>
      </c>
      <c r="T52" s="203">
        <f>SUMIFS(Scoreboard_18[Damage Taken],Scoreboard_18[Role],"Tank",Scoreboard_18[Team],"Red")</f>
        <v>7354904</v>
      </c>
    </row>
    <row r="53" spans="1:20" ht="22.5" customHeight="1">
      <c r="A53" s="115">
        <v>37</v>
      </c>
      <c r="B53" s="115" t="s">
        <v>11</v>
      </c>
      <c r="C53" s="115" t="s">
        <v>18</v>
      </c>
      <c r="D53" s="115" t="s">
        <v>7</v>
      </c>
      <c r="E53" s="98" t="s">
        <v>94</v>
      </c>
      <c r="F53" s="115" t="s">
        <v>483</v>
      </c>
      <c r="G53" s="115">
        <v>2</v>
      </c>
      <c r="H53" s="115">
        <v>27</v>
      </c>
      <c r="I53" s="194">
        <v>29</v>
      </c>
      <c r="J53" s="116">
        <v>486060</v>
      </c>
      <c r="K53" s="116">
        <v>741826</v>
      </c>
      <c r="L53" s="116">
        <v>479086</v>
      </c>
      <c r="M53" s="195">
        <v>2.1903323262839881E-2</v>
      </c>
      <c r="N53" s="195">
        <v>2.6123729930745188E-2</v>
      </c>
      <c r="O53" s="195">
        <v>2.311495545027371E-2</v>
      </c>
      <c r="P53" s="195">
        <v>2.3433459722496882E-2</v>
      </c>
      <c r="R53" s="201" t="s">
        <v>470</v>
      </c>
      <c r="S53" s="202">
        <f>SUMIFS(Scoreboard_18[Amount Healed],Scoreboard_18[Role],"Tank",Scoreboard_18[Team],"Yellow")</f>
        <v>400498</v>
      </c>
      <c r="T53" s="203">
        <f>SUMIFS(Scoreboard_18[Amount Healed],Scoreboard_18[Role],"Tank",Scoreboard_18[Team],"Red")</f>
        <v>739783</v>
      </c>
    </row>
    <row r="54" spans="1:20" ht="22.5" customHeight="1">
      <c r="A54" s="115">
        <v>68</v>
      </c>
      <c r="B54" s="115" t="s">
        <v>11</v>
      </c>
      <c r="C54" s="115" t="s">
        <v>9</v>
      </c>
      <c r="D54" s="115" t="s">
        <v>667</v>
      </c>
      <c r="E54" s="98" t="s">
        <v>121</v>
      </c>
      <c r="F54" s="115" t="s">
        <v>476</v>
      </c>
      <c r="G54" s="115">
        <v>0</v>
      </c>
      <c r="H54" s="115">
        <v>29</v>
      </c>
      <c r="I54" s="194">
        <v>29</v>
      </c>
      <c r="J54" s="116">
        <v>27719</v>
      </c>
      <c r="K54" s="116">
        <v>249863</v>
      </c>
      <c r="L54" s="116">
        <v>702295</v>
      </c>
      <c r="M54" s="195">
        <v>1.0646108663729809E-2</v>
      </c>
      <c r="N54" s="195">
        <v>8.3714001152347282E-4</v>
      </c>
      <c r="O54" s="195">
        <v>1.3756918293497514E-2</v>
      </c>
      <c r="P54" s="195">
        <v>5.494904873232119E-2</v>
      </c>
      <c r="R54" s="201" t="s">
        <v>465</v>
      </c>
      <c r="S54" s="202">
        <f>SUMIFS(Scoreboard_18[Kills],Scoreboard_18[Role],"Tank",Scoreboard_18[Team],"Yellow")</f>
        <v>26</v>
      </c>
      <c r="T54" s="203">
        <f>SUMIFS(Scoreboard_18[Kills],Scoreboard_18[Role],"Tank",Scoreboard_18[Team],"Red")</f>
        <v>4</v>
      </c>
    </row>
    <row r="55" spans="1:20" ht="22.5" customHeight="1">
      <c r="A55" s="115">
        <v>69</v>
      </c>
      <c r="B55" s="115" t="s">
        <v>11</v>
      </c>
      <c r="C55" s="115" t="s">
        <v>9</v>
      </c>
      <c r="D55" s="115" t="s">
        <v>7</v>
      </c>
      <c r="E55" s="98" t="s">
        <v>51</v>
      </c>
      <c r="F55" s="115" t="s">
        <v>483</v>
      </c>
      <c r="G55" s="115">
        <v>0</v>
      </c>
      <c r="H55" s="115">
        <v>27</v>
      </c>
      <c r="I55" s="194">
        <v>27</v>
      </c>
      <c r="J55" s="116">
        <v>27318</v>
      </c>
      <c r="K55" s="116">
        <v>325179</v>
      </c>
      <c r="L55" s="116">
        <v>376475</v>
      </c>
      <c r="M55" s="195">
        <v>2.0392749244712991E-2</v>
      </c>
      <c r="N55" s="195">
        <v>1.4682303712465479E-3</v>
      </c>
      <c r="O55" s="195">
        <v>1.0132427413388793E-2</v>
      </c>
      <c r="P55" s="195">
        <v>1.8414463685073271E-2</v>
      </c>
      <c r="R55" s="201" t="s">
        <v>466</v>
      </c>
      <c r="S55" s="202">
        <f>SUMIFS(Scoreboard_18[Assists],Scoreboard_18[Role],"Tank",Scoreboard_18[Team],"Yellow")</f>
        <v>316</v>
      </c>
      <c r="T55" s="203">
        <f>SUMIFS(Scoreboard_18[Assists],Scoreboard_18[Role],"Tank",Scoreboard_18[Team],"Red")</f>
        <v>91</v>
      </c>
    </row>
    <row r="56" spans="1:20" ht="22.5" customHeight="1">
      <c r="A56" s="115">
        <v>70</v>
      </c>
      <c r="B56" s="115" t="s">
        <v>11</v>
      </c>
      <c r="C56" s="115" t="s">
        <v>9</v>
      </c>
      <c r="D56" s="115" t="s">
        <v>7</v>
      </c>
      <c r="E56" s="98" t="s">
        <v>96</v>
      </c>
      <c r="F56" s="115" t="s">
        <v>483</v>
      </c>
      <c r="G56" s="115">
        <v>0</v>
      </c>
      <c r="H56" s="115">
        <v>26</v>
      </c>
      <c r="I56" s="194">
        <v>26</v>
      </c>
      <c r="J56" s="116">
        <v>9657</v>
      </c>
      <c r="K56" s="116">
        <v>504974</v>
      </c>
      <c r="L56" s="116">
        <v>933794</v>
      </c>
      <c r="M56" s="195">
        <v>1.9637462235649546E-2</v>
      </c>
      <c r="N56" s="195">
        <v>5.1902411212855675E-4</v>
      </c>
      <c r="O56" s="195">
        <v>1.5734756551464245E-2</v>
      </c>
      <c r="P56" s="195">
        <v>4.5674522086033099E-2</v>
      </c>
      <c r="R56" s="201" t="s">
        <v>62</v>
      </c>
      <c r="S56" s="202">
        <f t="shared" ref="S56:S60" si="4">COUNTIFS(C:C,R56,F:F,"Yellow")</f>
        <v>1</v>
      </c>
      <c r="T56" s="203">
        <f t="shared" ref="T56:T60" si="5">COUNTIFS(C:C,R56,F:F,"Red")</f>
        <v>0</v>
      </c>
    </row>
    <row r="57" spans="1:20" ht="22.5" customHeight="1">
      <c r="A57" s="115">
        <v>71</v>
      </c>
      <c r="B57" s="115" t="s">
        <v>11</v>
      </c>
      <c r="C57" s="115" t="s">
        <v>10</v>
      </c>
      <c r="D57" s="115" t="s">
        <v>7</v>
      </c>
      <c r="E57" s="98" t="s">
        <v>17</v>
      </c>
      <c r="F57" s="115" t="s">
        <v>483</v>
      </c>
      <c r="G57" s="115">
        <v>0</v>
      </c>
      <c r="H57" s="115">
        <v>25</v>
      </c>
      <c r="I57" s="194">
        <v>25</v>
      </c>
      <c r="J57" s="116">
        <v>12740</v>
      </c>
      <c r="K57" s="116">
        <v>930558</v>
      </c>
      <c r="L57" s="116">
        <v>2252088</v>
      </c>
      <c r="M57" s="195">
        <v>1.8882175226586102E-2</v>
      </c>
      <c r="N57" s="195">
        <v>6.8472270772681088E-4</v>
      </c>
      <c r="O57" s="195">
        <v>2.8995757379622449E-2</v>
      </c>
      <c r="P57" s="195">
        <v>0.11015603344601711</v>
      </c>
      <c r="R57" s="201" t="s">
        <v>70</v>
      </c>
      <c r="S57" s="202">
        <f t="shared" si="4"/>
        <v>0</v>
      </c>
      <c r="T57" s="203">
        <f t="shared" si="5"/>
        <v>0</v>
      </c>
    </row>
    <row r="58" spans="1:20" ht="22.5" customHeight="1">
      <c r="A58" s="115">
        <v>46</v>
      </c>
      <c r="B58" s="115" t="s">
        <v>67</v>
      </c>
      <c r="C58" s="115" t="s">
        <v>14</v>
      </c>
      <c r="D58" s="115" t="s">
        <v>667</v>
      </c>
      <c r="E58" s="98" t="s">
        <v>689</v>
      </c>
      <c r="F58" s="115" t="s">
        <v>476</v>
      </c>
      <c r="G58" s="115">
        <v>1</v>
      </c>
      <c r="H58" s="115">
        <v>23</v>
      </c>
      <c r="I58" s="194">
        <v>24</v>
      </c>
      <c r="J58" s="116">
        <v>139594</v>
      </c>
      <c r="K58" s="116">
        <v>157416</v>
      </c>
      <c r="L58" s="116">
        <v>6430</v>
      </c>
      <c r="M58" s="195">
        <v>8.8105726872246704E-3</v>
      </c>
      <c r="N58" s="195">
        <v>4.215870802287516E-3</v>
      </c>
      <c r="O58" s="195">
        <v>8.6669857085250913E-3</v>
      </c>
      <c r="P58" s="195">
        <v>5.0309682305701346E-4</v>
      </c>
      <c r="R58" s="201" t="s">
        <v>14</v>
      </c>
      <c r="S58" s="202">
        <f t="shared" si="4"/>
        <v>13</v>
      </c>
      <c r="T58" s="203">
        <f t="shared" si="5"/>
        <v>9</v>
      </c>
    </row>
    <row r="59" spans="1:20" ht="22.5" customHeight="1">
      <c r="A59" s="115">
        <v>38</v>
      </c>
      <c r="B59" s="115" t="s">
        <v>11</v>
      </c>
      <c r="C59" s="115" t="s">
        <v>9</v>
      </c>
      <c r="D59" s="115" t="s">
        <v>7</v>
      </c>
      <c r="E59" s="98" t="s">
        <v>99</v>
      </c>
      <c r="F59" s="115" t="s">
        <v>483</v>
      </c>
      <c r="G59" s="115">
        <v>2</v>
      </c>
      <c r="H59" s="115">
        <v>22</v>
      </c>
      <c r="I59" s="194">
        <v>24</v>
      </c>
      <c r="J59" s="116">
        <v>149069</v>
      </c>
      <c r="K59" s="116">
        <v>418255</v>
      </c>
      <c r="L59" s="116">
        <v>421035</v>
      </c>
      <c r="M59" s="195">
        <v>1.812688821752266E-2</v>
      </c>
      <c r="N59" s="195">
        <v>8.0118468852533736E-3</v>
      </c>
      <c r="O59" s="195">
        <v>1.3032632574019015E-2</v>
      </c>
      <c r="P59" s="195">
        <v>2.0594020101321005E-2</v>
      </c>
      <c r="R59" s="201" t="s">
        <v>73</v>
      </c>
      <c r="S59" s="202">
        <f t="shared" si="4"/>
        <v>0</v>
      </c>
      <c r="T59" s="203">
        <f t="shared" si="5"/>
        <v>1</v>
      </c>
    </row>
    <row r="60" spans="1:20" ht="22.5" customHeight="1">
      <c r="A60" s="115">
        <v>47</v>
      </c>
      <c r="B60" s="115" t="s">
        <v>67</v>
      </c>
      <c r="C60" s="115" t="s">
        <v>14</v>
      </c>
      <c r="D60" s="115" t="s">
        <v>667</v>
      </c>
      <c r="E60" s="98" t="s">
        <v>690</v>
      </c>
      <c r="F60" s="115" t="s">
        <v>476</v>
      </c>
      <c r="G60" s="115">
        <v>1</v>
      </c>
      <c r="H60" s="115">
        <v>22</v>
      </c>
      <c r="I60" s="194">
        <v>23</v>
      </c>
      <c r="J60" s="116">
        <v>103265</v>
      </c>
      <c r="K60" s="116">
        <v>298151</v>
      </c>
      <c r="L60" s="116">
        <v>58975</v>
      </c>
      <c r="M60" s="195">
        <v>8.4434654919236414E-3</v>
      </c>
      <c r="N60" s="195">
        <v>3.1187006490122813E-3</v>
      </c>
      <c r="O60" s="195">
        <v>1.6415551506723993E-2</v>
      </c>
      <c r="P60" s="195">
        <v>4.6143289486450028E-3</v>
      </c>
      <c r="R60" s="201" t="s">
        <v>75</v>
      </c>
      <c r="S60" s="202">
        <f t="shared" si="4"/>
        <v>0</v>
      </c>
      <c r="T60" s="203">
        <f t="shared" si="5"/>
        <v>0</v>
      </c>
    </row>
    <row r="61" spans="1:20" ht="22.5" customHeight="1">
      <c r="A61" s="115">
        <v>39</v>
      </c>
      <c r="B61" s="115" t="s">
        <v>39</v>
      </c>
      <c r="C61" s="115" t="s">
        <v>58</v>
      </c>
      <c r="D61" s="115" t="s">
        <v>7</v>
      </c>
      <c r="E61" s="98" t="s">
        <v>76</v>
      </c>
      <c r="F61" s="115" t="s">
        <v>483</v>
      </c>
      <c r="G61" s="115">
        <v>2</v>
      </c>
      <c r="H61" s="115">
        <v>21</v>
      </c>
      <c r="I61" s="194">
        <v>23</v>
      </c>
      <c r="J61" s="116">
        <v>607350</v>
      </c>
      <c r="K61" s="116">
        <v>591905</v>
      </c>
      <c r="L61" s="116">
        <v>23561</v>
      </c>
      <c r="M61" s="195">
        <v>1.7371601208459216E-2</v>
      </c>
      <c r="N61" s="195">
        <v>3.2642569586960643E-2</v>
      </c>
      <c r="O61" s="195">
        <v>1.8443486350969446E-2</v>
      </c>
      <c r="P61" s="195">
        <v>1.1524355638063918E-3</v>
      </c>
      <c r="R61" s="204"/>
      <c r="S61" s="208"/>
      <c r="T61" s="208"/>
    </row>
    <row r="62" spans="1:20" ht="22.5" customHeight="1">
      <c r="A62" s="115">
        <v>72</v>
      </c>
      <c r="B62" s="115" t="s">
        <v>11</v>
      </c>
      <c r="C62" s="115" t="s">
        <v>9</v>
      </c>
      <c r="D62" s="115" t="s">
        <v>7</v>
      </c>
      <c r="E62" s="98" t="s">
        <v>100</v>
      </c>
      <c r="F62" s="115" t="s">
        <v>483</v>
      </c>
      <c r="G62" s="115">
        <v>0</v>
      </c>
      <c r="H62" s="115">
        <v>23</v>
      </c>
      <c r="I62" s="194">
        <v>23</v>
      </c>
      <c r="J62" s="116">
        <v>0</v>
      </c>
      <c r="K62" s="116">
        <v>648448</v>
      </c>
      <c r="L62" s="116">
        <v>640998</v>
      </c>
      <c r="M62" s="195">
        <v>1.7371601208459216E-2</v>
      </c>
      <c r="N62" s="195">
        <v>0</v>
      </c>
      <c r="O62" s="195">
        <v>2.0205340109161831E-2</v>
      </c>
      <c r="P62" s="195">
        <v>3.1353036438553944E-2</v>
      </c>
      <c r="R62" s="6"/>
      <c r="S62" s="209"/>
      <c r="T62" s="209"/>
    </row>
    <row r="63" spans="1:20" ht="22.5" customHeight="1">
      <c r="A63" s="115">
        <v>48</v>
      </c>
      <c r="B63" s="115" t="s">
        <v>67</v>
      </c>
      <c r="C63" s="115" t="s">
        <v>14</v>
      </c>
      <c r="D63" s="115" t="s">
        <v>667</v>
      </c>
      <c r="E63" s="98" t="s">
        <v>691</v>
      </c>
      <c r="F63" s="115" t="s">
        <v>476</v>
      </c>
      <c r="G63" s="115">
        <v>1</v>
      </c>
      <c r="H63" s="115">
        <v>21</v>
      </c>
      <c r="I63" s="194">
        <v>22</v>
      </c>
      <c r="J63" s="116">
        <v>67690</v>
      </c>
      <c r="K63" s="116">
        <v>176545</v>
      </c>
      <c r="L63" s="116">
        <v>21919</v>
      </c>
      <c r="M63" s="195">
        <v>8.0763582966226141E-3</v>
      </c>
      <c r="N63" s="195">
        <v>2.0443020087313351E-3</v>
      </c>
      <c r="O63" s="195">
        <v>9.7201872231003333E-3</v>
      </c>
      <c r="P63" s="195">
        <v>1.7149889991581147E-3</v>
      </c>
      <c r="R63" s="232" t="s">
        <v>11</v>
      </c>
      <c r="S63" s="228"/>
      <c r="T63" s="228"/>
    </row>
    <row r="64" spans="1:20" ht="22.5" customHeight="1">
      <c r="A64" s="115">
        <v>73</v>
      </c>
      <c r="B64" s="115" t="s">
        <v>11</v>
      </c>
      <c r="C64" s="115" t="s">
        <v>9</v>
      </c>
      <c r="D64" s="115" t="s">
        <v>7</v>
      </c>
      <c r="E64" s="98" t="s">
        <v>91</v>
      </c>
      <c r="F64" s="115" t="s">
        <v>483</v>
      </c>
      <c r="G64" s="115">
        <v>0</v>
      </c>
      <c r="H64" s="115">
        <v>22</v>
      </c>
      <c r="I64" s="194">
        <v>22</v>
      </c>
      <c r="J64" s="116">
        <v>20</v>
      </c>
      <c r="K64" s="116">
        <v>724467</v>
      </c>
      <c r="L64" s="116">
        <v>1648954</v>
      </c>
      <c r="M64" s="195">
        <v>1.6616314199395771E-2</v>
      </c>
      <c r="N64" s="195">
        <v>1.0749179085193263E-6</v>
      </c>
      <c r="O64" s="195">
        <v>2.2574057029806777E-2</v>
      </c>
      <c r="P64" s="195">
        <v>8.0655033007122151E-2</v>
      </c>
      <c r="R64" s="197" t="s">
        <v>482</v>
      </c>
      <c r="S64" s="198" t="s">
        <v>476</v>
      </c>
      <c r="T64" s="198" t="s">
        <v>483</v>
      </c>
    </row>
    <row r="65" spans="1:20" ht="22.5" customHeight="1">
      <c r="A65" s="115">
        <v>34</v>
      </c>
      <c r="B65" s="115" t="s">
        <v>67</v>
      </c>
      <c r="C65" s="115" t="s">
        <v>14</v>
      </c>
      <c r="D65" s="115" t="s">
        <v>7</v>
      </c>
      <c r="E65" s="98" t="s">
        <v>55</v>
      </c>
      <c r="F65" s="115" t="s">
        <v>483</v>
      </c>
      <c r="G65" s="115">
        <v>3</v>
      </c>
      <c r="H65" s="115">
        <v>18</v>
      </c>
      <c r="I65" s="194">
        <v>21</v>
      </c>
      <c r="J65" s="116">
        <v>195473</v>
      </c>
      <c r="K65" s="116">
        <v>790393</v>
      </c>
      <c r="L65" s="116">
        <v>106558</v>
      </c>
      <c r="M65" s="195">
        <v>1.5861027190332326E-2</v>
      </c>
      <c r="N65" s="195">
        <v>1.0505871416599914E-2</v>
      </c>
      <c r="O65" s="195">
        <v>2.46282807332288E-2</v>
      </c>
      <c r="P65" s="195">
        <v>5.2120550404516569E-3</v>
      </c>
      <c r="R65" s="201" t="s">
        <v>468</v>
      </c>
      <c r="S65" s="202">
        <f>SUMIFS(Scoreboard_18[Damage Dealt],Scoreboard_18[Role],"Healer",Scoreboard_18[Team],"Yellow")</f>
        <v>674668</v>
      </c>
      <c r="T65" s="203">
        <f>SUMIFS(Scoreboard_18[Damage Dealt],Scoreboard_18[Role],"Healer",Scoreboard_18[Team],"Red")</f>
        <v>1042973</v>
      </c>
    </row>
    <row r="66" spans="1:20" ht="22.5" customHeight="1">
      <c r="A66" s="115">
        <v>49</v>
      </c>
      <c r="B66" s="115" t="s">
        <v>11</v>
      </c>
      <c r="C66" s="115" t="s">
        <v>10</v>
      </c>
      <c r="D66" s="115" t="s">
        <v>7</v>
      </c>
      <c r="E66" s="98" t="s">
        <v>44</v>
      </c>
      <c r="F66" s="115" t="s">
        <v>483</v>
      </c>
      <c r="G66" s="115">
        <v>1</v>
      </c>
      <c r="H66" s="115">
        <v>20</v>
      </c>
      <c r="I66" s="194">
        <v>21</v>
      </c>
      <c r="J66" s="116">
        <v>26377</v>
      </c>
      <c r="K66" s="116">
        <v>764121</v>
      </c>
      <c r="L66" s="116">
        <v>1614674</v>
      </c>
      <c r="M66" s="195">
        <v>1.5861027190332326E-2</v>
      </c>
      <c r="N66" s="195">
        <v>1.4176554836507135E-3</v>
      </c>
      <c r="O66" s="195">
        <v>2.3809657350401033E-2</v>
      </c>
      <c r="P66" s="195">
        <v>7.8978300647405533E-2</v>
      </c>
      <c r="R66" s="201" t="s">
        <v>469</v>
      </c>
      <c r="S66" s="202">
        <f>SUMIFS(Scoreboard_18[Damage Taken],Scoreboard_18[Role],"Healer",Scoreboard_18[Team],"Yellow")</f>
        <v>4954381</v>
      </c>
      <c r="T66" s="203">
        <f>SUMIFS(Scoreboard_18[Damage Taken],Scoreboard_18[Role],"Healer",Scoreboard_18[Team],"Red")</f>
        <v>11544336</v>
      </c>
    </row>
    <row r="67" spans="1:20" ht="22.5" customHeight="1">
      <c r="A67" s="115">
        <v>74</v>
      </c>
      <c r="B67" s="115" t="s">
        <v>11</v>
      </c>
      <c r="C67" s="115" t="s">
        <v>9</v>
      </c>
      <c r="D67" s="115" t="s">
        <v>7</v>
      </c>
      <c r="E67" s="98" t="s">
        <v>41</v>
      </c>
      <c r="F67" s="115" t="s">
        <v>483</v>
      </c>
      <c r="G67" s="115">
        <v>0</v>
      </c>
      <c r="H67" s="115">
        <v>21</v>
      </c>
      <c r="I67" s="194">
        <v>21</v>
      </c>
      <c r="J67" s="116">
        <v>871</v>
      </c>
      <c r="K67" s="116">
        <v>420291</v>
      </c>
      <c r="L67" s="116">
        <v>638959</v>
      </c>
      <c r="M67" s="195">
        <v>1.5861027190332326E-2</v>
      </c>
      <c r="N67" s="195">
        <v>4.6812674916016661E-5</v>
      </c>
      <c r="O67" s="195">
        <v>1.3096073393425126E-2</v>
      </c>
      <c r="P67" s="195">
        <v>3.1253303145629144E-2</v>
      </c>
      <c r="R67" s="201" t="s">
        <v>470</v>
      </c>
      <c r="S67" s="202">
        <f>SUMIFS(Scoreboard_18[Amount Healed],Scoreboard_18[Role],"Healer",Scoreboard_18[Team],"Yellow")</f>
        <v>12242884</v>
      </c>
      <c r="T67" s="203">
        <f>SUMIFS(Scoreboard_18[Amount Healed],Scoreboard_18[Role],"Healer",Scoreboard_18[Team],"Red")</f>
        <v>19298005</v>
      </c>
    </row>
    <row r="68" spans="1:20" ht="22.5" customHeight="1">
      <c r="A68" s="115">
        <v>50</v>
      </c>
      <c r="B68" s="115" t="s">
        <v>67</v>
      </c>
      <c r="C68" s="115" t="s">
        <v>14</v>
      </c>
      <c r="D68" s="115" t="s">
        <v>667</v>
      </c>
      <c r="E68" s="98" t="s">
        <v>408</v>
      </c>
      <c r="F68" s="115" t="s">
        <v>476</v>
      </c>
      <c r="G68" s="115">
        <v>1</v>
      </c>
      <c r="H68" s="115">
        <v>19</v>
      </c>
      <c r="I68" s="194">
        <v>20</v>
      </c>
      <c r="J68" s="116">
        <v>84525</v>
      </c>
      <c r="K68" s="116">
        <v>142100</v>
      </c>
      <c r="L68" s="116">
        <v>8986</v>
      </c>
      <c r="M68" s="195">
        <v>7.3421439060205578E-3</v>
      </c>
      <c r="N68" s="195">
        <v>2.5527349281727891E-3</v>
      </c>
      <c r="O68" s="195">
        <v>7.8237197564505218E-3</v>
      </c>
      <c r="P68" s="195">
        <v>7.0308367838107665E-4</v>
      </c>
      <c r="R68" s="201" t="s">
        <v>465</v>
      </c>
      <c r="S68" s="202">
        <f>SUMIFS(Scoreboard_18[Kills],Scoreboard_18[Role],"Healer",Scoreboard_18[Team],"Yellow")</f>
        <v>3</v>
      </c>
      <c r="T68" s="203">
        <f>SUMIFS(Scoreboard_18[Kills],Scoreboard_18[Role],"Healer",Scoreboard_18[Team],"Red")</f>
        <v>6</v>
      </c>
    </row>
    <row r="69" spans="1:20" ht="22.5" customHeight="1">
      <c r="A69" s="115">
        <v>30</v>
      </c>
      <c r="B69" s="115" t="s">
        <v>39</v>
      </c>
      <c r="C69" s="115" t="s">
        <v>58</v>
      </c>
      <c r="D69" s="115" t="s">
        <v>7</v>
      </c>
      <c r="E69" s="98" t="s">
        <v>661</v>
      </c>
      <c r="F69" s="115" t="s">
        <v>483</v>
      </c>
      <c r="G69" s="115">
        <v>9</v>
      </c>
      <c r="H69" s="115">
        <v>11</v>
      </c>
      <c r="I69" s="194">
        <v>20</v>
      </c>
      <c r="J69" s="116">
        <v>843182</v>
      </c>
      <c r="K69" s="116">
        <v>815595</v>
      </c>
      <c r="L69" s="116">
        <v>0</v>
      </c>
      <c r="M69" s="195">
        <v>1.5105740181268883E-2</v>
      </c>
      <c r="N69" s="195">
        <v>4.5317571597057134E-2</v>
      </c>
      <c r="O69" s="195">
        <v>2.5413563410376538E-2</v>
      </c>
      <c r="P69" s="195">
        <v>0</v>
      </c>
      <c r="R69" s="201" t="s">
        <v>466</v>
      </c>
      <c r="S69" s="202">
        <f>SUMIFS(Scoreboard_18[Assists],Scoreboard_18[Role],"Healer",Scoreboard_18[Team],"Yellow")</f>
        <v>849</v>
      </c>
      <c r="T69" s="203">
        <f>SUMIFS(Scoreboard_18[Assists],Scoreboard_18[Role],"Healer",Scoreboard_18[Team],"Red")</f>
        <v>472</v>
      </c>
    </row>
    <row r="70" spans="1:20" ht="22.5" customHeight="1">
      <c r="A70" s="115">
        <v>35</v>
      </c>
      <c r="B70" s="115" t="s">
        <v>67</v>
      </c>
      <c r="C70" s="115" t="s">
        <v>14</v>
      </c>
      <c r="D70" s="115" t="s">
        <v>667</v>
      </c>
      <c r="E70" s="98" t="s">
        <v>296</v>
      </c>
      <c r="F70" s="115" t="s">
        <v>476</v>
      </c>
      <c r="G70" s="115">
        <v>3</v>
      </c>
      <c r="H70" s="115">
        <v>16</v>
      </c>
      <c r="I70" s="194">
        <v>19</v>
      </c>
      <c r="J70" s="116">
        <v>135352</v>
      </c>
      <c r="K70" s="116">
        <v>444653</v>
      </c>
      <c r="L70" s="116">
        <v>49385</v>
      </c>
      <c r="M70" s="195">
        <v>6.9750367107195305E-3</v>
      </c>
      <c r="N70" s="195">
        <v>4.0877583909854284E-3</v>
      </c>
      <c r="O70" s="195">
        <v>2.4481635896305375E-2</v>
      </c>
      <c r="P70" s="195">
        <v>3.863987030586409E-3</v>
      </c>
      <c r="R70" s="201" t="s">
        <v>10</v>
      </c>
      <c r="S70" s="202">
        <f t="shared" ref="S70:S72" si="6">COUNTIFS(C:C,R70,F:F,"Yellow")</f>
        <v>7</v>
      </c>
      <c r="T70" s="203">
        <f t="shared" ref="T70:T72" si="7">COUNTIFS(C:C,R70,F:F,"Red")</f>
        <v>7</v>
      </c>
    </row>
    <row r="71" spans="1:20" ht="22.5" customHeight="1">
      <c r="A71" s="115">
        <v>51</v>
      </c>
      <c r="B71" s="115" t="s">
        <v>67</v>
      </c>
      <c r="C71" s="115" t="s">
        <v>14</v>
      </c>
      <c r="D71" s="115" t="s">
        <v>667</v>
      </c>
      <c r="E71" s="98" t="s">
        <v>692</v>
      </c>
      <c r="F71" s="115" t="s">
        <v>476</v>
      </c>
      <c r="G71" s="115">
        <v>1</v>
      </c>
      <c r="H71" s="115">
        <v>18</v>
      </c>
      <c r="I71" s="194">
        <v>19</v>
      </c>
      <c r="J71" s="116">
        <v>204033</v>
      </c>
      <c r="K71" s="116">
        <v>378156</v>
      </c>
      <c r="L71" s="116">
        <v>53079</v>
      </c>
      <c r="M71" s="195">
        <v>6.9750367107195305E-3</v>
      </c>
      <c r="N71" s="195">
        <v>6.1619895368219893E-3</v>
      </c>
      <c r="O71" s="195">
        <v>2.0820454385786797E-2</v>
      </c>
      <c r="P71" s="195">
        <v>4.1530134169585099E-3</v>
      </c>
      <c r="R71" s="201" t="s">
        <v>9</v>
      </c>
      <c r="S71" s="202">
        <f t="shared" si="6"/>
        <v>12</v>
      </c>
      <c r="T71" s="203">
        <f t="shared" si="7"/>
        <v>13</v>
      </c>
    </row>
    <row r="72" spans="1:20" ht="22.5" customHeight="1">
      <c r="A72" s="115">
        <v>75</v>
      </c>
      <c r="B72" s="115" t="s">
        <v>11</v>
      </c>
      <c r="C72" s="115" t="s">
        <v>10</v>
      </c>
      <c r="D72" s="115" t="s">
        <v>667</v>
      </c>
      <c r="E72" s="98" t="s">
        <v>693</v>
      </c>
      <c r="F72" s="115" t="s">
        <v>476</v>
      </c>
      <c r="G72" s="115">
        <v>0</v>
      </c>
      <c r="H72" s="115">
        <v>19</v>
      </c>
      <c r="I72" s="194">
        <v>19</v>
      </c>
      <c r="J72" s="116">
        <v>30030</v>
      </c>
      <c r="K72" s="116">
        <v>683968</v>
      </c>
      <c r="L72" s="116">
        <v>1034648</v>
      </c>
      <c r="M72" s="195">
        <v>6.9750367107195305E-3</v>
      </c>
      <c r="N72" s="195">
        <v>9.0693439684151264E-4</v>
      </c>
      <c r="O72" s="195">
        <v>3.7657804042082695E-2</v>
      </c>
      <c r="P72" s="195">
        <v>8.0953051599112424E-2</v>
      </c>
      <c r="R72" s="201" t="s">
        <v>18</v>
      </c>
      <c r="S72" s="202">
        <f t="shared" si="6"/>
        <v>0</v>
      </c>
      <c r="T72" s="203">
        <f t="shared" si="7"/>
        <v>1</v>
      </c>
    </row>
    <row r="73" spans="1:20" ht="22.5" customHeight="1">
      <c r="A73" s="115">
        <v>76</v>
      </c>
      <c r="B73" s="115" t="s">
        <v>11</v>
      </c>
      <c r="C73" s="115" t="s">
        <v>9</v>
      </c>
      <c r="D73" s="115" t="s">
        <v>7</v>
      </c>
      <c r="E73" s="98" t="s">
        <v>72</v>
      </c>
      <c r="F73" s="115" t="s">
        <v>483</v>
      </c>
      <c r="G73" s="115">
        <v>0</v>
      </c>
      <c r="H73" s="115">
        <v>19</v>
      </c>
      <c r="I73" s="194">
        <v>19</v>
      </c>
      <c r="J73" s="116">
        <v>14823</v>
      </c>
      <c r="K73" s="116">
        <v>513902</v>
      </c>
      <c r="L73" s="116">
        <v>451745</v>
      </c>
      <c r="M73" s="195">
        <v>1.4350453172205438E-2</v>
      </c>
      <c r="N73" s="195">
        <v>7.9667540789909877E-4</v>
      </c>
      <c r="O73" s="195">
        <v>1.6012948906895363E-2</v>
      </c>
      <c r="P73" s="195">
        <v>2.2096133600938775E-2</v>
      </c>
    </row>
    <row r="74" spans="1:20" ht="22.5" customHeight="1">
      <c r="A74" s="115">
        <v>77</v>
      </c>
      <c r="B74" s="115" t="s">
        <v>11</v>
      </c>
      <c r="C74" s="115" t="s">
        <v>9</v>
      </c>
      <c r="D74" s="115" t="s">
        <v>7</v>
      </c>
      <c r="E74" s="98" t="s">
        <v>61</v>
      </c>
      <c r="F74" s="115" t="s">
        <v>483</v>
      </c>
      <c r="G74" s="115">
        <v>0</v>
      </c>
      <c r="H74" s="115">
        <v>17</v>
      </c>
      <c r="I74" s="194">
        <v>17</v>
      </c>
      <c r="J74" s="116">
        <v>32538</v>
      </c>
      <c r="K74" s="116">
        <v>396866</v>
      </c>
      <c r="L74" s="116">
        <v>186490</v>
      </c>
      <c r="M74" s="195">
        <v>1.283987915407855E-2</v>
      </c>
      <c r="N74" s="195">
        <v>1.7487839453700922E-3</v>
      </c>
      <c r="O74" s="195">
        <v>1.236616121533665E-2</v>
      </c>
      <c r="P74" s="195">
        <v>9.1217566442109415E-3</v>
      </c>
    </row>
    <row r="75" spans="1:20" ht="22.5" customHeight="1">
      <c r="A75" s="115">
        <v>78</v>
      </c>
      <c r="B75" s="115" t="s">
        <v>11</v>
      </c>
      <c r="C75" s="115" t="s">
        <v>10</v>
      </c>
      <c r="D75" s="115" t="s">
        <v>7</v>
      </c>
      <c r="E75" s="98" t="s">
        <v>108</v>
      </c>
      <c r="F75" s="115" t="s">
        <v>483</v>
      </c>
      <c r="G75" s="115">
        <v>0</v>
      </c>
      <c r="H75" s="115">
        <v>16</v>
      </c>
      <c r="I75" s="194">
        <v>16</v>
      </c>
      <c r="J75" s="116">
        <v>19397</v>
      </c>
      <c r="K75" s="116">
        <v>734132</v>
      </c>
      <c r="L75" s="116">
        <v>865090</v>
      </c>
      <c r="M75" s="195">
        <v>1.2084592145015106E-2</v>
      </c>
      <c r="N75" s="195">
        <v>1.0425091335774686E-3</v>
      </c>
      <c r="O75" s="195">
        <v>2.2875213964757689E-2</v>
      </c>
      <c r="P75" s="195">
        <v>4.231401391678076E-2</v>
      </c>
    </row>
    <row r="76" spans="1:20" ht="22.5" customHeight="1">
      <c r="A76" s="115">
        <v>80</v>
      </c>
      <c r="B76" s="115" t="s">
        <v>11</v>
      </c>
      <c r="C76" s="115" t="s">
        <v>9</v>
      </c>
      <c r="D76" s="115" t="s">
        <v>7</v>
      </c>
      <c r="E76" s="98" t="s">
        <v>59</v>
      </c>
      <c r="F76" s="115" t="s">
        <v>483</v>
      </c>
      <c r="G76" s="115">
        <v>0</v>
      </c>
      <c r="H76" s="115">
        <v>15</v>
      </c>
      <c r="I76" s="194">
        <v>15</v>
      </c>
      <c r="J76" s="116">
        <v>65666</v>
      </c>
      <c r="K76" s="116">
        <v>413966</v>
      </c>
      <c r="L76" s="116">
        <v>477742</v>
      </c>
      <c r="M76" s="195">
        <v>1.1329305135951661E-2</v>
      </c>
      <c r="N76" s="195">
        <v>3.5292779690415041E-3</v>
      </c>
      <c r="O76" s="195">
        <v>1.2898989315456733E-2</v>
      </c>
      <c r="P76" s="195">
        <v>2.3367720857518495E-2</v>
      </c>
    </row>
    <row r="77" spans="1:20" ht="22.5" customHeight="1">
      <c r="A77" s="115">
        <v>79</v>
      </c>
      <c r="B77" s="115" t="s">
        <v>11</v>
      </c>
      <c r="C77" s="115" t="s">
        <v>10</v>
      </c>
      <c r="D77" s="115" t="s">
        <v>667</v>
      </c>
      <c r="E77" s="98" t="s">
        <v>645</v>
      </c>
      <c r="F77" s="115" t="s">
        <v>476</v>
      </c>
      <c r="G77" s="115">
        <v>0</v>
      </c>
      <c r="H77" s="115">
        <v>15</v>
      </c>
      <c r="I77" s="194">
        <v>15</v>
      </c>
      <c r="J77" s="116">
        <v>75574</v>
      </c>
      <c r="K77" s="116">
        <v>149220</v>
      </c>
      <c r="L77" s="116">
        <v>818983</v>
      </c>
      <c r="M77" s="195">
        <v>5.5066079295154188E-3</v>
      </c>
      <c r="N77" s="195">
        <v>2.2824062639660498E-3</v>
      </c>
      <c r="O77" s="195">
        <v>8.2157316119461435E-3</v>
      </c>
      <c r="P77" s="195">
        <v>6.4078965075847913E-2</v>
      </c>
    </row>
    <row r="78" spans="1:20" ht="22.5" customHeight="1">
      <c r="A78" s="115">
        <v>81</v>
      </c>
      <c r="B78" s="115" t="s">
        <v>67</v>
      </c>
      <c r="C78" s="115" t="s">
        <v>62</v>
      </c>
      <c r="D78" s="115" t="s">
        <v>667</v>
      </c>
      <c r="E78" s="98" t="s">
        <v>694</v>
      </c>
      <c r="F78" s="115" t="s">
        <v>476</v>
      </c>
      <c r="G78" s="115">
        <v>0</v>
      </c>
      <c r="H78" s="115">
        <v>14</v>
      </c>
      <c r="I78" s="194">
        <v>14</v>
      </c>
      <c r="J78" s="116">
        <v>48559</v>
      </c>
      <c r="K78" s="116">
        <v>84067</v>
      </c>
      <c r="L78" s="116">
        <v>4129</v>
      </c>
      <c r="M78" s="195">
        <v>5.1395007342143906E-3</v>
      </c>
      <c r="N78" s="195">
        <v>1.4665277181560776E-3</v>
      </c>
      <c r="O78" s="195">
        <v>4.6285478449368473E-3</v>
      </c>
      <c r="P78" s="195">
        <v>3.2306170799415373E-4</v>
      </c>
    </row>
    <row r="79" spans="1:20" ht="22.5" customHeight="1">
      <c r="A79" s="115">
        <v>82</v>
      </c>
      <c r="B79" s="115" t="s">
        <v>67</v>
      </c>
      <c r="C79" s="115" t="s">
        <v>14</v>
      </c>
      <c r="D79" s="115" t="s">
        <v>7</v>
      </c>
      <c r="E79" s="98" t="s">
        <v>35</v>
      </c>
      <c r="F79" s="115" t="s">
        <v>483</v>
      </c>
      <c r="G79" s="115">
        <v>0</v>
      </c>
      <c r="H79" s="115">
        <v>13</v>
      </c>
      <c r="I79" s="194">
        <v>13</v>
      </c>
      <c r="J79" s="116">
        <v>21351</v>
      </c>
      <c r="K79" s="116">
        <v>210826</v>
      </c>
      <c r="L79" s="116">
        <v>8133</v>
      </c>
      <c r="M79" s="195">
        <v>9.8187311178247732E-3</v>
      </c>
      <c r="N79" s="195">
        <v>1.1475286132398069E-3</v>
      </c>
      <c r="O79" s="195">
        <v>6.5692407623343003E-3</v>
      </c>
      <c r="P79" s="195">
        <v>3.9780817624198399E-4</v>
      </c>
    </row>
    <row r="80" spans="1:20" ht="22.5" customHeight="1">
      <c r="A80" s="115">
        <v>84</v>
      </c>
      <c r="B80" s="115" t="s">
        <v>67</v>
      </c>
      <c r="C80" s="115" t="s">
        <v>14</v>
      </c>
      <c r="D80" s="115" t="s">
        <v>7</v>
      </c>
      <c r="E80" s="98" t="s">
        <v>109</v>
      </c>
      <c r="F80" s="115" t="s">
        <v>483</v>
      </c>
      <c r="G80" s="115">
        <v>0</v>
      </c>
      <c r="H80" s="115">
        <v>12</v>
      </c>
      <c r="I80" s="194">
        <v>12</v>
      </c>
      <c r="J80" s="116">
        <v>40042</v>
      </c>
      <c r="K80" s="116">
        <v>650884</v>
      </c>
      <c r="L80" s="116">
        <v>42273</v>
      </c>
      <c r="M80" s="195">
        <v>9.0634441087613302E-3</v>
      </c>
      <c r="N80" s="195">
        <v>2.1520931446465433E-3</v>
      </c>
      <c r="O80" s="195">
        <v>2.028124474377543E-2</v>
      </c>
      <c r="P80" s="195">
        <v>2.0676927375233478E-3</v>
      </c>
    </row>
    <row r="81" spans="1:16" ht="22.5" customHeight="1">
      <c r="A81" s="115">
        <v>83</v>
      </c>
      <c r="B81" s="115" t="s">
        <v>67</v>
      </c>
      <c r="C81" s="115" t="s">
        <v>14</v>
      </c>
      <c r="D81" s="115" t="s">
        <v>7</v>
      </c>
      <c r="E81" s="98" t="s">
        <v>85</v>
      </c>
      <c r="F81" s="115" t="s">
        <v>483</v>
      </c>
      <c r="G81" s="115">
        <v>0</v>
      </c>
      <c r="H81" s="115">
        <v>12</v>
      </c>
      <c r="I81" s="194">
        <v>12</v>
      </c>
      <c r="J81" s="116">
        <v>59177</v>
      </c>
      <c r="K81" s="116">
        <v>554763</v>
      </c>
      <c r="L81" s="116">
        <v>73421</v>
      </c>
      <c r="M81" s="195">
        <v>9.0634441087613302E-3</v>
      </c>
      <c r="N81" s="195">
        <v>3.1805208536224089E-3</v>
      </c>
      <c r="O81" s="195">
        <v>1.7286158789878211E-2</v>
      </c>
      <c r="P81" s="195">
        <v>3.5912300636742537E-3</v>
      </c>
    </row>
    <row r="82" spans="1:16" ht="22.5" customHeight="1">
      <c r="A82" s="115">
        <v>85</v>
      </c>
      <c r="B82" s="115" t="s">
        <v>11</v>
      </c>
      <c r="C82" s="115" t="s">
        <v>10</v>
      </c>
      <c r="D82" s="115" t="s">
        <v>7</v>
      </c>
      <c r="E82" s="98" t="s">
        <v>105</v>
      </c>
      <c r="F82" s="115" t="s">
        <v>483</v>
      </c>
      <c r="G82" s="115">
        <v>0</v>
      </c>
      <c r="H82" s="115">
        <v>12</v>
      </c>
      <c r="I82" s="194">
        <v>12</v>
      </c>
      <c r="J82" s="116">
        <v>17808</v>
      </c>
      <c r="K82" s="116">
        <v>849929</v>
      </c>
      <c r="L82" s="116">
        <v>1316960</v>
      </c>
      <c r="M82" s="195">
        <v>9.0634441087613302E-3</v>
      </c>
      <c r="N82" s="195">
        <v>9.5710690574560818E-4</v>
      </c>
      <c r="O82" s="195">
        <v>2.6483394988711211E-2</v>
      </c>
      <c r="P82" s="195">
        <v>6.4416261623465296E-2</v>
      </c>
    </row>
    <row r="83" spans="1:16" ht="22.5" customHeight="1">
      <c r="A83" s="115">
        <v>86</v>
      </c>
      <c r="B83" s="115" t="s">
        <v>11</v>
      </c>
      <c r="C83" s="115" t="s">
        <v>9</v>
      </c>
      <c r="D83" s="115" t="s">
        <v>7</v>
      </c>
      <c r="E83" s="98" t="s">
        <v>97</v>
      </c>
      <c r="F83" s="115" t="s">
        <v>483</v>
      </c>
      <c r="G83" s="115">
        <v>0</v>
      </c>
      <c r="H83" s="115">
        <v>12</v>
      </c>
      <c r="I83" s="194">
        <v>12</v>
      </c>
      <c r="J83" s="116">
        <v>19367</v>
      </c>
      <c r="K83" s="116">
        <v>401817</v>
      </c>
      <c r="L83" s="116">
        <v>880575</v>
      </c>
      <c r="M83" s="195">
        <v>9.0634441087613302E-3</v>
      </c>
      <c r="N83" s="195">
        <v>1.0408967567146897E-3</v>
      </c>
      <c r="O83" s="195">
        <v>1.2520432088067324E-2</v>
      </c>
      <c r="P83" s="195">
        <v>4.3071429336565235E-2</v>
      </c>
    </row>
    <row r="84" spans="1:16" ht="22.5" customHeight="1">
      <c r="A84" s="115">
        <v>87</v>
      </c>
      <c r="B84" s="115" t="s">
        <v>11</v>
      </c>
      <c r="C84" s="115" t="s">
        <v>9</v>
      </c>
      <c r="D84" s="115" t="s">
        <v>7</v>
      </c>
      <c r="E84" s="98" t="s">
        <v>695</v>
      </c>
      <c r="F84" s="115" t="s">
        <v>483</v>
      </c>
      <c r="G84" s="115">
        <v>0</v>
      </c>
      <c r="H84" s="115">
        <v>12</v>
      </c>
      <c r="I84" s="194">
        <v>12</v>
      </c>
      <c r="J84" s="116">
        <v>17141</v>
      </c>
      <c r="K84" s="116">
        <v>306428</v>
      </c>
      <c r="L84" s="116">
        <v>305356</v>
      </c>
      <c r="M84" s="195">
        <v>9.0634441087613302E-3</v>
      </c>
      <c r="N84" s="195">
        <v>9.2125839349648864E-4</v>
      </c>
      <c r="O84" s="195">
        <v>9.5481549159998052E-3</v>
      </c>
      <c r="P84" s="195">
        <v>1.4935830992812893E-2</v>
      </c>
    </row>
    <row r="85" spans="1:16" ht="22.5" customHeight="1">
      <c r="A85" s="115">
        <v>40</v>
      </c>
      <c r="B85" s="115" t="s">
        <v>67</v>
      </c>
      <c r="C85" s="115" t="s">
        <v>14</v>
      </c>
      <c r="D85" s="115" t="s">
        <v>667</v>
      </c>
      <c r="E85" s="98" t="s">
        <v>696</v>
      </c>
      <c r="F85" s="115" t="s">
        <v>476</v>
      </c>
      <c r="G85" s="115">
        <v>2</v>
      </c>
      <c r="H85" s="115">
        <v>9</v>
      </c>
      <c r="I85" s="194">
        <v>11</v>
      </c>
      <c r="J85" s="116">
        <v>652241</v>
      </c>
      <c r="K85" s="116">
        <v>956630</v>
      </c>
      <c r="L85" s="116">
        <v>18957</v>
      </c>
      <c r="M85" s="195">
        <v>4.0381791483113071E-3</v>
      </c>
      <c r="N85" s="195">
        <v>1.9698294969374128E-2</v>
      </c>
      <c r="O85" s="195">
        <v>5.2669986140839287E-2</v>
      </c>
      <c r="P85" s="195">
        <v>1.4832358436534688E-3</v>
      </c>
    </row>
    <row r="86" spans="1:16" ht="22.5" customHeight="1">
      <c r="A86" s="115">
        <v>88</v>
      </c>
      <c r="B86" s="115" t="s">
        <v>67</v>
      </c>
      <c r="C86" s="115" t="s">
        <v>14</v>
      </c>
      <c r="D86" s="115" t="s">
        <v>7</v>
      </c>
      <c r="E86" s="98" t="s">
        <v>64</v>
      </c>
      <c r="F86" s="115" t="s">
        <v>483</v>
      </c>
      <c r="G86" s="115">
        <v>0</v>
      </c>
      <c r="H86" s="115">
        <v>11</v>
      </c>
      <c r="I86" s="194">
        <v>11</v>
      </c>
      <c r="J86" s="116">
        <v>35441</v>
      </c>
      <c r="K86" s="116">
        <v>700305</v>
      </c>
      <c r="L86" s="116">
        <v>46589</v>
      </c>
      <c r="M86" s="195">
        <v>8.3081570996978854E-3</v>
      </c>
      <c r="N86" s="195">
        <v>1.9048082797916723E-3</v>
      </c>
      <c r="O86" s="195">
        <v>2.1821180272198506E-2</v>
      </c>
      <c r="P86" s="195">
        <v>2.2788005807128724E-3</v>
      </c>
    </row>
    <row r="87" spans="1:16" ht="22.5" customHeight="1">
      <c r="A87" s="115">
        <v>89</v>
      </c>
      <c r="B87" s="115" t="s">
        <v>11</v>
      </c>
      <c r="C87" s="115" t="s">
        <v>9</v>
      </c>
      <c r="D87" s="115" t="s">
        <v>667</v>
      </c>
      <c r="E87" s="98" t="s">
        <v>697</v>
      </c>
      <c r="F87" s="115" t="s">
        <v>476</v>
      </c>
      <c r="G87" s="115">
        <v>0</v>
      </c>
      <c r="H87" s="115">
        <v>11</v>
      </c>
      <c r="I87" s="194">
        <v>11</v>
      </c>
      <c r="J87" s="116">
        <v>22886</v>
      </c>
      <c r="K87" s="116">
        <v>506006</v>
      </c>
      <c r="L87" s="116">
        <v>470015</v>
      </c>
      <c r="M87" s="195">
        <v>4.0381791483113071E-3</v>
      </c>
      <c r="N87" s="195">
        <v>6.9117884136246611E-4</v>
      </c>
      <c r="O87" s="195">
        <v>2.7859599852797345E-2</v>
      </c>
      <c r="P87" s="195">
        <v>3.6774969407331597E-2</v>
      </c>
    </row>
    <row r="88" spans="1:16" ht="22.5" customHeight="1">
      <c r="A88" s="115">
        <v>41</v>
      </c>
      <c r="B88" s="115" t="s">
        <v>67</v>
      </c>
      <c r="C88" s="115" t="s">
        <v>14</v>
      </c>
      <c r="D88" s="115" t="s">
        <v>667</v>
      </c>
      <c r="E88" s="98" t="s">
        <v>123</v>
      </c>
      <c r="F88" s="115" t="s">
        <v>476</v>
      </c>
      <c r="G88" s="115">
        <v>2</v>
      </c>
      <c r="H88" s="115">
        <v>8</v>
      </c>
      <c r="I88" s="194">
        <v>10</v>
      </c>
      <c r="J88" s="116">
        <v>64219</v>
      </c>
      <c r="K88" s="116">
        <v>378099</v>
      </c>
      <c r="L88" s="116">
        <v>27134</v>
      </c>
      <c r="M88" s="195">
        <v>3.6710719530102789E-3</v>
      </c>
      <c r="N88" s="195">
        <v>1.9394745264990044E-3</v>
      </c>
      <c r="O88" s="195">
        <v>2.0817316088629037E-2</v>
      </c>
      <c r="P88" s="195">
        <v>2.1230216480293941E-3</v>
      </c>
    </row>
    <row r="89" spans="1:16" ht="22.5" customHeight="1">
      <c r="A89" s="115">
        <v>52</v>
      </c>
      <c r="B89" s="115" t="s">
        <v>11</v>
      </c>
      <c r="C89" s="115" t="s">
        <v>10</v>
      </c>
      <c r="D89" s="115" t="s">
        <v>7</v>
      </c>
      <c r="E89" s="98" t="s">
        <v>115</v>
      </c>
      <c r="F89" s="115" t="s">
        <v>483</v>
      </c>
      <c r="G89" s="115">
        <v>1</v>
      </c>
      <c r="H89" s="115">
        <v>8</v>
      </c>
      <c r="I89" s="194">
        <v>9</v>
      </c>
      <c r="J89" s="116">
        <v>26170</v>
      </c>
      <c r="K89" s="116">
        <v>443791</v>
      </c>
      <c r="L89" s="116">
        <v>858306</v>
      </c>
      <c r="M89" s="195">
        <v>6.7975830815709968E-3</v>
      </c>
      <c r="N89" s="195">
        <v>1.4065300832975386E-3</v>
      </c>
      <c r="O89" s="195">
        <v>1.3828322536865004E-2</v>
      </c>
      <c r="P89" s="195">
        <v>4.1982189169746997E-2</v>
      </c>
    </row>
    <row r="90" spans="1:16" ht="22.5" customHeight="1">
      <c r="A90" s="115">
        <v>53</v>
      </c>
      <c r="B90" s="115" t="s">
        <v>67</v>
      </c>
      <c r="C90" s="115" t="s">
        <v>73</v>
      </c>
      <c r="D90" s="115" t="s">
        <v>7</v>
      </c>
      <c r="E90" s="98" t="s">
        <v>114</v>
      </c>
      <c r="F90" s="115" t="s">
        <v>483</v>
      </c>
      <c r="G90" s="115">
        <v>1</v>
      </c>
      <c r="H90" s="115">
        <v>7</v>
      </c>
      <c r="I90" s="194">
        <v>8</v>
      </c>
      <c r="J90" s="116">
        <v>21907</v>
      </c>
      <c r="K90" s="116">
        <v>681318</v>
      </c>
      <c r="L90" s="116">
        <v>322963</v>
      </c>
      <c r="M90" s="195">
        <v>6.0422960725075529E-3</v>
      </c>
      <c r="N90" s="195">
        <v>1.1774113310966442E-3</v>
      </c>
      <c r="O90" s="195">
        <v>2.1229554123837101E-2</v>
      </c>
      <c r="P90" s="195">
        <v>1.5797039471737349E-2</v>
      </c>
    </row>
    <row r="91" spans="1:16" ht="22.5" customHeight="1">
      <c r="A91" s="115">
        <v>90</v>
      </c>
      <c r="B91" s="115" t="s">
        <v>11</v>
      </c>
      <c r="C91" s="115" t="s">
        <v>9</v>
      </c>
      <c r="D91" s="115" t="s">
        <v>7</v>
      </c>
      <c r="E91" s="98" t="s">
        <v>74</v>
      </c>
      <c r="F91" s="115" t="s">
        <v>483</v>
      </c>
      <c r="G91" s="115">
        <v>0</v>
      </c>
      <c r="H91" s="115">
        <v>8</v>
      </c>
      <c r="I91" s="194">
        <v>8</v>
      </c>
      <c r="J91" s="116">
        <v>20847</v>
      </c>
      <c r="K91" s="116">
        <v>464398</v>
      </c>
      <c r="L91" s="116">
        <v>461608</v>
      </c>
      <c r="M91" s="195">
        <v>6.0422960725075529E-3</v>
      </c>
      <c r="N91" s="195">
        <v>1.1204406819451198E-3</v>
      </c>
      <c r="O91" s="195">
        <v>1.4470427136816733E-2</v>
      </c>
      <c r="P91" s="195">
        <v>2.2578561000702047E-2</v>
      </c>
    </row>
    <row r="92" spans="1:16" ht="22.5" customHeight="1">
      <c r="A92" s="115">
        <v>92</v>
      </c>
      <c r="B92" s="115" t="s">
        <v>67</v>
      </c>
      <c r="C92" s="115" t="s">
        <v>14</v>
      </c>
      <c r="D92" s="115" t="s">
        <v>7</v>
      </c>
      <c r="E92" s="98" t="s">
        <v>57</v>
      </c>
      <c r="F92" s="115" t="s">
        <v>483</v>
      </c>
      <c r="G92" s="115">
        <v>0</v>
      </c>
      <c r="H92" s="115">
        <v>6</v>
      </c>
      <c r="I92" s="194">
        <v>6</v>
      </c>
      <c r="J92" s="116">
        <v>22872</v>
      </c>
      <c r="K92" s="116">
        <v>1269252</v>
      </c>
      <c r="L92" s="116">
        <v>47670</v>
      </c>
      <c r="M92" s="195">
        <v>4.5317220543806651E-3</v>
      </c>
      <c r="N92" s="195">
        <v>1.2292761201827017E-3</v>
      </c>
      <c r="O92" s="195">
        <v>3.9549305949334215E-2</v>
      </c>
      <c r="P92" s="195">
        <v>2.3316753672021858E-3</v>
      </c>
    </row>
    <row r="93" spans="1:16" ht="22.5" customHeight="1">
      <c r="A93" s="115">
        <v>93</v>
      </c>
      <c r="B93" s="115" t="s">
        <v>67</v>
      </c>
      <c r="C93" s="115" t="s">
        <v>14</v>
      </c>
      <c r="D93" s="115" t="s">
        <v>7</v>
      </c>
      <c r="E93" s="98" t="s">
        <v>82</v>
      </c>
      <c r="F93" s="115" t="s">
        <v>483</v>
      </c>
      <c r="G93" s="115">
        <v>0</v>
      </c>
      <c r="H93" s="115">
        <v>6</v>
      </c>
      <c r="I93" s="194">
        <v>6</v>
      </c>
      <c r="J93" s="116">
        <v>14707</v>
      </c>
      <c r="K93" s="116">
        <v>861191</v>
      </c>
      <c r="L93" s="116">
        <v>18417</v>
      </c>
      <c r="M93" s="195">
        <v>4.5317220543806651E-3</v>
      </c>
      <c r="N93" s="195">
        <v>7.9044088402968669E-4</v>
      </c>
      <c r="O93" s="195">
        <v>2.6834313705878018E-2</v>
      </c>
      <c r="P93" s="195">
        <v>9.0082788415696779E-4</v>
      </c>
    </row>
    <row r="94" spans="1:16" ht="22.5" customHeight="1">
      <c r="A94" s="115">
        <v>91</v>
      </c>
      <c r="B94" s="115" t="s">
        <v>67</v>
      </c>
      <c r="C94" s="115" t="s">
        <v>14</v>
      </c>
      <c r="D94" s="115" t="s">
        <v>7</v>
      </c>
      <c r="E94" s="98" t="s">
        <v>80</v>
      </c>
      <c r="F94" s="115" t="s">
        <v>483</v>
      </c>
      <c r="G94" s="115">
        <v>0</v>
      </c>
      <c r="H94" s="115">
        <v>6</v>
      </c>
      <c r="I94" s="194">
        <v>6</v>
      </c>
      <c r="J94" s="116">
        <v>42358</v>
      </c>
      <c r="K94" s="116">
        <v>822521</v>
      </c>
      <c r="L94" s="116">
        <v>38845</v>
      </c>
      <c r="M94" s="195">
        <v>4.5317220543806651E-3</v>
      </c>
      <c r="N94" s="195">
        <v>2.2765686384530813E-3</v>
      </c>
      <c r="O94" s="195">
        <v>2.562937437069418E-2</v>
      </c>
      <c r="P94" s="195">
        <v>1.9000195015516867E-3</v>
      </c>
    </row>
    <row r="95" spans="1:16" ht="22.5" customHeight="1">
      <c r="A95" s="115">
        <v>94</v>
      </c>
      <c r="B95" s="115" t="s">
        <v>67</v>
      </c>
      <c r="C95" s="115" t="s">
        <v>14</v>
      </c>
      <c r="D95" s="115" t="s">
        <v>667</v>
      </c>
      <c r="E95" s="98" t="s">
        <v>698</v>
      </c>
      <c r="F95" s="115" t="s">
        <v>476</v>
      </c>
      <c r="G95" s="115">
        <v>0</v>
      </c>
      <c r="H95" s="115">
        <v>5</v>
      </c>
      <c r="I95" s="194">
        <v>5</v>
      </c>
      <c r="J95" s="116">
        <v>22455</v>
      </c>
      <c r="K95" s="116">
        <v>292160</v>
      </c>
      <c r="L95" s="116">
        <v>9173</v>
      </c>
      <c r="M95" s="195">
        <v>1.8355359765051395E-3</v>
      </c>
      <c r="N95" s="195">
        <v>6.781622338020701E-4</v>
      </c>
      <c r="O95" s="195">
        <v>1.6085699958089967E-2</v>
      </c>
      <c r="P95" s="195">
        <v>7.1771495457262585E-4</v>
      </c>
    </row>
    <row r="96" spans="1:16" ht="22.5" customHeight="1">
      <c r="A96" s="115">
        <v>95</v>
      </c>
      <c r="B96" s="115" t="s">
        <v>11</v>
      </c>
      <c r="C96" s="115" t="s">
        <v>9</v>
      </c>
      <c r="D96" s="115" t="s">
        <v>667</v>
      </c>
      <c r="E96" s="98" t="s">
        <v>699</v>
      </c>
      <c r="F96" s="115" t="s">
        <v>476</v>
      </c>
      <c r="G96" s="115">
        <v>0</v>
      </c>
      <c r="H96" s="115">
        <v>5</v>
      </c>
      <c r="I96" s="194">
        <v>5</v>
      </c>
      <c r="J96" s="116">
        <v>84355</v>
      </c>
      <c r="K96" s="116">
        <v>262273</v>
      </c>
      <c r="L96" s="116">
        <v>368008</v>
      </c>
      <c r="M96" s="195">
        <v>1.8355359765051395E-3</v>
      </c>
      <c r="N96" s="195">
        <v>2.5476007674181084E-3</v>
      </c>
      <c r="O96" s="195">
        <v>1.4440186148371201E-2</v>
      </c>
      <c r="P96" s="195">
        <v>2.8793725608019505E-2</v>
      </c>
    </row>
    <row r="97" spans="1:16" ht="22.5" customHeight="1">
      <c r="A97" s="115">
        <v>96</v>
      </c>
      <c r="B97" s="115" t="s">
        <v>67</v>
      </c>
      <c r="C97" s="115" t="s">
        <v>14</v>
      </c>
      <c r="D97" s="115" t="s">
        <v>7</v>
      </c>
      <c r="E97" s="98" t="s">
        <v>111</v>
      </c>
      <c r="F97" s="115" t="s">
        <v>483</v>
      </c>
      <c r="G97" s="115">
        <v>0</v>
      </c>
      <c r="H97" s="115">
        <v>0</v>
      </c>
      <c r="I97" s="194">
        <v>0</v>
      </c>
      <c r="J97" s="116">
        <v>11365</v>
      </c>
      <c r="K97" s="116">
        <v>813451</v>
      </c>
      <c r="L97" s="116">
        <v>34914</v>
      </c>
      <c r="M97" s="195">
        <v>0</v>
      </c>
      <c r="N97" s="195">
        <v>6.1082210151610717E-4</v>
      </c>
      <c r="O97" s="195">
        <v>2.5346757360864405E-2</v>
      </c>
      <c r="P97" s="195">
        <v>1.707743104059096E-3</v>
      </c>
    </row>
    <row r="98" spans="1:16" ht="22.5" hidden="1" customHeight="1">
      <c r="A98" s="115"/>
      <c r="B98" s="115" t="e">
        <f>VLOOKUP(C98,Lists!I:J,2,FALSE)</f>
        <v>#N/A</v>
      </c>
      <c r="C98" s="115" t="e">
        <f>VLOOKUP(E98,Lists!D:E,2,FALSE)</f>
        <v>#N/A</v>
      </c>
      <c r="D98" s="115"/>
      <c r="E98" s="98"/>
      <c r="F98" s="115"/>
      <c r="G98" s="115"/>
      <c r="H98" s="115"/>
      <c r="I98" s="194">
        <f t="shared" ref="I98:I103" si="8">SUM(G98:H98)</f>
        <v>0</v>
      </c>
      <c r="J98" s="116"/>
      <c r="K98" s="116"/>
      <c r="L98" s="116"/>
      <c r="M98" s="195" t="e">
        <f>I98/(HLOOKUP(F98,Team_Composition_18[[#All],[Yellow]:[Red]],10,FALSE)+HLOOKUP(F98,Team_Composition_18[[#All],[Yellow]:[Red]],11,FALSE))</f>
        <v>#N/A</v>
      </c>
      <c r="N98" s="195" t="e">
        <f>J98/HLOOKUP(F98,Team_Composition_18[[#All],[Yellow]:[Red]],6,FALSE)</f>
        <v>#N/A</v>
      </c>
      <c r="O98" s="195" t="e">
        <f>K98/HLOOKUP(F98,Team_Composition_18[[#All],[Yellow]:[Red]],8,FALSE)</f>
        <v>#N/A</v>
      </c>
      <c r="P98" s="195" t="e">
        <f>L98/HLOOKUP(F98,Team_Composition_18[[#All],[Yellow]:[Red]],7,FALSE)</f>
        <v>#N/A</v>
      </c>
    </row>
    <row r="99" spans="1:16" ht="22.5" hidden="1" customHeight="1">
      <c r="A99" s="115"/>
      <c r="B99" s="115" t="e">
        <f>VLOOKUP(C99,Lists!I:J,2,FALSE)</f>
        <v>#N/A</v>
      </c>
      <c r="C99" s="115" t="e">
        <f>VLOOKUP(E99,Lists!D:E,2,FALSE)</f>
        <v>#N/A</v>
      </c>
      <c r="D99" s="115"/>
      <c r="E99" s="98"/>
      <c r="F99" s="115"/>
      <c r="G99" s="115"/>
      <c r="H99" s="115"/>
      <c r="I99" s="194">
        <f t="shared" si="8"/>
        <v>0</v>
      </c>
      <c r="J99" s="116"/>
      <c r="K99" s="116"/>
      <c r="L99" s="116"/>
      <c r="M99" s="195" t="e">
        <f>I99/(HLOOKUP(F99,Team_Composition_18[[#All],[Yellow]:[Red]],10,FALSE)+HLOOKUP(F99,Team_Composition_18[[#All],[Yellow]:[Red]],11,FALSE))</f>
        <v>#N/A</v>
      </c>
      <c r="N99" s="195" t="e">
        <f>J99/HLOOKUP(F99,Team_Composition_18[[#All],[Yellow]:[Red]],6,FALSE)</f>
        <v>#N/A</v>
      </c>
      <c r="O99" s="195" t="e">
        <f>K99/HLOOKUP(F99,Team_Composition_18[[#All],[Yellow]:[Red]],8,FALSE)</f>
        <v>#N/A</v>
      </c>
      <c r="P99" s="195" t="e">
        <f>L99/HLOOKUP(F99,Team_Composition_18[[#All],[Yellow]:[Red]],7,FALSE)</f>
        <v>#N/A</v>
      </c>
    </row>
    <row r="100" spans="1:16" ht="22.5" hidden="1" customHeight="1">
      <c r="A100" s="115"/>
      <c r="B100" s="115" t="e">
        <f>VLOOKUP(C100,Lists!I:J,2,FALSE)</f>
        <v>#N/A</v>
      </c>
      <c r="C100" s="115" t="e">
        <f>VLOOKUP(E100,Lists!D:E,2,FALSE)</f>
        <v>#N/A</v>
      </c>
      <c r="D100" s="115"/>
      <c r="E100" s="98"/>
      <c r="F100" s="115"/>
      <c r="G100" s="115"/>
      <c r="H100" s="115"/>
      <c r="I100" s="194">
        <f t="shared" si="8"/>
        <v>0</v>
      </c>
      <c r="J100" s="116"/>
      <c r="K100" s="116"/>
      <c r="L100" s="116"/>
      <c r="M100" s="195" t="e">
        <f>I100/(HLOOKUP(F100,Team_Composition_18[[#All],[Yellow]:[Red]],10,FALSE)+HLOOKUP(F100,Team_Composition_18[[#All],[Yellow]:[Red]],11,FALSE))</f>
        <v>#N/A</v>
      </c>
      <c r="N100" s="195" t="e">
        <f>J100/HLOOKUP(F100,Team_Composition_18[[#All],[Yellow]:[Red]],6,FALSE)</f>
        <v>#N/A</v>
      </c>
      <c r="O100" s="195" t="e">
        <f>K100/HLOOKUP(F100,Team_Composition_18[[#All],[Yellow]:[Red]],8,FALSE)</f>
        <v>#N/A</v>
      </c>
      <c r="P100" s="195" t="e">
        <f>L100/HLOOKUP(F100,Team_Composition_18[[#All],[Yellow]:[Red]],7,FALSE)</f>
        <v>#N/A</v>
      </c>
    </row>
    <row r="101" spans="1:16" ht="22.5" hidden="1" customHeight="1">
      <c r="A101" s="115"/>
      <c r="B101" s="115" t="e">
        <f>VLOOKUP(C101,Lists!I:J,2,FALSE)</f>
        <v>#N/A</v>
      </c>
      <c r="C101" s="115" t="e">
        <f>VLOOKUP(E101,Lists!D:E,2,FALSE)</f>
        <v>#N/A</v>
      </c>
      <c r="D101" s="115"/>
      <c r="E101" s="98"/>
      <c r="F101" s="115"/>
      <c r="G101" s="115"/>
      <c r="H101" s="115"/>
      <c r="I101" s="194">
        <f t="shared" si="8"/>
        <v>0</v>
      </c>
      <c r="J101" s="116"/>
      <c r="K101" s="116"/>
      <c r="L101" s="116"/>
      <c r="M101" s="195" t="e">
        <f>I101/(HLOOKUP(F101,Team_Composition_18[[#All],[Yellow]:[Red]],10,FALSE)+HLOOKUP(F101,Team_Composition_18[[#All],[Yellow]:[Red]],11,FALSE))</f>
        <v>#N/A</v>
      </c>
      <c r="N101" s="195" t="e">
        <f>J101/HLOOKUP(F101,Team_Composition_18[[#All],[Yellow]:[Red]],6,FALSE)</f>
        <v>#N/A</v>
      </c>
      <c r="O101" s="195" t="e">
        <f>K101/HLOOKUP(F101,Team_Composition_18[[#All],[Yellow]:[Red]],8,FALSE)</f>
        <v>#N/A</v>
      </c>
      <c r="P101" s="195" t="e">
        <f>L101/HLOOKUP(F101,Team_Composition_18[[#All],[Yellow]:[Red]],7,FALSE)</f>
        <v>#N/A</v>
      </c>
    </row>
    <row r="102" spans="1:16" ht="22.5" hidden="1" customHeight="1">
      <c r="A102" s="115"/>
      <c r="B102" s="115" t="e">
        <f>VLOOKUP(C102,Lists!I:J,2,FALSE)</f>
        <v>#N/A</v>
      </c>
      <c r="C102" s="115" t="e">
        <f>VLOOKUP(E102,Lists!D:E,2,FALSE)</f>
        <v>#N/A</v>
      </c>
      <c r="D102" s="115"/>
      <c r="E102" s="98"/>
      <c r="F102" s="115"/>
      <c r="G102" s="115"/>
      <c r="H102" s="115"/>
      <c r="I102" s="194">
        <f t="shared" si="8"/>
        <v>0</v>
      </c>
      <c r="J102" s="116"/>
      <c r="K102" s="116"/>
      <c r="L102" s="116"/>
      <c r="M102" s="195" t="e">
        <f>I102/(HLOOKUP(F102,Team_Composition_18[[#All],[Yellow]:[Red]],10,FALSE)+HLOOKUP(F102,Team_Composition_18[[#All],[Yellow]:[Red]],11,FALSE))</f>
        <v>#N/A</v>
      </c>
      <c r="N102" s="195" t="e">
        <f>J102/HLOOKUP(F102,Team_Composition_18[[#All],[Yellow]:[Red]],6,FALSE)</f>
        <v>#N/A</v>
      </c>
      <c r="O102" s="195" t="e">
        <f>K102/HLOOKUP(F102,Team_Composition_18[[#All],[Yellow]:[Red]],8,FALSE)</f>
        <v>#N/A</v>
      </c>
      <c r="P102" s="195" t="e">
        <f>L102/HLOOKUP(F102,Team_Composition_18[[#All],[Yellow]:[Red]],7,FALSE)</f>
        <v>#N/A</v>
      </c>
    </row>
    <row r="103" spans="1:16" ht="22.5" hidden="1" customHeight="1">
      <c r="A103" s="115"/>
      <c r="B103" s="115" t="e">
        <f>VLOOKUP(C103,Lists!I:J,2,FALSE)</f>
        <v>#N/A</v>
      </c>
      <c r="C103" s="115" t="e">
        <f>VLOOKUP(E103,Lists!D:E,2,FALSE)</f>
        <v>#N/A</v>
      </c>
      <c r="D103" s="115"/>
      <c r="E103" s="98"/>
      <c r="F103" s="115"/>
      <c r="G103" s="115"/>
      <c r="H103" s="115"/>
      <c r="I103" s="194">
        <f t="shared" si="8"/>
        <v>0</v>
      </c>
      <c r="J103" s="116"/>
      <c r="K103" s="116"/>
      <c r="L103" s="116"/>
      <c r="M103" s="195" t="e">
        <f>I103/(HLOOKUP(F103,Team_Composition_18[[#All],[Yellow]:[Red]],10,FALSE)+HLOOKUP(F103,Team_Composition_18[[#All],[Yellow]:[Red]],11,FALSE))</f>
        <v>#N/A</v>
      </c>
      <c r="N103" s="195" t="e">
        <f>J103/HLOOKUP(F103,Team_Composition_18[[#All],[Yellow]:[Red]],6,FALSE)</f>
        <v>#N/A</v>
      </c>
      <c r="O103" s="195" t="e">
        <f>K103/HLOOKUP(F103,Team_Composition_18[[#All],[Yellow]:[Red]],8,FALSE)</f>
        <v>#N/A</v>
      </c>
      <c r="P103" s="195" t="e">
        <f>L103/HLOOKUP(F103,Team_Composition_18[[#All],[Yellow]:[Red]],7,FALSE)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A00-000000000000}">
      <formula1>#REF!</formula1>
    </dataValidation>
    <dataValidation type="list" allowBlank="1" sqref="F2:F103" xr:uid="{00000000-0002-0000-1A00-000002000000}">
      <formula1>"Yellow,Red"</formula1>
    </dataValidation>
    <dataValidation type="custom" allowBlank="1" showDropDown="1" sqref="S4:T13 S17:T25 S30:T46 S51:T60 S65:T72 A2:A103 G2:L103" xr:uid="{00000000-0002-0000-1A00-000003000000}">
      <formula1>AND(ISNUMBER(A2),(NOT(OR(NOT(ISERROR(DATEVALUE(A2))), AND(ISNUMBER(A2), LEFT(CELL("format", A2))="D")))))</formula1>
    </dataValidation>
    <dataValidation allowBlank="1" showDropDown="1" sqref="E2:E103" xr:uid="{00000000-0002-0000-1A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2</v>
      </c>
      <c r="B2" s="115" t="s">
        <v>39</v>
      </c>
      <c r="C2" s="115" t="s">
        <v>58</v>
      </c>
      <c r="D2" s="115" t="s">
        <v>7</v>
      </c>
      <c r="E2" s="98" t="s">
        <v>107</v>
      </c>
      <c r="F2" s="115" t="s">
        <v>476</v>
      </c>
      <c r="G2" s="115">
        <v>47</v>
      </c>
      <c r="H2" s="115">
        <v>92</v>
      </c>
      <c r="I2" s="194">
        <v>139</v>
      </c>
      <c r="J2" s="116">
        <v>3169048</v>
      </c>
      <c r="K2" s="116">
        <v>666095</v>
      </c>
      <c r="L2" s="116">
        <v>0</v>
      </c>
      <c r="M2" s="195">
        <v>5.3980582524271847E-2</v>
      </c>
      <c r="N2" s="195">
        <v>0.10294400785130264</v>
      </c>
      <c r="O2" s="195">
        <v>2.5578940520855808E-2</v>
      </c>
      <c r="P2" s="195">
        <v>0</v>
      </c>
      <c r="R2" s="232" t="s">
        <v>477</v>
      </c>
      <c r="S2" s="228"/>
      <c r="T2" s="228"/>
      <c r="V2" s="233" t="s">
        <v>478</v>
      </c>
      <c r="W2" s="228"/>
      <c r="X2" s="196"/>
      <c r="Y2" s="233" t="s">
        <v>479</v>
      </c>
      <c r="Z2" s="228"/>
    </row>
    <row r="3" spans="1:26" ht="22.5" customHeight="1">
      <c r="A3" s="115">
        <v>5</v>
      </c>
      <c r="B3" s="115" t="s">
        <v>25</v>
      </c>
      <c r="C3" s="115" t="s">
        <v>23</v>
      </c>
      <c r="D3" s="115" t="s">
        <v>7</v>
      </c>
      <c r="E3" s="98" t="s">
        <v>22</v>
      </c>
      <c r="F3" s="115" t="s">
        <v>476</v>
      </c>
      <c r="G3" s="115">
        <v>40</v>
      </c>
      <c r="H3" s="115">
        <v>91</v>
      </c>
      <c r="I3" s="194">
        <v>131</v>
      </c>
      <c r="J3" s="116">
        <v>1762368</v>
      </c>
      <c r="K3" s="116">
        <v>734040</v>
      </c>
      <c r="L3" s="116">
        <v>12380</v>
      </c>
      <c r="M3" s="195">
        <v>5.0873786407766991E-2</v>
      </c>
      <c r="N3" s="195">
        <v>5.7249125046034181E-2</v>
      </c>
      <c r="O3" s="195">
        <v>2.8188119562418269E-2</v>
      </c>
      <c r="P3" s="195">
        <v>7.0926577242651971E-4</v>
      </c>
      <c r="R3" s="197" t="s">
        <v>482</v>
      </c>
      <c r="S3" s="198" t="s">
        <v>476</v>
      </c>
      <c r="T3" s="198" t="s">
        <v>483</v>
      </c>
      <c r="V3" s="199" t="s">
        <v>1</v>
      </c>
      <c r="W3" s="200" t="s">
        <v>467</v>
      </c>
      <c r="Y3" s="199" t="s">
        <v>1</v>
      </c>
      <c r="Z3" s="200" t="s">
        <v>484</v>
      </c>
    </row>
    <row r="4" spans="1:26" ht="22.5" customHeight="1">
      <c r="A4" s="115">
        <v>1</v>
      </c>
      <c r="B4" s="115" t="s">
        <v>39</v>
      </c>
      <c r="C4" s="115" t="s">
        <v>38</v>
      </c>
      <c r="D4" s="115" t="s">
        <v>667</v>
      </c>
      <c r="E4" s="98" t="s">
        <v>670</v>
      </c>
      <c r="F4" s="115" t="s">
        <v>483</v>
      </c>
      <c r="G4" s="115">
        <v>60</v>
      </c>
      <c r="H4" s="115">
        <v>68</v>
      </c>
      <c r="I4" s="194">
        <v>128</v>
      </c>
      <c r="J4" s="116">
        <v>4061992</v>
      </c>
      <c r="K4" s="116">
        <v>868445</v>
      </c>
      <c r="L4" s="116">
        <v>14227</v>
      </c>
      <c r="M4" s="195">
        <v>7.1789119461581605E-2</v>
      </c>
      <c r="N4" s="195">
        <v>0.15447816814544371</v>
      </c>
      <c r="O4" s="195">
        <v>2.8216091702614816E-2</v>
      </c>
      <c r="P4" s="195">
        <v>7.2143592675866046E-4</v>
      </c>
      <c r="R4" s="201" t="s">
        <v>25</v>
      </c>
      <c r="S4" s="202">
        <f>COUNTIFS(Scoreboard_19[Role],R4,Scoreboard_19[Team],"Yellow")</f>
        <v>8</v>
      </c>
      <c r="T4" s="203">
        <f>COUNTIFS(Scoreboard_19[Role],R4,Scoreboard_19[Team],"Red")</f>
        <v>6</v>
      </c>
      <c r="V4" s="204" t="str">
        <f ca="1">IFERROR(__xludf.DUMMYFUNCTION("query(A1:P239, ""Select E,I where B!='Healer' Order by I Desc Limit 10"", 0)"),"TanksVicious")</f>
        <v>TanksVicious</v>
      </c>
      <c r="W4" s="116">
        <f ca="1">IFERROR(__xludf.DUMMYFUNCTION("""COMPUTED_VALUE"""),139)</f>
        <v>139</v>
      </c>
      <c r="Y4" s="204" t="str">
        <f ca="1">IFERROR(__xludf.DUMMYFUNCTION("query(A1:P239, ""Select E,J Order by J Desc Limit 10"", 0)"),"TechnoDroid")</f>
        <v>TechnoDroid</v>
      </c>
      <c r="Z4" s="116">
        <f ca="1">IFERROR(__xludf.DUMMYFUNCTION("""COMPUTED_VALUE"""),4061992)</f>
        <v>4061992</v>
      </c>
    </row>
    <row r="5" spans="1:26" ht="22.5" customHeight="1">
      <c r="A5" s="115">
        <v>8</v>
      </c>
      <c r="B5" s="115" t="s">
        <v>25</v>
      </c>
      <c r="C5" s="115" t="s">
        <v>23</v>
      </c>
      <c r="D5" s="115" t="s">
        <v>7</v>
      </c>
      <c r="E5" s="98" t="s">
        <v>27</v>
      </c>
      <c r="F5" s="115" t="s">
        <v>476</v>
      </c>
      <c r="G5" s="115">
        <v>36</v>
      </c>
      <c r="H5" s="115">
        <v>87</v>
      </c>
      <c r="I5" s="194">
        <v>123</v>
      </c>
      <c r="J5" s="116">
        <v>2238053</v>
      </c>
      <c r="K5" s="116">
        <v>723585</v>
      </c>
      <c r="L5" s="116">
        <v>12514</v>
      </c>
      <c r="M5" s="195">
        <v>4.7766990291262135E-2</v>
      </c>
      <c r="N5" s="195">
        <v>7.2701374546435216E-2</v>
      </c>
      <c r="O5" s="195">
        <v>2.7786633553447255E-2</v>
      </c>
      <c r="P5" s="195">
        <v>7.169428009810555E-4</v>
      </c>
      <c r="R5" s="201" t="s">
        <v>39</v>
      </c>
      <c r="S5" s="202">
        <f>COUNTIFS(Scoreboard_19[Role],R5,Scoreboard_19[Team],"Yellow")</f>
        <v>7</v>
      </c>
      <c r="T5" s="203">
        <f>COUNTIFS(Scoreboard_19[Role],R5,Scoreboard_19[Team],"Red")</f>
        <v>9</v>
      </c>
      <c r="V5" s="204" t="str">
        <f ca="1">IFERROR(__xludf.DUMMYFUNCTION("""COMPUTED_VALUE"""),"Baozer")</f>
        <v>Baozer</v>
      </c>
      <c r="W5" s="116">
        <f ca="1">IFERROR(__xludf.DUMMYFUNCTION("""COMPUTED_VALUE"""),131)</f>
        <v>131</v>
      </c>
      <c r="Y5" s="204" t="str">
        <f ca="1">IFERROR(__xludf.DUMMYFUNCTION("""COMPUTED_VALUE"""),"TanksVicious")</f>
        <v>TanksVicious</v>
      </c>
      <c r="Z5" s="116">
        <f ca="1">IFERROR(__xludf.DUMMYFUNCTION("""COMPUTED_VALUE"""),3169048)</f>
        <v>3169048</v>
      </c>
    </row>
    <row r="6" spans="1:26" ht="22.5" customHeight="1">
      <c r="A6" s="115">
        <v>6</v>
      </c>
      <c r="B6" s="115" t="s">
        <v>39</v>
      </c>
      <c r="C6" s="115" t="s">
        <v>58</v>
      </c>
      <c r="D6" s="115" t="s">
        <v>7</v>
      </c>
      <c r="E6" s="98" t="s">
        <v>116</v>
      </c>
      <c r="F6" s="115" t="s">
        <v>476</v>
      </c>
      <c r="G6" s="115">
        <v>38</v>
      </c>
      <c r="H6" s="115">
        <v>78</v>
      </c>
      <c r="I6" s="194">
        <v>116</v>
      </c>
      <c r="J6" s="116">
        <v>2727429</v>
      </c>
      <c r="K6" s="116">
        <v>438511</v>
      </c>
      <c r="L6" s="116">
        <v>8220</v>
      </c>
      <c r="M6" s="195">
        <v>4.5048543689320389E-2</v>
      </c>
      <c r="N6" s="195">
        <v>8.8598365310298396E-2</v>
      </c>
      <c r="O6" s="195">
        <v>1.6839409974164346E-2</v>
      </c>
      <c r="P6" s="195">
        <v>4.7093413968869074E-4</v>
      </c>
      <c r="R6" s="201" t="s">
        <v>67</v>
      </c>
      <c r="S6" s="202">
        <f>COUNTIFS(Scoreboard_19[Role],R6,Scoreboard_19[Team],"Yellow")</f>
        <v>14</v>
      </c>
      <c r="T6" s="203">
        <f>COUNTIFS(Scoreboard_19[Role],R6,Scoreboard_19[Team],"Red")</f>
        <v>14</v>
      </c>
      <c r="V6" s="204" t="str">
        <f ca="1">IFERROR(__xludf.DUMMYFUNCTION("""COMPUTED_VALUE"""),"TechnoDroid")</f>
        <v>TechnoDroid</v>
      </c>
      <c r="W6" s="116">
        <f ca="1">IFERROR(__xludf.DUMMYFUNCTION("""COMPUTED_VALUE"""),128)</f>
        <v>128</v>
      </c>
      <c r="Y6" s="204" t="str">
        <f ca="1">IFERROR(__xludf.DUMMYFUNCTION("""COMPUTED_VALUE"""),"Justin")</f>
        <v>Justin</v>
      </c>
      <c r="Z6" s="116">
        <f ca="1">IFERROR(__xludf.DUMMYFUNCTION("""COMPUTED_VALUE"""),2899799)</f>
        <v>2899799</v>
      </c>
    </row>
    <row r="7" spans="1:26" ht="22.5" customHeight="1">
      <c r="A7" s="115">
        <v>17</v>
      </c>
      <c r="B7" s="115" t="s">
        <v>39</v>
      </c>
      <c r="C7" s="115" t="s">
        <v>50</v>
      </c>
      <c r="D7" s="115" t="s">
        <v>667</v>
      </c>
      <c r="E7" s="98" t="s">
        <v>700</v>
      </c>
      <c r="F7" s="115" t="s">
        <v>483</v>
      </c>
      <c r="G7" s="115">
        <v>22</v>
      </c>
      <c r="H7" s="115">
        <v>89</v>
      </c>
      <c r="I7" s="194">
        <v>111</v>
      </c>
      <c r="J7" s="116">
        <v>2899799</v>
      </c>
      <c r="K7" s="116">
        <v>597662</v>
      </c>
      <c r="L7" s="116">
        <v>6318</v>
      </c>
      <c r="M7" s="195">
        <v>6.2254627033090294E-2</v>
      </c>
      <c r="N7" s="195">
        <v>0.11027979314336157</v>
      </c>
      <c r="O7" s="195">
        <v>1.9418254235061719E-2</v>
      </c>
      <c r="P7" s="195">
        <v>3.2037901070227151E-4</v>
      </c>
      <c r="R7" s="201" t="s">
        <v>11</v>
      </c>
      <c r="S7" s="202">
        <f>COUNTIFS(Scoreboard_19[Role],R7,Scoreboard_19[Team],"Yellow")</f>
        <v>19</v>
      </c>
      <c r="T7" s="203">
        <f>COUNTIFS(Scoreboard_19[Role],R7,Scoreboard_19[Team],"Red")</f>
        <v>19</v>
      </c>
      <c r="V7" s="204" t="str">
        <f ca="1">IFERROR(__xludf.DUMMYFUNCTION("""COMPUTED_VALUE"""),"Blee")</f>
        <v>Blee</v>
      </c>
      <c r="W7" s="116">
        <f ca="1">IFERROR(__xludf.DUMMYFUNCTION("""COMPUTED_VALUE"""),123)</f>
        <v>123</v>
      </c>
      <c r="Y7" s="204" t="str">
        <f ca="1">IFERROR(__xludf.DUMMYFUNCTION("""COMPUTED_VALUE"""),"Gods")</f>
        <v>Gods</v>
      </c>
      <c r="Z7" s="116">
        <f ca="1">IFERROR(__xludf.DUMMYFUNCTION("""COMPUTED_VALUE"""),2727717)</f>
        <v>2727717</v>
      </c>
    </row>
    <row r="8" spans="1:26" ht="22.5" customHeight="1">
      <c r="A8" s="115">
        <v>11</v>
      </c>
      <c r="B8" s="115" t="s">
        <v>25</v>
      </c>
      <c r="C8" s="115" t="s">
        <v>23</v>
      </c>
      <c r="D8" s="115" t="s">
        <v>7</v>
      </c>
      <c r="E8" s="98" t="s">
        <v>47</v>
      </c>
      <c r="F8" s="115" t="s">
        <v>476</v>
      </c>
      <c r="G8" s="115">
        <v>29</v>
      </c>
      <c r="H8" s="115">
        <v>75</v>
      </c>
      <c r="I8" s="194">
        <v>104</v>
      </c>
      <c r="J8" s="116">
        <v>1704489</v>
      </c>
      <c r="K8" s="116">
        <v>871999</v>
      </c>
      <c r="L8" s="116">
        <v>30384</v>
      </c>
      <c r="M8" s="195">
        <v>4.0388349514563104E-2</v>
      </c>
      <c r="N8" s="195">
        <v>5.5368971690696697E-2</v>
      </c>
      <c r="O8" s="195">
        <v>3.3485930017858927E-2</v>
      </c>
      <c r="P8" s="195">
        <v>1.7407375791120656E-3</v>
      </c>
      <c r="R8" s="201" t="s">
        <v>468</v>
      </c>
      <c r="S8" s="202">
        <f>SUMIFS(Scoreboard_19[Damage Dealt],Scoreboard_19[Team],"Yellow")</f>
        <v>30784191</v>
      </c>
      <c r="T8" s="203">
        <f>SUMIFS(Scoreboard_19[Damage Dealt],Scoreboard_19[Team],"Red")</f>
        <v>26294926</v>
      </c>
      <c r="V8" s="204" t="str">
        <f ca="1">IFERROR(__xludf.DUMMYFUNCTION("""COMPUTED_VALUE"""),"愛RosesAreRosie")</f>
        <v>愛RosesAreRosie</v>
      </c>
      <c r="W8" s="116">
        <f ca="1">IFERROR(__xludf.DUMMYFUNCTION("""COMPUTED_VALUE"""),116)</f>
        <v>116</v>
      </c>
      <c r="Y8" s="204" t="str">
        <f ca="1">IFERROR(__xludf.DUMMYFUNCTION("""COMPUTED_VALUE"""),"愛RosesAreRosie")</f>
        <v>愛RosesAreRosie</v>
      </c>
      <c r="Z8" s="116">
        <f ca="1">IFERROR(__xludf.DUMMYFUNCTION("""COMPUTED_VALUE"""),2727429)</f>
        <v>2727429</v>
      </c>
    </row>
    <row r="9" spans="1:26" ht="22.5" customHeight="1">
      <c r="A9" s="115">
        <v>16</v>
      </c>
      <c r="B9" s="115" t="s">
        <v>39</v>
      </c>
      <c r="C9" s="115" t="s">
        <v>58</v>
      </c>
      <c r="D9" s="115" t="s">
        <v>7</v>
      </c>
      <c r="E9" s="98" t="s">
        <v>112</v>
      </c>
      <c r="F9" s="115" t="s">
        <v>476</v>
      </c>
      <c r="G9" s="115">
        <v>24</v>
      </c>
      <c r="H9" s="115">
        <v>78</v>
      </c>
      <c r="I9" s="194">
        <v>102</v>
      </c>
      <c r="J9" s="116">
        <v>2279347</v>
      </c>
      <c r="K9" s="116">
        <v>730287</v>
      </c>
      <c r="L9" s="116">
        <v>0</v>
      </c>
      <c r="M9" s="195">
        <v>3.961165048543689E-2</v>
      </c>
      <c r="N9" s="195">
        <v>7.4042777346333383E-2</v>
      </c>
      <c r="O9" s="195">
        <v>2.804399933365995E-2</v>
      </c>
      <c r="P9" s="195">
        <v>0</v>
      </c>
      <c r="R9" s="201" t="s">
        <v>470</v>
      </c>
      <c r="S9" s="202">
        <f>SUMIFS(Scoreboard_19[Amount Healed],Scoreboard_19[Team],"Yellow")</f>
        <v>17454670</v>
      </c>
      <c r="T9" s="203">
        <f>SUMIFS(Scoreboard_19[Amount Healed],Scoreboard_19[Team],"Red")</f>
        <v>19720393</v>
      </c>
      <c r="V9" s="204" t="str">
        <f ca="1">IFERROR(__xludf.DUMMYFUNCTION("""COMPUTED_VALUE"""),"Justin")</f>
        <v>Justin</v>
      </c>
      <c r="W9" s="116">
        <f ca="1">IFERROR(__xludf.DUMMYFUNCTION("""COMPUTED_VALUE"""),111)</f>
        <v>111</v>
      </c>
      <c r="Y9" s="204" t="str">
        <f ca="1">IFERROR(__xludf.DUMMYFUNCTION("""COMPUTED_VALUE"""),"Zahli")</f>
        <v>Zahli</v>
      </c>
      <c r="Z9" s="116">
        <f ca="1">IFERROR(__xludf.DUMMYFUNCTION("""COMPUTED_VALUE"""),2628909)</f>
        <v>2628909</v>
      </c>
    </row>
    <row r="10" spans="1:26" ht="22.5" customHeight="1">
      <c r="A10" s="115">
        <v>18</v>
      </c>
      <c r="B10" s="115" t="s">
        <v>25</v>
      </c>
      <c r="C10" s="115" t="s">
        <v>24</v>
      </c>
      <c r="D10" s="115" t="s">
        <v>7</v>
      </c>
      <c r="E10" s="98" t="s">
        <v>104</v>
      </c>
      <c r="F10" s="115" t="s">
        <v>476</v>
      </c>
      <c r="G10" s="115">
        <v>21</v>
      </c>
      <c r="H10" s="115">
        <v>78</v>
      </c>
      <c r="I10" s="194">
        <v>99</v>
      </c>
      <c r="J10" s="116">
        <v>1415794</v>
      </c>
      <c r="K10" s="116">
        <v>830665</v>
      </c>
      <c r="L10" s="116">
        <v>14960</v>
      </c>
      <c r="M10" s="195">
        <v>3.8446601941747573E-2</v>
      </c>
      <c r="N10" s="195">
        <v>4.5990943858164081E-2</v>
      </c>
      <c r="O10" s="195">
        <v>3.1898649033180987E-2</v>
      </c>
      <c r="P10" s="195">
        <v>8.5707721773026929E-4</v>
      </c>
      <c r="R10" s="201" t="s">
        <v>469</v>
      </c>
      <c r="S10" s="202">
        <f>SUMIFS(Scoreboard_19[Damage Taken],Scoreboard_19[Team],"Yellow")</f>
        <v>26040758</v>
      </c>
      <c r="T10" s="203">
        <f>SUMIFS(Scoreboard_19[Damage Taken],Scoreboard_19[Team],"Red")</f>
        <v>30778359</v>
      </c>
      <c r="V10" s="204" t="str">
        <f ca="1">IFERROR(__xludf.DUMMYFUNCTION("""COMPUTED_VALUE"""),"Fadeふち")</f>
        <v>Fadeふち</v>
      </c>
      <c r="W10" s="116">
        <f ca="1">IFERROR(__xludf.DUMMYFUNCTION("""COMPUTED_VALUE"""),104)</f>
        <v>104</v>
      </c>
      <c r="Y10" s="204" t="str">
        <f ca="1">IFERROR(__xludf.DUMMYFUNCTION("""COMPUTED_VALUE"""),"Spot·")</f>
        <v>Spot·</v>
      </c>
      <c r="Z10" s="116">
        <f ca="1">IFERROR(__xludf.DUMMYFUNCTION("""COMPUTED_VALUE"""),2578758)</f>
        <v>2578758</v>
      </c>
    </row>
    <row r="11" spans="1:26" ht="22.5" customHeight="1">
      <c r="A11" s="115">
        <v>19</v>
      </c>
      <c r="B11" s="115" t="s">
        <v>39</v>
      </c>
      <c r="C11" s="115" t="s">
        <v>58</v>
      </c>
      <c r="D11" s="115" t="s">
        <v>7</v>
      </c>
      <c r="E11" s="98" t="s">
        <v>76</v>
      </c>
      <c r="F11" s="115" t="s">
        <v>476</v>
      </c>
      <c r="G11" s="115">
        <v>20</v>
      </c>
      <c r="H11" s="115">
        <v>73</v>
      </c>
      <c r="I11" s="194">
        <v>93</v>
      </c>
      <c r="J11" s="116">
        <v>2004685</v>
      </c>
      <c r="K11" s="116">
        <v>606874</v>
      </c>
      <c r="L11" s="116">
        <v>12195</v>
      </c>
      <c r="M11" s="195">
        <v>3.611650485436893E-2</v>
      </c>
      <c r="N11" s="195">
        <v>6.5120600375692839E-2</v>
      </c>
      <c r="O11" s="195">
        <v>2.3304774768845054E-2</v>
      </c>
      <c r="P11" s="195">
        <v>6.9866688972063063E-4</v>
      </c>
      <c r="R11" s="201" t="s">
        <v>495</v>
      </c>
      <c r="S11" s="202">
        <f ca="1">IFERROR(DIVIDE(SUMIFS(Scoreboard_19[Amount Healed],Scoreboard_19[Team],"Yellow"), SUMIFS(Scoreboard_19[Damage Taken],Scoreboard_19[Team],"Yellow"))*(100),0)</f>
        <v>0</v>
      </c>
      <c r="T11" s="203">
        <f ca="1">IFERROR(DIVIDE(SUMIFS(Scoreboard_19[Amount Healed],Scoreboard_19[Team],"Red"), SUMIFS(Scoreboard_19[Damage Taken],Scoreboard_19[Team],"Red"))*(100),0)</f>
        <v>0</v>
      </c>
      <c r="V11" s="204" t="str">
        <f ca="1">IFERROR(__xludf.DUMMYFUNCTION("""COMPUTED_VALUE"""),"TOKUL")</f>
        <v>TOKUL</v>
      </c>
      <c r="W11" s="116">
        <f ca="1">IFERROR(__xludf.DUMMYFUNCTION("""COMPUTED_VALUE"""),102)</f>
        <v>102</v>
      </c>
      <c r="Y11" s="204" t="str">
        <f ca="1">IFERROR(__xludf.DUMMYFUNCTION("""COMPUTED_VALUE"""),"TOKUL")</f>
        <v>TOKUL</v>
      </c>
      <c r="Z11" s="116">
        <f ca="1">IFERROR(__xludf.DUMMYFUNCTION("""COMPUTED_VALUE"""),2279347)</f>
        <v>2279347</v>
      </c>
    </row>
    <row r="12" spans="1:26" ht="22.5" customHeight="1">
      <c r="A12" s="115">
        <v>51</v>
      </c>
      <c r="B12" s="115" t="s">
        <v>11</v>
      </c>
      <c r="C12" s="115" t="s">
        <v>9</v>
      </c>
      <c r="D12" s="115" t="s">
        <v>7</v>
      </c>
      <c r="E12" s="98" t="s">
        <v>87</v>
      </c>
      <c r="F12" s="115" t="s">
        <v>476</v>
      </c>
      <c r="G12" s="115">
        <v>0</v>
      </c>
      <c r="H12" s="115">
        <v>92</v>
      </c>
      <c r="I12" s="194">
        <v>92</v>
      </c>
      <c r="J12" s="116">
        <v>55894</v>
      </c>
      <c r="K12" s="116">
        <v>253055</v>
      </c>
      <c r="L12" s="116">
        <v>586528</v>
      </c>
      <c r="M12" s="195">
        <v>3.5728155339805827E-2</v>
      </c>
      <c r="N12" s="195">
        <v>1.8156722065556311E-3</v>
      </c>
      <c r="O12" s="195">
        <v>9.7176510760554665E-3</v>
      </c>
      <c r="P12" s="195">
        <v>3.3602926895782044E-2</v>
      </c>
      <c r="R12" s="201" t="s">
        <v>465</v>
      </c>
      <c r="S12" s="202">
        <f>SUMIFS(Scoreboard_19[Kills],Scoreboard_19[Team],"Yellow")</f>
        <v>471</v>
      </c>
      <c r="T12" s="203">
        <f>SUMIFS(Scoreboard_19[Kills],Scoreboard_19[Team],"Red")</f>
        <v>334</v>
      </c>
      <c r="V12" s="204" t="str">
        <f ca="1">IFERROR(__xludf.DUMMYFUNCTION("""COMPUTED_VALUE"""),"Superluigi")</f>
        <v>Superluigi</v>
      </c>
      <c r="W12" s="116">
        <f ca="1">IFERROR(__xludf.DUMMYFUNCTION("""COMPUTED_VALUE"""),99)</f>
        <v>99</v>
      </c>
      <c r="Y12" s="204" t="str">
        <f ca="1">IFERROR(__xludf.DUMMYFUNCTION("""COMPUTED_VALUE"""),"Blee")</f>
        <v>Blee</v>
      </c>
      <c r="Z12" s="116">
        <f ca="1">IFERROR(__xludf.DUMMYFUNCTION("""COMPUTED_VALUE"""),2238053)</f>
        <v>2238053</v>
      </c>
    </row>
    <row r="13" spans="1:26" ht="22.5" customHeight="1">
      <c r="A13" s="115">
        <v>9</v>
      </c>
      <c r="B13" s="115" t="s">
        <v>39</v>
      </c>
      <c r="C13" s="115" t="s">
        <v>58</v>
      </c>
      <c r="D13" s="115" t="s">
        <v>667</v>
      </c>
      <c r="E13" s="98" t="s">
        <v>701</v>
      </c>
      <c r="F13" s="115" t="s">
        <v>483</v>
      </c>
      <c r="G13" s="115">
        <v>34</v>
      </c>
      <c r="H13" s="115">
        <v>58</v>
      </c>
      <c r="I13" s="194">
        <v>92</v>
      </c>
      <c r="J13" s="116">
        <v>2727717</v>
      </c>
      <c r="K13" s="116">
        <v>673406</v>
      </c>
      <c r="L13" s="116">
        <v>8295</v>
      </c>
      <c r="M13" s="195">
        <v>5.1598429613011774E-2</v>
      </c>
      <c r="N13" s="195">
        <v>0.10373548874029917</v>
      </c>
      <c r="O13" s="195">
        <v>2.1879204151202473E-2</v>
      </c>
      <c r="P13" s="195">
        <v>4.2063056248422637E-4</v>
      </c>
      <c r="R13" s="201" t="s">
        <v>466</v>
      </c>
      <c r="S13" s="202">
        <f>SUMIFS(Scoreboard_19[Assists],Scoreboard_19[Team],"Yellow")</f>
        <v>2104</v>
      </c>
      <c r="T13" s="203">
        <f>SUMIFS(Scoreboard_19[Assists],Scoreboard_19[Team],"Red")</f>
        <v>1449</v>
      </c>
      <c r="V13" s="204" t="str">
        <f ca="1">IFERROR(__xludf.DUMMYFUNCTION("""COMPUTED_VALUE"""),"Kiefblunt")</f>
        <v>Kiefblunt</v>
      </c>
      <c r="W13" s="116">
        <f ca="1">IFERROR(__xludf.DUMMYFUNCTION("""COMPUTED_VALUE"""),93)</f>
        <v>93</v>
      </c>
      <c r="Y13" s="204" t="str">
        <f ca="1">IFERROR(__xludf.DUMMYFUNCTION("""COMPUTED_VALUE"""),"Kiefblunt")</f>
        <v>Kiefblunt</v>
      </c>
      <c r="Z13" s="116">
        <f ca="1">IFERROR(__xludf.DUMMYFUNCTION("""COMPUTED_VALUE"""),2004685)</f>
        <v>2004685</v>
      </c>
    </row>
    <row r="14" spans="1:26" ht="22.5" customHeight="1">
      <c r="A14" s="115">
        <v>3</v>
      </c>
      <c r="B14" s="115" t="s">
        <v>39</v>
      </c>
      <c r="C14" s="115" t="s">
        <v>38</v>
      </c>
      <c r="D14" s="115" t="s">
        <v>667</v>
      </c>
      <c r="E14" s="98" t="s">
        <v>673</v>
      </c>
      <c r="F14" s="115" t="s">
        <v>483</v>
      </c>
      <c r="G14" s="115">
        <v>41</v>
      </c>
      <c r="H14" s="115">
        <v>50</v>
      </c>
      <c r="I14" s="194">
        <v>91</v>
      </c>
      <c r="J14" s="116">
        <v>2628909</v>
      </c>
      <c r="K14" s="116">
        <v>724157</v>
      </c>
      <c r="L14" s="116">
        <v>1108</v>
      </c>
      <c r="M14" s="195">
        <v>5.1037577117218173E-2</v>
      </c>
      <c r="N14" s="195">
        <v>9.9977805604016534E-2</v>
      </c>
      <c r="O14" s="195">
        <v>2.3528122470726914E-2</v>
      </c>
      <c r="P14" s="195">
        <v>5.6185492855035902E-5</v>
      </c>
    </row>
    <row r="15" spans="1:26" ht="22.5" customHeight="1">
      <c r="A15" s="115">
        <v>4</v>
      </c>
      <c r="B15" s="115" t="s">
        <v>39</v>
      </c>
      <c r="C15" s="115" t="s">
        <v>54</v>
      </c>
      <c r="D15" s="115" t="s">
        <v>7</v>
      </c>
      <c r="E15" s="98" t="s">
        <v>103</v>
      </c>
      <c r="F15" s="115" t="s">
        <v>476</v>
      </c>
      <c r="G15" s="115">
        <v>41</v>
      </c>
      <c r="H15" s="115">
        <v>49</v>
      </c>
      <c r="I15" s="194">
        <v>90</v>
      </c>
      <c r="J15" s="116">
        <v>2578758</v>
      </c>
      <c r="K15" s="116">
        <v>407191</v>
      </c>
      <c r="L15" s="116">
        <v>7392</v>
      </c>
      <c r="M15" s="195">
        <v>3.4951456310679613E-2</v>
      </c>
      <c r="N15" s="195">
        <v>8.3768905929670207E-2</v>
      </c>
      <c r="O15" s="195">
        <v>1.5636680007548167E-2</v>
      </c>
      <c r="P15" s="195">
        <v>4.2349697817260367E-4</v>
      </c>
      <c r="R15" s="232" t="s">
        <v>25</v>
      </c>
      <c r="S15" s="228"/>
      <c r="T15" s="228"/>
      <c r="V15" s="233" t="s">
        <v>496</v>
      </c>
      <c r="W15" s="228"/>
      <c r="Y15" s="233" t="s">
        <v>497</v>
      </c>
      <c r="Z15" s="228"/>
    </row>
    <row r="16" spans="1:26" ht="22.5" customHeight="1">
      <c r="A16" s="115">
        <v>10</v>
      </c>
      <c r="B16" s="115" t="s">
        <v>25</v>
      </c>
      <c r="C16" s="115" t="s">
        <v>23</v>
      </c>
      <c r="D16" s="115" t="s">
        <v>7</v>
      </c>
      <c r="E16" s="98" t="s">
        <v>77</v>
      </c>
      <c r="F16" s="115" t="s">
        <v>476</v>
      </c>
      <c r="G16" s="115">
        <v>33</v>
      </c>
      <c r="H16" s="115">
        <v>56</v>
      </c>
      <c r="I16" s="194">
        <v>89</v>
      </c>
      <c r="J16" s="116">
        <v>1444822</v>
      </c>
      <c r="K16" s="116">
        <v>971544</v>
      </c>
      <c r="L16" s="116">
        <v>17408</v>
      </c>
      <c r="M16" s="195">
        <v>3.4563106796116502E-2</v>
      </c>
      <c r="N16" s="195">
        <v>4.693389538805811E-2</v>
      </c>
      <c r="O16" s="195">
        <v>3.7308591401218047E-2</v>
      </c>
      <c r="P16" s="195">
        <v>9.9732621699522256E-4</v>
      </c>
      <c r="R16" s="197" t="s">
        <v>482</v>
      </c>
      <c r="S16" s="198" t="s">
        <v>476</v>
      </c>
      <c r="T16" s="198" t="s">
        <v>483</v>
      </c>
      <c r="V16" s="199" t="s">
        <v>1</v>
      </c>
      <c r="W16" s="200" t="s">
        <v>498</v>
      </c>
      <c r="Y16" s="199" t="s">
        <v>1</v>
      </c>
      <c r="Z16" s="200" t="s">
        <v>499</v>
      </c>
    </row>
    <row r="17" spans="1:26" ht="22.5" customHeight="1">
      <c r="A17" s="115">
        <v>52</v>
      </c>
      <c r="B17" s="115" t="s">
        <v>11</v>
      </c>
      <c r="C17" s="115" t="s">
        <v>10</v>
      </c>
      <c r="D17" s="115" t="s">
        <v>7</v>
      </c>
      <c r="E17" s="98" t="s">
        <v>101</v>
      </c>
      <c r="F17" s="115" t="s">
        <v>476</v>
      </c>
      <c r="G17" s="115">
        <v>0</v>
      </c>
      <c r="H17" s="115">
        <v>84</v>
      </c>
      <c r="I17" s="194">
        <v>84</v>
      </c>
      <c r="J17" s="116">
        <v>36006</v>
      </c>
      <c r="K17" s="116">
        <v>182929</v>
      </c>
      <c r="L17" s="116">
        <v>1260344</v>
      </c>
      <c r="M17" s="195">
        <v>3.2621359223300971E-2</v>
      </c>
      <c r="N17" s="195">
        <v>1.1696263189115478E-3</v>
      </c>
      <c r="O17" s="195">
        <v>7.0247187121050781E-3</v>
      </c>
      <c r="P17" s="195">
        <v>7.2206693108491884E-2</v>
      </c>
      <c r="R17" s="201" t="s">
        <v>468</v>
      </c>
      <c r="S17" s="202">
        <f>SUMIFS(Scoreboard_19[Damage Dealt],Scoreboard_19[Role],"Melee DPS",Scoreboard_19[Team],"Yellow")</f>
        <v>12487007</v>
      </c>
      <c r="T17" s="203">
        <f>SUMIFS(Scoreboard_19[Damage Dealt],Scoreboard_19[Role],"Melee DPS",Scoreboard_19[Team],"Red")</f>
        <v>5744181</v>
      </c>
      <c r="V17" s="204" t="str">
        <f ca="1">IFERROR(__xludf.DUMMYFUNCTION("query(A1:P239, ""Select E,K Order by K Desc Limit 10"", 0)"),"L1AM27")</f>
        <v>L1AM27</v>
      </c>
      <c r="W17" s="116">
        <f ca="1">IFERROR(__xludf.DUMMYFUNCTION("""COMPUTED_VALUE"""),1322689)</f>
        <v>1322689</v>
      </c>
      <c r="Y17" s="204" t="str">
        <f ca="1">IFERROR(__xludf.DUMMYFUNCTION("query(A1:P239, ""Select E,L Order by L Desc Limit 10"", 0)"),"L1AM27")</f>
        <v>L1AM27</v>
      </c>
      <c r="Z17" s="116">
        <f ca="1">IFERROR(__xludf.DUMMYFUNCTION("""COMPUTED_VALUE"""),2283090)</f>
        <v>2283090</v>
      </c>
    </row>
    <row r="18" spans="1:26" ht="22.5" customHeight="1">
      <c r="A18" s="115">
        <v>13</v>
      </c>
      <c r="B18" s="115" t="s">
        <v>25</v>
      </c>
      <c r="C18" s="115" t="s">
        <v>69</v>
      </c>
      <c r="D18" s="115" t="s">
        <v>7</v>
      </c>
      <c r="E18" s="98" t="s">
        <v>90</v>
      </c>
      <c r="F18" s="115" t="s">
        <v>476</v>
      </c>
      <c r="G18" s="115">
        <v>28</v>
      </c>
      <c r="H18" s="115">
        <v>55</v>
      </c>
      <c r="I18" s="194">
        <v>83</v>
      </c>
      <c r="J18" s="116">
        <v>1352716</v>
      </c>
      <c r="K18" s="116">
        <v>845832</v>
      </c>
      <c r="L18" s="116">
        <v>72125</v>
      </c>
      <c r="M18" s="195">
        <v>3.2233009708737867E-2</v>
      </c>
      <c r="N18" s="195">
        <v>4.3941905116168231E-2</v>
      </c>
      <c r="O18" s="195">
        <v>3.2481082155903451E-2</v>
      </c>
      <c r="P18" s="195">
        <v>4.1321319738499779E-3</v>
      </c>
      <c r="R18" s="201" t="s">
        <v>469</v>
      </c>
      <c r="S18" s="202">
        <f>SUMIFS(Scoreboard_19[Damage Taken],Scoreboard_19[Role],"Melee DPS",Scoreboard_19[Team],"Yellow")</f>
        <v>6568580</v>
      </c>
      <c r="T18" s="203">
        <f>SUMIFS(Scoreboard_19[Damage Taken],Scoreboard_19[Role],"Melee DPS",Scoreboard_19[Team],"Red")</f>
        <v>5769140</v>
      </c>
      <c r="V18" s="204" t="str">
        <f ca="1">IFERROR(__xludf.DUMMYFUNCTION("""COMPUTED_VALUE"""),"Batman")</f>
        <v>Batman</v>
      </c>
      <c r="W18" s="116">
        <f ca="1">IFERROR(__xludf.DUMMYFUNCTION("""COMPUTED_VALUE"""),1264405)</f>
        <v>1264405</v>
      </c>
      <c r="Y18" s="204" t="str">
        <f ca="1">IFERROR(__xludf.DUMMYFUNCTION("""COMPUTED_VALUE"""),"EgirlWaifu")</f>
        <v>EgirlWaifu</v>
      </c>
      <c r="Z18" s="116">
        <f ca="1">IFERROR(__xludf.DUMMYFUNCTION("""COMPUTED_VALUE"""),2009770)</f>
        <v>2009770</v>
      </c>
    </row>
    <row r="19" spans="1:26" ht="22.5" customHeight="1">
      <c r="A19" s="115">
        <v>15</v>
      </c>
      <c r="B19" s="115" t="s">
        <v>39</v>
      </c>
      <c r="C19" s="115" t="s">
        <v>45</v>
      </c>
      <c r="D19" s="115" t="s">
        <v>7</v>
      </c>
      <c r="E19" s="98" t="s">
        <v>84</v>
      </c>
      <c r="F19" s="115" t="s">
        <v>476</v>
      </c>
      <c r="G19" s="115">
        <v>26</v>
      </c>
      <c r="H19" s="115">
        <v>57</v>
      </c>
      <c r="I19" s="194">
        <v>83</v>
      </c>
      <c r="J19" s="116">
        <v>1759003</v>
      </c>
      <c r="K19" s="116">
        <v>580832</v>
      </c>
      <c r="L19" s="116">
        <v>3625</v>
      </c>
      <c r="M19" s="195">
        <v>3.2233009708737867E-2</v>
      </c>
      <c r="N19" s="195">
        <v>5.7139815693061417E-2</v>
      </c>
      <c r="O19" s="195">
        <v>2.2304727074380862E-2</v>
      </c>
      <c r="P19" s="195">
        <v>2.0768080977755522E-4</v>
      </c>
      <c r="R19" s="201" t="s">
        <v>470</v>
      </c>
      <c r="S19" s="202">
        <f>SUMIFS(Scoreboard_19[Amount Healed],Scoreboard_19[Role],"Melee DPS",Scoreboard_19[Team],"Yellow")</f>
        <v>202726</v>
      </c>
      <c r="T19" s="203">
        <f>SUMIFS(Scoreboard_19[Amount Healed],Scoreboard_19[Role],"Melee DPS",Scoreboard_19[Team],"Red")</f>
        <v>218006</v>
      </c>
      <c r="V19" s="204" t="str">
        <f ca="1">IFERROR(__xludf.DUMMYFUNCTION("""COMPUTED_VALUE"""),"Cooter✗")</f>
        <v>Cooter✗</v>
      </c>
      <c r="W19" s="116">
        <f ca="1">IFERROR(__xludf.DUMMYFUNCTION("""COMPUTED_VALUE"""),1197624)</f>
        <v>1197624</v>
      </c>
      <c r="Y19" s="204" t="str">
        <f ca="1">IFERROR(__xludf.DUMMYFUNCTION("""COMPUTED_VALUE"""),"Breedable")</f>
        <v>Breedable</v>
      </c>
      <c r="Z19" s="116">
        <f ca="1">IFERROR(__xludf.DUMMYFUNCTION("""COMPUTED_VALUE"""),1880967)</f>
        <v>1880967</v>
      </c>
    </row>
    <row r="20" spans="1:26" ht="22.5" customHeight="1">
      <c r="A20" s="115">
        <v>20</v>
      </c>
      <c r="B20" s="115" t="s">
        <v>25</v>
      </c>
      <c r="C20" s="115" t="s">
        <v>23</v>
      </c>
      <c r="D20" s="115" t="s">
        <v>667</v>
      </c>
      <c r="E20" s="98" t="s">
        <v>669</v>
      </c>
      <c r="F20" s="115" t="s">
        <v>483</v>
      </c>
      <c r="G20" s="115">
        <v>19</v>
      </c>
      <c r="H20" s="115">
        <v>59</v>
      </c>
      <c r="I20" s="194">
        <v>78</v>
      </c>
      <c r="J20" s="116">
        <v>1619506</v>
      </c>
      <c r="K20" s="116">
        <v>674807</v>
      </c>
      <c r="L20" s="116">
        <v>23712</v>
      </c>
      <c r="M20" s="195">
        <v>4.3746494671901288E-2</v>
      </c>
      <c r="N20" s="195">
        <v>6.1590057336537093E-2</v>
      </c>
      <c r="O20" s="195">
        <v>2.1924723147195728E-2</v>
      </c>
      <c r="P20" s="195">
        <v>1.2024101142406238E-3</v>
      </c>
      <c r="R20" s="201" t="s">
        <v>465</v>
      </c>
      <c r="S20" s="202">
        <f>SUMIFS(Scoreboard_19[Kills],Scoreboard_19[Role],"Melee DPS",Scoreboard_19[Team],"Yellow")</f>
        <v>237</v>
      </c>
      <c r="T20" s="203">
        <f>SUMIFS(Scoreboard_19[Kills],Scoreboard_19[Role],"Melee DPS",Scoreboard_19[Team],"Red")</f>
        <v>89</v>
      </c>
      <c r="V20" s="204" t="str">
        <f ca="1">IFERROR(__xludf.DUMMYFUNCTION("""COMPUTED_VALUE"""),"stepbroメ")</f>
        <v>stepbroメ</v>
      </c>
      <c r="W20" s="116">
        <f ca="1">IFERROR(__xludf.DUMMYFUNCTION("""COMPUTED_VALUE"""),1078608)</f>
        <v>1078608</v>
      </c>
      <c r="Y20" s="204" t="str">
        <f ca="1">IFERROR(__xludf.DUMMYFUNCTION("""COMPUTED_VALUE"""),"Boharding")</f>
        <v>Boharding</v>
      </c>
      <c r="Z20" s="116">
        <f ca="1">IFERROR(__xludf.DUMMYFUNCTION("""COMPUTED_VALUE"""),1873506)</f>
        <v>1873506</v>
      </c>
    </row>
    <row r="21" spans="1:26" ht="22.5" customHeight="1">
      <c r="A21" s="115">
        <v>21</v>
      </c>
      <c r="B21" s="115" t="s">
        <v>39</v>
      </c>
      <c r="C21" s="115" t="s">
        <v>45</v>
      </c>
      <c r="D21" s="115" t="s">
        <v>7</v>
      </c>
      <c r="E21" s="98" t="s">
        <v>83</v>
      </c>
      <c r="F21" s="115" t="s">
        <v>476</v>
      </c>
      <c r="G21" s="115">
        <v>19</v>
      </c>
      <c r="H21" s="115">
        <v>57</v>
      </c>
      <c r="I21" s="194">
        <v>76</v>
      </c>
      <c r="J21" s="116">
        <v>1432749</v>
      </c>
      <c r="K21" s="116">
        <v>523538</v>
      </c>
      <c r="L21" s="116">
        <v>30441</v>
      </c>
      <c r="M21" s="195">
        <v>2.9514563106796118E-2</v>
      </c>
      <c r="N21" s="195">
        <v>4.6541713569799512E-2</v>
      </c>
      <c r="O21" s="195">
        <v>2.0104560704415748E-2</v>
      </c>
      <c r="P21" s="195">
        <v>1.7440031808106369E-3</v>
      </c>
      <c r="R21" s="201" t="s">
        <v>466</v>
      </c>
      <c r="S21" s="202">
        <f>SUMIFS(Scoreboard_19[Assists],Scoreboard_19[Role],"Melee DPS",Scoreboard_19[Team],"Yellow")</f>
        <v>534</v>
      </c>
      <c r="T21" s="203">
        <f>SUMIFS(Scoreboard_19[Assists],Scoreboard_19[Role],"Melee DPS",Scoreboard_19[Team],"Red")</f>
        <v>222</v>
      </c>
      <c r="V21" s="204" t="str">
        <f ca="1">IFERROR(__xludf.DUMMYFUNCTION("""COMPUTED_VALUE"""),"Stigmates")</f>
        <v>Stigmates</v>
      </c>
      <c r="W21" s="116">
        <f ca="1">IFERROR(__xludf.DUMMYFUNCTION("""COMPUTED_VALUE"""),1009294)</f>
        <v>1009294</v>
      </c>
      <c r="Y21" s="204" t="str">
        <f ca="1">IFERROR(__xludf.DUMMYFUNCTION("""COMPUTED_VALUE"""),"Dioxin")</f>
        <v>Dioxin</v>
      </c>
      <c r="Z21" s="116">
        <f ca="1">IFERROR(__xludf.DUMMYFUNCTION("""COMPUTED_VALUE"""),1487179)</f>
        <v>1487179</v>
      </c>
    </row>
    <row r="22" spans="1:26" ht="22.5" customHeight="1">
      <c r="A22" s="115">
        <v>25</v>
      </c>
      <c r="B22" s="115" t="s">
        <v>25</v>
      </c>
      <c r="C22" s="115" t="s">
        <v>23</v>
      </c>
      <c r="D22" s="115" t="s">
        <v>7</v>
      </c>
      <c r="E22" s="98" t="s">
        <v>113</v>
      </c>
      <c r="F22" s="115" t="s">
        <v>476</v>
      </c>
      <c r="G22" s="115">
        <v>12</v>
      </c>
      <c r="H22" s="115">
        <v>61</v>
      </c>
      <c r="I22" s="194">
        <v>73</v>
      </c>
      <c r="J22" s="116">
        <v>928322</v>
      </c>
      <c r="K22" s="116">
        <v>730739</v>
      </c>
      <c r="L22" s="116">
        <v>15708</v>
      </c>
      <c r="M22" s="195">
        <v>2.8349514563106797E-2</v>
      </c>
      <c r="N22" s="195">
        <v>3.0155803022401985E-2</v>
      </c>
      <c r="O22" s="195">
        <v>2.8061356739308433E-2</v>
      </c>
      <c r="P22" s="195">
        <v>8.9993107861678276E-4</v>
      </c>
      <c r="R22" s="201" t="s">
        <v>24</v>
      </c>
      <c r="S22" s="202">
        <f t="shared" ref="S22:S25" si="0">COUNTIFS(C:C,R22,F:F,"Yellow")</f>
        <v>1</v>
      </c>
      <c r="T22" s="203">
        <f t="shared" ref="T22:T25" si="1">COUNTIFS(C:C,R22,F:F,"Red")</f>
        <v>2</v>
      </c>
      <c r="V22" s="204" t="str">
        <f ca="1">IFERROR(__xludf.DUMMYFUNCTION("""COMPUTED_VALUE"""),"Breedable")</f>
        <v>Breedable</v>
      </c>
      <c r="W22" s="116">
        <f ca="1">IFERROR(__xludf.DUMMYFUNCTION("""COMPUTED_VALUE"""),1006634)</f>
        <v>1006634</v>
      </c>
      <c r="Y22" s="204" t="str">
        <f ca="1">IFERROR(__xludf.DUMMYFUNCTION("""COMPUTED_VALUE"""),"xSouless")</f>
        <v>xSouless</v>
      </c>
      <c r="Z22" s="116">
        <f ca="1">IFERROR(__xludf.DUMMYFUNCTION("""COMPUTED_VALUE"""),1481138)</f>
        <v>1481138</v>
      </c>
    </row>
    <row r="23" spans="1:26" ht="22.5" customHeight="1">
      <c r="A23" s="115">
        <v>53</v>
      </c>
      <c r="B23" s="115" t="s">
        <v>11</v>
      </c>
      <c r="C23" s="115" t="s">
        <v>9</v>
      </c>
      <c r="D23" s="115" t="s">
        <v>667</v>
      </c>
      <c r="E23" s="98" t="s">
        <v>679</v>
      </c>
      <c r="F23" s="115" t="s">
        <v>483</v>
      </c>
      <c r="G23" s="115">
        <v>0</v>
      </c>
      <c r="H23" s="115">
        <v>71</v>
      </c>
      <c r="I23" s="194">
        <v>71</v>
      </c>
      <c r="J23" s="116">
        <v>70755</v>
      </c>
      <c r="K23" s="116">
        <v>363681</v>
      </c>
      <c r="L23" s="116">
        <v>423805</v>
      </c>
      <c r="M23" s="195">
        <v>3.9820527201346045E-2</v>
      </c>
      <c r="N23" s="195">
        <v>2.6908233170156097E-3</v>
      </c>
      <c r="O23" s="195">
        <v>1.1816127039131619E-2</v>
      </c>
      <c r="P23" s="195">
        <v>2.1490697472408386E-2</v>
      </c>
      <c r="R23" s="201" t="s">
        <v>69</v>
      </c>
      <c r="S23" s="202">
        <f t="shared" si="0"/>
        <v>2</v>
      </c>
      <c r="T23" s="203">
        <f t="shared" si="1"/>
        <v>2</v>
      </c>
      <c r="V23" s="204" t="str">
        <f ca="1">IFERROR(__xludf.DUMMYFUNCTION("""COMPUTED_VALUE"""),"JCBoi")</f>
        <v>JCBoi</v>
      </c>
      <c r="W23" s="116">
        <f ca="1">IFERROR(__xludf.DUMMYFUNCTION("""COMPUTED_VALUE"""),1004443)</f>
        <v>1004443</v>
      </c>
      <c r="Y23" s="204" t="str">
        <f ca="1">IFERROR(__xludf.DUMMYFUNCTION("""COMPUTED_VALUE"""),"Duskstorm")</f>
        <v>Duskstorm</v>
      </c>
      <c r="Z23" s="116">
        <f ca="1">IFERROR(__xludf.DUMMYFUNCTION("""COMPUTED_VALUE"""),1301413)</f>
        <v>1301413</v>
      </c>
    </row>
    <row r="24" spans="1:26" ht="22.5" customHeight="1">
      <c r="A24" s="115">
        <v>54</v>
      </c>
      <c r="B24" s="115" t="s">
        <v>11</v>
      </c>
      <c r="C24" s="115" t="s">
        <v>9</v>
      </c>
      <c r="D24" s="115" t="s">
        <v>667</v>
      </c>
      <c r="E24" s="98" t="s">
        <v>677</v>
      </c>
      <c r="F24" s="115" t="s">
        <v>483</v>
      </c>
      <c r="G24" s="115">
        <v>0</v>
      </c>
      <c r="H24" s="115">
        <v>70</v>
      </c>
      <c r="I24" s="194">
        <v>70</v>
      </c>
      <c r="J24" s="116">
        <v>53574</v>
      </c>
      <c r="K24" s="116">
        <v>221609</v>
      </c>
      <c r="L24" s="116">
        <v>715187</v>
      </c>
      <c r="M24" s="195">
        <v>3.9259674705552437E-2</v>
      </c>
      <c r="N24" s="195">
        <v>2.0374272968100384E-3</v>
      </c>
      <c r="O24" s="195">
        <v>7.2001564475870855E-3</v>
      </c>
      <c r="P24" s="195">
        <v>3.6266366496854295E-2</v>
      </c>
      <c r="R24" s="201" t="s">
        <v>23</v>
      </c>
      <c r="S24" s="202">
        <f t="shared" si="0"/>
        <v>5</v>
      </c>
      <c r="T24" s="203">
        <f t="shared" si="1"/>
        <v>2</v>
      </c>
      <c r="V24" s="204" t="str">
        <f ca="1">IFERROR(__xludf.DUMMYFUNCTION("""COMPUTED_VALUE"""),"Darkseid✗")</f>
        <v>Darkseid✗</v>
      </c>
      <c r="W24" s="116">
        <f ca="1">IFERROR(__xludf.DUMMYFUNCTION("""COMPUTED_VALUE"""),991747)</f>
        <v>991747</v>
      </c>
      <c r="Y24" s="204" t="str">
        <f ca="1">IFERROR(__xludf.DUMMYFUNCTION("""COMPUTED_VALUE"""),"Teensy")</f>
        <v>Teensy</v>
      </c>
      <c r="Z24" s="116">
        <f ca="1">IFERROR(__xludf.DUMMYFUNCTION("""COMPUTED_VALUE"""),1263140)</f>
        <v>1263140</v>
      </c>
    </row>
    <row r="25" spans="1:26" ht="22.5" customHeight="1">
      <c r="A25" s="115">
        <v>7</v>
      </c>
      <c r="B25" s="115" t="s">
        <v>25</v>
      </c>
      <c r="C25" s="115" t="s">
        <v>69</v>
      </c>
      <c r="D25" s="115" t="s">
        <v>7</v>
      </c>
      <c r="E25" s="98" t="s">
        <v>68</v>
      </c>
      <c r="F25" s="115" t="s">
        <v>476</v>
      </c>
      <c r="G25" s="115">
        <v>38</v>
      </c>
      <c r="H25" s="115">
        <v>31</v>
      </c>
      <c r="I25" s="194">
        <v>69</v>
      </c>
      <c r="J25" s="116">
        <v>1640443</v>
      </c>
      <c r="K25" s="116">
        <v>860176</v>
      </c>
      <c r="L25" s="116">
        <v>27247</v>
      </c>
      <c r="M25" s="195">
        <v>2.6796116504854368E-2</v>
      </c>
      <c r="N25" s="195">
        <v>5.3288488237355339E-2</v>
      </c>
      <c r="O25" s="195">
        <v>3.3031910975863298E-2</v>
      </c>
      <c r="P25" s="195">
        <v>1.5610149031749095E-3</v>
      </c>
      <c r="R25" s="201" t="s">
        <v>33</v>
      </c>
      <c r="S25" s="202">
        <f t="shared" si="0"/>
        <v>0</v>
      </c>
      <c r="T25" s="203">
        <f t="shared" si="1"/>
        <v>0</v>
      </c>
      <c r="V25" s="204" t="str">
        <f ca="1">IFERROR(__xludf.DUMMYFUNCTION("""COMPUTED_VALUE"""),"Kyu")</f>
        <v>Kyu</v>
      </c>
      <c r="W25" s="116">
        <f ca="1">IFERROR(__xludf.DUMMYFUNCTION("""COMPUTED_VALUE"""),971544)</f>
        <v>971544</v>
      </c>
      <c r="Y25" s="204" t="str">
        <f ca="1">IFERROR(__xludf.DUMMYFUNCTION("""COMPUTED_VALUE"""),"soju·")</f>
        <v>soju·</v>
      </c>
      <c r="Z25" s="116">
        <f ca="1">IFERROR(__xludf.DUMMYFUNCTION("""COMPUTED_VALUE"""),1260344)</f>
        <v>1260344</v>
      </c>
    </row>
    <row r="26" spans="1:26" ht="22.5" customHeight="1">
      <c r="A26" s="115">
        <v>55</v>
      </c>
      <c r="B26" s="115" t="s">
        <v>11</v>
      </c>
      <c r="C26" s="115" t="s">
        <v>9</v>
      </c>
      <c r="D26" s="115" t="s">
        <v>7</v>
      </c>
      <c r="E26" s="98" t="s">
        <v>51</v>
      </c>
      <c r="F26" s="115" t="s">
        <v>476</v>
      </c>
      <c r="G26" s="115">
        <v>0</v>
      </c>
      <c r="H26" s="115">
        <v>65</v>
      </c>
      <c r="I26" s="194">
        <v>65</v>
      </c>
      <c r="J26" s="116">
        <v>40260</v>
      </c>
      <c r="K26" s="116">
        <v>254715</v>
      </c>
      <c r="L26" s="116">
        <v>346676</v>
      </c>
      <c r="M26" s="195">
        <v>2.524271844660194E-2</v>
      </c>
      <c r="N26" s="195">
        <v>1.3078141309609207E-3</v>
      </c>
      <c r="O26" s="195">
        <v>9.7813973003397208E-3</v>
      </c>
      <c r="P26" s="195">
        <v>1.9861504113225858E-2</v>
      </c>
      <c r="R26" s="204"/>
      <c r="S26" s="208"/>
      <c r="T26" s="208"/>
      <c r="V26" s="204" t="str">
        <f ca="1">IFERROR(__xludf.DUMMYFUNCTION("""COMPUTED_VALUE"""),"Hayler")</f>
        <v>Hayler</v>
      </c>
      <c r="W26" s="116">
        <f ca="1">IFERROR(__xludf.DUMMYFUNCTION("""COMPUTED_VALUE"""),971267)</f>
        <v>971267</v>
      </c>
      <c r="Y26" s="204" t="str">
        <f ca="1">IFERROR(__xludf.DUMMYFUNCTION("""COMPUTED_VALUE"""),"Vysenya")</f>
        <v>Vysenya</v>
      </c>
      <c r="Z26" s="116">
        <f ca="1">IFERROR(__xludf.DUMMYFUNCTION("""COMPUTED_VALUE"""),1225411)</f>
        <v>1225411</v>
      </c>
    </row>
    <row r="27" spans="1:26" ht="22.5" customHeight="1">
      <c r="A27" s="115">
        <v>56</v>
      </c>
      <c r="B27" s="115" t="s">
        <v>11</v>
      </c>
      <c r="C27" s="115" t="s">
        <v>10</v>
      </c>
      <c r="D27" s="115" t="s">
        <v>667</v>
      </c>
      <c r="E27" s="98" t="s">
        <v>702</v>
      </c>
      <c r="F27" s="115" t="s">
        <v>483</v>
      </c>
      <c r="G27" s="115">
        <v>0</v>
      </c>
      <c r="H27" s="115">
        <v>63</v>
      </c>
      <c r="I27" s="194">
        <v>63</v>
      </c>
      <c r="J27" s="116">
        <v>42387</v>
      </c>
      <c r="K27" s="116">
        <v>515122</v>
      </c>
      <c r="L27" s="116">
        <v>924438</v>
      </c>
      <c r="M27" s="195">
        <v>3.5333707234997194E-2</v>
      </c>
      <c r="N27" s="195">
        <v>1.6119840002592136E-3</v>
      </c>
      <c r="O27" s="195">
        <v>1.6736499824438332E-2</v>
      </c>
      <c r="P27" s="195">
        <v>4.6877260508956388E-2</v>
      </c>
      <c r="R27" s="6"/>
      <c r="S27" s="209"/>
      <c r="T27" s="209"/>
    </row>
    <row r="28" spans="1:26" ht="22.5" customHeight="1">
      <c r="A28" s="115">
        <v>24</v>
      </c>
      <c r="B28" s="115" t="s">
        <v>39</v>
      </c>
      <c r="C28" s="115" t="s">
        <v>58</v>
      </c>
      <c r="D28" s="115" t="s">
        <v>667</v>
      </c>
      <c r="E28" s="98" t="s">
        <v>703</v>
      </c>
      <c r="F28" s="115" t="s">
        <v>483</v>
      </c>
      <c r="G28" s="115">
        <v>15</v>
      </c>
      <c r="H28" s="115">
        <v>44</v>
      </c>
      <c r="I28" s="194">
        <v>59</v>
      </c>
      <c r="J28" s="116">
        <v>1681801</v>
      </c>
      <c r="K28" s="116">
        <v>904270</v>
      </c>
      <c r="L28" s="116">
        <v>9213</v>
      </c>
      <c r="M28" s="195">
        <v>3.3090297251822769E-2</v>
      </c>
      <c r="N28" s="195">
        <v>6.3959145578124085E-2</v>
      </c>
      <c r="O28" s="195">
        <v>2.9380058891378843E-2</v>
      </c>
      <c r="P28" s="195">
        <v>4.6718135891105214E-4</v>
      </c>
      <c r="R28" s="232" t="s">
        <v>39</v>
      </c>
      <c r="S28" s="228"/>
      <c r="T28" s="228"/>
    </row>
    <row r="29" spans="1:26" ht="22.5" customHeight="1">
      <c r="A29" s="115">
        <v>12</v>
      </c>
      <c r="B29" s="115" t="s">
        <v>25</v>
      </c>
      <c r="C29" s="115" t="s">
        <v>69</v>
      </c>
      <c r="D29" s="115" t="s">
        <v>667</v>
      </c>
      <c r="E29" s="98" t="s">
        <v>704</v>
      </c>
      <c r="F29" s="115" t="s">
        <v>483</v>
      </c>
      <c r="G29" s="115">
        <v>29</v>
      </c>
      <c r="H29" s="115">
        <v>29</v>
      </c>
      <c r="I29" s="194">
        <v>58</v>
      </c>
      <c r="J29" s="116">
        <v>1065781</v>
      </c>
      <c r="K29" s="116">
        <v>1078608</v>
      </c>
      <c r="L29" s="116">
        <v>18673</v>
      </c>
      <c r="M29" s="195">
        <v>3.2529444756029167E-2</v>
      </c>
      <c r="N29" s="195">
        <v>4.0531812107020192E-2</v>
      </c>
      <c r="O29" s="195">
        <v>3.5044363476298399E-2</v>
      </c>
      <c r="P29" s="195">
        <v>9.4688782317877741E-4</v>
      </c>
      <c r="R29" s="197" t="s">
        <v>482</v>
      </c>
      <c r="S29" s="198" t="s">
        <v>476</v>
      </c>
      <c r="T29" s="198" t="s">
        <v>483</v>
      </c>
    </row>
    <row r="30" spans="1:26" ht="22.5" customHeight="1">
      <c r="A30" s="115">
        <v>57</v>
      </c>
      <c r="B30" s="115" t="s">
        <v>11</v>
      </c>
      <c r="C30" s="115" t="s">
        <v>9</v>
      </c>
      <c r="D30" s="115" t="s">
        <v>7</v>
      </c>
      <c r="E30" s="98" t="s">
        <v>72</v>
      </c>
      <c r="F30" s="115" t="s">
        <v>476</v>
      </c>
      <c r="G30" s="115">
        <v>0</v>
      </c>
      <c r="H30" s="115">
        <v>56</v>
      </c>
      <c r="I30" s="194">
        <v>56</v>
      </c>
      <c r="J30" s="116">
        <v>40035</v>
      </c>
      <c r="K30" s="116">
        <v>262927</v>
      </c>
      <c r="L30" s="116">
        <v>455774</v>
      </c>
      <c r="M30" s="195">
        <v>2.174757281553398E-2</v>
      </c>
      <c r="N30" s="195">
        <v>1.3005051846254462E-3</v>
      </c>
      <c r="O30" s="195">
        <v>1.0096749103847131E-2</v>
      </c>
      <c r="P30" s="195">
        <v>2.611186576429116E-2</v>
      </c>
      <c r="R30" s="201" t="s">
        <v>468</v>
      </c>
      <c r="S30" s="202">
        <f>SUMIFS(Scoreboard_19[Damage Dealt],Scoreboard_19[Role],"Ranged DPS",Scoreboard_19[Team],"Yellow")</f>
        <v>15951019</v>
      </c>
      <c r="T30" s="203">
        <f>SUMIFS(Scoreboard_19[Damage Dealt],Scoreboard_19[Role],"Ranged DPS",Scoreboard_19[Team],"Red")</f>
        <v>18375574</v>
      </c>
    </row>
    <row r="31" spans="1:26" ht="22.5" customHeight="1">
      <c r="A31" s="115">
        <v>26</v>
      </c>
      <c r="B31" s="115" t="s">
        <v>39</v>
      </c>
      <c r="C31" s="115" t="s">
        <v>58</v>
      </c>
      <c r="D31" s="115" t="s">
        <v>667</v>
      </c>
      <c r="E31" s="98" t="s">
        <v>674</v>
      </c>
      <c r="F31" s="115" t="s">
        <v>483</v>
      </c>
      <c r="G31" s="115">
        <v>12</v>
      </c>
      <c r="H31" s="115">
        <v>43</v>
      </c>
      <c r="I31" s="194">
        <v>55</v>
      </c>
      <c r="J31" s="116">
        <v>1402759</v>
      </c>
      <c r="K31" s="116">
        <v>902037</v>
      </c>
      <c r="L31" s="116">
        <v>0</v>
      </c>
      <c r="M31" s="195">
        <v>3.0846887268648347E-2</v>
      </c>
      <c r="N31" s="195">
        <v>5.3347136249784467E-2</v>
      </c>
      <c r="O31" s="195">
        <v>2.9307507914895659E-2</v>
      </c>
      <c r="P31" s="195">
        <v>0</v>
      </c>
      <c r="R31" s="201" t="s">
        <v>469</v>
      </c>
      <c r="S31" s="202">
        <f>SUMIFS(Scoreboard_19[Damage Taken],Scoreboard_19[Role],"Ranged DPS",Scoreboard_19[Team],"Yellow")</f>
        <v>3953328</v>
      </c>
      <c r="T31" s="203">
        <f>SUMIFS(Scoreboard_19[Damage Taken],Scoreboard_19[Role],"Ranged DPS",Scoreboard_19[Team],"Red")</f>
        <v>6727156</v>
      </c>
    </row>
    <row r="32" spans="1:26" ht="22.5" customHeight="1">
      <c r="A32" s="115">
        <v>30</v>
      </c>
      <c r="B32" s="115" t="s">
        <v>67</v>
      </c>
      <c r="C32" s="115" t="s">
        <v>14</v>
      </c>
      <c r="D32" s="115" t="s">
        <v>7</v>
      </c>
      <c r="E32" s="98" t="s">
        <v>37</v>
      </c>
      <c r="F32" s="115" t="s">
        <v>476</v>
      </c>
      <c r="G32" s="115">
        <v>6</v>
      </c>
      <c r="H32" s="115">
        <v>48</v>
      </c>
      <c r="I32" s="194">
        <v>54</v>
      </c>
      <c r="J32" s="116">
        <v>374449</v>
      </c>
      <c r="K32" s="116">
        <v>461031</v>
      </c>
      <c r="L32" s="116">
        <v>7921</v>
      </c>
      <c r="M32" s="195">
        <v>2.0970873786407766E-2</v>
      </c>
      <c r="N32" s="195">
        <v>1.2163678428320562E-2</v>
      </c>
      <c r="O32" s="195">
        <v>1.7704208149394114E-2</v>
      </c>
      <c r="P32" s="195">
        <v>4.5380405358565933E-4</v>
      </c>
      <c r="R32" s="201" t="s">
        <v>470</v>
      </c>
      <c r="S32" s="202">
        <f>SUMIFS(Scoreboard_19[Amount Healed],Scoreboard_19[Role],"Ranged DPS",Scoreboard_19[Team],"Yellow")</f>
        <v>61873</v>
      </c>
      <c r="T32" s="203">
        <f>SUMIFS(Scoreboard_19[Amount Healed],Scoreboard_19[Role],"Ranged DPS",Scoreboard_19[Team],"Red")</f>
        <v>76127</v>
      </c>
    </row>
    <row r="33" spans="1:20" ht="22.5" customHeight="1">
      <c r="A33" s="115">
        <v>23</v>
      </c>
      <c r="B33" s="115" t="s">
        <v>25</v>
      </c>
      <c r="C33" s="115" t="s">
        <v>24</v>
      </c>
      <c r="D33" s="115" t="s">
        <v>667</v>
      </c>
      <c r="E33" s="98" t="s">
        <v>705</v>
      </c>
      <c r="F33" s="115" t="s">
        <v>483</v>
      </c>
      <c r="G33" s="115">
        <v>16</v>
      </c>
      <c r="H33" s="115">
        <v>37</v>
      </c>
      <c r="I33" s="194">
        <v>53</v>
      </c>
      <c r="J33" s="116">
        <v>963385</v>
      </c>
      <c r="K33" s="116">
        <v>966979</v>
      </c>
      <c r="L33" s="116">
        <v>16757</v>
      </c>
      <c r="M33" s="195">
        <v>2.9725182277061134E-2</v>
      </c>
      <c r="N33" s="195">
        <v>3.6637676789811086E-2</v>
      </c>
      <c r="O33" s="195">
        <v>3.1417496949723671E-2</v>
      </c>
      <c r="P33" s="195">
        <v>8.4972951603956375E-4</v>
      </c>
      <c r="R33" s="201" t="s">
        <v>465</v>
      </c>
      <c r="S33" s="202">
        <f>SUMIFS(Scoreboard_19[Kills],Scoreboard_19[Role],"Ranged DPS",Scoreboard_19[Team],"Yellow")</f>
        <v>215</v>
      </c>
      <c r="T33" s="203">
        <f>SUMIFS(Scoreboard_19[Kills],Scoreboard_19[Role],"Ranged DPS",Scoreboard_19[Team],"Red")</f>
        <v>235</v>
      </c>
    </row>
    <row r="34" spans="1:20" ht="22.5" customHeight="1">
      <c r="A34" s="115">
        <v>29</v>
      </c>
      <c r="B34" s="115" t="s">
        <v>39</v>
      </c>
      <c r="C34" s="115" t="s">
        <v>58</v>
      </c>
      <c r="D34" s="115" t="s">
        <v>667</v>
      </c>
      <c r="E34" s="98" t="s">
        <v>672</v>
      </c>
      <c r="F34" s="115" t="s">
        <v>483</v>
      </c>
      <c r="G34" s="115">
        <v>7</v>
      </c>
      <c r="H34" s="115">
        <v>46</v>
      </c>
      <c r="I34" s="194">
        <v>53</v>
      </c>
      <c r="J34" s="116">
        <v>1027526</v>
      </c>
      <c r="K34" s="116">
        <v>796928</v>
      </c>
      <c r="L34" s="116">
        <v>20394</v>
      </c>
      <c r="M34" s="195">
        <v>2.9725182277061134E-2</v>
      </c>
      <c r="N34" s="195">
        <v>3.9076968689700821E-2</v>
      </c>
      <c r="O34" s="195">
        <v>2.5892478543121808E-2</v>
      </c>
      <c r="P34" s="195">
        <v>1.0341578892469334E-3</v>
      </c>
      <c r="R34" s="201" t="s">
        <v>466</v>
      </c>
      <c r="S34" s="202">
        <f>SUMIFS(Scoreboard_19[Assists],Scoreboard_19[Role],"Ranged DPS",Scoreboard_19[Team],"Yellow")</f>
        <v>484</v>
      </c>
      <c r="T34" s="203">
        <f>SUMIFS(Scoreboard_19[Assists],Scoreboard_19[Role],"Ranged DPS",Scoreboard_19[Team],"Red")</f>
        <v>442</v>
      </c>
    </row>
    <row r="35" spans="1:20" ht="22.5" customHeight="1">
      <c r="A35" s="115">
        <v>58</v>
      </c>
      <c r="B35" s="115" t="s">
        <v>11</v>
      </c>
      <c r="C35" s="115" t="s">
        <v>9</v>
      </c>
      <c r="D35" s="115" t="s">
        <v>7</v>
      </c>
      <c r="E35" s="98" t="s">
        <v>91</v>
      </c>
      <c r="F35" s="115" t="s">
        <v>476</v>
      </c>
      <c r="G35" s="115">
        <v>0</v>
      </c>
      <c r="H35" s="115">
        <v>51</v>
      </c>
      <c r="I35" s="194">
        <v>51</v>
      </c>
      <c r="J35" s="116">
        <v>508</v>
      </c>
      <c r="K35" s="116">
        <v>329220</v>
      </c>
      <c r="L35" s="116">
        <v>756242</v>
      </c>
      <c r="M35" s="195">
        <v>1.9805825242718445E-2</v>
      </c>
      <c r="N35" s="195">
        <v>1.6501976615204864E-5</v>
      </c>
      <c r="O35" s="195">
        <v>1.264248913184478E-2</v>
      </c>
      <c r="P35" s="195">
        <v>4.3326055433875292E-2</v>
      </c>
      <c r="R35" s="201" t="s">
        <v>54</v>
      </c>
      <c r="S35" s="202">
        <f t="shared" ref="S35:S46" si="2">COUNTIFS(C:C,R35,F:F,"Yellow")</f>
        <v>1</v>
      </c>
      <c r="T35" s="203">
        <f t="shared" ref="T35:T46" si="3">COUNTIFS(C:C,R35,F:F,"Red")</f>
        <v>2</v>
      </c>
    </row>
    <row r="36" spans="1:20" ht="22.5" customHeight="1">
      <c r="A36" s="115">
        <v>28</v>
      </c>
      <c r="B36" s="115" t="s">
        <v>25</v>
      </c>
      <c r="C36" s="115" t="s">
        <v>23</v>
      </c>
      <c r="D36" s="115" t="s">
        <v>667</v>
      </c>
      <c r="E36" s="98" t="s">
        <v>678</v>
      </c>
      <c r="F36" s="115" t="s">
        <v>483</v>
      </c>
      <c r="G36" s="115">
        <v>8</v>
      </c>
      <c r="H36" s="115">
        <v>43</v>
      </c>
      <c r="I36" s="194">
        <v>51</v>
      </c>
      <c r="J36" s="116">
        <v>954627</v>
      </c>
      <c r="K36" s="116">
        <v>1009294</v>
      </c>
      <c r="L36" s="116">
        <v>23884</v>
      </c>
      <c r="M36" s="195">
        <v>2.8603477285473921E-2</v>
      </c>
      <c r="N36" s="195">
        <v>3.6304608729456019E-2</v>
      </c>
      <c r="O36" s="195">
        <v>3.2792326582453603E-2</v>
      </c>
      <c r="P36" s="195">
        <v>1.2111320499545825E-3</v>
      </c>
      <c r="R36" s="201" t="s">
        <v>43</v>
      </c>
      <c r="S36" s="202">
        <f t="shared" si="2"/>
        <v>0</v>
      </c>
      <c r="T36" s="203">
        <f t="shared" si="3"/>
        <v>0</v>
      </c>
    </row>
    <row r="37" spans="1:20" ht="22.5" customHeight="1">
      <c r="A37" s="115">
        <v>59</v>
      </c>
      <c r="B37" s="115" t="s">
        <v>11</v>
      </c>
      <c r="C37" s="115" t="s">
        <v>9</v>
      </c>
      <c r="D37" s="115" t="s">
        <v>7</v>
      </c>
      <c r="E37" s="98" t="s">
        <v>695</v>
      </c>
      <c r="F37" s="115" t="s">
        <v>476</v>
      </c>
      <c r="G37" s="115">
        <v>0</v>
      </c>
      <c r="H37" s="115">
        <v>50</v>
      </c>
      <c r="I37" s="194">
        <v>50</v>
      </c>
      <c r="J37" s="116">
        <v>67960</v>
      </c>
      <c r="K37" s="116">
        <v>133226</v>
      </c>
      <c r="L37" s="116">
        <v>329029</v>
      </c>
      <c r="M37" s="195">
        <v>1.9417475728155338E-2</v>
      </c>
      <c r="N37" s="195">
        <v>2.2076266353726818E-3</v>
      </c>
      <c r="O37" s="195">
        <v>5.1160569135506734E-3</v>
      </c>
      <c r="P37" s="195">
        <v>1.8850485285599784E-2</v>
      </c>
      <c r="R37" s="201" t="s">
        <v>45</v>
      </c>
      <c r="S37" s="202">
        <f t="shared" si="2"/>
        <v>2</v>
      </c>
      <c r="T37" s="203">
        <f t="shared" si="3"/>
        <v>0</v>
      </c>
    </row>
    <row r="38" spans="1:20" ht="22.5" customHeight="1">
      <c r="A38" s="115">
        <v>14</v>
      </c>
      <c r="B38" s="115" t="s">
        <v>39</v>
      </c>
      <c r="C38" s="115" t="s">
        <v>54</v>
      </c>
      <c r="D38" s="115" t="s">
        <v>706</v>
      </c>
      <c r="E38" s="98" t="s">
        <v>707</v>
      </c>
      <c r="F38" s="115" t="s">
        <v>483</v>
      </c>
      <c r="G38" s="115">
        <v>27</v>
      </c>
      <c r="H38" s="115">
        <v>21</v>
      </c>
      <c r="I38" s="194">
        <v>48</v>
      </c>
      <c r="J38" s="116">
        <v>861155</v>
      </c>
      <c r="K38" s="116">
        <v>707951</v>
      </c>
      <c r="L38" s="116">
        <v>9855</v>
      </c>
      <c r="M38" s="195">
        <v>2.69209197980931E-2</v>
      </c>
      <c r="N38" s="195">
        <v>3.2749854477628119E-2</v>
      </c>
      <c r="O38" s="195">
        <v>2.3001583677674305E-2</v>
      </c>
      <c r="P38" s="195">
        <v>4.997364910526885E-4</v>
      </c>
      <c r="R38" s="201" t="s">
        <v>81</v>
      </c>
      <c r="S38" s="202">
        <f t="shared" si="2"/>
        <v>0</v>
      </c>
      <c r="T38" s="203">
        <f t="shared" si="3"/>
        <v>0</v>
      </c>
    </row>
    <row r="39" spans="1:20" ht="22.5" customHeight="1">
      <c r="A39" s="115">
        <v>60</v>
      </c>
      <c r="B39" s="115" t="s">
        <v>11</v>
      </c>
      <c r="C39" s="115" t="s">
        <v>9</v>
      </c>
      <c r="D39" s="115" t="s">
        <v>7</v>
      </c>
      <c r="E39" s="98" t="s">
        <v>41</v>
      </c>
      <c r="F39" s="115" t="s">
        <v>476</v>
      </c>
      <c r="G39" s="115">
        <v>0</v>
      </c>
      <c r="H39" s="115">
        <v>47</v>
      </c>
      <c r="I39" s="194">
        <v>47</v>
      </c>
      <c r="J39" s="116">
        <v>822</v>
      </c>
      <c r="K39" s="116">
        <v>311641</v>
      </c>
      <c r="L39" s="116">
        <v>1301413</v>
      </c>
      <c r="M39" s="195">
        <v>1.825242718446602E-2</v>
      </c>
      <c r="N39" s="195">
        <v>2.6702017278933854E-5</v>
      </c>
      <c r="O39" s="195">
        <v>1.1967431977210494E-2</v>
      </c>
      <c r="P39" s="195">
        <v>7.4559587777941375E-2</v>
      </c>
      <c r="R39" s="201" t="s">
        <v>48</v>
      </c>
      <c r="S39" s="202">
        <f t="shared" si="2"/>
        <v>0</v>
      </c>
      <c r="T39" s="203">
        <f t="shared" si="3"/>
        <v>0</v>
      </c>
    </row>
    <row r="40" spans="1:20" ht="22.5" customHeight="1">
      <c r="A40" s="115">
        <v>61</v>
      </c>
      <c r="B40" s="115" t="s">
        <v>11</v>
      </c>
      <c r="C40" s="115" t="s">
        <v>9</v>
      </c>
      <c r="D40" s="115" t="s">
        <v>667</v>
      </c>
      <c r="E40" s="98" t="s">
        <v>639</v>
      </c>
      <c r="F40" s="115" t="s">
        <v>483</v>
      </c>
      <c r="G40" s="115">
        <v>0</v>
      </c>
      <c r="H40" s="115">
        <v>46</v>
      </c>
      <c r="I40" s="194">
        <v>46</v>
      </c>
      <c r="J40" s="116">
        <v>7410</v>
      </c>
      <c r="K40" s="116">
        <v>231694</v>
      </c>
      <c r="L40" s="116">
        <v>365609</v>
      </c>
      <c r="M40" s="195">
        <v>2.5799214806505887E-2</v>
      </c>
      <c r="N40" s="195">
        <v>2.8180341713074223E-4</v>
      </c>
      <c r="O40" s="195">
        <v>7.5278217399439651E-3</v>
      </c>
      <c r="P40" s="195">
        <v>1.8539640665376191E-2</v>
      </c>
      <c r="R40" s="201" t="s">
        <v>50</v>
      </c>
      <c r="S40" s="202">
        <f t="shared" si="2"/>
        <v>0</v>
      </c>
      <c r="T40" s="203">
        <f t="shared" si="3"/>
        <v>1</v>
      </c>
    </row>
    <row r="41" spans="1:20" ht="22.5" customHeight="1">
      <c r="A41" s="115">
        <v>62</v>
      </c>
      <c r="B41" s="115" t="s">
        <v>11</v>
      </c>
      <c r="C41" s="115" t="s">
        <v>9</v>
      </c>
      <c r="D41" s="115" t="s">
        <v>667</v>
      </c>
      <c r="E41" s="98" t="s">
        <v>197</v>
      </c>
      <c r="F41" s="115" t="s">
        <v>483</v>
      </c>
      <c r="G41" s="115">
        <v>0</v>
      </c>
      <c r="H41" s="115">
        <v>45</v>
      </c>
      <c r="I41" s="194">
        <v>45</v>
      </c>
      <c r="J41" s="116">
        <v>35398</v>
      </c>
      <c r="K41" s="116">
        <v>216855</v>
      </c>
      <c r="L41" s="116">
        <v>678815</v>
      </c>
      <c r="M41" s="195">
        <v>2.5238362310712283E-2</v>
      </c>
      <c r="N41" s="195">
        <v>1.3461912765983825E-3</v>
      </c>
      <c r="O41" s="195">
        <v>7.0456972706049725E-3</v>
      </c>
      <c r="P41" s="195">
        <v>3.442198134692346E-2</v>
      </c>
      <c r="R41" s="201" t="s">
        <v>52</v>
      </c>
      <c r="S41" s="202">
        <f t="shared" si="2"/>
        <v>0</v>
      </c>
      <c r="T41" s="203">
        <f t="shared" si="3"/>
        <v>0</v>
      </c>
    </row>
    <row r="42" spans="1:20" ht="22.5" customHeight="1">
      <c r="A42" s="115">
        <v>36</v>
      </c>
      <c r="B42" s="115" t="s">
        <v>11</v>
      </c>
      <c r="C42" s="115" t="s">
        <v>10</v>
      </c>
      <c r="D42" s="115" t="s">
        <v>7</v>
      </c>
      <c r="E42" s="98" t="s">
        <v>108</v>
      </c>
      <c r="F42" s="115" t="s">
        <v>476</v>
      </c>
      <c r="G42" s="115">
        <v>1</v>
      </c>
      <c r="H42" s="115">
        <v>43</v>
      </c>
      <c r="I42" s="194">
        <v>44</v>
      </c>
      <c r="J42" s="116">
        <v>43858</v>
      </c>
      <c r="K42" s="116">
        <v>662053</v>
      </c>
      <c r="L42" s="116">
        <v>1263140</v>
      </c>
      <c r="M42" s="195">
        <v>1.7087378640776699E-2</v>
      </c>
      <c r="N42" s="195">
        <v>1.4246923039166433E-3</v>
      </c>
      <c r="O42" s="195">
        <v>2.5423722304857638E-2</v>
      </c>
      <c r="P42" s="195">
        <v>7.2366879465495484E-2</v>
      </c>
      <c r="R42" s="201" t="s">
        <v>32</v>
      </c>
      <c r="S42" s="202">
        <f t="shared" si="2"/>
        <v>0</v>
      </c>
      <c r="T42" s="203">
        <f t="shared" si="3"/>
        <v>0</v>
      </c>
    </row>
    <row r="43" spans="1:20" ht="22.5" customHeight="1">
      <c r="A43" s="115">
        <v>63</v>
      </c>
      <c r="B43" s="115" t="s">
        <v>11</v>
      </c>
      <c r="C43" s="115" t="s">
        <v>10</v>
      </c>
      <c r="D43" s="115" t="s">
        <v>7</v>
      </c>
      <c r="E43" s="98" t="s">
        <v>105</v>
      </c>
      <c r="F43" s="115" t="s">
        <v>476</v>
      </c>
      <c r="G43" s="115">
        <v>0</v>
      </c>
      <c r="H43" s="115">
        <v>44</v>
      </c>
      <c r="I43" s="194">
        <v>44</v>
      </c>
      <c r="J43" s="116">
        <v>28642</v>
      </c>
      <c r="K43" s="116">
        <v>687693</v>
      </c>
      <c r="L43" s="116">
        <v>869707</v>
      </c>
      <c r="M43" s="195">
        <v>1.7087378640776699E-2</v>
      </c>
      <c r="N43" s="195">
        <v>9.3041262640294821E-4</v>
      </c>
      <c r="O43" s="195">
        <v>2.6408332660669862E-2</v>
      </c>
      <c r="P43" s="195">
        <v>4.9826608008057445E-2</v>
      </c>
      <c r="R43" s="201" t="s">
        <v>56</v>
      </c>
      <c r="S43" s="202">
        <f t="shared" si="2"/>
        <v>0</v>
      </c>
      <c r="T43" s="203">
        <f t="shared" si="3"/>
        <v>0</v>
      </c>
    </row>
    <row r="44" spans="1:20" ht="22.5" customHeight="1">
      <c r="A44" s="115">
        <v>37</v>
      </c>
      <c r="B44" s="115" t="s">
        <v>11</v>
      </c>
      <c r="C44" s="115" t="s">
        <v>9</v>
      </c>
      <c r="D44" s="115" t="s">
        <v>7</v>
      </c>
      <c r="E44" s="98" t="s">
        <v>74</v>
      </c>
      <c r="F44" s="115" t="s">
        <v>476</v>
      </c>
      <c r="G44" s="115">
        <v>1</v>
      </c>
      <c r="H44" s="115">
        <v>41</v>
      </c>
      <c r="I44" s="194">
        <v>42</v>
      </c>
      <c r="J44" s="116">
        <v>90290</v>
      </c>
      <c r="K44" s="116">
        <v>453810</v>
      </c>
      <c r="L44" s="116">
        <v>209664</v>
      </c>
      <c r="M44" s="195">
        <v>1.6310679611650485E-2</v>
      </c>
      <c r="N44" s="195">
        <v>2.9329989539111164E-3</v>
      </c>
      <c r="O44" s="195">
        <v>1.7426912073757607E-2</v>
      </c>
      <c r="P44" s="195">
        <v>1.2011914289986577E-2</v>
      </c>
      <c r="R44" s="201" t="s">
        <v>58</v>
      </c>
      <c r="S44" s="202">
        <f t="shared" si="2"/>
        <v>4</v>
      </c>
      <c r="T44" s="203">
        <f t="shared" si="3"/>
        <v>4</v>
      </c>
    </row>
    <row r="45" spans="1:20" ht="22.5" customHeight="1">
      <c r="A45" s="115">
        <v>27</v>
      </c>
      <c r="B45" s="115" t="s">
        <v>25</v>
      </c>
      <c r="C45" s="115" t="s">
        <v>69</v>
      </c>
      <c r="D45" s="115" t="s">
        <v>667</v>
      </c>
      <c r="E45" s="98" t="s">
        <v>125</v>
      </c>
      <c r="F45" s="115" t="s">
        <v>483</v>
      </c>
      <c r="G45" s="115">
        <v>12</v>
      </c>
      <c r="H45" s="115">
        <v>30</v>
      </c>
      <c r="I45" s="194">
        <v>42</v>
      </c>
      <c r="J45" s="116">
        <v>580020</v>
      </c>
      <c r="K45" s="116">
        <v>841828</v>
      </c>
      <c r="L45" s="116">
        <v>72204</v>
      </c>
      <c r="M45" s="195">
        <v>2.3555804823331465E-2</v>
      </c>
      <c r="N45" s="195">
        <v>2.205824804374806E-2</v>
      </c>
      <c r="O45" s="195">
        <v>2.735129575946528E-2</v>
      </c>
      <c r="P45" s="195">
        <v>3.6613874784341264E-3</v>
      </c>
      <c r="R45" s="201" t="s">
        <v>60</v>
      </c>
      <c r="S45" s="202">
        <f t="shared" si="2"/>
        <v>0</v>
      </c>
      <c r="T45" s="203">
        <f t="shared" si="3"/>
        <v>0</v>
      </c>
    </row>
    <row r="46" spans="1:20" ht="22.5" customHeight="1">
      <c r="A46" s="115">
        <v>64</v>
      </c>
      <c r="B46" s="115" t="s">
        <v>11</v>
      </c>
      <c r="C46" s="115" t="s">
        <v>10</v>
      </c>
      <c r="D46" s="115" t="s">
        <v>667</v>
      </c>
      <c r="E46" s="98" t="s">
        <v>645</v>
      </c>
      <c r="F46" s="115" t="s">
        <v>483</v>
      </c>
      <c r="G46" s="115">
        <v>0</v>
      </c>
      <c r="H46" s="115">
        <v>41</v>
      </c>
      <c r="I46" s="194">
        <v>41</v>
      </c>
      <c r="J46" s="116">
        <v>46673</v>
      </c>
      <c r="K46" s="116">
        <v>419612</v>
      </c>
      <c r="L46" s="116">
        <v>1487179</v>
      </c>
      <c r="M46" s="195">
        <v>2.2994952327537857E-2</v>
      </c>
      <c r="N46" s="195">
        <v>1.7749812264160774E-3</v>
      </c>
      <c r="O46" s="195">
        <v>1.3633345429494795E-2</v>
      </c>
      <c r="P46" s="195">
        <v>7.5413253681100578E-2</v>
      </c>
      <c r="R46" s="201" t="s">
        <v>63</v>
      </c>
      <c r="S46" s="202">
        <f t="shared" si="2"/>
        <v>0</v>
      </c>
      <c r="T46" s="203">
        <f t="shared" si="3"/>
        <v>0</v>
      </c>
    </row>
    <row r="47" spans="1:20" ht="22.5" customHeight="1">
      <c r="A47" s="115">
        <v>65</v>
      </c>
      <c r="B47" s="115" t="s">
        <v>11</v>
      </c>
      <c r="C47" s="115" t="s">
        <v>10</v>
      </c>
      <c r="D47" s="115" t="s">
        <v>7</v>
      </c>
      <c r="E47" s="98" t="s">
        <v>115</v>
      </c>
      <c r="F47" s="115" t="s">
        <v>476</v>
      </c>
      <c r="G47" s="115">
        <v>0</v>
      </c>
      <c r="H47" s="115">
        <v>40</v>
      </c>
      <c r="I47" s="194">
        <v>40</v>
      </c>
      <c r="J47" s="116">
        <v>30127</v>
      </c>
      <c r="K47" s="116">
        <v>535097</v>
      </c>
      <c r="L47" s="116">
        <v>1007935</v>
      </c>
      <c r="M47" s="195">
        <v>1.5533980582524271E-2</v>
      </c>
      <c r="N47" s="195">
        <v>9.7865167221708048E-4</v>
      </c>
      <c r="O47" s="195">
        <v>2.0548441792669785E-2</v>
      </c>
      <c r="P47" s="195">
        <v>5.7745864000866245E-2</v>
      </c>
      <c r="R47" s="204"/>
      <c r="S47" s="208"/>
      <c r="T47" s="208"/>
    </row>
    <row r="48" spans="1:20" ht="22.5" customHeight="1">
      <c r="A48" s="115">
        <v>22</v>
      </c>
      <c r="B48" s="115" t="s">
        <v>39</v>
      </c>
      <c r="C48" s="115" t="s">
        <v>54</v>
      </c>
      <c r="D48" s="115" t="s">
        <v>667</v>
      </c>
      <c r="E48" s="98" t="s">
        <v>671</v>
      </c>
      <c r="F48" s="115" t="s">
        <v>483</v>
      </c>
      <c r="G48" s="115">
        <v>17</v>
      </c>
      <c r="H48" s="115">
        <v>23</v>
      </c>
      <c r="I48" s="194">
        <v>40</v>
      </c>
      <c r="J48" s="116">
        <v>1083916</v>
      </c>
      <c r="K48" s="116">
        <v>552300</v>
      </c>
      <c r="L48" s="116">
        <v>6717</v>
      </c>
      <c r="M48" s="195">
        <v>2.2434099831744252E-2</v>
      </c>
      <c r="N48" s="195">
        <v>4.1221488891050692E-2</v>
      </c>
      <c r="O48" s="195">
        <v>1.7944426471859658E-2</v>
      </c>
      <c r="P48" s="195">
        <v>3.4061187320151277E-4</v>
      </c>
      <c r="R48" s="6"/>
      <c r="S48" s="209"/>
      <c r="T48" s="209"/>
    </row>
    <row r="49" spans="1:20" ht="22.5" customHeight="1">
      <c r="A49" s="115">
        <v>66</v>
      </c>
      <c r="B49" s="115" t="s">
        <v>11</v>
      </c>
      <c r="C49" s="115" t="s">
        <v>10</v>
      </c>
      <c r="D49" s="115" t="s">
        <v>7</v>
      </c>
      <c r="E49" s="98" t="s">
        <v>29</v>
      </c>
      <c r="F49" s="115" t="s">
        <v>476</v>
      </c>
      <c r="G49" s="115">
        <v>0</v>
      </c>
      <c r="H49" s="115">
        <v>39</v>
      </c>
      <c r="I49" s="194">
        <v>39</v>
      </c>
      <c r="J49" s="116">
        <v>81379</v>
      </c>
      <c r="K49" s="116">
        <v>345876</v>
      </c>
      <c r="L49" s="116">
        <v>1873506</v>
      </c>
      <c r="M49" s="195">
        <v>1.5145631067961166E-2</v>
      </c>
      <c r="N49" s="195">
        <v>2.6435321948203869E-3</v>
      </c>
      <c r="O49" s="195">
        <v>1.3282101849723423E-2</v>
      </c>
      <c r="P49" s="195">
        <v>0.10733551536637473</v>
      </c>
      <c r="R49" s="232" t="s">
        <v>67</v>
      </c>
      <c r="S49" s="228"/>
      <c r="T49" s="228"/>
    </row>
    <row r="50" spans="1:20" ht="22.5" customHeight="1">
      <c r="A50" s="115">
        <v>32</v>
      </c>
      <c r="B50" s="115" t="s">
        <v>11</v>
      </c>
      <c r="C50" s="115" t="s">
        <v>10</v>
      </c>
      <c r="D50" s="115" t="s">
        <v>7</v>
      </c>
      <c r="E50" s="98" t="s">
        <v>44</v>
      </c>
      <c r="F50" s="115" t="s">
        <v>476</v>
      </c>
      <c r="G50" s="115">
        <v>2</v>
      </c>
      <c r="H50" s="115">
        <v>36</v>
      </c>
      <c r="I50" s="194">
        <v>38</v>
      </c>
      <c r="J50" s="116">
        <v>39647</v>
      </c>
      <c r="K50" s="116">
        <v>662919</v>
      </c>
      <c r="L50" s="116">
        <v>2009770</v>
      </c>
      <c r="M50" s="195">
        <v>1.4757281553398059E-2</v>
      </c>
      <c r="N50" s="195">
        <v>1.2879013127224945E-3</v>
      </c>
      <c r="O50" s="195">
        <v>2.5456977865237256E-2</v>
      </c>
      <c r="P50" s="195">
        <v>0.1151422513287275</v>
      </c>
      <c r="R50" s="197" t="s">
        <v>482</v>
      </c>
      <c r="S50" s="198" t="s">
        <v>476</v>
      </c>
      <c r="T50" s="198" t="s">
        <v>483</v>
      </c>
    </row>
    <row r="51" spans="1:20" ht="22.5" customHeight="1">
      <c r="A51" s="115">
        <v>38</v>
      </c>
      <c r="B51" s="115" t="s">
        <v>11</v>
      </c>
      <c r="C51" s="115" t="s">
        <v>9</v>
      </c>
      <c r="D51" s="115" t="s">
        <v>7</v>
      </c>
      <c r="E51" s="98" t="s">
        <v>96</v>
      </c>
      <c r="F51" s="115" t="s">
        <v>476</v>
      </c>
      <c r="G51" s="115">
        <v>1</v>
      </c>
      <c r="H51" s="115">
        <v>37</v>
      </c>
      <c r="I51" s="194">
        <v>38</v>
      </c>
      <c r="J51" s="116">
        <v>43323</v>
      </c>
      <c r="K51" s="116">
        <v>394128</v>
      </c>
      <c r="L51" s="116">
        <v>754925</v>
      </c>
      <c r="M51" s="195">
        <v>1.4757281553398059E-2</v>
      </c>
      <c r="N51" s="195">
        <v>1.4073132537411816E-3</v>
      </c>
      <c r="O51" s="195">
        <v>1.5135043304039E-2</v>
      </c>
      <c r="P51" s="195">
        <v>4.3250602847260934E-2</v>
      </c>
      <c r="R51" s="201" t="s">
        <v>468</v>
      </c>
      <c r="S51" s="202">
        <f>SUMIFS(Scoreboard_19[Damage Dealt],Scoreboard_19[Role],"Tank",Scoreboard_19[Team],"Yellow")</f>
        <v>1560959</v>
      </c>
      <c r="T51" s="203">
        <f>SUMIFS(Scoreboard_19[Damage Dealt],Scoreboard_19[Role],"Tank",Scoreboard_19[Team],"Red")</f>
        <v>1259669</v>
      </c>
    </row>
    <row r="52" spans="1:20" ht="22.5" customHeight="1">
      <c r="A52" s="115">
        <v>69</v>
      </c>
      <c r="B52" s="115" t="s">
        <v>11</v>
      </c>
      <c r="C52" s="115" t="s">
        <v>9</v>
      </c>
      <c r="D52" s="115" t="s">
        <v>7</v>
      </c>
      <c r="E52" s="98" t="s">
        <v>59</v>
      </c>
      <c r="F52" s="115" t="s">
        <v>476</v>
      </c>
      <c r="G52" s="115">
        <v>0</v>
      </c>
      <c r="H52" s="115">
        <v>38</v>
      </c>
      <c r="I52" s="194">
        <v>38</v>
      </c>
      <c r="J52" s="116">
        <v>23554</v>
      </c>
      <c r="K52" s="116">
        <v>181960</v>
      </c>
      <c r="L52" s="116">
        <v>746460</v>
      </c>
      <c r="M52" s="195">
        <v>1.4757281553398059E-2</v>
      </c>
      <c r="N52" s="195">
        <v>7.6513298660341601E-4</v>
      </c>
      <c r="O52" s="195">
        <v>6.987507813712642E-3</v>
      </c>
      <c r="P52" s="195">
        <v>4.2765632349394171E-2</v>
      </c>
      <c r="R52" s="201" t="s">
        <v>469</v>
      </c>
      <c r="S52" s="202">
        <f>SUMIFS(Scoreboard_19[Damage Taken],Scoreboard_19[Role],"Tank",Scoreboard_19[Team],"Yellow")</f>
        <v>8480921</v>
      </c>
      <c r="T52" s="203">
        <f>SUMIFS(Scoreboard_19[Damage Taken],Scoreboard_19[Role],"Tank",Scoreboard_19[Team],"Red")</f>
        <v>8830469</v>
      </c>
    </row>
    <row r="53" spans="1:20" ht="22.5" customHeight="1">
      <c r="A53" s="115">
        <v>67</v>
      </c>
      <c r="B53" s="115" t="s">
        <v>11</v>
      </c>
      <c r="C53" s="115" t="s">
        <v>10</v>
      </c>
      <c r="D53" s="115" t="s">
        <v>667</v>
      </c>
      <c r="E53" s="98" t="s">
        <v>366</v>
      </c>
      <c r="F53" s="115" t="s">
        <v>483</v>
      </c>
      <c r="G53" s="115">
        <v>0</v>
      </c>
      <c r="H53" s="115">
        <v>38</v>
      </c>
      <c r="I53" s="194">
        <v>38</v>
      </c>
      <c r="J53" s="116">
        <v>50708</v>
      </c>
      <c r="K53" s="116">
        <v>889611</v>
      </c>
      <c r="L53" s="116">
        <v>1481138</v>
      </c>
      <c r="M53" s="195">
        <v>2.131239484015704E-2</v>
      </c>
      <c r="N53" s="195">
        <v>1.9284328847322103E-3</v>
      </c>
      <c r="O53" s="195">
        <v>2.8903782687049691E-2</v>
      </c>
      <c r="P53" s="195">
        <v>7.5106921043612065E-2</v>
      </c>
      <c r="R53" s="201" t="s">
        <v>470</v>
      </c>
      <c r="S53" s="202">
        <f>SUMIFS(Scoreboard_19[Amount Healed],Scoreboard_19[Role],"Tank",Scoreboard_19[Team],"Yellow")</f>
        <v>673075</v>
      </c>
      <c r="T53" s="203">
        <f>SUMIFS(Scoreboard_19[Amount Healed],Scoreboard_19[Role],"Tank",Scoreboard_19[Team],"Red")</f>
        <v>773197</v>
      </c>
    </row>
    <row r="54" spans="1:20" ht="22.5" customHeight="1">
      <c r="A54" s="115">
        <v>68</v>
      </c>
      <c r="B54" s="115" t="s">
        <v>11</v>
      </c>
      <c r="C54" s="115" t="s">
        <v>9</v>
      </c>
      <c r="D54" s="115" t="s">
        <v>667</v>
      </c>
      <c r="E54" s="98" t="s">
        <v>602</v>
      </c>
      <c r="F54" s="115" t="s">
        <v>483</v>
      </c>
      <c r="G54" s="115">
        <v>0</v>
      </c>
      <c r="H54" s="115">
        <v>38</v>
      </c>
      <c r="I54" s="194">
        <v>38</v>
      </c>
      <c r="J54" s="116">
        <v>48608</v>
      </c>
      <c r="K54" s="116">
        <v>342399</v>
      </c>
      <c r="L54" s="116">
        <v>402869</v>
      </c>
      <c r="M54" s="195">
        <v>2.131239484015704E-2</v>
      </c>
      <c r="N54" s="195">
        <v>1.8485695681364535E-3</v>
      </c>
      <c r="O54" s="195">
        <v>1.1124667172801512E-2</v>
      </c>
      <c r="P54" s="195">
        <v>2.0429055343876769E-2</v>
      </c>
      <c r="R54" s="201" t="s">
        <v>465</v>
      </c>
      <c r="S54" s="202">
        <f>SUMIFS(Scoreboard_19[Kills],Scoreboard_19[Role],"Tank",Scoreboard_19[Team],"Yellow")</f>
        <v>14</v>
      </c>
      <c r="T54" s="203">
        <f>SUMIFS(Scoreboard_19[Kills],Scoreboard_19[Role],"Tank",Scoreboard_19[Team],"Red")</f>
        <v>9</v>
      </c>
    </row>
    <row r="55" spans="1:20" ht="22.5" customHeight="1">
      <c r="A55" s="115">
        <v>70</v>
      </c>
      <c r="B55" s="115" t="s">
        <v>11</v>
      </c>
      <c r="C55" s="115" t="s">
        <v>9</v>
      </c>
      <c r="D55" s="115" t="s">
        <v>7</v>
      </c>
      <c r="E55" s="98" t="s">
        <v>97</v>
      </c>
      <c r="F55" s="115" t="s">
        <v>476</v>
      </c>
      <c r="G55" s="115">
        <v>0</v>
      </c>
      <c r="H55" s="115">
        <v>37</v>
      </c>
      <c r="I55" s="194">
        <v>37</v>
      </c>
      <c r="J55" s="116">
        <v>44872</v>
      </c>
      <c r="K55" s="116">
        <v>154988</v>
      </c>
      <c r="L55" s="116">
        <v>335578</v>
      </c>
      <c r="M55" s="195">
        <v>1.4368932038834952E-2</v>
      </c>
      <c r="N55" s="195">
        <v>1.4576312887351823E-3</v>
      </c>
      <c r="O55" s="195">
        <v>5.9517468731132943E-3</v>
      </c>
      <c r="P55" s="195">
        <v>1.9225685733388256E-2</v>
      </c>
      <c r="R55" s="201" t="s">
        <v>466</v>
      </c>
      <c r="S55" s="202">
        <f>SUMIFS(Scoreboard_19[Assists],Scoreboard_19[Role],"Tank",Scoreboard_19[Team],"Yellow")</f>
        <v>236</v>
      </c>
      <c r="T55" s="203">
        <f>SUMIFS(Scoreboard_19[Assists],Scoreboard_19[Role],"Tank",Scoreboard_19[Team],"Red")</f>
        <v>185</v>
      </c>
    </row>
    <row r="56" spans="1:20" ht="22.5" customHeight="1">
      <c r="A56" s="115">
        <v>71</v>
      </c>
      <c r="B56" s="115" t="s">
        <v>11</v>
      </c>
      <c r="C56" s="115" t="s">
        <v>9</v>
      </c>
      <c r="D56" s="115" t="s">
        <v>7</v>
      </c>
      <c r="E56" s="98" t="s">
        <v>100</v>
      </c>
      <c r="F56" s="115" t="s">
        <v>476</v>
      </c>
      <c r="G56" s="115">
        <v>0</v>
      </c>
      <c r="H56" s="115">
        <v>32</v>
      </c>
      <c r="I56" s="194">
        <v>32</v>
      </c>
      <c r="J56" s="116">
        <v>713</v>
      </c>
      <c r="K56" s="116">
        <v>597545</v>
      </c>
      <c r="L56" s="116">
        <v>1060248</v>
      </c>
      <c r="M56" s="195">
        <v>1.2427184466019418E-2</v>
      </c>
      <c r="N56" s="195">
        <v>2.3161238831970606E-5</v>
      </c>
      <c r="O56" s="195">
        <v>2.294652866863553E-2</v>
      </c>
      <c r="P56" s="195">
        <v>6.0742941573802313E-2</v>
      </c>
      <c r="R56" s="201" t="s">
        <v>62</v>
      </c>
      <c r="S56" s="202">
        <f t="shared" ref="S56:S60" si="4">COUNTIFS(C:C,R56,F:F,"Yellow")</f>
        <v>3</v>
      </c>
      <c r="T56" s="203">
        <f t="shared" ref="T56:T60" si="5">COUNTIFS(C:C,R56,F:F,"Red")</f>
        <v>1</v>
      </c>
    </row>
    <row r="57" spans="1:20" ht="22.5" customHeight="1">
      <c r="A57" s="115">
        <v>72</v>
      </c>
      <c r="B57" s="115" t="s">
        <v>67</v>
      </c>
      <c r="C57" s="115" t="s">
        <v>14</v>
      </c>
      <c r="D57" s="115" t="s">
        <v>7</v>
      </c>
      <c r="E57" s="98" t="s">
        <v>55</v>
      </c>
      <c r="F57" s="115" t="s">
        <v>476</v>
      </c>
      <c r="G57" s="115">
        <v>0</v>
      </c>
      <c r="H57" s="115">
        <v>31</v>
      </c>
      <c r="I57" s="194">
        <v>31</v>
      </c>
      <c r="J57" s="116">
        <v>305697</v>
      </c>
      <c r="K57" s="116">
        <v>711039</v>
      </c>
      <c r="L57" s="116">
        <v>53668</v>
      </c>
      <c r="M57" s="195">
        <v>1.2038834951456311E-2</v>
      </c>
      <c r="N57" s="195">
        <v>9.93032430184701E-3</v>
      </c>
      <c r="O57" s="195">
        <v>2.7304850342682038E-2</v>
      </c>
      <c r="P57" s="195">
        <v>3.0747072273494716E-3</v>
      </c>
      <c r="R57" s="201" t="s">
        <v>70</v>
      </c>
      <c r="S57" s="202">
        <f t="shared" si="4"/>
        <v>0</v>
      </c>
      <c r="T57" s="203">
        <f t="shared" si="5"/>
        <v>0</v>
      </c>
    </row>
    <row r="58" spans="1:20" ht="22.5" customHeight="1">
      <c r="A58" s="115">
        <v>73</v>
      </c>
      <c r="B58" s="115" t="s">
        <v>67</v>
      </c>
      <c r="C58" s="115" t="s">
        <v>14</v>
      </c>
      <c r="D58" s="115" t="s">
        <v>667</v>
      </c>
      <c r="E58" s="98" t="s">
        <v>708</v>
      </c>
      <c r="F58" s="115" t="s">
        <v>483</v>
      </c>
      <c r="G58" s="115">
        <v>0</v>
      </c>
      <c r="H58" s="115">
        <v>31</v>
      </c>
      <c r="I58" s="194">
        <v>31</v>
      </c>
      <c r="J58" s="116">
        <v>77757</v>
      </c>
      <c r="K58" s="116">
        <v>354033</v>
      </c>
      <c r="L58" s="116">
        <v>52609</v>
      </c>
      <c r="M58" s="195">
        <v>1.7386427369601793E-2</v>
      </c>
      <c r="N58" s="195">
        <v>2.9571104326363193E-3</v>
      </c>
      <c r="O58" s="195">
        <v>1.1502660034604184E-2</v>
      </c>
      <c r="P58" s="195">
        <v>2.6677460231142452E-3</v>
      </c>
      <c r="R58" s="201" t="s">
        <v>14</v>
      </c>
      <c r="S58" s="202">
        <f t="shared" si="4"/>
        <v>10</v>
      </c>
      <c r="T58" s="203">
        <f t="shared" si="5"/>
        <v>13</v>
      </c>
    </row>
    <row r="59" spans="1:20" ht="22.5" customHeight="1">
      <c r="A59" s="115">
        <v>74</v>
      </c>
      <c r="B59" s="115" t="s">
        <v>67</v>
      </c>
      <c r="C59" s="115" t="s">
        <v>14</v>
      </c>
      <c r="D59" s="115" t="s">
        <v>7</v>
      </c>
      <c r="E59" s="98" t="s">
        <v>64</v>
      </c>
      <c r="F59" s="115" t="s">
        <v>476</v>
      </c>
      <c r="G59" s="115">
        <v>0</v>
      </c>
      <c r="H59" s="115">
        <v>30</v>
      </c>
      <c r="I59" s="194">
        <v>30</v>
      </c>
      <c r="J59" s="116">
        <v>120840</v>
      </c>
      <c r="K59" s="116">
        <v>665411</v>
      </c>
      <c r="L59" s="116">
        <v>54673</v>
      </c>
      <c r="M59" s="195">
        <v>1.1650485436893204E-2</v>
      </c>
      <c r="N59" s="195">
        <v>3.9253914452388886E-3</v>
      </c>
      <c r="O59" s="195">
        <v>2.5552674004343499E-2</v>
      </c>
      <c r="P59" s="195">
        <v>3.1322849415084905E-3</v>
      </c>
      <c r="R59" s="201" t="s">
        <v>73</v>
      </c>
      <c r="S59" s="202">
        <f t="shared" si="4"/>
        <v>1</v>
      </c>
      <c r="T59" s="203">
        <f t="shared" si="5"/>
        <v>0</v>
      </c>
    </row>
    <row r="60" spans="1:20" ht="22.5" customHeight="1">
      <c r="A60" s="115">
        <v>31</v>
      </c>
      <c r="B60" s="115" t="s">
        <v>25</v>
      </c>
      <c r="C60" s="115" t="s">
        <v>24</v>
      </c>
      <c r="D60" s="115" t="s">
        <v>667</v>
      </c>
      <c r="E60" s="98" t="s">
        <v>709</v>
      </c>
      <c r="F60" s="115" t="s">
        <v>483</v>
      </c>
      <c r="G60" s="115">
        <v>5</v>
      </c>
      <c r="H60" s="115">
        <v>24</v>
      </c>
      <c r="I60" s="194">
        <v>29</v>
      </c>
      <c r="J60" s="116">
        <v>560862</v>
      </c>
      <c r="K60" s="116">
        <v>1197624</v>
      </c>
      <c r="L60" s="116">
        <v>62776</v>
      </c>
      <c r="M60" s="195">
        <v>1.6264722378014584E-2</v>
      </c>
      <c r="N60" s="195">
        <v>2.1329666415490198E-2</v>
      </c>
      <c r="O60" s="195">
        <v>3.891123630080473E-2</v>
      </c>
      <c r="P60" s="195">
        <v>3.1833036998806263E-3</v>
      </c>
      <c r="R60" s="201" t="s">
        <v>75</v>
      </c>
      <c r="S60" s="202">
        <f t="shared" si="4"/>
        <v>0</v>
      </c>
      <c r="T60" s="203">
        <f t="shared" si="5"/>
        <v>0</v>
      </c>
    </row>
    <row r="61" spans="1:20" ht="22.5" customHeight="1">
      <c r="A61" s="115">
        <v>39</v>
      </c>
      <c r="B61" s="115" t="s">
        <v>67</v>
      </c>
      <c r="C61" s="115" t="s">
        <v>14</v>
      </c>
      <c r="D61" s="115" t="s">
        <v>7</v>
      </c>
      <c r="E61" s="98" t="s">
        <v>85</v>
      </c>
      <c r="F61" s="115" t="s">
        <v>476</v>
      </c>
      <c r="G61" s="115">
        <v>1</v>
      </c>
      <c r="H61" s="115">
        <v>26</v>
      </c>
      <c r="I61" s="194">
        <v>27</v>
      </c>
      <c r="J61" s="116">
        <v>109628</v>
      </c>
      <c r="K61" s="116">
        <v>748690</v>
      </c>
      <c r="L61" s="116">
        <v>82358</v>
      </c>
      <c r="M61" s="195">
        <v>1.0485436893203883E-2</v>
      </c>
      <c r="N61" s="195">
        <v>3.5611785282907062E-3</v>
      </c>
      <c r="O61" s="195">
        <v>2.875069919239678E-2</v>
      </c>
      <c r="P61" s="195">
        <v>4.7183934156303153E-3</v>
      </c>
      <c r="R61" s="204"/>
      <c r="S61" s="208"/>
      <c r="T61" s="208"/>
    </row>
    <row r="62" spans="1:20" ht="22.5" customHeight="1">
      <c r="A62" s="115">
        <v>75</v>
      </c>
      <c r="B62" s="115" t="s">
        <v>67</v>
      </c>
      <c r="C62" s="115" t="s">
        <v>14</v>
      </c>
      <c r="D62" s="115" t="s">
        <v>667</v>
      </c>
      <c r="E62" s="98" t="s">
        <v>216</v>
      </c>
      <c r="F62" s="115" t="s">
        <v>483</v>
      </c>
      <c r="G62" s="115">
        <v>0</v>
      </c>
      <c r="H62" s="115">
        <v>27</v>
      </c>
      <c r="I62" s="194">
        <v>27</v>
      </c>
      <c r="J62" s="116">
        <v>185001</v>
      </c>
      <c r="K62" s="116">
        <v>551914</v>
      </c>
      <c r="L62" s="116">
        <v>53618</v>
      </c>
      <c r="M62" s="195">
        <v>1.5143017386427369E-2</v>
      </c>
      <c r="N62" s="195">
        <v>7.0356159207293455E-3</v>
      </c>
      <c r="O62" s="195">
        <v>1.7931885192449669E-2</v>
      </c>
      <c r="P62" s="195">
        <v>2.7189113320408979E-3</v>
      </c>
      <c r="R62" s="6"/>
      <c r="S62" s="209"/>
      <c r="T62" s="209"/>
    </row>
    <row r="63" spans="1:20" ht="22.5" customHeight="1">
      <c r="A63" s="115">
        <v>76</v>
      </c>
      <c r="B63" s="115" t="s">
        <v>11</v>
      </c>
      <c r="C63" s="115" t="s">
        <v>9</v>
      </c>
      <c r="D63" s="115" t="s">
        <v>667</v>
      </c>
      <c r="E63" s="98" t="s">
        <v>688</v>
      </c>
      <c r="F63" s="115" t="s">
        <v>483</v>
      </c>
      <c r="G63" s="115">
        <v>0</v>
      </c>
      <c r="H63" s="115">
        <v>24</v>
      </c>
      <c r="I63" s="194">
        <v>24</v>
      </c>
      <c r="J63" s="116">
        <v>126230</v>
      </c>
      <c r="K63" s="116">
        <v>437169</v>
      </c>
      <c r="L63" s="116">
        <v>1034362</v>
      </c>
      <c r="M63" s="195">
        <v>1.346045989904655E-2</v>
      </c>
      <c r="N63" s="195">
        <v>4.8005459304201886E-3</v>
      </c>
      <c r="O63" s="195">
        <v>1.4203778700482375E-2</v>
      </c>
      <c r="P63" s="195">
        <v>5.245138877303307E-2</v>
      </c>
      <c r="R63" s="232" t="s">
        <v>11</v>
      </c>
      <c r="S63" s="228"/>
      <c r="T63" s="228"/>
    </row>
    <row r="64" spans="1:20" ht="22.5" customHeight="1">
      <c r="A64" s="115">
        <v>77</v>
      </c>
      <c r="B64" s="115" t="s">
        <v>11</v>
      </c>
      <c r="C64" s="115" t="s">
        <v>9</v>
      </c>
      <c r="D64" s="115" t="s">
        <v>667</v>
      </c>
      <c r="E64" s="98" t="s">
        <v>126</v>
      </c>
      <c r="F64" s="115" t="s">
        <v>483</v>
      </c>
      <c r="G64" s="115">
        <v>0</v>
      </c>
      <c r="H64" s="115">
        <v>24</v>
      </c>
      <c r="I64" s="194">
        <v>24</v>
      </c>
      <c r="J64" s="116">
        <v>9819</v>
      </c>
      <c r="K64" s="116">
        <v>296742</v>
      </c>
      <c r="L64" s="116">
        <v>946718</v>
      </c>
      <c r="M64" s="195">
        <v>1.346045989904655E-2</v>
      </c>
      <c r="N64" s="195">
        <v>3.7341805031130339E-4</v>
      </c>
      <c r="O64" s="195">
        <v>9.6412547530555486E-3</v>
      </c>
      <c r="P64" s="195">
        <v>4.8007055437485451E-2</v>
      </c>
      <c r="R64" s="197" t="s">
        <v>482</v>
      </c>
      <c r="S64" s="198" t="s">
        <v>476</v>
      </c>
      <c r="T64" s="198" t="s">
        <v>483</v>
      </c>
    </row>
    <row r="65" spans="1:20" ht="22.5" customHeight="1">
      <c r="A65" s="115">
        <v>40</v>
      </c>
      <c r="B65" s="115" t="s">
        <v>11</v>
      </c>
      <c r="C65" s="115" t="s">
        <v>9</v>
      </c>
      <c r="D65" s="115" t="s">
        <v>667</v>
      </c>
      <c r="E65" s="98" t="s">
        <v>121</v>
      </c>
      <c r="F65" s="115" t="s">
        <v>483</v>
      </c>
      <c r="G65" s="115">
        <v>1</v>
      </c>
      <c r="H65" s="115">
        <v>22</v>
      </c>
      <c r="I65" s="194">
        <v>23</v>
      </c>
      <c r="J65" s="116">
        <v>146365</v>
      </c>
      <c r="K65" s="116">
        <v>317467</v>
      </c>
      <c r="L65" s="116">
        <v>957819</v>
      </c>
      <c r="M65" s="195">
        <v>1.2899607403252944E-2</v>
      </c>
      <c r="N65" s="195">
        <v>5.5662830159704576E-3</v>
      </c>
      <c r="O65" s="195">
        <v>1.0314617488216314E-2</v>
      </c>
      <c r="P65" s="195">
        <v>4.856997525353577E-2</v>
      </c>
      <c r="R65" s="201" t="s">
        <v>468</v>
      </c>
      <c r="S65" s="202">
        <f>SUMIFS(Scoreboard_19[Damage Dealt],Scoreboard_19[Role],"Healer",Scoreboard_19[Team],"Yellow")</f>
        <v>785206</v>
      </c>
      <c r="T65" s="203">
        <f>SUMIFS(Scoreboard_19[Damage Dealt],Scoreboard_19[Role],"Healer",Scoreboard_19[Team],"Red")</f>
        <v>915502</v>
      </c>
    </row>
    <row r="66" spans="1:20" ht="22.5" customHeight="1">
      <c r="A66" s="115">
        <v>78</v>
      </c>
      <c r="B66" s="115" t="s">
        <v>11</v>
      </c>
      <c r="C66" s="115" t="s">
        <v>10</v>
      </c>
      <c r="D66" s="115" t="s">
        <v>667</v>
      </c>
      <c r="E66" s="98" t="s">
        <v>258</v>
      </c>
      <c r="F66" s="115" t="s">
        <v>483</v>
      </c>
      <c r="G66" s="115">
        <v>0</v>
      </c>
      <c r="H66" s="115">
        <v>23</v>
      </c>
      <c r="I66" s="194">
        <v>23</v>
      </c>
      <c r="J66" s="116">
        <v>26189</v>
      </c>
      <c r="K66" s="116">
        <v>1006634</v>
      </c>
      <c r="L66" s="116">
        <v>1880967</v>
      </c>
      <c r="M66" s="195">
        <v>1.2899607403252944E-2</v>
      </c>
      <c r="N66" s="195">
        <v>9.9597161825060849E-4</v>
      </c>
      <c r="O66" s="195">
        <v>3.2705902221752625E-2</v>
      </c>
      <c r="P66" s="195">
        <v>9.5381821244637469E-2</v>
      </c>
      <c r="R66" s="201" t="s">
        <v>469</v>
      </c>
      <c r="S66" s="202">
        <f>SUMIFS(Scoreboard_19[Damage Taken],Scoreboard_19[Role],"Healer",Scoreboard_19[Team],"Yellow")</f>
        <v>7037929</v>
      </c>
      <c r="T66" s="203">
        <f>SUMIFS(Scoreboard_19[Damage Taken],Scoreboard_19[Role],"Healer",Scoreboard_19[Team],"Red")</f>
        <v>9451594</v>
      </c>
    </row>
    <row r="67" spans="1:20" ht="22.5" customHeight="1">
      <c r="A67" s="115">
        <v>79</v>
      </c>
      <c r="B67" s="115" t="s">
        <v>11</v>
      </c>
      <c r="C67" s="115" t="s">
        <v>9</v>
      </c>
      <c r="D67" s="115" t="s">
        <v>667</v>
      </c>
      <c r="E67" s="98" t="s">
        <v>641</v>
      </c>
      <c r="F67" s="115" t="s">
        <v>483</v>
      </c>
      <c r="G67" s="115">
        <v>0</v>
      </c>
      <c r="H67" s="115">
        <v>23</v>
      </c>
      <c r="I67" s="194">
        <v>23</v>
      </c>
      <c r="J67" s="116">
        <v>10295</v>
      </c>
      <c r="K67" s="116">
        <v>260615</v>
      </c>
      <c r="L67" s="116">
        <v>990447</v>
      </c>
      <c r="M67" s="195">
        <v>1.2899607403252944E-2</v>
      </c>
      <c r="N67" s="195">
        <v>3.9152040207300832E-4</v>
      </c>
      <c r="O67" s="195">
        <v>8.4674754752194561E-3</v>
      </c>
      <c r="P67" s="195">
        <v>5.0224506174902296E-2</v>
      </c>
      <c r="R67" s="201" t="s">
        <v>470</v>
      </c>
      <c r="S67" s="202">
        <f>SUMIFS(Scoreboard_19[Amount Healed],Scoreboard_19[Role],"Healer",Scoreboard_19[Team],"Yellow")</f>
        <v>16516996</v>
      </c>
      <c r="T67" s="203">
        <f>SUMIFS(Scoreboard_19[Amount Healed],Scoreboard_19[Role],"Healer",Scoreboard_19[Team],"Red")</f>
        <v>18653063</v>
      </c>
    </row>
    <row r="68" spans="1:20" ht="22.5" customHeight="1">
      <c r="A68" s="115">
        <v>80</v>
      </c>
      <c r="B68" s="115" t="s">
        <v>11</v>
      </c>
      <c r="C68" s="115" t="s">
        <v>10</v>
      </c>
      <c r="D68" s="115" t="s">
        <v>667</v>
      </c>
      <c r="E68" s="98" t="s">
        <v>693</v>
      </c>
      <c r="F68" s="115" t="s">
        <v>483</v>
      </c>
      <c r="G68" s="115">
        <v>0</v>
      </c>
      <c r="H68" s="115">
        <v>22</v>
      </c>
      <c r="I68" s="194">
        <v>22</v>
      </c>
      <c r="J68" s="116">
        <v>26589</v>
      </c>
      <c r="K68" s="116">
        <v>1322689</v>
      </c>
      <c r="L68" s="116">
        <v>2283090</v>
      </c>
      <c r="M68" s="195">
        <v>1.2338754907459339E-2</v>
      </c>
      <c r="N68" s="195">
        <v>1.0111836785545623E-3</v>
      </c>
      <c r="O68" s="195">
        <v>4.2974643320002864E-2</v>
      </c>
      <c r="P68" s="195">
        <v>0.11577304772780136</v>
      </c>
      <c r="R68" s="201" t="s">
        <v>465</v>
      </c>
      <c r="S68" s="202">
        <f>SUMIFS(Scoreboard_19[Kills],Scoreboard_19[Role],"Healer",Scoreboard_19[Team],"Yellow")</f>
        <v>5</v>
      </c>
      <c r="T68" s="203">
        <f>SUMIFS(Scoreboard_19[Kills],Scoreboard_19[Role],"Healer",Scoreboard_19[Team],"Red")</f>
        <v>1</v>
      </c>
    </row>
    <row r="69" spans="1:20" ht="22.5" customHeight="1">
      <c r="A69" s="115">
        <v>81</v>
      </c>
      <c r="B69" s="115" t="s">
        <v>67</v>
      </c>
      <c r="C69" s="115" t="s">
        <v>14</v>
      </c>
      <c r="D69" s="115" t="s">
        <v>667</v>
      </c>
      <c r="E69" s="98" t="s">
        <v>686</v>
      </c>
      <c r="F69" s="115" t="s">
        <v>483</v>
      </c>
      <c r="G69" s="115">
        <v>0</v>
      </c>
      <c r="H69" s="115">
        <v>21</v>
      </c>
      <c r="I69" s="194">
        <v>21</v>
      </c>
      <c r="J69" s="116">
        <v>140867</v>
      </c>
      <c r="K69" s="116">
        <v>1264405</v>
      </c>
      <c r="L69" s="116">
        <v>105759</v>
      </c>
      <c r="M69" s="195">
        <v>1.1777902411665733E-2</v>
      </c>
      <c r="N69" s="195">
        <v>5.3571932470926143E-3</v>
      </c>
      <c r="O69" s="195">
        <v>4.1080975109816606E-2</v>
      </c>
      <c r="P69" s="195">
        <v>5.3629255765846049E-3</v>
      </c>
      <c r="R69" s="201" t="s">
        <v>466</v>
      </c>
      <c r="S69" s="202">
        <f>SUMIFS(Scoreboard_19[Assists],Scoreboard_19[Role],"Healer",Scoreboard_19[Team],"Yellow")</f>
        <v>850</v>
      </c>
      <c r="T69" s="203">
        <f>SUMIFS(Scoreboard_19[Assists],Scoreboard_19[Role],"Healer",Scoreboard_19[Team],"Red")</f>
        <v>600</v>
      </c>
    </row>
    <row r="70" spans="1:20" ht="22.5" customHeight="1">
      <c r="A70" s="115">
        <v>33</v>
      </c>
      <c r="B70" s="115" t="s">
        <v>67</v>
      </c>
      <c r="C70" s="115" t="s">
        <v>14</v>
      </c>
      <c r="D70" s="115" t="s">
        <v>667</v>
      </c>
      <c r="E70" s="98" t="s">
        <v>685</v>
      </c>
      <c r="F70" s="115" t="s">
        <v>483</v>
      </c>
      <c r="G70" s="115">
        <v>2</v>
      </c>
      <c r="H70" s="115">
        <v>17</v>
      </c>
      <c r="I70" s="194">
        <v>19</v>
      </c>
      <c r="J70" s="116">
        <v>22400</v>
      </c>
      <c r="K70" s="116">
        <v>507639</v>
      </c>
      <c r="L70" s="116">
        <v>69851</v>
      </c>
      <c r="M70" s="195">
        <v>1.065619742007852E-2</v>
      </c>
      <c r="N70" s="195">
        <v>8.5187537702140713E-4</v>
      </c>
      <c r="O70" s="195">
        <v>1.6493374451834811E-2</v>
      </c>
      <c r="P70" s="195">
        <v>3.5420693695100295E-3</v>
      </c>
      <c r="R70" s="201" t="s">
        <v>10</v>
      </c>
      <c r="S70" s="202">
        <f t="shared" ref="S70:S72" si="6">COUNTIFS(C:C,R70,F:F,"Yellow")</f>
        <v>7</v>
      </c>
      <c r="T70" s="203">
        <f t="shared" ref="T70:T72" si="7">COUNTIFS(C:C,R70,F:F,"Red")</f>
        <v>7</v>
      </c>
    </row>
    <row r="71" spans="1:20" ht="22.5" customHeight="1">
      <c r="A71" s="115">
        <v>41</v>
      </c>
      <c r="B71" s="115" t="s">
        <v>67</v>
      </c>
      <c r="C71" s="115" t="s">
        <v>62</v>
      </c>
      <c r="D71" s="115" t="s">
        <v>7</v>
      </c>
      <c r="E71" s="98" t="s">
        <v>61</v>
      </c>
      <c r="F71" s="115" t="s">
        <v>476</v>
      </c>
      <c r="G71" s="115">
        <v>1</v>
      </c>
      <c r="H71" s="115">
        <v>17</v>
      </c>
      <c r="I71" s="194">
        <v>18</v>
      </c>
      <c r="J71" s="116">
        <v>73493</v>
      </c>
      <c r="K71" s="116">
        <v>308464</v>
      </c>
      <c r="L71" s="116">
        <v>10183</v>
      </c>
      <c r="M71" s="195">
        <v>6.9902912621359224E-3</v>
      </c>
      <c r="N71" s="195">
        <v>2.3873617468134862E-3</v>
      </c>
      <c r="O71" s="195">
        <v>1.1845430920252014E-2</v>
      </c>
      <c r="P71" s="195">
        <v>5.8339687888685373E-4</v>
      </c>
      <c r="R71" s="201" t="s">
        <v>9</v>
      </c>
      <c r="S71" s="202">
        <f t="shared" si="6"/>
        <v>12</v>
      </c>
      <c r="T71" s="203">
        <f t="shared" si="7"/>
        <v>12</v>
      </c>
    </row>
    <row r="72" spans="1:20" ht="22.5" customHeight="1">
      <c r="A72" s="115">
        <v>42</v>
      </c>
      <c r="B72" s="115" t="s">
        <v>67</v>
      </c>
      <c r="C72" s="115" t="s">
        <v>14</v>
      </c>
      <c r="D72" s="115" t="s">
        <v>667</v>
      </c>
      <c r="E72" s="98" t="s">
        <v>684</v>
      </c>
      <c r="F72" s="115" t="s">
        <v>483</v>
      </c>
      <c r="G72" s="115">
        <v>1</v>
      </c>
      <c r="H72" s="115">
        <v>16</v>
      </c>
      <c r="I72" s="194">
        <v>17</v>
      </c>
      <c r="J72" s="116">
        <v>238534</v>
      </c>
      <c r="K72" s="116">
        <v>587878</v>
      </c>
      <c r="L72" s="116">
        <v>69074</v>
      </c>
      <c r="M72" s="195">
        <v>9.534492428491307E-3</v>
      </c>
      <c r="N72" s="195">
        <v>9.071483981358229E-3</v>
      </c>
      <c r="O72" s="195">
        <v>1.9100368541415738E-2</v>
      </c>
      <c r="P72" s="195">
        <v>3.5026685320115069E-3</v>
      </c>
      <c r="R72" s="201" t="s">
        <v>18</v>
      </c>
      <c r="S72" s="202">
        <f t="shared" si="6"/>
        <v>0</v>
      </c>
      <c r="T72" s="203">
        <f t="shared" si="7"/>
        <v>0</v>
      </c>
    </row>
    <row r="73" spans="1:20" ht="22.5" customHeight="1">
      <c r="A73" s="115">
        <v>44</v>
      </c>
      <c r="B73" s="115" t="s">
        <v>67</v>
      </c>
      <c r="C73" s="115" t="s">
        <v>62</v>
      </c>
      <c r="D73" s="115" t="s">
        <v>7</v>
      </c>
      <c r="E73" s="98" t="s">
        <v>79</v>
      </c>
      <c r="F73" s="115" t="s">
        <v>476</v>
      </c>
      <c r="G73" s="115">
        <v>1</v>
      </c>
      <c r="H73" s="115">
        <v>15</v>
      </c>
      <c r="I73" s="194">
        <v>16</v>
      </c>
      <c r="J73" s="116">
        <v>88563</v>
      </c>
      <c r="K73" s="116">
        <v>728784</v>
      </c>
      <c r="L73" s="116">
        <v>30971</v>
      </c>
      <c r="M73" s="195">
        <v>6.2135922330097092E-3</v>
      </c>
      <c r="N73" s="195">
        <v>2.8768987302606069E-3</v>
      </c>
      <c r="O73" s="195">
        <v>2.7986282119744747E-2</v>
      </c>
      <c r="P73" s="195">
        <v>1.7743675474815623E-3</v>
      </c>
    </row>
    <row r="74" spans="1:20" ht="22.5" customHeight="1">
      <c r="A74" s="115">
        <v>43</v>
      </c>
      <c r="B74" s="115" t="s">
        <v>67</v>
      </c>
      <c r="C74" s="115" t="s">
        <v>14</v>
      </c>
      <c r="D74" s="115" t="s">
        <v>667</v>
      </c>
      <c r="E74" s="98" t="s">
        <v>408</v>
      </c>
      <c r="F74" s="115" t="s">
        <v>483</v>
      </c>
      <c r="G74" s="115">
        <v>1</v>
      </c>
      <c r="H74" s="115">
        <v>15</v>
      </c>
      <c r="I74" s="194">
        <v>16</v>
      </c>
      <c r="J74" s="116">
        <v>93204</v>
      </c>
      <c r="K74" s="116">
        <v>498605</v>
      </c>
      <c r="L74" s="116">
        <v>36453</v>
      </c>
      <c r="M74" s="195">
        <v>8.9736399326977006E-3</v>
      </c>
      <c r="N74" s="195">
        <v>3.5445621714242513E-3</v>
      </c>
      <c r="O74" s="195">
        <v>1.6199856529063163E-2</v>
      </c>
      <c r="P74" s="195">
        <v>1.8484925731449672E-3</v>
      </c>
    </row>
    <row r="75" spans="1:20" ht="22.5" customHeight="1">
      <c r="A75" s="115">
        <v>82</v>
      </c>
      <c r="B75" s="115" t="s">
        <v>11</v>
      </c>
      <c r="C75" s="115" t="s">
        <v>9</v>
      </c>
      <c r="D75" s="115" t="s">
        <v>667</v>
      </c>
      <c r="E75" s="98" t="s">
        <v>710</v>
      </c>
      <c r="F75" s="115" t="s">
        <v>483</v>
      </c>
      <c r="G75" s="115">
        <v>0</v>
      </c>
      <c r="H75" s="115">
        <v>16</v>
      </c>
      <c r="I75" s="194">
        <v>16</v>
      </c>
      <c r="J75" s="116">
        <v>5162</v>
      </c>
      <c r="K75" s="116">
        <v>301657</v>
      </c>
      <c r="L75" s="116">
        <v>250237</v>
      </c>
      <c r="M75" s="195">
        <v>8.9736399326977006E-3</v>
      </c>
      <c r="N75" s="195">
        <v>1.9631163822252248E-4</v>
      </c>
      <c r="O75" s="195">
        <v>9.8009448781853515E-3</v>
      </c>
      <c r="P75" s="195">
        <v>1.2689250158452724E-2</v>
      </c>
    </row>
    <row r="76" spans="1:20" ht="22.5" customHeight="1">
      <c r="A76" s="115">
        <v>45</v>
      </c>
      <c r="B76" s="115" t="s">
        <v>67</v>
      </c>
      <c r="C76" s="115" t="s">
        <v>62</v>
      </c>
      <c r="D76" s="115" t="s">
        <v>7</v>
      </c>
      <c r="E76" s="98" t="s">
        <v>89</v>
      </c>
      <c r="F76" s="115" t="s">
        <v>476</v>
      </c>
      <c r="G76" s="115">
        <v>1</v>
      </c>
      <c r="H76" s="115">
        <v>13</v>
      </c>
      <c r="I76" s="194">
        <v>14</v>
      </c>
      <c r="J76" s="116">
        <v>94949</v>
      </c>
      <c r="K76" s="116">
        <v>543880</v>
      </c>
      <c r="L76" s="116">
        <v>17440</v>
      </c>
      <c r="M76" s="195">
        <v>5.4368932038834951E-3</v>
      </c>
      <c r="N76" s="195">
        <v>3.0843428693643434E-3</v>
      </c>
      <c r="O76" s="195">
        <v>2.0885720761277378E-2</v>
      </c>
      <c r="P76" s="195">
        <v>9.9915953724705187E-4</v>
      </c>
    </row>
    <row r="77" spans="1:20" ht="22.5" customHeight="1">
      <c r="A77" s="115">
        <v>46</v>
      </c>
      <c r="B77" s="115" t="s">
        <v>67</v>
      </c>
      <c r="C77" s="115" t="s">
        <v>14</v>
      </c>
      <c r="D77" s="115" t="s">
        <v>667</v>
      </c>
      <c r="E77" s="98" t="s">
        <v>690</v>
      </c>
      <c r="F77" s="115" t="s">
        <v>483</v>
      </c>
      <c r="G77" s="115">
        <v>1</v>
      </c>
      <c r="H77" s="115">
        <v>13</v>
      </c>
      <c r="I77" s="194">
        <v>14</v>
      </c>
      <c r="J77" s="116">
        <v>76599</v>
      </c>
      <c r="K77" s="116">
        <v>876753</v>
      </c>
      <c r="L77" s="116">
        <v>123191</v>
      </c>
      <c r="M77" s="195">
        <v>7.8519349411104878E-3</v>
      </c>
      <c r="N77" s="195">
        <v>2.9130715180563731E-3</v>
      </c>
      <c r="O77" s="195">
        <v>2.8486021623180105E-2</v>
      </c>
      <c r="P77" s="195">
        <v>6.246883619408599E-3</v>
      </c>
    </row>
    <row r="78" spans="1:20" ht="22.5" customHeight="1">
      <c r="A78" s="115">
        <v>83</v>
      </c>
      <c r="B78" s="115" t="s">
        <v>67</v>
      </c>
      <c r="C78" s="115" t="s">
        <v>14</v>
      </c>
      <c r="D78" s="115" t="s">
        <v>667</v>
      </c>
      <c r="E78" s="98" t="s">
        <v>689</v>
      </c>
      <c r="F78" s="115" t="s">
        <v>483</v>
      </c>
      <c r="G78" s="115">
        <v>0</v>
      </c>
      <c r="H78" s="115">
        <v>14</v>
      </c>
      <c r="I78" s="194">
        <v>14</v>
      </c>
      <c r="J78" s="116">
        <v>138781</v>
      </c>
      <c r="K78" s="116">
        <v>462893</v>
      </c>
      <c r="L78" s="116">
        <v>36534</v>
      </c>
      <c r="M78" s="195">
        <v>7.8519349411104878E-3</v>
      </c>
      <c r="N78" s="195">
        <v>5.2778623526074956E-3</v>
      </c>
      <c r="O78" s="195">
        <v>1.503956075111087E-2</v>
      </c>
      <c r="P78" s="195">
        <v>1.8525999963590989E-3</v>
      </c>
    </row>
    <row r="79" spans="1:20" ht="22.5" customHeight="1">
      <c r="A79" s="115">
        <v>84</v>
      </c>
      <c r="B79" s="115" t="s">
        <v>11</v>
      </c>
      <c r="C79" s="115" t="s">
        <v>10</v>
      </c>
      <c r="D79" s="115" t="s">
        <v>667</v>
      </c>
      <c r="E79" s="98" t="s">
        <v>687</v>
      </c>
      <c r="F79" s="115" t="s">
        <v>483</v>
      </c>
      <c r="G79" s="115">
        <v>0</v>
      </c>
      <c r="H79" s="115">
        <v>14</v>
      </c>
      <c r="I79" s="194">
        <v>14</v>
      </c>
      <c r="J79" s="116">
        <v>110874</v>
      </c>
      <c r="K79" s="116">
        <v>490066</v>
      </c>
      <c r="L79" s="116">
        <v>723558</v>
      </c>
      <c r="M79" s="195">
        <v>7.8519349411104878E-3</v>
      </c>
      <c r="N79" s="195">
        <v>4.2165549353514057E-3</v>
      </c>
      <c r="O79" s="195">
        <v>1.592242133506858E-2</v>
      </c>
      <c r="P79" s="195">
        <v>3.6690850937909809E-2</v>
      </c>
    </row>
    <row r="80" spans="1:20" ht="22.5" customHeight="1">
      <c r="A80" s="115">
        <v>85</v>
      </c>
      <c r="B80" s="115" t="s">
        <v>11</v>
      </c>
      <c r="C80" s="115" t="s">
        <v>9</v>
      </c>
      <c r="D80" s="115" t="s">
        <v>667</v>
      </c>
      <c r="E80" s="98" t="s">
        <v>711</v>
      </c>
      <c r="F80" s="115" t="s">
        <v>483</v>
      </c>
      <c r="G80" s="115">
        <v>0</v>
      </c>
      <c r="H80" s="115">
        <v>12</v>
      </c>
      <c r="I80" s="194">
        <v>12</v>
      </c>
      <c r="J80" s="116">
        <v>11161</v>
      </c>
      <c r="K80" s="116">
        <v>658705</v>
      </c>
      <c r="L80" s="116">
        <v>865435</v>
      </c>
      <c r="M80" s="195">
        <v>6.730229949523275E-3</v>
      </c>
      <c r="N80" s="195">
        <v>4.2445451263106807E-4</v>
      </c>
      <c r="O80" s="195">
        <v>2.1401563351704359E-2</v>
      </c>
      <c r="P80" s="195">
        <v>4.3885281596568584E-2</v>
      </c>
    </row>
    <row r="81" spans="1:16" ht="22.5" customHeight="1">
      <c r="A81" s="115">
        <v>86</v>
      </c>
      <c r="B81" s="115" t="s">
        <v>67</v>
      </c>
      <c r="C81" s="115" t="s">
        <v>14</v>
      </c>
      <c r="D81" s="115" t="s">
        <v>7</v>
      </c>
      <c r="E81" s="98" t="s">
        <v>93</v>
      </c>
      <c r="F81" s="115" t="s">
        <v>476</v>
      </c>
      <c r="G81" s="115">
        <v>0</v>
      </c>
      <c r="H81" s="115">
        <v>11</v>
      </c>
      <c r="I81" s="194">
        <v>11</v>
      </c>
      <c r="J81" s="116">
        <v>108526</v>
      </c>
      <c r="K81" s="116">
        <v>787989</v>
      </c>
      <c r="L81" s="116">
        <v>56282</v>
      </c>
      <c r="M81" s="195">
        <v>4.2718446601941748E-3</v>
      </c>
      <c r="N81" s="195">
        <v>3.5253809333498482E-3</v>
      </c>
      <c r="O81" s="195">
        <v>3.0259833450316614E-2</v>
      </c>
      <c r="P81" s="195">
        <v>3.2244665754207901E-3</v>
      </c>
    </row>
    <row r="82" spans="1:16" ht="22.5" customHeight="1">
      <c r="A82" s="115">
        <v>87</v>
      </c>
      <c r="B82" s="115" t="s">
        <v>11</v>
      </c>
      <c r="C82" s="115" t="s">
        <v>9</v>
      </c>
      <c r="D82" s="115" t="s">
        <v>7</v>
      </c>
      <c r="E82" s="98" t="s">
        <v>99</v>
      </c>
      <c r="F82" s="115" t="s">
        <v>476</v>
      </c>
      <c r="G82" s="115">
        <v>0</v>
      </c>
      <c r="H82" s="115">
        <v>11</v>
      </c>
      <c r="I82" s="194">
        <v>11</v>
      </c>
      <c r="J82" s="116">
        <v>73511</v>
      </c>
      <c r="K82" s="116">
        <v>276838</v>
      </c>
      <c r="L82" s="116">
        <v>305096</v>
      </c>
      <c r="M82" s="195">
        <v>4.2718446601941748E-3</v>
      </c>
      <c r="N82" s="195">
        <v>2.3879464625203243E-3</v>
      </c>
      <c r="O82" s="195">
        <v>1.063095014361717E-2</v>
      </c>
      <c r="P82" s="195">
        <v>1.7479333611004962E-2</v>
      </c>
    </row>
    <row r="83" spans="1:16" ht="22.5" customHeight="1">
      <c r="A83" s="115">
        <v>88</v>
      </c>
      <c r="B83" s="115" t="s">
        <v>67</v>
      </c>
      <c r="C83" s="115" t="s">
        <v>14</v>
      </c>
      <c r="D83" s="115" t="s">
        <v>7</v>
      </c>
      <c r="E83" s="98" t="s">
        <v>109</v>
      </c>
      <c r="F83" s="115" t="s">
        <v>476</v>
      </c>
      <c r="G83" s="115">
        <v>0</v>
      </c>
      <c r="H83" s="115">
        <v>11</v>
      </c>
      <c r="I83" s="194">
        <v>11</v>
      </c>
      <c r="J83" s="116">
        <v>38573</v>
      </c>
      <c r="K83" s="116">
        <v>450552</v>
      </c>
      <c r="L83" s="116">
        <v>44098</v>
      </c>
      <c r="M83" s="195">
        <v>4.2718446601941748E-3</v>
      </c>
      <c r="N83" s="195">
        <v>1.253013275547829E-3</v>
      </c>
      <c r="O83" s="195">
        <v>1.7301800508264773E-2</v>
      </c>
      <c r="P83" s="195">
        <v>2.5264298895367257E-3</v>
      </c>
    </row>
    <row r="84" spans="1:16" ht="22.5" customHeight="1">
      <c r="A84" s="115">
        <v>48</v>
      </c>
      <c r="B84" s="115" t="s">
        <v>67</v>
      </c>
      <c r="C84" s="115" t="s">
        <v>14</v>
      </c>
      <c r="D84" s="115" t="s">
        <v>7</v>
      </c>
      <c r="E84" s="98" t="s">
        <v>71</v>
      </c>
      <c r="F84" s="115" t="s">
        <v>476</v>
      </c>
      <c r="G84" s="115">
        <v>1</v>
      </c>
      <c r="H84" s="115">
        <v>9</v>
      </c>
      <c r="I84" s="194">
        <v>10</v>
      </c>
      <c r="J84" s="116">
        <v>25467</v>
      </c>
      <c r="K84" s="116">
        <v>1004443</v>
      </c>
      <c r="L84" s="116">
        <v>78069</v>
      </c>
      <c r="M84" s="195">
        <v>3.8834951456310678E-3</v>
      </c>
      <c r="N84" s="195">
        <v>8.2727527255791779E-4</v>
      </c>
      <c r="O84" s="195">
        <v>3.8571957083584123E-2</v>
      </c>
      <c r="P84" s="195">
        <v>4.4726712106272996E-3</v>
      </c>
    </row>
    <row r="85" spans="1:16" ht="22.5" customHeight="1">
      <c r="A85" s="115">
        <v>47</v>
      </c>
      <c r="B85" s="115" t="s">
        <v>67</v>
      </c>
      <c r="C85" s="115" t="s">
        <v>14</v>
      </c>
      <c r="D85" s="115" t="s">
        <v>667</v>
      </c>
      <c r="E85" s="98" t="s">
        <v>296</v>
      </c>
      <c r="F85" s="115" t="s">
        <v>483</v>
      </c>
      <c r="G85" s="115">
        <v>1</v>
      </c>
      <c r="H85" s="115">
        <v>9</v>
      </c>
      <c r="I85" s="194">
        <v>10</v>
      </c>
      <c r="J85" s="116">
        <v>150624</v>
      </c>
      <c r="K85" s="116">
        <v>801341</v>
      </c>
      <c r="L85" s="116">
        <v>89847</v>
      </c>
      <c r="M85" s="195">
        <v>5.6085249579360631E-3</v>
      </c>
      <c r="N85" s="195">
        <v>5.7282534280568044E-3</v>
      </c>
      <c r="O85" s="195">
        <v>2.603585850694639E-2</v>
      </c>
      <c r="P85" s="195">
        <v>4.556045105186291E-3</v>
      </c>
    </row>
    <row r="86" spans="1:16" ht="22.5" customHeight="1">
      <c r="A86" s="115">
        <v>34</v>
      </c>
      <c r="B86" s="115" t="s">
        <v>67</v>
      </c>
      <c r="C86" s="115" t="s">
        <v>14</v>
      </c>
      <c r="D86" s="115" t="s">
        <v>7</v>
      </c>
      <c r="E86" s="98" t="s">
        <v>13</v>
      </c>
      <c r="F86" s="115" t="s">
        <v>476</v>
      </c>
      <c r="G86" s="115">
        <v>2</v>
      </c>
      <c r="H86" s="115">
        <v>7</v>
      </c>
      <c r="I86" s="194">
        <v>9</v>
      </c>
      <c r="J86" s="116">
        <v>124263</v>
      </c>
      <c r="K86" s="116">
        <v>415708</v>
      </c>
      <c r="L86" s="116">
        <v>40791</v>
      </c>
      <c r="M86" s="195">
        <v>3.4951456310679612E-3</v>
      </c>
      <c r="N86" s="195">
        <v>4.0365848821559093E-3</v>
      </c>
      <c r="O86" s="195">
        <v>1.5963744219734309E-2</v>
      </c>
      <c r="P86" s="195">
        <v>2.3369676997617257E-3</v>
      </c>
    </row>
    <row r="87" spans="1:16" ht="22.5" customHeight="1">
      <c r="A87" s="115">
        <v>89</v>
      </c>
      <c r="B87" s="115" t="s">
        <v>67</v>
      </c>
      <c r="C87" s="115" t="s">
        <v>14</v>
      </c>
      <c r="D87" s="115" t="s">
        <v>7</v>
      </c>
      <c r="E87" s="98" t="s">
        <v>57</v>
      </c>
      <c r="F87" s="115" t="s">
        <v>476</v>
      </c>
      <c r="G87" s="115">
        <v>0</v>
      </c>
      <c r="H87" s="115">
        <v>9</v>
      </c>
      <c r="I87" s="194">
        <v>9</v>
      </c>
      <c r="J87" s="116">
        <v>41985</v>
      </c>
      <c r="K87" s="116">
        <v>971267</v>
      </c>
      <c r="L87" s="116">
        <v>41056</v>
      </c>
      <c r="M87" s="195">
        <v>3.4951456310679612E-3</v>
      </c>
      <c r="N87" s="195">
        <v>1.3638493861995594E-3</v>
      </c>
      <c r="O87" s="195">
        <v>3.7297954230057356E-2</v>
      </c>
      <c r="P87" s="195">
        <v>2.3521498830971883E-3</v>
      </c>
    </row>
    <row r="88" spans="1:16" ht="22.5" customHeight="1">
      <c r="A88" s="115">
        <v>35</v>
      </c>
      <c r="B88" s="115" t="s">
        <v>67</v>
      </c>
      <c r="C88" s="115" t="s">
        <v>14</v>
      </c>
      <c r="D88" s="115" t="s">
        <v>667</v>
      </c>
      <c r="E88" s="98" t="s">
        <v>696</v>
      </c>
      <c r="F88" s="115" t="s">
        <v>483</v>
      </c>
      <c r="G88" s="115">
        <v>2</v>
      </c>
      <c r="H88" s="115">
        <v>6</v>
      </c>
      <c r="I88" s="194">
        <v>8</v>
      </c>
      <c r="J88" s="116">
        <v>36038</v>
      </c>
      <c r="K88" s="116">
        <v>991747</v>
      </c>
      <c r="L88" s="116">
        <v>31451</v>
      </c>
      <c r="M88" s="195">
        <v>4.4868199663488503E-3</v>
      </c>
      <c r="N88" s="195">
        <v>1.3705305730847084E-3</v>
      </c>
      <c r="O88" s="195">
        <v>3.2222218215077682E-2</v>
      </c>
      <c r="P88" s="195">
        <v>1.5948465124401932E-3</v>
      </c>
    </row>
    <row r="89" spans="1:16" ht="22.5" customHeight="1">
      <c r="A89" s="115">
        <v>49</v>
      </c>
      <c r="B89" s="115" t="s">
        <v>67</v>
      </c>
      <c r="C89" s="115" t="s">
        <v>73</v>
      </c>
      <c r="D89" s="115" t="s">
        <v>7</v>
      </c>
      <c r="E89" s="98" t="s">
        <v>114</v>
      </c>
      <c r="F89" s="115" t="s">
        <v>476</v>
      </c>
      <c r="G89" s="115">
        <v>1</v>
      </c>
      <c r="H89" s="115">
        <v>6</v>
      </c>
      <c r="I89" s="194">
        <v>7</v>
      </c>
      <c r="J89" s="116">
        <v>32721</v>
      </c>
      <c r="K89" s="116">
        <v>269570</v>
      </c>
      <c r="L89" s="116">
        <v>130955</v>
      </c>
      <c r="M89" s="195">
        <v>2.7184466019417475E-3</v>
      </c>
      <c r="N89" s="195">
        <v>1.0629157024136188E-3</v>
      </c>
      <c r="O89" s="195">
        <v>1.0351849205003941E-2</v>
      </c>
      <c r="P89" s="195">
        <v>7.5025766743226883E-3</v>
      </c>
    </row>
    <row r="90" spans="1:16" ht="22.5" customHeight="1">
      <c r="A90" s="115">
        <v>90</v>
      </c>
      <c r="B90" s="115" t="s">
        <v>11</v>
      </c>
      <c r="C90" s="115" t="s">
        <v>10</v>
      </c>
      <c r="D90" s="115" t="s">
        <v>7</v>
      </c>
      <c r="E90" s="98" t="s">
        <v>106</v>
      </c>
      <c r="F90" s="115" t="s">
        <v>476</v>
      </c>
      <c r="G90" s="115">
        <v>0</v>
      </c>
      <c r="H90" s="115">
        <v>7</v>
      </c>
      <c r="I90" s="194">
        <v>7</v>
      </c>
      <c r="J90" s="116">
        <v>43805</v>
      </c>
      <c r="K90" s="116">
        <v>357309</v>
      </c>
      <c r="L90" s="116">
        <v>1044961</v>
      </c>
      <c r="M90" s="195">
        <v>2.7184466019417475E-3</v>
      </c>
      <c r="N90" s="195">
        <v>1.422970641002065E-3</v>
      </c>
      <c r="O90" s="195">
        <v>1.3721144369146244E-2</v>
      </c>
      <c r="P90" s="195">
        <v>5.986713011474866E-2</v>
      </c>
    </row>
    <row r="91" spans="1:16" ht="22.5" customHeight="1">
      <c r="A91" s="115">
        <v>91</v>
      </c>
      <c r="B91" s="115" t="s">
        <v>67</v>
      </c>
      <c r="C91" s="115" t="s">
        <v>62</v>
      </c>
      <c r="D91" s="115" t="s">
        <v>667</v>
      </c>
      <c r="E91" s="98" t="s">
        <v>694</v>
      </c>
      <c r="F91" s="115" t="s">
        <v>483</v>
      </c>
      <c r="G91" s="115">
        <v>0</v>
      </c>
      <c r="H91" s="115">
        <v>7</v>
      </c>
      <c r="I91" s="194">
        <v>7</v>
      </c>
      <c r="J91" s="116">
        <v>40645</v>
      </c>
      <c r="K91" s="116">
        <v>278048</v>
      </c>
      <c r="L91" s="116">
        <v>13141</v>
      </c>
      <c r="M91" s="195">
        <v>3.9259674705552439E-3</v>
      </c>
      <c r="N91" s="195">
        <v>1.5457354776354951E-3</v>
      </c>
      <c r="O91" s="195">
        <v>9.033879941422478E-3</v>
      </c>
      <c r="P91" s="195">
        <v>6.6636603033215416E-4</v>
      </c>
    </row>
    <row r="92" spans="1:16" ht="22.5" customHeight="1">
      <c r="A92" s="115">
        <v>92</v>
      </c>
      <c r="B92" s="115" t="s">
        <v>67</v>
      </c>
      <c r="C92" s="115" t="s">
        <v>14</v>
      </c>
      <c r="D92" s="115" t="s">
        <v>667</v>
      </c>
      <c r="E92" s="98" t="s">
        <v>712</v>
      </c>
      <c r="F92" s="115" t="s">
        <v>483</v>
      </c>
      <c r="G92" s="115">
        <v>0</v>
      </c>
      <c r="H92" s="115">
        <v>7</v>
      </c>
      <c r="I92" s="194">
        <v>7</v>
      </c>
      <c r="J92" s="116">
        <v>15316</v>
      </c>
      <c r="K92" s="116">
        <v>463214</v>
      </c>
      <c r="L92" s="116">
        <v>43447</v>
      </c>
      <c r="M92" s="195">
        <v>3.9259674705552439E-3</v>
      </c>
      <c r="N92" s="195">
        <v>5.824697890383871E-4</v>
      </c>
      <c r="O92" s="195">
        <v>1.5049990157045084E-2</v>
      </c>
      <c r="P92" s="195">
        <v>2.2031508195602392E-3</v>
      </c>
    </row>
    <row r="93" spans="1:16" ht="22.5" customHeight="1">
      <c r="A93" s="115">
        <v>93</v>
      </c>
      <c r="B93" s="115" t="s">
        <v>11</v>
      </c>
      <c r="C93" s="115" t="s">
        <v>10</v>
      </c>
      <c r="D93" s="115" t="s">
        <v>667</v>
      </c>
      <c r="E93" s="98" t="s">
        <v>683</v>
      </c>
      <c r="F93" s="115" t="s">
        <v>483</v>
      </c>
      <c r="G93" s="115">
        <v>0</v>
      </c>
      <c r="H93" s="115">
        <v>5</v>
      </c>
      <c r="I93" s="194">
        <v>5</v>
      </c>
      <c r="J93" s="116">
        <v>41033</v>
      </c>
      <c r="K93" s="116">
        <v>672609</v>
      </c>
      <c r="L93" s="116">
        <v>1015979</v>
      </c>
      <c r="M93" s="195">
        <v>2.8042624789680315E-3</v>
      </c>
      <c r="N93" s="195">
        <v>1.5604911761303302E-3</v>
      </c>
      <c r="O93" s="195">
        <v>2.1853309333353346E-2</v>
      </c>
      <c r="P93" s="195">
        <v>5.151920653913946E-2</v>
      </c>
    </row>
    <row r="94" spans="1:16" ht="22.5" customHeight="1">
      <c r="A94" s="115">
        <v>94</v>
      </c>
      <c r="B94" s="115" t="s">
        <v>67</v>
      </c>
      <c r="C94" s="115" t="s">
        <v>14</v>
      </c>
      <c r="D94" s="115" t="s">
        <v>7</v>
      </c>
      <c r="E94" s="98" t="s">
        <v>111</v>
      </c>
      <c r="F94" s="115" t="s">
        <v>476</v>
      </c>
      <c r="G94" s="115">
        <v>0</v>
      </c>
      <c r="H94" s="115">
        <v>3</v>
      </c>
      <c r="I94" s="194">
        <v>3</v>
      </c>
      <c r="J94" s="116">
        <v>21805</v>
      </c>
      <c r="K94" s="116">
        <v>414093</v>
      </c>
      <c r="L94" s="116">
        <v>24610</v>
      </c>
      <c r="M94" s="195">
        <v>1.1650485436893205E-3</v>
      </c>
      <c r="N94" s="195">
        <v>7.0831811042232687E-4</v>
      </c>
      <c r="O94" s="195">
        <v>1.5901726055746919E-2</v>
      </c>
      <c r="P94" s="195">
        <v>1.4099378561725888E-3</v>
      </c>
    </row>
    <row r="95" spans="1:16" ht="22.5" customHeight="1">
      <c r="A95" s="115">
        <v>50</v>
      </c>
      <c r="B95" s="115" t="s">
        <v>67</v>
      </c>
      <c r="C95" s="115" t="s">
        <v>14</v>
      </c>
      <c r="D95" s="115" t="s">
        <v>667</v>
      </c>
      <c r="E95" s="98" t="s">
        <v>692</v>
      </c>
      <c r="F95" s="115" t="s">
        <v>483</v>
      </c>
      <c r="G95" s="115">
        <v>1</v>
      </c>
      <c r="H95" s="115">
        <v>2</v>
      </c>
      <c r="I95" s="194">
        <v>3</v>
      </c>
      <c r="J95" s="116">
        <v>29123</v>
      </c>
      <c r="K95" s="116">
        <v>663962</v>
      </c>
      <c r="L95" s="116">
        <v>35417</v>
      </c>
      <c r="M95" s="195">
        <v>1.6825574873808188E-3</v>
      </c>
      <c r="N95" s="195">
        <v>1.1075520805801089E-3</v>
      </c>
      <c r="O95" s="195">
        <v>2.1572365180352857E-2</v>
      </c>
      <c r="P95" s="195">
        <v>1.7959581231469374E-3</v>
      </c>
    </row>
    <row r="96" spans="1:16" ht="22.5" customHeight="1">
      <c r="A96" s="115">
        <v>95</v>
      </c>
      <c r="B96" s="115" t="s">
        <v>11</v>
      </c>
      <c r="C96" s="115" t="s">
        <v>9</v>
      </c>
      <c r="D96" s="115" t="s">
        <v>667</v>
      </c>
      <c r="E96" s="98" t="s">
        <v>713</v>
      </c>
      <c r="F96" s="115" t="s">
        <v>483</v>
      </c>
      <c r="G96" s="115">
        <v>0</v>
      </c>
      <c r="H96" s="115">
        <v>3</v>
      </c>
      <c r="I96" s="194">
        <v>3</v>
      </c>
      <c r="J96" s="116">
        <v>46272</v>
      </c>
      <c r="K96" s="116">
        <v>486658</v>
      </c>
      <c r="L96" s="116">
        <v>1225411</v>
      </c>
      <c r="M96" s="195">
        <v>1.6825574873808188E-3</v>
      </c>
      <c r="N96" s="195">
        <v>1.7597311359613638E-3</v>
      </c>
      <c r="O96" s="195">
        <v>1.5811694184215606E-2</v>
      </c>
      <c r="P96" s="195">
        <v>6.2139278867312638E-2</v>
      </c>
    </row>
    <row r="97" spans="1:16" ht="22.5" customHeight="1">
      <c r="A97" s="115">
        <v>96</v>
      </c>
      <c r="B97" s="115" t="s">
        <v>67</v>
      </c>
      <c r="C97" s="115" t="s">
        <v>14</v>
      </c>
      <c r="D97" s="115" t="s">
        <v>667</v>
      </c>
      <c r="E97" s="98" t="s">
        <v>698</v>
      </c>
      <c r="F97" s="115" t="s">
        <v>483</v>
      </c>
      <c r="G97" s="115">
        <v>0</v>
      </c>
      <c r="H97" s="115">
        <v>0</v>
      </c>
      <c r="I97" s="194">
        <v>0</v>
      </c>
      <c r="J97" s="116">
        <v>14780</v>
      </c>
      <c r="K97" s="116">
        <v>528037</v>
      </c>
      <c r="L97" s="116">
        <v>12805</v>
      </c>
      <c r="M97" s="195">
        <v>0</v>
      </c>
      <c r="N97" s="195">
        <v>5.6208562823108915E-4</v>
      </c>
      <c r="O97" s="195">
        <v>1.7156112838894368E-2</v>
      </c>
      <c r="P97" s="195">
        <v>6.4932783033279308E-4</v>
      </c>
    </row>
    <row r="98" spans="1:16" ht="22.5" hidden="1" customHeight="1">
      <c r="A98" s="115"/>
      <c r="B98" s="115" t="e">
        <f>VLOOKUP(C98,Lists!I:J,2,FALSE)</f>
        <v>#N/A</v>
      </c>
      <c r="C98" s="115" t="e">
        <f>VLOOKUP(E98,Lists!D:E,2,FALSE)</f>
        <v>#N/A</v>
      </c>
      <c r="D98" s="115"/>
      <c r="E98" s="98"/>
      <c r="F98" s="115"/>
      <c r="G98" s="115"/>
      <c r="H98" s="115"/>
      <c r="I98" s="194">
        <f t="shared" ref="I98:I103" si="8">SUM(G98:H98)</f>
        <v>0</v>
      </c>
      <c r="J98" s="116"/>
      <c r="K98" s="116"/>
      <c r="L98" s="116"/>
      <c r="M98" s="195" t="e">
        <f>I98/(HLOOKUP(F98,Team_Composition_19[[#All],[Yellow]:[Red]],10,FALSE)+HLOOKUP(F98,Team_Composition_19[[#All],[Yellow]:[Red]],11,FALSE))</f>
        <v>#N/A</v>
      </c>
      <c r="N98" s="195" t="e">
        <f>J98/HLOOKUP(F98,Team_Composition_19[[#All],[Yellow]:[Red]],6,FALSE)</f>
        <v>#N/A</v>
      </c>
      <c r="O98" s="195" t="e">
        <f>K98/HLOOKUP(F98,Team_Composition_19[[#All],[Yellow]:[Red]],8,FALSE)</f>
        <v>#N/A</v>
      </c>
      <c r="P98" s="195" t="e">
        <f>L98/HLOOKUP(F98,Team_Composition_19[[#All],[Yellow]:[Red]],7,FALSE)</f>
        <v>#N/A</v>
      </c>
    </row>
    <row r="99" spans="1:16" ht="22.5" hidden="1" customHeight="1">
      <c r="A99" s="115"/>
      <c r="B99" s="115" t="e">
        <f>VLOOKUP(C99,Lists!I:J,2,FALSE)</f>
        <v>#N/A</v>
      </c>
      <c r="C99" s="115" t="e">
        <f>VLOOKUP(E99,Lists!D:E,2,FALSE)</f>
        <v>#N/A</v>
      </c>
      <c r="D99" s="115"/>
      <c r="E99" s="98"/>
      <c r="F99" s="115"/>
      <c r="G99" s="115"/>
      <c r="H99" s="115"/>
      <c r="I99" s="194">
        <f t="shared" si="8"/>
        <v>0</v>
      </c>
      <c r="J99" s="116"/>
      <c r="K99" s="116"/>
      <c r="L99" s="116"/>
      <c r="M99" s="195" t="e">
        <f>I99/(HLOOKUP(F99,Team_Composition_19[[#All],[Yellow]:[Red]],10,FALSE)+HLOOKUP(F99,Team_Composition_19[[#All],[Yellow]:[Red]],11,FALSE))</f>
        <v>#N/A</v>
      </c>
      <c r="N99" s="195" t="e">
        <f>J99/HLOOKUP(F99,Team_Composition_19[[#All],[Yellow]:[Red]],6,FALSE)</f>
        <v>#N/A</v>
      </c>
      <c r="O99" s="195" t="e">
        <f>K99/HLOOKUP(F99,Team_Composition_19[[#All],[Yellow]:[Red]],8,FALSE)</f>
        <v>#N/A</v>
      </c>
      <c r="P99" s="195" t="e">
        <f>L99/HLOOKUP(F99,Team_Composition_19[[#All],[Yellow]:[Red]],7,FALSE)</f>
        <v>#N/A</v>
      </c>
    </row>
    <row r="100" spans="1:16" ht="22.5" hidden="1" customHeight="1">
      <c r="A100" s="115"/>
      <c r="B100" s="115" t="e">
        <f>VLOOKUP(C100,Lists!I:J,2,FALSE)</f>
        <v>#N/A</v>
      </c>
      <c r="C100" s="115" t="e">
        <f>VLOOKUP(E100,Lists!D:E,2,FALSE)</f>
        <v>#N/A</v>
      </c>
      <c r="D100" s="115"/>
      <c r="E100" s="98"/>
      <c r="F100" s="115"/>
      <c r="G100" s="115"/>
      <c r="H100" s="115"/>
      <c r="I100" s="194">
        <f t="shared" si="8"/>
        <v>0</v>
      </c>
      <c r="J100" s="116"/>
      <c r="K100" s="116"/>
      <c r="L100" s="116"/>
      <c r="M100" s="195" t="e">
        <f>I100/(HLOOKUP(F100,Team_Composition_19[[#All],[Yellow]:[Red]],10,FALSE)+HLOOKUP(F100,Team_Composition_19[[#All],[Yellow]:[Red]],11,FALSE))</f>
        <v>#N/A</v>
      </c>
      <c r="N100" s="195" t="e">
        <f>J100/HLOOKUP(F100,Team_Composition_19[[#All],[Yellow]:[Red]],6,FALSE)</f>
        <v>#N/A</v>
      </c>
      <c r="O100" s="195" t="e">
        <f>K100/HLOOKUP(F100,Team_Composition_19[[#All],[Yellow]:[Red]],8,FALSE)</f>
        <v>#N/A</v>
      </c>
      <c r="P100" s="195" t="e">
        <f>L100/HLOOKUP(F100,Team_Composition_19[[#All],[Yellow]:[Red]],7,FALSE)</f>
        <v>#N/A</v>
      </c>
    </row>
    <row r="101" spans="1:16" ht="22.5" hidden="1" customHeight="1">
      <c r="A101" s="115"/>
      <c r="B101" s="115" t="e">
        <f>VLOOKUP(C101,Lists!I:J,2,FALSE)</f>
        <v>#N/A</v>
      </c>
      <c r="C101" s="115" t="e">
        <f>VLOOKUP(E101,Lists!D:E,2,FALSE)</f>
        <v>#N/A</v>
      </c>
      <c r="D101" s="115"/>
      <c r="E101" s="98"/>
      <c r="F101" s="115"/>
      <c r="G101" s="115"/>
      <c r="H101" s="115"/>
      <c r="I101" s="194">
        <f t="shared" si="8"/>
        <v>0</v>
      </c>
      <c r="J101" s="116"/>
      <c r="K101" s="116"/>
      <c r="L101" s="116"/>
      <c r="M101" s="195" t="e">
        <f>I101/(HLOOKUP(F101,Team_Composition_19[[#All],[Yellow]:[Red]],10,FALSE)+HLOOKUP(F101,Team_Composition_19[[#All],[Yellow]:[Red]],11,FALSE))</f>
        <v>#N/A</v>
      </c>
      <c r="N101" s="195" t="e">
        <f>J101/HLOOKUP(F101,Team_Composition_19[[#All],[Yellow]:[Red]],6,FALSE)</f>
        <v>#N/A</v>
      </c>
      <c r="O101" s="195" t="e">
        <f>K101/HLOOKUP(F101,Team_Composition_19[[#All],[Yellow]:[Red]],8,FALSE)</f>
        <v>#N/A</v>
      </c>
      <c r="P101" s="195" t="e">
        <f>L101/HLOOKUP(F101,Team_Composition_19[[#All],[Yellow]:[Red]],7,FALSE)</f>
        <v>#N/A</v>
      </c>
    </row>
    <row r="102" spans="1:16" ht="22.5" hidden="1" customHeight="1">
      <c r="A102" s="115"/>
      <c r="B102" s="115" t="e">
        <f>VLOOKUP(C102,Lists!I:J,2,FALSE)</f>
        <v>#N/A</v>
      </c>
      <c r="C102" s="115" t="e">
        <f>VLOOKUP(E102,Lists!D:E,2,FALSE)</f>
        <v>#N/A</v>
      </c>
      <c r="D102" s="115"/>
      <c r="E102" s="98"/>
      <c r="F102" s="115"/>
      <c r="G102" s="115"/>
      <c r="H102" s="115"/>
      <c r="I102" s="194">
        <f t="shared" si="8"/>
        <v>0</v>
      </c>
      <c r="J102" s="116"/>
      <c r="K102" s="116"/>
      <c r="L102" s="116"/>
      <c r="M102" s="195" t="e">
        <f>I102/(HLOOKUP(F102,Team_Composition_19[[#All],[Yellow]:[Red]],10,FALSE)+HLOOKUP(F102,Team_Composition_19[[#All],[Yellow]:[Red]],11,FALSE))</f>
        <v>#N/A</v>
      </c>
      <c r="N102" s="195" t="e">
        <f>J102/HLOOKUP(F102,Team_Composition_19[[#All],[Yellow]:[Red]],6,FALSE)</f>
        <v>#N/A</v>
      </c>
      <c r="O102" s="195" t="e">
        <f>K102/HLOOKUP(F102,Team_Composition_19[[#All],[Yellow]:[Red]],8,FALSE)</f>
        <v>#N/A</v>
      </c>
      <c r="P102" s="195" t="e">
        <f>L102/HLOOKUP(F102,Team_Composition_19[[#All],[Yellow]:[Red]],7,FALSE)</f>
        <v>#N/A</v>
      </c>
    </row>
    <row r="103" spans="1:16" ht="22.5" hidden="1" customHeight="1">
      <c r="A103" s="115"/>
      <c r="B103" s="115" t="e">
        <f>VLOOKUP(C103,Lists!I:J,2,FALSE)</f>
        <v>#N/A</v>
      </c>
      <c r="C103" s="115" t="e">
        <f>VLOOKUP(E103,Lists!D:E,2,FALSE)</f>
        <v>#N/A</v>
      </c>
      <c r="D103" s="115"/>
      <c r="E103" s="98"/>
      <c r="F103" s="115"/>
      <c r="G103" s="115"/>
      <c r="H103" s="115"/>
      <c r="I103" s="194">
        <f t="shared" si="8"/>
        <v>0</v>
      </c>
      <c r="J103" s="116"/>
      <c r="K103" s="116"/>
      <c r="L103" s="116"/>
      <c r="M103" s="195" t="e">
        <f>I103/(HLOOKUP(F103,Team_Composition_19[[#All],[Yellow]:[Red]],10,FALSE)+HLOOKUP(F103,Team_Composition_19[[#All],[Yellow]:[Red]],11,FALSE))</f>
        <v>#N/A</v>
      </c>
      <c r="N103" s="195" t="e">
        <f>J103/HLOOKUP(F103,Team_Composition_19[[#All],[Yellow]:[Red]],6,FALSE)</f>
        <v>#N/A</v>
      </c>
      <c r="O103" s="195" t="e">
        <f>K103/HLOOKUP(F103,Team_Composition_19[[#All],[Yellow]:[Red]],8,FALSE)</f>
        <v>#N/A</v>
      </c>
      <c r="P103" s="195" t="e">
        <f>L103/HLOOKUP(F103,Team_Composition_19[[#All],[Yellow]:[Red]],7,FALSE)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B00-000000000000}">
      <formula1>#REF!</formula1>
    </dataValidation>
    <dataValidation type="list" allowBlank="1" sqref="F2:F103" xr:uid="{00000000-0002-0000-1B00-000002000000}">
      <formula1>"Yellow,Red"</formula1>
    </dataValidation>
    <dataValidation type="custom" allowBlank="1" showDropDown="1" sqref="S4:T13 S17:T25 S30:T46 S51:T60 S65:T72 A2:A103 G2:L103" xr:uid="{00000000-0002-0000-1B00-000003000000}">
      <formula1>AND(ISNUMBER(A2),(NOT(OR(NOT(ISERROR(DATEVALUE(A2))), AND(ISNUMBER(A2), LEFT(CELL("format", A2))="D")))))</formula1>
    </dataValidation>
    <dataValidation allowBlank="1" showDropDown="1" sqref="E2:E103" xr:uid="{00000000-0002-0000-1B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3</v>
      </c>
      <c r="B2" s="115" t="s">
        <v>39</v>
      </c>
      <c r="C2" s="115" t="s">
        <v>58</v>
      </c>
      <c r="D2" s="115" t="s">
        <v>7</v>
      </c>
      <c r="E2" s="98" t="s">
        <v>22</v>
      </c>
      <c r="F2" s="115" t="s">
        <v>476</v>
      </c>
      <c r="G2" s="115">
        <v>63</v>
      </c>
      <c r="H2" s="115">
        <v>159</v>
      </c>
      <c r="I2" s="194">
        <v>222</v>
      </c>
      <c r="J2" s="116">
        <v>4176635</v>
      </c>
      <c r="K2" s="116">
        <v>417193</v>
      </c>
      <c r="L2" s="116">
        <v>0</v>
      </c>
      <c r="M2" s="195">
        <v>6.3229849045855879E-2</v>
      </c>
      <c r="N2" s="195">
        <v>9.3358588774017717E-2</v>
      </c>
      <c r="O2" s="195">
        <v>1.9422961687285908E-2</v>
      </c>
      <c r="P2" s="195">
        <v>0</v>
      </c>
      <c r="R2" s="232" t="s">
        <v>477</v>
      </c>
      <c r="S2" s="228"/>
      <c r="T2" s="228"/>
      <c r="V2" s="233" t="s">
        <v>478</v>
      </c>
      <c r="W2" s="228"/>
      <c r="X2" s="196"/>
      <c r="Y2" s="233" t="s">
        <v>479</v>
      </c>
      <c r="Z2" s="228"/>
    </row>
    <row r="3" spans="1:26" ht="22.5" customHeight="1">
      <c r="A3" s="115">
        <v>2</v>
      </c>
      <c r="B3" s="115" t="s">
        <v>39</v>
      </c>
      <c r="C3" s="115" t="s">
        <v>58</v>
      </c>
      <c r="D3" s="115" t="s">
        <v>7</v>
      </c>
      <c r="E3" s="98" t="s">
        <v>42</v>
      </c>
      <c r="F3" s="115" t="s">
        <v>476</v>
      </c>
      <c r="G3" s="115">
        <v>81</v>
      </c>
      <c r="H3" s="115">
        <v>137</v>
      </c>
      <c r="I3" s="194">
        <v>218</v>
      </c>
      <c r="J3" s="116">
        <v>5576531</v>
      </c>
      <c r="K3" s="116">
        <v>803181</v>
      </c>
      <c r="L3" s="116">
        <v>8877</v>
      </c>
      <c r="M3" s="195">
        <v>6.2090572486471089E-2</v>
      </c>
      <c r="N3" s="195">
        <v>0.12464988307921611</v>
      </c>
      <c r="O3" s="195">
        <v>3.7393134091310218E-2</v>
      </c>
      <c r="P3" s="195">
        <v>6.0208648707528467E-4</v>
      </c>
      <c r="R3" s="197" t="s">
        <v>482</v>
      </c>
      <c r="S3" s="198" t="s">
        <v>476</v>
      </c>
      <c r="T3" s="198" t="s">
        <v>483</v>
      </c>
      <c r="V3" s="199" t="s">
        <v>1</v>
      </c>
      <c r="W3" s="200" t="s">
        <v>467</v>
      </c>
      <c r="Y3" s="199" t="s">
        <v>1</v>
      </c>
      <c r="Z3" s="200" t="s">
        <v>484</v>
      </c>
    </row>
    <row r="4" spans="1:26" ht="22.5" customHeight="1">
      <c r="A4" s="115">
        <v>1</v>
      </c>
      <c r="B4" s="115" t="s">
        <v>39</v>
      </c>
      <c r="C4" s="115" t="s">
        <v>58</v>
      </c>
      <c r="D4" s="115" t="s">
        <v>7</v>
      </c>
      <c r="E4" s="98" t="s">
        <v>86</v>
      </c>
      <c r="F4" s="115" t="s">
        <v>476</v>
      </c>
      <c r="G4" s="115">
        <v>83</v>
      </c>
      <c r="H4" s="115">
        <v>133</v>
      </c>
      <c r="I4" s="194">
        <v>216</v>
      </c>
      <c r="J4" s="116">
        <v>5934410</v>
      </c>
      <c r="K4" s="116">
        <v>1132321</v>
      </c>
      <c r="L4" s="116">
        <v>0</v>
      </c>
      <c r="M4" s="195">
        <v>6.1520934206778698E-2</v>
      </c>
      <c r="N4" s="195">
        <v>0.13264940383979409</v>
      </c>
      <c r="O4" s="195">
        <v>5.2716674059030869E-2</v>
      </c>
      <c r="P4" s="195">
        <v>0</v>
      </c>
      <c r="R4" s="201" t="s">
        <v>25</v>
      </c>
      <c r="S4" s="202">
        <f>COUNTIFS(Scoreboard_16[Role],R4,Scoreboard_16[Team],"Yellow")</f>
        <v>6</v>
      </c>
      <c r="T4" s="203">
        <f>COUNTIFS(Scoreboard_16[Role],R4,Scoreboard_16[Team],"Red")</f>
        <v>7</v>
      </c>
      <c r="V4" s="204" t="str">
        <f ca="1">IFERROR(__xludf.DUMMYFUNCTION("query(A1:P239, ""Select E,I where B!='Healer' Order by I Desc Limit 10"", 0)"),"Baozer")</f>
        <v>Baozer</v>
      </c>
      <c r="W4" s="116">
        <f ca="1">IFERROR(__xludf.DUMMYFUNCTION("""COMPUTED_VALUE"""),222)</f>
        <v>222</v>
      </c>
      <c r="Y4" s="204" t="str">
        <f ca="1">IFERROR(__xludf.DUMMYFUNCTION("query(A1:P239, ""Select E,J Order by J Desc Limit 10"", 0)"),"Nsin")</f>
        <v>Nsin</v>
      </c>
      <c r="Z4" s="116">
        <f ca="1">IFERROR(__xludf.DUMMYFUNCTION("""COMPUTED_VALUE"""),5934410)</f>
        <v>5934410</v>
      </c>
    </row>
    <row r="5" spans="1:26" ht="22.5" customHeight="1">
      <c r="A5" s="115">
        <v>4</v>
      </c>
      <c r="B5" s="115" t="s">
        <v>25</v>
      </c>
      <c r="C5" s="115" t="s">
        <v>23</v>
      </c>
      <c r="D5" s="115" t="s">
        <v>7</v>
      </c>
      <c r="E5" s="98" t="s">
        <v>27</v>
      </c>
      <c r="F5" s="115" t="s">
        <v>476</v>
      </c>
      <c r="G5" s="115">
        <v>55</v>
      </c>
      <c r="H5" s="115">
        <v>134</v>
      </c>
      <c r="I5" s="194">
        <v>189</v>
      </c>
      <c r="J5" s="116">
        <v>3592507</v>
      </c>
      <c r="K5" s="116">
        <v>454731</v>
      </c>
      <c r="L5" s="116">
        <v>4829</v>
      </c>
      <c r="M5" s="195">
        <v>5.3830817430931356E-2</v>
      </c>
      <c r="N5" s="195">
        <v>8.0301818013970586E-2</v>
      </c>
      <c r="O5" s="195">
        <v>2.1170592006628127E-2</v>
      </c>
      <c r="P5" s="195">
        <v>3.2752908032967777E-4</v>
      </c>
      <c r="R5" s="201" t="s">
        <v>39</v>
      </c>
      <c r="S5" s="202">
        <f>COUNTIFS(Scoreboard_16[Role],R5,Scoreboard_16[Team],"Yellow")</f>
        <v>11</v>
      </c>
      <c r="T5" s="203">
        <f>COUNTIFS(Scoreboard_16[Role],R5,Scoreboard_16[Team],"Red")</f>
        <v>10</v>
      </c>
      <c r="V5" s="204" t="str">
        <f ca="1">IFERROR(__xludf.DUMMYFUNCTION("""COMPUTED_VALUE"""),"edmun")</f>
        <v>edmun</v>
      </c>
      <c r="W5" s="116">
        <f ca="1">IFERROR(__xludf.DUMMYFUNCTION("""COMPUTED_VALUE"""),218)</f>
        <v>218</v>
      </c>
      <c r="Y5" s="204" t="str">
        <f ca="1">IFERROR(__xludf.DUMMYFUNCTION("""COMPUTED_VALUE"""),"edmun")</f>
        <v>edmun</v>
      </c>
      <c r="Z5" s="116">
        <f ca="1">IFERROR(__xludf.DUMMYFUNCTION("""COMPUTED_VALUE"""),5576531)</f>
        <v>5576531</v>
      </c>
    </row>
    <row r="6" spans="1:26" ht="22.5" customHeight="1">
      <c r="A6" s="115">
        <v>5</v>
      </c>
      <c r="B6" s="115" t="s">
        <v>39</v>
      </c>
      <c r="C6" s="115" t="s">
        <v>58</v>
      </c>
      <c r="D6" s="115" t="s">
        <v>7</v>
      </c>
      <c r="E6" s="98" t="s">
        <v>112</v>
      </c>
      <c r="F6" s="115" t="s">
        <v>476</v>
      </c>
      <c r="G6" s="115">
        <v>45</v>
      </c>
      <c r="H6" s="115">
        <v>141</v>
      </c>
      <c r="I6" s="194">
        <v>186</v>
      </c>
      <c r="J6" s="116">
        <v>3936602</v>
      </c>
      <c r="K6" s="116">
        <v>621014</v>
      </c>
      <c r="L6" s="116">
        <v>12511</v>
      </c>
      <c r="M6" s="195">
        <v>5.2976360011392769E-2</v>
      </c>
      <c r="N6" s="195">
        <v>8.7993230743164216E-2</v>
      </c>
      <c r="O6" s="195">
        <v>2.8912112929191457E-2</v>
      </c>
      <c r="P6" s="195">
        <v>8.4856415904009089E-4</v>
      </c>
      <c r="R6" s="201" t="s">
        <v>67</v>
      </c>
      <c r="S6" s="202">
        <f>COUNTIFS(Scoreboard_16[Role],R6,Scoreboard_16[Team],"Yellow")</f>
        <v>12</v>
      </c>
      <c r="T6" s="203">
        <f>COUNTIFS(Scoreboard_16[Role],R6,Scoreboard_16[Team],"Red")</f>
        <v>11</v>
      </c>
      <c r="V6" s="204" t="str">
        <f ca="1">IFERROR(__xludf.DUMMYFUNCTION("""COMPUTED_VALUE"""),"Nsin")</f>
        <v>Nsin</v>
      </c>
      <c r="W6" s="116">
        <f ca="1">IFERROR(__xludf.DUMMYFUNCTION("""COMPUTED_VALUE"""),216)</f>
        <v>216</v>
      </c>
      <c r="Y6" s="204" t="str">
        <f ca="1">IFERROR(__xludf.DUMMYFUNCTION("""COMPUTED_VALUE"""),"Baozer")</f>
        <v>Baozer</v>
      </c>
      <c r="Z6" s="116">
        <f ca="1">IFERROR(__xludf.DUMMYFUNCTION("""COMPUTED_VALUE"""),4176635)</f>
        <v>4176635</v>
      </c>
    </row>
    <row r="7" spans="1:26" ht="22.5" customHeight="1">
      <c r="A7" s="115">
        <v>8</v>
      </c>
      <c r="B7" s="115" t="s">
        <v>25</v>
      </c>
      <c r="C7" s="115" t="s">
        <v>24</v>
      </c>
      <c r="D7" s="115" t="s">
        <v>7</v>
      </c>
      <c r="E7" s="98" t="s">
        <v>104</v>
      </c>
      <c r="F7" s="115" t="s">
        <v>476</v>
      </c>
      <c r="G7" s="115">
        <v>43</v>
      </c>
      <c r="H7" s="115">
        <v>90</v>
      </c>
      <c r="I7" s="194">
        <v>133</v>
      </c>
      <c r="J7" s="116">
        <v>2384729</v>
      </c>
      <c r="K7" s="116">
        <v>509794</v>
      </c>
      <c r="L7" s="116">
        <v>19715</v>
      </c>
      <c r="M7" s="195">
        <v>3.7880945599544288E-2</v>
      </c>
      <c r="N7" s="195">
        <v>5.3304857630239295E-2</v>
      </c>
      <c r="O7" s="195">
        <v>2.3734121450763153E-2</v>
      </c>
      <c r="P7" s="195">
        <v>1.3371786744045553E-3</v>
      </c>
      <c r="R7" s="201" t="s">
        <v>11</v>
      </c>
      <c r="S7" s="202">
        <f>COUNTIFS(Scoreboard_16[Role],R7,Scoreboard_16[Team],"Yellow")</f>
        <v>19</v>
      </c>
      <c r="T7" s="203">
        <f>COUNTIFS(Scoreboard_16[Role],R7,Scoreboard_16[Team],"Red")</f>
        <v>20</v>
      </c>
      <c r="V7" s="204" t="str">
        <f ca="1">IFERROR(__xludf.DUMMYFUNCTION("""COMPUTED_VALUE"""),"Blee")</f>
        <v>Blee</v>
      </c>
      <c r="W7" s="116">
        <f ca="1">IFERROR(__xludf.DUMMYFUNCTION("""COMPUTED_VALUE"""),189)</f>
        <v>189</v>
      </c>
      <c r="Y7" s="204" t="str">
        <f ca="1">IFERROR(__xludf.DUMMYFUNCTION("""COMPUTED_VALUE"""),"TOKUL")</f>
        <v>TOKUL</v>
      </c>
      <c r="Z7" s="116">
        <f ca="1">IFERROR(__xludf.DUMMYFUNCTION("""COMPUTED_VALUE"""),3936602)</f>
        <v>3936602</v>
      </c>
    </row>
    <row r="8" spans="1:26" ht="22.5" customHeight="1">
      <c r="A8" s="115">
        <v>18</v>
      </c>
      <c r="B8" s="115" t="s">
        <v>39</v>
      </c>
      <c r="C8" s="115" t="s">
        <v>58</v>
      </c>
      <c r="D8" s="115" t="s">
        <v>7</v>
      </c>
      <c r="E8" s="98" t="s">
        <v>116</v>
      </c>
      <c r="F8" s="115" t="s">
        <v>476</v>
      </c>
      <c r="G8" s="115">
        <v>24</v>
      </c>
      <c r="H8" s="115">
        <v>101</v>
      </c>
      <c r="I8" s="194">
        <v>125</v>
      </c>
      <c r="J8" s="116">
        <v>1809433</v>
      </c>
      <c r="K8" s="116">
        <v>697263</v>
      </c>
      <c r="L8" s="116">
        <v>0</v>
      </c>
      <c r="M8" s="195">
        <v>3.5602392480774708E-2</v>
      </c>
      <c r="N8" s="195">
        <v>4.0445504900748379E-2</v>
      </c>
      <c r="O8" s="195">
        <v>3.2461984105586705E-2</v>
      </c>
      <c r="P8" s="195">
        <v>0</v>
      </c>
      <c r="R8" s="201" t="s">
        <v>468</v>
      </c>
      <c r="S8" s="202">
        <f>SUMIFS(Scoreboard_16[Damage Dealt],Scoreboard_16[Team],"Yellow")</f>
        <v>45265398</v>
      </c>
      <c r="T8" s="203">
        <f>SUMIFS(Scoreboard_16[Damage Dealt],Scoreboard_16[Team],"Red")</f>
        <v>21841449</v>
      </c>
      <c r="V8" s="204" t="str">
        <f ca="1">IFERROR(__xludf.DUMMYFUNCTION("""COMPUTED_VALUE"""),"TOKUL")</f>
        <v>TOKUL</v>
      </c>
      <c r="W8" s="116">
        <f ca="1">IFERROR(__xludf.DUMMYFUNCTION("""COMPUTED_VALUE"""),186)</f>
        <v>186</v>
      </c>
      <c r="Y8" s="204" t="str">
        <f ca="1">IFERROR(__xludf.DUMMYFUNCTION("""COMPUTED_VALUE"""),"Blee")</f>
        <v>Blee</v>
      </c>
      <c r="Z8" s="116">
        <f ca="1">IFERROR(__xludf.DUMMYFUNCTION("""COMPUTED_VALUE"""),3592507)</f>
        <v>3592507</v>
      </c>
    </row>
    <row r="9" spans="1:26" ht="22.5" customHeight="1">
      <c r="A9" s="115">
        <v>15</v>
      </c>
      <c r="B9" s="115" t="s">
        <v>25</v>
      </c>
      <c r="C9" s="115" t="s">
        <v>24</v>
      </c>
      <c r="D9" s="115" t="s">
        <v>7</v>
      </c>
      <c r="E9" s="98" t="s">
        <v>47</v>
      </c>
      <c r="F9" s="115" t="s">
        <v>476</v>
      </c>
      <c r="G9" s="115">
        <v>30</v>
      </c>
      <c r="H9" s="115">
        <v>93</v>
      </c>
      <c r="I9" s="194">
        <v>123</v>
      </c>
      <c r="J9" s="116">
        <v>2069983</v>
      </c>
      <c r="K9" s="116">
        <v>514140</v>
      </c>
      <c r="L9" s="116">
        <v>21</v>
      </c>
      <c r="M9" s="195">
        <v>3.503275420108231E-2</v>
      </c>
      <c r="N9" s="195">
        <v>4.6269470917666373E-2</v>
      </c>
      <c r="O9" s="195">
        <v>2.3936455122452141E-2</v>
      </c>
      <c r="P9" s="195">
        <v>1.4243343729391662E-6</v>
      </c>
      <c r="R9" s="201" t="s">
        <v>470</v>
      </c>
      <c r="S9" s="202">
        <f>SUMIFS(Scoreboard_16[Amount Healed],Scoreboard_16[Team],"Yellow")</f>
        <v>14747373</v>
      </c>
      <c r="T9" s="203">
        <f>SUMIFS(Scoreboard_16[Amount Healed],Scoreboard_16[Team],"Red")</f>
        <v>28433328</v>
      </c>
      <c r="V9" s="204" t="str">
        <f ca="1">IFERROR(__xludf.DUMMYFUNCTION("""COMPUTED_VALUE"""),"Superluigi")</f>
        <v>Superluigi</v>
      </c>
      <c r="W9" s="116">
        <f ca="1">IFERROR(__xludf.DUMMYFUNCTION("""COMPUTED_VALUE"""),133)</f>
        <v>133</v>
      </c>
      <c r="Y9" s="204" t="str">
        <f ca="1">IFERROR(__xludf.DUMMYFUNCTION("""COMPUTED_VALUE"""),"Spot·")</f>
        <v>Spot·</v>
      </c>
      <c r="Z9" s="116">
        <f ca="1">IFERROR(__xludf.DUMMYFUNCTION("""COMPUTED_VALUE"""),2439616)</f>
        <v>2439616</v>
      </c>
    </row>
    <row r="10" spans="1:26" ht="22.5" customHeight="1">
      <c r="A10" s="115">
        <v>9</v>
      </c>
      <c r="B10" s="115" t="s">
        <v>39</v>
      </c>
      <c r="C10" s="115" t="s">
        <v>54</v>
      </c>
      <c r="D10" s="115" t="s">
        <v>7</v>
      </c>
      <c r="E10" s="98" t="s">
        <v>103</v>
      </c>
      <c r="F10" s="115" t="s">
        <v>476</v>
      </c>
      <c r="G10" s="115">
        <v>43</v>
      </c>
      <c r="H10" s="115">
        <v>56</v>
      </c>
      <c r="I10" s="194">
        <v>99</v>
      </c>
      <c r="J10" s="116">
        <v>2439616</v>
      </c>
      <c r="K10" s="116">
        <v>590230</v>
      </c>
      <c r="L10" s="116">
        <v>3413</v>
      </c>
      <c r="M10" s="195">
        <v>2.8197094844773569E-2</v>
      </c>
      <c r="N10" s="195">
        <v>5.4531723962116391E-2</v>
      </c>
      <c r="O10" s="195">
        <v>2.7478923847444135E-2</v>
      </c>
      <c r="P10" s="195">
        <v>2.3148824832577972E-4</v>
      </c>
      <c r="R10" s="201" t="s">
        <v>469</v>
      </c>
      <c r="S10" s="202">
        <f>SUMIFS(Scoreboard_16[Damage Taken],Scoreboard_16[Team],"Yellow")</f>
        <v>21707739</v>
      </c>
      <c r="T10" s="203">
        <f>SUMIFS(Scoreboard_16[Damage Taken],Scoreboard_16[Team],"Red")</f>
        <v>45079108</v>
      </c>
      <c r="V10" s="204" t="str">
        <f ca="1">IFERROR(__xludf.DUMMYFUNCTION("""COMPUTED_VALUE"""),"愛RosesAreRosie")</f>
        <v>愛RosesAreRosie</v>
      </c>
      <c r="W10" s="116">
        <f ca="1">IFERROR(__xludf.DUMMYFUNCTION("""COMPUTED_VALUE"""),125)</f>
        <v>125</v>
      </c>
      <c r="Y10" s="204" t="str">
        <f ca="1">IFERROR(__xludf.DUMMYFUNCTION("""COMPUTED_VALUE"""),"Superluigi")</f>
        <v>Superluigi</v>
      </c>
      <c r="Z10" s="116">
        <f ca="1">IFERROR(__xludf.DUMMYFUNCTION("""COMPUTED_VALUE"""),2384729)</f>
        <v>2384729</v>
      </c>
    </row>
    <row r="11" spans="1:26" ht="22.5" customHeight="1">
      <c r="A11" s="115">
        <v>49</v>
      </c>
      <c r="B11" s="115" t="s">
        <v>11</v>
      </c>
      <c r="C11" s="115" t="s">
        <v>9</v>
      </c>
      <c r="D11" s="115" t="s">
        <v>7</v>
      </c>
      <c r="E11" s="98" t="s">
        <v>51</v>
      </c>
      <c r="F11" s="115" t="s">
        <v>476</v>
      </c>
      <c r="G11" s="115">
        <v>0</v>
      </c>
      <c r="H11" s="115">
        <v>98</v>
      </c>
      <c r="I11" s="194">
        <v>98</v>
      </c>
      <c r="J11" s="116">
        <v>43586</v>
      </c>
      <c r="K11" s="116">
        <v>161001</v>
      </c>
      <c r="L11" s="116">
        <v>418167</v>
      </c>
      <c r="M11" s="195">
        <v>2.791227570492737E-2</v>
      </c>
      <c r="N11" s="195">
        <v>9.7425976900168102E-4</v>
      </c>
      <c r="O11" s="195">
        <v>7.4956105558212109E-3</v>
      </c>
      <c r="P11" s="195">
        <v>2.8362363415659633E-2</v>
      </c>
      <c r="R11" s="201" t="s">
        <v>495</v>
      </c>
      <c r="S11" s="202">
        <f ca="1">IFERROR(DIVIDE(SUMIFS(Scoreboard_16[Amount Healed],Scoreboard_16[Team],"Yellow"), SUMIFS(Scoreboard_16[Damage Taken],Scoreboard_16[Team],"Yellow"))*(100),0)</f>
        <v>0</v>
      </c>
      <c r="T11" s="203">
        <f ca="1">IFERROR(DIVIDE(SUMIFS(Scoreboard_16[Amount Healed],Scoreboard_16[Team],"Red"), SUMIFS(Scoreboard_16[Damage Taken],Scoreboard_16[Team],"Red"))*(100),0)</f>
        <v>0</v>
      </c>
      <c r="V11" s="204" t="str">
        <f ca="1">IFERROR(__xludf.DUMMYFUNCTION("""COMPUTED_VALUE"""),"Fadeふち")</f>
        <v>Fadeふち</v>
      </c>
      <c r="W11" s="116">
        <f ca="1">IFERROR(__xludf.DUMMYFUNCTION("""COMPUTED_VALUE"""),123)</f>
        <v>123</v>
      </c>
      <c r="Y11" s="204" t="str">
        <f ca="1">IFERROR(__xludf.DUMMYFUNCTION("""COMPUTED_VALUE"""),"Geebinho17")</f>
        <v>Geebinho17</v>
      </c>
      <c r="Z11" s="116">
        <f ca="1">IFERROR(__xludf.DUMMYFUNCTION("""COMPUTED_VALUE"""),2111227)</f>
        <v>2111227</v>
      </c>
    </row>
    <row r="12" spans="1:26" ht="22.5" customHeight="1">
      <c r="A12" s="115">
        <v>7</v>
      </c>
      <c r="B12" s="115" t="s">
        <v>25</v>
      </c>
      <c r="C12" s="115" t="s">
        <v>69</v>
      </c>
      <c r="D12" s="115" t="s">
        <v>714</v>
      </c>
      <c r="E12" s="98" t="s">
        <v>334</v>
      </c>
      <c r="F12" s="115" t="s">
        <v>483</v>
      </c>
      <c r="G12" s="115">
        <v>44</v>
      </c>
      <c r="H12" s="115">
        <v>53</v>
      </c>
      <c r="I12" s="194">
        <v>97</v>
      </c>
      <c r="J12" s="116">
        <v>2043615</v>
      </c>
      <c r="K12" s="116">
        <v>1467593</v>
      </c>
      <c r="L12" s="116">
        <v>143371</v>
      </c>
      <c r="M12" s="195">
        <v>6.4026402640264032E-2</v>
      </c>
      <c r="N12" s="195">
        <v>9.3565907646511917E-2</v>
      </c>
      <c r="O12" s="195">
        <v>3.2555945871865964E-2</v>
      </c>
      <c r="P12" s="195">
        <v>5.0423573350259947E-3</v>
      </c>
      <c r="R12" s="201" t="s">
        <v>465</v>
      </c>
      <c r="S12" s="202">
        <f>SUMIFS(Scoreboard_16[Kills],Scoreboard_16[Team],"Yellow")</f>
        <v>689</v>
      </c>
      <c r="T12" s="203">
        <f>SUMIFS(Scoreboard_16[Kills],Scoreboard_16[Team],"Red")</f>
        <v>308</v>
      </c>
      <c r="V12" s="204" t="str">
        <f ca="1">IFERROR(__xludf.DUMMYFUNCTION("""COMPUTED_VALUE"""),"Spot·")</f>
        <v>Spot·</v>
      </c>
      <c r="W12" s="116">
        <f ca="1">IFERROR(__xludf.DUMMYFUNCTION("""COMPUTED_VALUE"""),99)</f>
        <v>99</v>
      </c>
      <c r="Y12" s="204" t="str">
        <f ca="1">IFERROR(__xludf.DUMMYFUNCTION("""COMPUTED_VALUE"""),"Fadeふち")</f>
        <v>Fadeふち</v>
      </c>
      <c r="Z12" s="116">
        <f ca="1">IFERROR(__xludf.DUMMYFUNCTION("""COMPUTED_VALUE"""),2069983)</f>
        <v>2069983</v>
      </c>
    </row>
    <row r="13" spans="1:26" ht="22.5" customHeight="1">
      <c r="A13" s="115">
        <v>50</v>
      </c>
      <c r="B13" s="115" t="s">
        <v>11</v>
      </c>
      <c r="C13" s="115" t="s">
        <v>10</v>
      </c>
      <c r="D13" s="115" t="s">
        <v>714</v>
      </c>
      <c r="E13" s="98" t="s">
        <v>715</v>
      </c>
      <c r="F13" s="115" t="s">
        <v>483</v>
      </c>
      <c r="G13" s="115">
        <v>0</v>
      </c>
      <c r="H13" s="115">
        <v>95</v>
      </c>
      <c r="I13" s="194">
        <v>95</v>
      </c>
      <c r="J13" s="116">
        <v>29295</v>
      </c>
      <c r="K13" s="116">
        <v>702830</v>
      </c>
      <c r="L13" s="116">
        <v>1776327</v>
      </c>
      <c r="M13" s="195">
        <v>6.2706270627062702E-2</v>
      </c>
      <c r="N13" s="195">
        <v>1.3412571665918319E-3</v>
      </c>
      <c r="O13" s="195">
        <v>1.559103609592275E-2</v>
      </c>
      <c r="P13" s="195">
        <v>6.2473411483875543E-2</v>
      </c>
      <c r="R13" s="201" t="s">
        <v>466</v>
      </c>
      <c r="S13" s="202">
        <f>SUMIFS(Scoreboard_16[Assists],Scoreboard_16[Team],"Yellow")</f>
        <v>2861</v>
      </c>
      <c r="T13" s="203">
        <f>SUMIFS(Scoreboard_16[Assists],Scoreboard_16[Team],"Red")</f>
        <v>1207</v>
      </c>
      <c r="V13" s="204" t="str">
        <f ca="1">IFERROR(__xludf.DUMMYFUNCTION("""COMPUTED_VALUE"""),"ALilSnakes")</f>
        <v>ALilSnakes</v>
      </c>
      <c r="W13" s="116">
        <f ca="1">IFERROR(__xludf.DUMMYFUNCTION("""COMPUTED_VALUE"""),97)</f>
        <v>97</v>
      </c>
      <c r="Y13" s="204" t="str">
        <f ca="1">IFERROR(__xludf.DUMMYFUNCTION("""COMPUTED_VALUE"""),"ALilSnakes")</f>
        <v>ALilSnakes</v>
      </c>
      <c r="Z13" s="116">
        <f ca="1">IFERROR(__xludf.DUMMYFUNCTION("""COMPUTED_VALUE"""),2043615)</f>
        <v>2043615</v>
      </c>
    </row>
    <row r="14" spans="1:26" ht="22.5" customHeight="1">
      <c r="A14" s="115">
        <v>10</v>
      </c>
      <c r="B14" s="115" t="s">
        <v>39</v>
      </c>
      <c r="C14" s="115" t="s">
        <v>54</v>
      </c>
      <c r="D14" s="115" t="s">
        <v>714</v>
      </c>
      <c r="E14" s="98" t="s">
        <v>716</v>
      </c>
      <c r="F14" s="115" t="s">
        <v>483</v>
      </c>
      <c r="G14" s="115">
        <v>42</v>
      </c>
      <c r="H14" s="115">
        <v>50</v>
      </c>
      <c r="I14" s="194">
        <v>92</v>
      </c>
      <c r="J14" s="116">
        <v>1897149</v>
      </c>
      <c r="K14" s="116">
        <v>836840</v>
      </c>
      <c r="L14" s="116">
        <v>0</v>
      </c>
      <c r="M14" s="195">
        <v>6.0726072607260727E-2</v>
      </c>
      <c r="N14" s="195">
        <v>8.6860033874126205E-2</v>
      </c>
      <c r="O14" s="195">
        <v>1.8563810091362057E-2</v>
      </c>
      <c r="P14" s="195">
        <v>0</v>
      </c>
    </row>
    <row r="15" spans="1:26" ht="22.5" customHeight="1">
      <c r="A15" s="115">
        <v>51</v>
      </c>
      <c r="B15" s="115" t="s">
        <v>11</v>
      </c>
      <c r="C15" s="115" t="s">
        <v>9</v>
      </c>
      <c r="D15" s="115" t="s">
        <v>7</v>
      </c>
      <c r="E15" s="98" t="s">
        <v>59</v>
      </c>
      <c r="F15" s="115" t="s">
        <v>476</v>
      </c>
      <c r="G15" s="115">
        <v>0</v>
      </c>
      <c r="H15" s="115">
        <v>90</v>
      </c>
      <c r="I15" s="194">
        <v>90</v>
      </c>
      <c r="J15" s="116">
        <v>115775</v>
      </c>
      <c r="K15" s="116">
        <v>112698</v>
      </c>
      <c r="L15" s="116">
        <v>333319</v>
      </c>
      <c r="M15" s="195">
        <v>2.563372258615779E-2</v>
      </c>
      <c r="N15" s="195">
        <v>2.5878705262279084E-3</v>
      </c>
      <c r="O15" s="195">
        <v>5.2468016870698868E-3</v>
      </c>
      <c r="P15" s="195">
        <v>2.2607509945414758E-2</v>
      </c>
      <c r="R15" s="232" t="s">
        <v>25</v>
      </c>
      <c r="S15" s="228"/>
      <c r="T15" s="228"/>
      <c r="V15" s="233" t="s">
        <v>496</v>
      </c>
      <c r="W15" s="228"/>
      <c r="Y15" s="233" t="s">
        <v>497</v>
      </c>
      <c r="Z15" s="228"/>
    </row>
    <row r="16" spans="1:26" ht="22.5" customHeight="1">
      <c r="A16" s="115">
        <v>11</v>
      </c>
      <c r="B16" s="115" t="s">
        <v>39</v>
      </c>
      <c r="C16" s="115" t="s">
        <v>54</v>
      </c>
      <c r="D16" s="115" t="s">
        <v>7</v>
      </c>
      <c r="E16" s="98" t="s">
        <v>95</v>
      </c>
      <c r="F16" s="115" t="s">
        <v>476</v>
      </c>
      <c r="G16" s="115">
        <v>36</v>
      </c>
      <c r="H16" s="115">
        <v>51</v>
      </c>
      <c r="I16" s="194">
        <v>87</v>
      </c>
      <c r="J16" s="116">
        <v>1506059</v>
      </c>
      <c r="K16" s="116">
        <v>889564</v>
      </c>
      <c r="L16" s="116">
        <v>7572</v>
      </c>
      <c r="M16" s="195">
        <v>2.4779265166619196E-2</v>
      </c>
      <c r="N16" s="195">
        <v>3.3664311784584559E-2</v>
      </c>
      <c r="O16" s="195">
        <v>4.1414806792992219E-2</v>
      </c>
      <c r="P16" s="195">
        <v>5.1357427961406512E-4</v>
      </c>
      <c r="R16" s="197" t="s">
        <v>482</v>
      </c>
      <c r="S16" s="198" t="s">
        <v>476</v>
      </c>
      <c r="T16" s="198" t="s">
        <v>483</v>
      </c>
      <c r="V16" s="199" t="s">
        <v>1</v>
      </c>
      <c r="W16" s="200" t="s">
        <v>498</v>
      </c>
      <c r="Y16" s="199" t="s">
        <v>1</v>
      </c>
      <c r="Z16" s="200" t="s">
        <v>499</v>
      </c>
    </row>
    <row r="17" spans="1:26" ht="22.5" customHeight="1">
      <c r="A17" s="115">
        <v>52</v>
      </c>
      <c r="B17" s="115" t="s">
        <v>11</v>
      </c>
      <c r="C17" s="115" t="s">
        <v>9</v>
      </c>
      <c r="D17" s="115" t="s">
        <v>7</v>
      </c>
      <c r="E17" s="98" t="s">
        <v>87</v>
      </c>
      <c r="F17" s="115" t="s">
        <v>476</v>
      </c>
      <c r="G17" s="115">
        <v>0</v>
      </c>
      <c r="H17" s="115">
        <v>85</v>
      </c>
      <c r="I17" s="194">
        <v>85</v>
      </c>
      <c r="J17" s="116">
        <v>46274</v>
      </c>
      <c r="K17" s="116">
        <v>261898</v>
      </c>
      <c r="L17" s="116">
        <v>765883</v>
      </c>
      <c r="M17" s="195">
        <v>2.4209626886926801E-2</v>
      </c>
      <c r="N17" s="195">
        <v>1.034343517431831E-3</v>
      </c>
      <c r="O17" s="195">
        <v>1.2193001368615496E-2</v>
      </c>
      <c r="P17" s="195">
        <v>5.1946356311893691E-2</v>
      </c>
      <c r="R17" s="201" t="s">
        <v>468</v>
      </c>
      <c r="S17" s="202">
        <f>SUMIFS(Scoreboard_16[Damage Dealt],Scoreboard_16[Role],"Melee DPS",Scoreboard_16[Team],"Yellow")</f>
        <v>12717140</v>
      </c>
      <c r="T17" s="203">
        <f>SUMIFS(Scoreboard_16[Damage Dealt],Scoreboard_16[Role],"Melee DPS",Scoreboard_16[Team],"Red")</f>
        <v>8309993</v>
      </c>
      <c r="V17" s="204" t="str">
        <f ca="1">IFERROR(__xludf.DUMMYFUNCTION("query(A1:P239, ""Select E,K Order by K Desc Limit 10"", 0)"),"uhh°")</f>
        <v>uhh°</v>
      </c>
      <c r="W17" s="116">
        <f ca="1">IFERROR(__xludf.DUMMYFUNCTION("""COMPUTED_VALUE"""),2045939)</f>
        <v>2045939</v>
      </c>
      <c r="Y17" s="204" t="str">
        <f ca="1">IFERROR(__xludf.DUMMYFUNCTION("query(A1:P239, ""Select E,L Order by L Desc Limit 10"", 0)"),"Whiterangea")</f>
        <v>Whiterangea</v>
      </c>
      <c r="Z17" s="116">
        <f ca="1">IFERROR(__xludf.DUMMYFUNCTION("""COMPUTED_VALUE"""),3166365)</f>
        <v>3166365</v>
      </c>
    </row>
    <row r="18" spans="1:26" ht="22.5" customHeight="1">
      <c r="A18" s="115">
        <v>53</v>
      </c>
      <c r="B18" s="115" t="s">
        <v>11</v>
      </c>
      <c r="C18" s="115" t="s">
        <v>9</v>
      </c>
      <c r="D18" s="115" t="s">
        <v>7</v>
      </c>
      <c r="E18" s="98" t="s">
        <v>72</v>
      </c>
      <c r="F18" s="115" t="s">
        <v>476</v>
      </c>
      <c r="G18" s="115">
        <v>0</v>
      </c>
      <c r="H18" s="115">
        <v>85</v>
      </c>
      <c r="I18" s="194">
        <v>85</v>
      </c>
      <c r="J18" s="116">
        <v>25404</v>
      </c>
      <c r="K18" s="116">
        <v>130214</v>
      </c>
      <c r="L18" s="116">
        <v>264251</v>
      </c>
      <c r="M18" s="195">
        <v>2.4209626886926801E-2</v>
      </c>
      <c r="N18" s="195">
        <v>5.6784506886887315E-4</v>
      </c>
      <c r="O18" s="195">
        <v>6.0622818051794909E-3</v>
      </c>
      <c r="P18" s="195">
        <v>1.7922942018264172E-2</v>
      </c>
      <c r="R18" s="201" t="s">
        <v>469</v>
      </c>
      <c r="S18" s="202">
        <f>SUMIFS(Scoreboard_16[Damage Taken],Scoreboard_16[Role],"Melee DPS",Scoreboard_16[Team],"Yellow")</f>
        <v>4504408</v>
      </c>
      <c r="T18" s="203">
        <f>SUMIFS(Scoreboard_16[Damage Taken],Scoreboard_16[Role],"Melee DPS",Scoreboard_16[Team],"Red")</f>
        <v>9175893</v>
      </c>
      <c r="V18" s="204" t="str">
        <f ca="1">IFERROR(__xludf.DUMMYFUNCTION("""COMPUTED_VALUE"""),"HEALERTANKDPS")</f>
        <v>HEALERTANKDPS</v>
      </c>
      <c r="W18" s="116">
        <f ca="1">IFERROR(__xludf.DUMMYFUNCTION("""COMPUTED_VALUE"""),1728540)</f>
        <v>1728540</v>
      </c>
      <c r="Y18" s="204" t="str">
        <f ca="1">IFERROR(__xludf.DUMMYFUNCTION("""COMPUTED_VALUE"""),"ShiPhu")</f>
        <v>ShiPhu</v>
      </c>
      <c r="Z18" s="116">
        <f ca="1">IFERROR(__xludf.DUMMYFUNCTION("""COMPUTED_VALUE"""),2666056)</f>
        <v>2666056</v>
      </c>
    </row>
    <row r="19" spans="1:26" ht="22.5" customHeight="1">
      <c r="A19" s="115">
        <v>17</v>
      </c>
      <c r="B19" s="115" t="s">
        <v>25</v>
      </c>
      <c r="C19" s="115" t="s">
        <v>69</v>
      </c>
      <c r="D19" s="115" t="s">
        <v>7</v>
      </c>
      <c r="E19" s="98" t="s">
        <v>68</v>
      </c>
      <c r="F19" s="115" t="s">
        <v>476</v>
      </c>
      <c r="G19" s="115">
        <v>25</v>
      </c>
      <c r="H19" s="115">
        <v>56</v>
      </c>
      <c r="I19" s="194">
        <v>81</v>
      </c>
      <c r="J19" s="116">
        <v>1428981</v>
      </c>
      <c r="K19" s="116">
        <v>895521</v>
      </c>
      <c r="L19" s="116">
        <v>62834</v>
      </c>
      <c r="M19" s="195">
        <v>2.3070350327542011E-2</v>
      </c>
      <c r="N19" s="195">
        <v>3.1941419239384004E-2</v>
      </c>
      <c r="O19" s="195">
        <v>4.1692142660974568E-2</v>
      </c>
      <c r="P19" s="195">
        <v>4.2617440947266463E-3</v>
      </c>
      <c r="R19" s="201" t="s">
        <v>470</v>
      </c>
      <c r="S19" s="202">
        <f>SUMIFS(Scoreboard_16[Amount Healed],Scoreboard_16[Role],"Melee DPS",Scoreboard_16[Team],"Yellow")</f>
        <v>221754</v>
      </c>
      <c r="T19" s="203">
        <f>SUMIFS(Scoreboard_16[Amount Healed],Scoreboard_16[Role],"Melee DPS",Scoreboard_16[Team],"Red")</f>
        <v>397767</v>
      </c>
      <c r="V19" s="204" t="str">
        <f ca="1">IFERROR(__xludf.DUMMYFUNCTION("""COMPUTED_VALUE"""),"Asyre")</f>
        <v>Asyre</v>
      </c>
      <c r="W19" s="116">
        <f ca="1">IFERROR(__xludf.DUMMYFUNCTION("""COMPUTED_VALUE"""),1514916)</f>
        <v>1514916</v>
      </c>
      <c r="Y19" s="204" t="str">
        <f ca="1">IFERROR(__xludf.DUMMYFUNCTION("""COMPUTED_VALUE"""),"mgmt")</f>
        <v>mgmt</v>
      </c>
      <c r="Z19" s="116">
        <f ca="1">IFERROR(__xludf.DUMMYFUNCTION("""COMPUTED_VALUE"""),2306745)</f>
        <v>2306745</v>
      </c>
    </row>
    <row r="20" spans="1:26" ht="22.5" customHeight="1">
      <c r="A20" s="115">
        <v>12</v>
      </c>
      <c r="B20" s="115" t="s">
        <v>25</v>
      </c>
      <c r="C20" s="115" t="s">
        <v>69</v>
      </c>
      <c r="D20" s="115" t="s">
        <v>7</v>
      </c>
      <c r="E20" s="98" t="s">
        <v>90</v>
      </c>
      <c r="F20" s="115" t="s">
        <v>476</v>
      </c>
      <c r="G20" s="115">
        <v>35</v>
      </c>
      <c r="H20" s="115">
        <v>45</v>
      </c>
      <c r="I20" s="194">
        <v>80</v>
      </c>
      <c r="J20" s="116">
        <v>1760603</v>
      </c>
      <c r="K20" s="116">
        <v>1050676</v>
      </c>
      <c r="L20" s="116">
        <v>72288</v>
      </c>
      <c r="M20" s="195">
        <v>2.2785531187695812E-2</v>
      </c>
      <c r="N20" s="195">
        <v>3.935402817610395E-2</v>
      </c>
      <c r="O20" s="195">
        <v>4.8915585097906264E-2</v>
      </c>
      <c r="P20" s="195">
        <v>4.9029658643345931E-3</v>
      </c>
      <c r="R20" s="201" t="s">
        <v>465</v>
      </c>
      <c r="S20" s="202">
        <f>SUMIFS(Scoreboard_16[Kills],Scoreboard_16[Role],"Melee DPS",Scoreboard_16[Team],"Yellow")</f>
        <v>223</v>
      </c>
      <c r="T20" s="203">
        <f>SUMIFS(Scoreboard_16[Kills],Scoreboard_16[Role],"Melee DPS",Scoreboard_16[Team],"Red")</f>
        <v>122</v>
      </c>
      <c r="V20" s="204" t="str">
        <f ca="1">IFERROR(__xludf.DUMMYFUNCTION("""COMPUTED_VALUE"""),"Navaj6699")</f>
        <v>Navaj6699</v>
      </c>
      <c r="W20" s="116">
        <f ca="1">IFERROR(__xludf.DUMMYFUNCTION("""COMPUTED_VALUE"""),1474333)</f>
        <v>1474333</v>
      </c>
      <c r="Y20" s="204" t="str">
        <f ca="1">IFERROR(__xludf.DUMMYFUNCTION("""COMPUTED_VALUE"""),"Cozies")</f>
        <v>Cozies</v>
      </c>
      <c r="Z20" s="116">
        <f ca="1">IFERROR(__xludf.DUMMYFUNCTION("""COMPUTED_VALUE"""),1776327)</f>
        <v>1776327</v>
      </c>
    </row>
    <row r="21" spans="1:26" ht="22.5" customHeight="1">
      <c r="A21" s="115">
        <v>6</v>
      </c>
      <c r="B21" s="115" t="s">
        <v>39</v>
      </c>
      <c r="C21" s="115" t="s">
        <v>54</v>
      </c>
      <c r="D21" s="115" t="s">
        <v>7</v>
      </c>
      <c r="E21" s="98" t="s">
        <v>53</v>
      </c>
      <c r="F21" s="115" t="s">
        <v>476</v>
      </c>
      <c r="G21" s="115">
        <v>45</v>
      </c>
      <c r="H21" s="115">
        <v>34</v>
      </c>
      <c r="I21" s="194">
        <v>79</v>
      </c>
      <c r="J21" s="116">
        <v>2111227</v>
      </c>
      <c r="K21" s="116">
        <v>885145</v>
      </c>
      <c r="L21" s="116">
        <v>3686</v>
      </c>
      <c r="M21" s="195">
        <v>2.2500712047849616E-2</v>
      </c>
      <c r="N21" s="195">
        <v>4.719138093264149E-2</v>
      </c>
      <c r="O21" s="195">
        <v>4.1209074511539469E-2</v>
      </c>
      <c r="P21" s="195">
        <v>2.5000459517398888E-4</v>
      </c>
      <c r="R21" s="201" t="s">
        <v>466</v>
      </c>
      <c r="S21" s="202">
        <f>SUMIFS(Scoreboard_16[Assists],Scoreboard_16[Role],"Melee DPS",Scoreboard_16[Team],"Yellow")</f>
        <v>462</v>
      </c>
      <c r="T21" s="203">
        <f>SUMIFS(Scoreboard_16[Assists],Scoreboard_16[Role],"Melee DPS",Scoreboard_16[Team],"Red")</f>
        <v>229</v>
      </c>
      <c r="V21" s="204" t="str">
        <f ca="1">IFERROR(__xludf.DUMMYFUNCTION("""COMPUTED_VALUE"""),"Gunnex")</f>
        <v>Gunnex</v>
      </c>
      <c r="W21" s="116">
        <f ca="1">IFERROR(__xludf.DUMMYFUNCTION("""COMPUTED_VALUE"""),1471572)</f>
        <v>1471572</v>
      </c>
      <c r="Y21" s="204" t="str">
        <f ca="1">IFERROR(__xludf.DUMMYFUNCTION("""COMPUTED_VALUE"""),"Gwenchanayo")</f>
        <v>Gwenchanayo</v>
      </c>
      <c r="Z21" s="116">
        <f ca="1">IFERROR(__xludf.DUMMYFUNCTION("""COMPUTED_VALUE"""),1714002)</f>
        <v>1714002</v>
      </c>
    </row>
    <row r="22" spans="1:26" ht="22.5" customHeight="1">
      <c r="A22" s="115">
        <v>13</v>
      </c>
      <c r="B22" s="115" t="s">
        <v>25</v>
      </c>
      <c r="C22" s="115" t="s">
        <v>69</v>
      </c>
      <c r="D22" s="115" t="s">
        <v>7</v>
      </c>
      <c r="E22" s="98" t="s">
        <v>98</v>
      </c>
      <c r="F22" s="115" t="s">
        <v>476</v>
      </c>
      <c r="G22" s="115">
        <v>35</v>
      </c>
      <c r="H22" s="115">
        <v>44</v>
      </c>
      <c r="I22" s="194">
        <v>79</v>
      </c>
      <c r="J22" s="116">
        <v>1480337</v>
      </c>
      <c r="K22" s="116">
        <v>1079546</v>
      </c>
      <c r="L22" s="116">
        <v>62067</v>
      </c>
      <c r="M22" s="195">
        <v>2.2500712047849616E-2</v>
      </c>
      <c r="N22" s="195">
        <v>3.3089358593691588E-2</v>
      </c>
      <c r="O22" s="195">
        <v>5.0259665425025711E-2</v>
      </c>
      <c r="P22" s="195">
        <v>4.2097219773912014E-3</v>
      </c>
      <c r="R22" s="201" t="s">
        <v>24</v>
      </c>
      <c r="S22" s="202">
        <f t="shared" ref="S22:S25" si="0">COUNTIFS(C:C,R22,F:F,"Yellow")</f>
        <v>2</v>
      </c>
      <c r="T22" s="203">
        <f t="shared" ref="T22:T25" si="1">COUNTIFS(C:C,R22,F:F,"Red")</f>
        <v>3</v>
      </c>
      <c r="V22" s="204" t="str">
        <f ca="1">IFERROR(__xludf.DUMMYFUNCTION("""COMPUTED_VALUE"""),"ALilSnakes")</f>
        <v>ALilSnakes</v>
      </c>
      <c r="W22" s="116">
        <f ca="1">IFERROR(__xludf.DUMMYFUNCTION("""COMPUTED_VALUE"""),1467593)</f>
        <v>1467593</v>
      </c>
      <c r="Y22" s="204" t="str">
        <f ca="1">IFERROR(__xludf.DUMMYFUNCTION("""COMPUTED_VALUE"""),"soju·")</f>
        <v>soju·</v>
      </c>
      <c r="Z22" s="116">
        <f ca="1">IFERROR(__xludf.DUMMYFUNCTION("""COMPUTED_VALUE"""),1389112)</f>
        <v>1389112</v>
      </c>
    </row>
    <row r="23" spans="1:26" ht="22.5" customHeight="1">
      <c r="A23" s="115">
        <v>54</v>
      </c>
      <c r="B23" s="115" t="s">
        <v>11</v>
      </c>
      <c r="C23" s="115" t="s">
        <v>10</v>
      </c>
      <c r="D23" s="115" t="s">
        <v>7</v>
      </c>
      <c r="E23" s="98" t="s">
        <v>101</v>
      </c>
      <c r="F23" s="115" t="s">
        <v>476</v>
      </c>
      <c r="G23" s="115">
        <v>0</v>
      </c>
      <c r="H23" s="115">
        <v>78</v>
      </c>
      <c r="I23" s="194">
        <v>78</v>
      </c>
      <c r="J23" s="116">
        <v>39980</v>
      </c>
      <c r="K23" s="116">
        <v>407513</v>
      </c>
      <c r="L23" s="116">
        <v>1389112</v>
      </c>
      <c r="M23" s="195">
        <v>2.2215892908003416E-2</v>
      </c>
      <c r="N23" s="195">
        <v>8.9365634755855566E-4</v>
      </c>
      <c r="O23" s="195">
        <v>1.8972296721351849E-2</v>
      </c>
      <c r="P23" s="195">
        <v>9.421714140296529E-2</v>
      </c>
      <c r="R23" s="201" t="s">
        <v>69</v>
      </c>
      <c r="S23" s="202">
        <f t="shared" si="0"/>
        <v>3</v>
      </c>
      <c r="T23" s="203">
        <f t="shared" si="1"/>
        <v>2</v>
      </c>
      <c r="V23" s="204" t="str">
        <f ca="1">IFERROR(__xludf.DUMMYFUNCTION("""COMPUTED_VALUE"""),"Camaan")</f>
        <v>Camaan</v>
      </c>
      <c r="W23" s="116">
        <f ca="1">IFERROR(__xludf.DUMMYFUNCTION("""COMPUTED_VALUE"""),1388554)</f>
        <v>1388554</v>
      </c>
      <c r="Y23" s="204" t="str">
        <f ca="1">IFERROR(__xludf.DUMMYFUNCTION("""COMPUTED_VALUE"""),"ALilOuk")</f>
        <v>ALilOuk</v>
      </c>
      <c r="Z23" s="116">
        <f ca="1">IFERROR(__xludf.DUMMYFUNCTION("""COMPUTED_VALUE"""),1371222)</f>
        <v>1371222</v>
      </c>
    </row>
    <row r="24" spans="1:26" ht="22.5" customHeight="1">
      <c r="A24" s="115">
        <v>55</v>
      </c>
      <c r="B24" s="115" t="s">
        <v>11</v>
      </c>
      <c r="C24" s="115" t="s">
        <v>9</v>
      </c>
      <c r="D24" s="115" t="s">
        <v>714</v>
      </c>
      <c r="E24" s="98" t="s">
        <v>717</v>
      </c>
      <c r="F24" s="115" t="s">
        <v>483</v>
      </c>
      <c r="G24" s="115">
        <v>0</v>
      </c>
      <c r="H24" s="115">
        <v>77</v>
      </c>
      <c r="I24" s="194">
        <v>77</v>
      </c>
      <c r="J24" s="116">
        <v>3138</v>
      </c>
      <c r="K24" s="116">
        <v>460821</v>
      </c>
      <c r="L24" s="116">
        <v>982053</v>
      </c>
      <c r="M24" s="195">
        <v>5.0825082508250824E-2</v>
      </c>
      <c r="N24" s="195">
        <v>1.4367178661086084E-4</v>
      </c>
      <c r="O24" s="195">
        <v>1.0222495973079148E-2</v>
      </c>
      <c r="P24" s="195">
        <v>3.453879897562466E-2</v>
      </c>
      <c r="R24" s="201" t="s">
        <v>23</v>
      </c>
      <c r="S24" s="202">
        <f t="shared" si="0"/>
        <v>1</v>
      </c>
      <c r="T24" s="203">
        <f t="shared" si="1"/>
        <v>2</v>
      </c>
      <c r="V24" s="204" t="str">
        <f ca="1">IFERROR(__xludf.DUMMYFUNCTION("""COMPUTED_VALUE"""),"Smeysh")</f>
        <v>Smeysh</v>
      </c>
      <c r="W24" s="116">
        <f ca="1">IFERROR(__xludf.DUMMYFUNCTION("""COMPUTED_VALUE"""),1387870)</f>
        <v>1387870</v>
      </c>
      <c r="Y24" s="204" t="str">
        <f ca="1">IFERROR(__xludf.DUMMYFUNCTION("""COMPUTED_VALUE"""),"Groaxy")</f>
        <v>Groaxy</v>
      </c>
      <c r="Z24" s="116">
        <f ca="1">IFERROR(__xludf.DUMMYFUNCTION("""COMPUTED_VALUE"""),1345138)</f>
        <v>1345138</v>
      </c>
    </row>
    <row r="25" spans="1:26" ht="22.5" customHeight="1">
      <c r="A25" s="115">
        <v>40</v>
      </c>
      <c r="B25" s="115" t="s">
        <v>11</v>
      </c>
      <c r="C25" s="115" t="s">
        <v>10</v>
      </c>
      <c r="D25" s="115" t="s">
        <v>7</v>
      </c>
      <c r="E25" s="98" t="s">
        <v>17</v>
      </c>
      <c r="F25" s="115" t="s">
        <v>476</v>
      </c>
      <c r="G25" s="115">
        <v>1</v>
      </c>
      <c r="H25" s="115">
        <v>73</v>
      </c>
      <c r="I25" s="194">
        <v>74</v>
      </c>
      <c r="J25" s="116">
        <v>64821</v>
      </c>
      <c r="K25" s="116">
        <v>414399</v>
      </c>
      <c r="L25" s="116">
        <v>1258014</v>
      </c>
      <c r="M25" s="195">
        <v>2.1076616348618626E-2</v>
      </c>
      <c r="N25" s="195">
        <v>1.4489169110828699E-3</v>
      </c>
      <c r="O25" s="195">
        <v>1.9292883390300396E-2</v>
      </c>
      <c r="P25" s="195">
        <v>8.5325361039937722E-2</v>
      </c>
      <c r="R25" s="201" t="s">
        <v>33</v>
      </c>
      <c r="S25" s="202">
        <f t="shared" si="0"/>
        <v>0</v>
      </c>
      <c r="T25" s="203">
        <f t="shared" si="1"/>
        <v>0</v>
      </c>
      <c r="V25" s="204" t="str">
        <f ca="1">IFERROR(__xludf.DUMMYFUNCTION("""COMPUTED_VALUE"""),"R3ckl3ss")</f>
        <v>R3ckl3ss</v>
      </c>
      <c r="W25" s="116">
        <f ca="1">IFERROR(__xludf.DUMMYFUNCTION("""COMPUTED_VALUE"""),1385745)</f>
        <v>1385745</v>
      </c>
      <c r="Y25" s="204" t="str">
        <f ca="1">IFERROR(__xludf.DUMMYFUNCTION("""COMPUTED_VALUE"""),"V0icES")</f>
        <v>V0icES</v>
      </c>
      <c r="Z25" s="116">
        <f ca="1">IFERROR(__xludf.DUMMYFUNCTION("""COMPUTED_VALUE"""),1344157)</f>
        <v>1344157</v>
      </c>
    </row>
    <row r="26" spans="1:26" ht="22.5" customHeight="1">
      <c r="A26" s="115">
        <v>56</v>
      </c>
      <c r="B26" s="115" t="s">
        <v>11</v>
      </c>
      <c r="C26" s="115" t="s">
        <v>10</v>
      </c>
      <c r="D26" s="115" t="s">
        <v>7</v>
      </c>
      <c r="E26" s="98" t="s">
        <v>102</v>
      </c>
      <c r="F26" s="115" t="s">
        <v>476</v>
      </c>
      <c r="G26" s="115">
        <v>0</v>
      </c>
      <c r="H26" s="115">
        <v>73</v>
      </c>
      <c r="I26" s="194">
        <v>73</v>
      </c>
      <c r="J26" s="116">
        <v>64516</v>
      </c>
      <c r="K26" s="116">
        <v>231758</v>
      </c>
      <c r="L26" s="116">
        <v>535030</v>
      </c>
      <c r="M26" s="195">
        <v>2.0791797208772431E-2</v>
      </c>
      <c r="N26" s="195">
        <v>1.4420993726635262E-3</v>
      </c>
      <c r="O26" s="195">
        <v>1.0789794542866269E-2</v>
      </c>
      <c r="P26" s="195">
        <v>3.6288648550173434E-2</v>
      </c>
      <c r="R26" s="204"/>
      <c r="S26" s="208"/>
      <c r="T26" s="208"/>
      <c r="V26" s="204" t="str">
        <f ca="1">IFERROR(__xludf.DUMMYFUNCTION("""COMPUTED_VALUE"""),"Energe")</f>
        <v>Energe</v>
      </c>
      <c r="W26" s="116">
        <f ca="1">IFERROR(__xludf.DUMMYFUNCTION("""COMPUTED_VALUE"""),1295336)</f>
        <v>1295336</v>
      </c>
      <c r="Y26" s="204" t="str">
        <f ca="1">IFERROR(__xludf.DUMMYFUNCTION("""COMPUTED_VALUE"""),"apgonzo")</f>
        <v>apgonzo</v>
      </c>
      <c r="Z26" s="116">
        <f ca="1">IFERROR(__xludf.DUMMYFUNCTION("""COMPUTED_VALUE"""),1258014)</f>
        <v>1258014</v>
      </c>
    </row>
    <row r="27" spans="1:26" ht="22.5" customHeight="1">
      <c r="A27" s="115">
        <v>14</v>
      </c>
      <c r="B27" s="115" t="s">
        <v>39</v>
      </c>
      <c r="C27" s="115" t="s">
        <v>54</v>
      </c>
      <c r="D27" s="115" t="s">
        <v>714</v>
      </c>
      <c r="E27" s="98" t="s">
        <v>504</v>
      </c>
      <c r="F27" s="115" t="s">
        <v>483</v>
      </c>
      <c r="G27" s="115">
        <v>34</v>
      </c>
      <c r="H27" s="115">
        <v>38</v>
      </c>
      <c r="I27" s="194">
        <v>72</v>
      </c>
      <c r="J27" s="116">
        <v>1540687</v>
      </c>
      <c r="K27" s="116">
        <v>723453</v>
      </c>
      <c r="L27" s="116">
        <v>0</v>
      </c>
      <c r="M27" s="195">
        <v>4.7524752475247525E-2</v>
      </c>
      <c r="N27" s="195">
        <v>7.0539596525853204E-2</v>
      </c>
      <c r="O27" s="195">
        <v>1.6048520747127471E-2</v>
      </c>
      <c r="P27" s="195">
        <v>0</v>
      </c>
      <c r="R27" s="6"/>
      <c r="S27" s="209"/>
      <c r="T27" s="209"/>
    </row>
    <row r="28" spans="1:26" ht="22.5" customHeight="1">
      <c r="A28" s="115">
        <v>57</v>
      </c>
      <c r="B28" s="115" t="s">
        <v>11</v>
      </c>
      <c r="C28" s="115" t="s">
        <v>9</v>
      </c>
      <c r="D28" s="115" t="s">
        <v>7</v>
      </c>
      <c r="E28" s="98" t="s">
        <v>91</v>
      </c>
      <c r="F28" s="115" t="s">
        <v>476</v>
      </c>
      <c r="G28" s="115">
        <v>0</v>
      </c>
      <c r="H28" s="115">
        <v>71</v>
      </c>
      <c r="I28" s="194">
        <v>71</v>
      </c>
      <c r="J28" s="116">
        <v>2970</v>
      </c>
      <c r="K28" s="116">
        <v>223859</v>
      </c>
      <c r="L28" s="116">
        <v>527958</v>
      </c>
      <c r="M28" s="195">
        <v>2.0222158929080036E-2</v>
      </c>
      <c r="N28" s="195">
        <v>6.6387177394920219E-5</v>
      </c>
      <c r="O28" s="195">
        <v>1.0422046343908302E-2</v>
      </c>
      <c r="P28" s="195">
        <v>3.5808986993724583E-2</v>
      </c>
      <c r="R28" s="232" t="s">
        <v>39</v>
      </c>
      <c r="S28" s="228"/>
      <c r="T28" s="228"/>
    </row>
    <row r="29" spans="1:26" ht="22.5" customHeight="1">
      <c r="A29" s="115">
        <v>58</v>
      </c>
      <c r="B29" s="115" t="s">
        <v>67</v>
      </c>
      <c r="C29" s="115" t="s">
        <v>75</v>
      </c>
      <c r="D29" s="115" t="s">
        <v>7</v>
      </c>
      <c r="E29" s="98" t="s">
        <v>89</v>
      </c>
      <c r="F29" s="115" t="s">
        <v>476</v>
      </c>
      <c r="G29" s="115">
        <v>0</v>
      </c>
      <c r="H29" s="115">
        <v>70</v>
      </c>
      <c r="I29" s="194">
        <v>70</v>
      </c>
      <c r="J29" s="116">
        <v>73702</v>
      </c>
      <c r="K29" s="116">
        <v>291623</v>
      </c>
      <c r="L29" s="116">
        <v>88206</v>
      </c>
      <c r="M29" s="195">
        <v>1.9937339789233836E-2</v>
      </c>
      <c r="N29" s="195">
        <v>1.6474302183031684E-3</v>
      </c>
      <c r="O29" s="195">
        <v>1.3576887330639244E-2</v>
      </c>
      <c r="P29" s="195">
        <v>5.9826113190224808E-3</v>
      </c>
      <c r="R29" s="197" t="s">
        <v>482</v>
      </c>
      <c r="S29" s="198" t="s">
        <v>476</v>
      </c>
      <c r="T29" s="198" t="s">
        <v>483</v>
      </c>
    </row>
    <row r="30" spans="1:26" ht="22.5" customHeight="1">
      <c r="A30" s="115">
        <v>59</v>
      </c>
      <c r="B30" s="115" t="s">
        <v>11</v>
      </c>
      <c r="C30" s="115" t="s">
        <v>9</v>
      </c>
      <c r="D30" s="115" t="s">
        <v>7</v>
      </c>
      <c r="E30" s="98" t="s">
        <v>695</v>
      </c>
      <c r="F30" s="115" t="s">
        <v>476</v>
      </c>
      <c r="G30" s="115">
        <v>0</v>
      </c>
      <c r="H30" s="115">
        <v>69</v>
      </c>
      <c r="I30" s="194">
        <v>69</v>
      </c>
      <c r="J30" s="116">
        <v>49750</v>
      </c>
      <c r="K30" s="116">
        <v>108870</v>
      </c>
      <c r="L30" s="116">
        <v>635514</v>
      </c>
      <c r="M30" s="195">
        <v>1.9652520649387637E-2</v>
      </c>
      <c r="N30" s="195">
        <v>1.1120411028273673E-3</v>
      </c>
      <c r="O30" s="195">
        <v>5.0685841778141455E-3</v>
      </c>
      <c r="P30" s="195">
        <v>4.3104020699241012E-2</v>
      </c>
      <c r="R30" s="201" t="s">
        <v>468</v>
      </c>
      <c r="S30" s="202">
        <f>SUMIFS(Scoreboard_16[Damage Dealt],Scoreboard_16[Role],"Ranged DPS",Scoreboard_16[Team],"Yellow")</f>
        <v>30090157</v>
      </c>
      <c r="T30" s="203">
        <f>SUMIFS(Scoreboard_16[Damage Dealt],Scoreboard_16[Role],"Ranged DPS",Scoreboard_16[Team],"Red")</f>
        <v>11833833</v>
      </c>
    </row>
    <row r="31" spans="1:26" ht="22.5" customHeight="1">
      <c r="A31" s="115">
        <v>22</v>
      </c>
      <c r="B31" s="115" t="s">
        <v>39</v>
      </c>
      <c r="C31" s="115" t="s">
        <v>45</v>
      </c>
      <c r="D31" s="115" t="s">
        <v>7</v>
      </c>
      <c r="E31" s="98" t="s">
        <v>83</v>
      </c>
      <c r="F31" s="115" t="s">
        <v>476</v>
      </c>
      <c r="G31" s="115">
        <v>15</v>
      </c>
      <c r="H31" s="115">
        <v>53</v>
      </c>
      <c r="I31" s="194">
        <v>68</v>
      </c>
      <c r="J31" s="116">
        <v>1172569</v>
      </c>
      <c r="K31" s="116">
        <v>432903</v>
      </c>
      <c r="L31" s="116">
        <v>7461</v>
      </c>
      <c r="M31" s="195">
        <v>1.9367701509541441E-2</v>
      </c>
      <c r="N31" s="195">
        <v>2.6209948219119261E-2</v>
      </c>
      <c r="O31" s="195">
        <v>2.0154361130966077E-2</v>
      </c>
      <c r="P31" s="195">
        <v>5.0604565507138667E-4</v>
      </c>
      <c r="R31" s="201" t="s">
        <v>469</v>
      </c>
      <c r="S31" s="202">
        <f>SUMIFS(Scoreboard_16[Damage Taken],Scoreboard_16[Role],"Ranged DPS",Scoreboard_16[Team],"Yellow")</f>
        <v>7110185</v>
      </c>
      <c r="T31" s="203">
        <f>SUMIFS(Scoreboard_16[Damage Taken],Scoreboard_16[Role],"Ranged DPS",Scoreboard_16[Team],"Red")</f>
        <v>9538340</v>
      </c>
    </row>
    <row r="32" spans="1:26" ht="22.5" customHeight="1">
      <c r="A32" s="115">
        <v>19</v>
      </c>
      <c r="B32" s="115" t="s">
        <v>39</v>
      </c>
      <c r="C32" s="115" t="s">
        <v>54</v>
      </c>
      <c r="D32" s="115" t="s">
        <v>714</v>
      </c>
      <c r="E32" s="98" t="s">
        <v>718</v>
      </c>
      <c r="F32" s="115" t="s">
        <v>483</v>
      </c>
      <c r="G32" s="115">
        <v>21</v>
      </c>
      <c r="H32" s="115">
        <v>44</v>
      </c>
      <c r="I32" s="194">
        <v>65</v>
      </c>
      <c r="J32" s="116">
        <v>1306873</v>
      </c>
      <c r="K32" s="116">
        <v>674291</v>
      </c>
      <c r="L32" s="116">
        <v>0</v>
      </c>
      <c r="M32" s="195">
        <v>4.2904290429042903E-2</v>
      </c>
      <c r="N32" s="195">
        <v>5.9834537534574746E-2</v>
      </c>
      <c r="O32" s="195">
        <v>1.4957949034838932E-2</v>
      </c>
      <c r="P32" s="195">
        <v>0</v>
      </c>
      <c r="R32" s="201" t="s">
        <v>470</v>
      </c>
      <c r="S32" s="202">
        <f>SUMIFS(Scoreboard_16[Amount Healed],Scoreboard_16[Role],"Ranged DPS",Scoreboard_16[Team],"Yellow")</f>
        <v>198498</v>
      </c>
      <c r="T32" s="203">
        <f>SUMIFS(Scoreboard_16[Amount Healed],Scoreboard_16[Role],"Ranged DPS",Scoreboard_16[Team],"Red")</f>
        <v>228812</v>
      </c>
    </row>
    <row r="33" spans="1:20" ht="22.5" customHeight="1">
      <c r="A33" s="115">
        <v>60</v>
      </c>
      <c r="B33" s="115" t="s">
        <v>11</v>
      </c>
      <c r="C33" s="115" t="s">
        <v>9</v>
      </c>
      <c r="D33" s="115" t="s">
        <v>7</v>
      </c>
      <c r="E33" s="98" t="s">
        <v>8</v>
      </c>
      <c r="F33" s="115" t="s">
        <v>476</v>
      </c>
      <c r="G33" s="115">
        <v>0</v>
      </c>
      <c r="H33" s="115">
        <v>62</v>
      </c>
      <c r="I33" s="194">
        <v>62</v>
      </c>
      <c r="J33" s="116">
        <v>99768</v>
      </c>
      <c r="K33" s="116">
        <v>599228</v>
      </c>
      <c r="L33" s="116">
        <v>1054279</v>
      </c>
      <c r="M33" s="195">
        <v>1.7658786670464256E-2</v>
      </c>
      <c r="N33" s="195">
        <v>2.2300726984297646E-3</v>
      </c>
      <c r="O33" s="195">
        <v>2.7897837418051023E-2</v>
      </c>
      <c r="P33" s="195">
        <v>7.1506943731806244E-2</v>
      </c>
      <c r="R33" s="201" t="s">
        <v>465</v>
      </c>
      <c r="S33" s="202">
        <f>SUMIFS(Scoreboard_16[Kills],Scoreboard_16[Role],"Ranged DPS",Scoreboard_16[Team],"Yellow")</f>
        <v>444</v>
      </c>
      <c r="T33" s="203">
        <f>SUMIFS(Scoreboard_16[Kills],Scoreboard_16[Role],"Ranged DPS",Scoreboard_16[Team],"Red")</f>
        <v>180</v>
      </c>
    </row>
    <row r="34" spans="1:20" ht="22.5" customHeight="1">
      <c r="A34" s="115">
        <v>16</v>
      </c>
      <c r="B34" s="115" t="s">
        <v>39</v>
      </c>
      <c r="C34" s="115" t="s">
        <v>43</v>
      </c>
      <c r="D34" s="115" t="s">
        <v>714</v>
      </c>
      <c r="E34" s="98" t="s">
        <v>719</v>
      </c>
      <c r="F34" s="115" t="s">
        <v>483</v>
      </c>
      <c r="G34" s="115">
        <v>29</v>
      </c>
      <c r="H34" s="115">
        <v>33</v>
      </c>
      <c r="I34" s="194">
        <v>62</v>
      </c>
      <c r="J34" s="116">
        <v>1060717</v>
      </c>
      <c r="K34" s="116">
        <v>973686</v>
      </c>
      <c r="L34" s="116">
        <v>51895</v>
      </c>
      <c r="M34" s="195">
        <v>4.0924092409240921E-2</v>
      </c>
      <c r="N34" s="195">
        <v>4.856440614356676E-2</v>
      </c>
      <c r="O34" s="195">
        <v>2.1599495713180483E-2</v>
      </c>
      <c r="P34" s="195">
        <v>1.8251468839665902E-3</v>
      </c>
      <c r="R34" s="201" t="s">
        <v>466</v>
      </c>
      <c r="S34" s="202">
        <f>SUMIFS(Scoreboard_16[Assists],Scoreboard_16[Role],"Ranged DPS",Scoreboard_16[Team],"Yellow")</f>
        <v>950</v>
      </c>
      <c r="T34" s="203">
        <f>SUMIFS(Scoreboard_16[Assists],Scoreboard_16[Role],"Ranged DPS",Scoreboard_16[Team],"Red")</f>
        <v>303</v>
      </c>
    </row>
    <row r="35" spans="1:20" ht="22.5" customHeight="1">
      <c r="A35" s="115">
        <v>26</v>
      </c>
      <c r="B35" s="115" t="s">
        <v>67</v>
      </c>
      <c r="C35" s="115" t="s">
        <v>14</v>
      </c>
      <c r="D35" s="115" t="s">
        <v>7</v>
      </c>
      <c r="E35" s="98" t="s">
        <v>37</v>
      </c>
      <c r="F35" s="115" t="s">
        <v>476</v>
      </c>
      <c r="G35" s="115">
        <v>9</v>
      </c>
      <c r="H35" s="115">
        <v>52</v>
      </c>
      <c r="I35" s="194">
        <v>61</v>
      </c>
      <c r="J35" s="116">
        <v>474317</v>
      </c>
      <c r="K35" s="116">
        <v>488574</v>
      </c>
      <c r="L35" s="116">
        <v>42060</v>
      </c>
      <c r="M35" s="195">
        <v>1.7373967530618057E-2</v>
      </c>
      <c r="N35" s="195">
        <v>1.0602211050648611E-2</v>
      </c>
      <c r="O35" s="195">
        <v>2.2746196804366386E-2</v>
      </c>
      <c r="P35" s="195">
        <v>2.8527382726581587E-3</v>
      </c>
      <c r="R35" s="201" t="s">
        <v>54</v>
      </c>
      <c r="S35" s="202">
        <f t="shared" ref="S35:S46" si="2">COUNTIFS(C:C,R35,F:F,"Yellow")</f>
        <v>3</v>
      </c>
      <c r="T35" s="203">
        <f t="shared" ref="T35:T46" si="3">COUNTIFS(C:C,R35,F:F,"Red")</f>
        <v>3</v>
      </c>
    </row>
    <row r="36" spans="1:20" ht="22.5" customHeight="1">
      <c r="A36" s="115">
        <v>61</v>
      </c>
      <c r="B36" s="115" t="s">
        <v>11</v>
      </c>
      <c r="C36" s="115" t="s">
        <v>10</v>
      </c>
      <c r="D36" s="115" t="s">
        <v>7</v>
      </c>
      <c r="E36" s="98" t="s">
        <v>115</v>
      </c>
      <c r="F36" s="115" t="s">
        <v>476</v>
      </c>
      <c r="G36" s="115">
        <v>0</v>
      </c>
      <c r="H36" s="115">
        <v>61</v>
      </c>
      <c r="I36" s="194">
        <v>61</v>
      </c>
      <c r="J36" s="116">
        <v>44598</v>
      </c>
      <c r="K36" s="116">
        <v>544127</v>
      </c>
      <c r="L36" s="116">
        <v>1128683</v>
      </c>
      <c r="M36" s="195">
        <v>1.7373967530618057E-2</v>
      </c>
      <c r="N36" s="195">
        <v>9.968805850029132E-4</v>
      </c>
      <c r="O36" s="195">
        <v>2.5332538834586915E-2</v>
      </c>
      <c r="P36" s="195">
        <v>7.6553428240576038E-2</v>
      </c>
      <c r="R36" s="201" t="s">
        <v>43</v>
      </c>
      <c r="S36" s="202">
        <f t="shared" si="2"/>
        <v>0</v>
      </c>
      <c r="T36" s="203">
        <f t="shared" si="3"/>
        <v>1</v>
      </c>
    </row>
    <row r="37" spans="1:20" ht="22.5" customHeight="1">
      <c r="A37" s="115">
        <v>62</v>
      </c>
      <c r="B37" s="115" t="s">
        <v>11</v>
      </c>
      <c r="C37" s="115" t="s">
        <v>9</v>
      </c>
      <c r="D37" s="115" t="s">
        <v>7</v>
      </c>
      <c r="E37" s="98" t="s">
        <v>44</v>
      </c>
      <c r="F37" s="115" t="s">
        <v>476</v>
      </c>
      <c r="G37" s="115">
        <v>0</v>
      </c>
      <c r="H37" s="115">
        <v>56</v>
      </c>
      <c r="I37" s="194">
        <v>56</v>
      </c>
      <c r="J37" s="116">
        <v>18022</v>
      </c>
      <c r="K37" s="116">
        <v>263667</v>
      </c>
      <c r="L37" s="116">
        <v>499169</v>
      </c>
      <c r="M37" s="195">
        <v>1.5949871831387068E-2</v>
      </c>
      <c r="N37" s="195">
        <v>4.0283828653577512E-4</v>
      </c>
      <c r="O37" s="195">
        <v>1.2275359460013983E-2</v>
      </c>
      <c r="P37" s="195">
        <v>3.3856360219317649E-2</v>
      </c>
      <c r="R37" s="201" t="s">
        <v>45</v>
      </c>
      <c r="S37" s="202">
        <f t="shared" si="2"/>
        <v>2</v>
      </c>
      <c r="T37" s="203">
        <f t="shared" si="3"/>
        <v>2</v>
      </c>
    </row>
    <row r="38" spans="1:20" ht="22.5" customHeight="1">
      <c r="A38" s="115">
        <v>63</v>
      </c>
      <c r="B38" s="115" t="s">
        <v>11</v>
      </c>
      <c r="C38" s="115" t="s">
        <v>9</v>
      </c>
      <c r="D38" s="115" t="s">
        <v>7</v>
      </c>
      <c r="E38" s="98" t="s">
        <v>41</v>
      </c>
      <c r="F38" s="115" t="s">
        <v>476</v>
      </c>
      <c r="G38" s="115">
        <v>0</v>
      </c>
      <c r="H38" s="115">
        <v>56</v>
      </c>
      <c r="I38" s="194">
        <v>56</v>
      </c>
      <c r="J38" s="116">
        <v>12191</v>
      </c>
      <c r="K38" s="116">
        <v>115073</v>
      </c>
      <c r="L38" s="116">
        <v>536219</v>
      </c>
      <c r="M38" s="195">
        <v>1.5949871831387068E-2</v>
      </c>
      <c r="N38" s="195">
        <v>2.7250036350891325E-4</v>
      </c>
      <c r="O38" s="195">
        <v>5.3573728951373852E-3</v>
      </c>
      <c r="P38" s="195">
        <v>3.6369293005860323E-2</v>
      </c>
      <c r="R38" s="201" t="s">
        <v>81</v>
      </c>
      <c r="S38" s="202">
        <f t="shared" si="2"/>
        <v>0</v>
      </c>
      <c r="T38" s="203">
        <f t="shared" si="3"/>
        <v>0</v>
      </c>
    </row>
    <row r="39" spans="1:20" ht="22.5" customHeight="1">
      <c r="A39" s="115">
        <v>34</v>
      </c>
      <c r="B39" s="115" t="s">
        <v>39</v>
      </c>
      <c r="C39" s="115" t="s">
        <v>52</v>
      </c>
      <c r="D39" s="115" t="s">
        <v>7</v>
      </c>
      <c r="E39" s="98" t="s">
        <v>65</v>
      </c>
      <c r="F39" s="115" t="s">
        <v>476</v>
      </c>
      <c r="G39" s="115">
        <v>5</v>
      </c>
      <c r="H39" s="115">
        <v>50</v>
      </c>
      <c r="I39" s="194">
        <v>55</v>
      </c>
      <c r="J39" s="116">
        <v>899232</v>
      </c>
      <c r="K39" s="116">
        <v>413003</v>
      </c>
      <c r="L39" s="116">
        <v>151334</v>
      </c>
      <c r="M39" s="195">
        <v>1.5665052691540872E-2</v>
      </c>
      <c r="N39" s="195">
        <v>2.01001596980434E-2</v>
      </c>
      <c r="O39" s="195">
        <v>1.9227890798105773E-2</v>
      </c>
      <c r="P39" s="195">
        <v>1.0264296094970276E-2</v>
      </c>
      <c r="R39" s="201" t="s">
        <v>48</v>
      </c>
      <c r="S39" s="202">
        <f t="shared" si="2"/>
        <v>0</v>
      </c>
      <c r="T39" s="203">
        <f t="shared" si="3"/>
        <v>1</v>
      </c>
    </row>
    <row r="40" spans="1:20" ht="22.5" customHeight="1">
      <c r="A40" s="115">
        <v>41</v>
      </c>
      <c r="B40" s="115" t="s">
        <v>67</v>
      </c>
      <c r="C40" s="115" t="s">
        <v>14</v>
      </c>
      <c r="D40" s="115" t="s">
        <v>714</v>
      </c>
      <c r="E40" s="98" t="s">
        <v>720</v>
      </c>
      <c r="F40" s="115" t="s">
        <v>483</v>
      </c>
      <c r="G40" s="115">
        <v>1</v>
      </c>
      <c r="H40" s="115">
        <v>53</v>
      </c>
      <c r="I40" s="194">
        <v>54</v>
      </c>
      <c r="J40" s="116">
        <v>61011</v>
      </c>
      <c r="K40" s="116">
        <v>585201</v>
      </c>
      <c r="L40" s="116">
        <v>70364</v>
      </c>
      <c r="M40" s="195">
        <v>3.5643564356435641E-2</v>
      </c>
      <c r="N40" s="195">
        <v>2.7933586274427121E-3</v>
      </c>
      <c r="O40" s="195">
        <v>1.2981645510820667E-2</v>
      </c>
      <c r="P40" s="195">
        <v>2.4747015192875064E-3</v>
      </c>
      <c r="R40" s="201" t="s">
        <v>50</v>
      </c>
      <c r="S40" s="202">
        <f t="shared" si="2"/>
        <v>0</v>
      </c>
      <c r="T40" s="203">
        <f t="shared" si="3"/>
        <v>0</v>
      </c>
    </row>
    <row r="41" spans="1:20" ht="22.5" customHeight="1">
      <c r="A41" s="115">
        <v>20</v>
      </c>
      <c r="B41" s="115" t="s">
        <v>25</v>
      </c>
      <c r="C41" s="115" t="s">
        <v>69</v>
      </c>
      <c r="D41" s="115" t="s">
        <v>714</v>
      </c>
      <c r="E41" s="98" t="s">
        <v>721</v>
      </c>
      <c r="F41" s="115" t="s">
        <v>483</v>
      </c>
      <c r="G41" s="115">
        <v>19</v>
      </c>
      <c r="H41" s="115">
        <v>32</v>
      </c>
      <c r="I41" s="194">
        <v>51</v>
      </c>
      <c r="J41" s="116">
        <v>808012</v>
      </c>
      <c r="K41" s="116">
        <v>1231292</v>
      </c>
      <c r="L41" s="116">
        <v>114107</v>
      </c>
      <c r="M41" s="195">
        <v>3.3663366336633666E-2</v>
      </c>
      <c r="N41" s="195">
        <v>3.6994432008608955E-2</v>
      </c>
      <c r="O41" s="195">
        <v>2.7314027597884146E-2</v>
      </c>
      <c r="P41" s="195">
        <v>4.013142605044334E-3</v>
      </c>
      <c r="R41" s="201" t="s">
        <v>52</v>
      </c>
      <c r="S41" s="202">
        <f t="shared" si="2"/>
        <v>1</v>
      </c>
      <c r="T41" s="203">
        <f t="shared" si="3"/>
        <v>0</v>
      </c>
    </row>
    <row r="42" spans="1:20" ht="22.5" customHeight="1">
      <c r="A42" s="115">
        <v>23</v>
      </c>
      <c r="B42" s="115" t="s">
        <v>25</v>
      </c>
      <c r="C42" s="115" t="s">
        <v>24</v>
      </c>
      <c r="D42" s="115" t="s">
        <v>714</v>
      </c>
      <c r="E42" s="98" t="s">
        <v>722</v>
      </c>
      <c r="F42" s="115" t="s">
        <v>483</v>
      </c>
      <c r="G42" s="115">
        <v>15</v>
      </c>
      <c r="H42" s="115">
        <v>36</v>
      </c>
      <c r="I42" s="194">
        <v>51</v>
      </c>
      <c r="J42" s="116">
        <v>1700005</v>
      </c>
      <c r="K42" s="116">
        <v>1514916</v>
      </c>
      <c r="L42" s="116">
        <v>14673</v>
      </c>
      <c r="M42" s="195">
        <v>3.3663366336633666E-2</v>
      </c>
      <c r="N42" s="195">
        <v>7.7833892797130808E-2</v>
      </c>
      <c r="O42" s="195">
        <v>3.3605722633198512E-2</v>
      </c>
      <c r="P42" s="195">
        <v>5.1604933478064893E-4</v>
      </c>
      <c r="R42" s="201" t="s">
        <v>32</v>
      </c>
      <c r="S42" s="202">
        <f t="shared" si="2"/>
        <v>0</v>
      </c>
      <c r="T42" s="203">
        <f t="shared" si="3"/>
        <v>0</v>
      </c>
    </row>
    <row r="43" spans="1:20" ht="22.5" customHeight="1">
      <c r="A43" s="115">
        <v>24</v>
      </c>
      <c r="B43" s="115" t="s">
        <v>25</v>
      </c>
      <c r="C43" s="115" t="s">
        <v>23</v>
      </c>
      <c r="D43" s="115" t="s">
        <v>714</v>
      </c>
      <c r="E43" s="98" t="s">
        <v>723</v>
      </c>
      <c r="F43" s="115" t="s">
        <v>483</v>
      </c>
      <c r="G43" s="115">
        <v>14</v>
      </c>
      <c r="H43" s="115">
        <v>35</v>
      </c>
      <c r="I43" s="194">
        <v>49</v>
      </c>
      <c r="J43" s="116">
        <v>1309924</v>
      </c>
      <c r="K43" s="116">
        <v>1471572</v>
      </c>
      <c r="L43" s="116">
        <v>29366</v>
      </c>
      <c r="M43" s="195">
        <v>3.2343234323432342E-2</v>
      </c>
      <c r="N43" s="195">
        <v>5.9974226068975553E-2</v>
      </c>
      <c r="O43" s="195">
        <v>3.2644212924532581E-2</v>
      </c>
      <c r="P43" s="195">
        <v>1.0328020694587703E-3</v>
      </c>
      <c r="R43" s="201" t="s">
        <v>56</v>
      </c>
      <c r="S43" s="202">
        <f t="shared" si="2"/>
        <v>0</v>
      </c>
      <c r="T43" s="203">
        <f t="shared" si="3"/>
        <v>0</v>
      </c>
    </row>
    <row r="44" spans="1:20" ht="22.5" customHeight="1">
      <c r="A44" s="115">
        <v>64</v>
      </c>
      <c r="B44" s="115" t="s">
        <v>11</v>
      </c>
      <c r="C44" s="115" t="s">
        <v>10</v>
      </c>
      <c r="D44" s="115" t="s">
        <v>7</v>
      </c>
      <c r="E44" s="98" t="s">
        <v>49</v>
      </c>
      <c r="F44" s="115" t="s">
        <v>476</v>
      </c>
      <c r="G44" s="115">
        <v>0</v>
      </c>
      <c r="H44" s="115">
        <v>48</v>
      </c>
      <c r="I44" s="194">
        <v>48</v>
      </c>
      <c r="J44" s="116">
        <v>27353</v>
      </c>
      <c r="K44" s="116">
        <v>578817</v>
      </c>
      <c r="L44" s="116">
        <v>1081355</v>
      </c>
      <c r="M44" s="195">
        <v>1.3671318712617488E-2</v>
      </c>
      <c r="N44" s="195">
        <v>6.1141025699772817E-4</v>
      </c>
      <c r="O44" s="195">
        <v>2.6947576816844405E-2</v>
      </c>
      <c r="P44" s="195">
        <v>7.3343385516649151E-2</v>
      </c>
      <c r="R44" s="201" t="s">
        <v>58</v>
      </c>
      <c r="S44" s="202">
        <f t="shared" si="2"/>
        <v>5</v>
      </c>
      <c r="T44" s="203">
        <f t="shared" si="3"/>
        <v>3</v>
      </c>
    </row>
    <row r="45" spans="1:20" ht="22.5" customHeight="1">
      <c r="A45" s="115">
        <v>65</v>
      </c>
      <c r="B45" s="115" t="s">
        <v>11</v>
      </c>
      <c r="C45" s="115" t="s">
        <v>9</v>
      </c>
      <c r="D45" s="115" t="s">
        <v>714</v>
      </c>
      <c r="E45" s="98" t="s">
        <v>724</v>
      </c>
      <c r="F45" s="115" t="s">
        <v>483</v>
      </c>
      <c r="G45" s="115">
        <v>0</v>
      </c>
      <c r="H45" s="115">
        <v>48</v>
      </c>
      <c r="I45" s="194">
        <v>48</v>
      </c>
      <c r="J45" s="116">
        <v>14741</v>
      </c>
      <c r="K45" s="116">
        <v>498220</v>
      </c>
      <c r="L45" s="116">
        <v>1102264</v>
      </c>
      <c r="M45" s="195">
        <v>3.1683168316831684E-2</v>
      </c>
      <c r="N45" s="195">
        <v>6.7490943480901845E-4</v>
      </c>
      <c r="O45" s="195">
        <v>1.1052126408534969E-2</v>
      </c>
      <c r="P45" s="195">
        <v>3.8766619229377582E-2</v>
      </c>
      <c r="R45" s="201" t="s">
        <v>60</v>
      </c>
      <c r="S45" s="202">
        <f t="shared" si="2"/>
        <v>0</v>
      </c>
      <c r="T45" s="203">
        <f t="shared" si="3"/>
        <v>0</v>
      </c>
    </row>
    <row r="46" spans="1:20" ht="22.5" customHeight="1">
      <c r="A46" s="115">
        <v>66</v>
      </c>
      <c r="B46" s="115" t="s">
        <v>11</v>
      </c>
      <c r="C46" s="115" t="s">
        <v>10</v>
      </c>
      <c r="D46" s="115" t="s">
        <v>7</v>
      </c>
      <c r="E46" s="98" t="s">
        <v>108</v>
      </c>
      <c r="F46" s="115" t="s">
        <v>476</v>
      </c>
      <c r="G46" s="115">
        <v>0</v>
      </c>
      <c r="H46" s="115">
        <v>47</v>
      </c>
      <c r="I46" s="194">
        <v>47</v>
      </c>
      <c r="J46" s="116">
        <v>64268</v>
      </c>
      <c r="K46" s="116">
        <v>413876</v>
      </c>
      <c r="L46" s="116">
        <v>441973</v>
      </c>
      <c r="M46" s="195">
        <v>1.338649957277129E-2</v>
      </c>
      <c r="N46" s="195">
        <v>1.4365559315881254E-3</v>
      </c>
      <c r="O46" s="195">
        <v>1.9268534446376478E-2</v>
      </c>
      <c r="P46" s="195">
        <v>2.9977015991002005E-2</v>
      </c>
      <c r="R46" s="201" t="s">
        <v>63</v>
      </c>
      <c r="S46" s="202">
        <f t="shared" si="2"/>
        <v>0</v>
      </c>
      <c r="T46" s="203">
        <f t="shared" si="3"/>
        <v>0</v>
      </c>
    </row>
    <row r="47" spans="1:20" ht="22.5" customHeight="1">
      <c r="A47" s="115">
        <v>21</v>
      </c>
      <c r="B47" s="115" t="s">
        <v>25</v>
      </c>
      <c r="C47" s="115" t="s">
        <v>24</v>
      </c>
      <c r="D47" s="115" t="s">
        <v>714</v>
      </c>
      <c r="E47" s="98" t="s">
        <v>725</v>
      </c>
      <c r="F47" s="115" t="s">
        <v>483</v>
      </c>
      <c r="G47" s="115">
        <v>17</v>
      </c>
      <c r="H47" s="115">
        <v>25</v>
      </c>
      <c r="I47" s="194">
        <v>42</v>
      </c>
      <c r="J47" s="116">
        <v>1015014</v>
      </c>
      <c r="K47" s="116">
        <v>1007355</v>
      </c>
      <c r="L47" s="116">
        <v>24626</v>
      </c>
      <c r="M47" s="195">
        <v>2.7722772277227723E-2</v>
      </c>
      <c r="N47" s="195">
        <v>4.6471916767060646E-2</v>
      </c>
      <c r="O47" s="195">
        <v>2.2346382719019196E-2</v>
      </c>
      <c r="P47" s="195">
        <v>8.6609629375780422E-4</v>
      </c>
      <c r="R47" s="204"/>
      <c r="S47" s="208"/>
      <c r="T47" s="208"/>
    </row>
    <row r="48" spans="1:20" ht="22.5" customHeight="1">
      <c r="A48" s="115">
        <v>29</v>
      </c>
      <c r="B48" s="115" t="s">
        <v>39</v>
      </c>
      <c r="C48" s="115" t="s">
        <v>45</v>
      </c>
      <c r="D48" s="115" t="s">
        <v>714</v>
      </c>
      <c r="E48" s="98" t="s">
        <v>399</v>
      </c>
      <c r="F48" s="115" t="s">
        <v>483</v>
      </c>
      <c r="G48" s="115">
        <v>8</v>
      </c>
      <c r="H48" s="115">
        <v>34</v>
      </c>
      <c r="I48" s="194">
        <v>42</v>
      </c>
      <c r="J48" s="116">
        <v>1148359</v>
      </c>
      <c r="K48" s="116">
        <v>1728540</v>
      </c>
      <c r="L48" s="116">
        <v>31473</v>
      </c>
      <c r="M48" s="195">
        <v>2.7722772277227723E-2</v>
      </c>
      <c r="N48" s="195">
        <v>5.2577052007859004E-2</v>
      </c>
      <c r="O48" s="195">
        <v>3.8344591911623448E-2</v>
      </c>
      <c r="P48" s="195">
        <v>1.1069052486574909E-3</v>
      </c>
      <c r="R48" s="6"/>
      <c r="S48" s="209"/>
      <c r="T48" s="209"/>
    </row>
    <row r="49" spans="1:20" ht="22.5" customHeight="1">
      <c r="A49" s="115">
        <v>35</v>
      </c>
      <c r="B49" s="115" t="s">
        <v>39</v>
      </c>
      <c r="C49" s="115" t="s">
        <v>45</v>
      </c>
      <c r="D49" s="115" t="s">
        <v>7</v>
      </c>
      <c r="E49" s="98" t="s">
        <v>88</v>
      </c>
      <c r="F49" s="115" t="s">
        <v>476</v>
      </c>
      <c r="G49" s="115">
        <v>4</v>
      </c>
      <c r="H49" s="115">
        <v>35</v>
      </c>
      <c r="I49" s="194">
        <v>39</v>
      </c>
      <c r="J49" s="116">
        <v>527843</v>
      </c>
      <c r="K49" s="116">
        <v>228368</v>
      </c>
      <c r="L49" s="116">
        <v>3644</v>
      </c>
      <c r="M49" s="195" t="e">
        <v>#N/A</v>
      </c>
      <c r="N49" s="195" t="e">
        <v>#N/A</v>
      </c>
      <c r="O49" s="195" t="e">
        <v>#N/A</v>
      </c>
      <c r="P49" s="195" t="e">
        <v>#N/A</v>
      </c>
      <c r="R49" s="232" t="s">
        <v>67</v>
      </c>
      <c r="S49" s="228"/>
      <c r="T49" s="228"/>
    </row>
    <row r="50" spans="1:20" ht="22.5" customHeight="1">
      <c r="A50" s="115">
        <v>42</v>
      </c>
      <c r="B50" s="115" t="s">
        <v>67</v>
      </c>
      <c r="C50" s="115" t="s">
        <v>14</v>
      </c>
      <c r="D50" s="115" t="s">
        <v>7</v>
      </c>
      <c r="E50" s="98" t="s">
        <v>93</v>
      </c>
      <c r="F50" s="115" t="s">
        <v>476</v>
      </c>
      <c r="G50" s="115">
        <v>1</v>
      </c>
      <c r="H50" s="115">
        <v>36</v>
      </c>
      <c r="I50" s="194">
        <v>37</v>
      </c>
      <c r="J50" s="116">
        <v>165621</v>
      </c>
      <c r="K50" s="116">
        <v>665173</v>
      </c>
      <c r="L50" s="116">
        <v>39495</v>
      </c>
      <c r="M50" s="195">
        <v>1.0538308174309313E-2</v>
      </c>
      <c r="N50" s="195">
        <v>3.7020574772134956E-3</v>
      </c>
      <c r="O50" s="195">
        <v>3.0967992498476794E-2</v>
      </c>
      <c r="P50" s="195">
        <v>2.6787660028205892E-3</v>
      </c>
      <c r="R50" s="197" t="s">
        <v>482</v>
      </c>
      <c r="S50" s="198" t="s">
        <v>476</v>
      </c>
      <c r="T50" s="198" t="s">
        <v>483</v>
      </c>
    </row>
    <row r="51" spans="1:20" ht="22.5" customHeight="1">
      <c r="A51" s="115">
        <v>67</v>
      </c>
      <c r="B51" s="115" t="s">
        <v>11</v>
      </c>
      <c r="C51" s="115" t="s">
        <v>10</v>
      </c>
      <c r="D51" s="115" t="s">
        <v>714</v>
      </c>
      <c r="E51" s="98" t="s">
        <v>726</v>
      </c>
      <c r="F51" s="115" t="s">
        <v>483</v>
      </c>
      <c r="G51" s="115">
        <v>0</v>
      </c>
      <c r="H51" s="115">
        <v>37</v>
      </c>
      <c r="I51" s="194">
        <v>37</v>
      </c>
      <c r="J51" s="116">
        <v>64441</v>
      </c>
      <c r="K51" s="116">
        <v>621232</v>
      </c>
      <c r="L51" s="116">
        <v>1344157</v>
      </c>
      <c r="M51" s="195">
        <v>2.4422442244224421E-2</v>
      </c>
      <c r="N51" s="195">
        <v>2.9503994904367379E-3</v>
      </c>
      <c r="O51" s="195">
        <v>1.3780929294341849E-2</v>
      </c>
      <c r="P51" s="195">
        <v>4.7273994799342516E-2</v>
      </c>
      <c r="R51" s="201" t="s">
        <v>468</v>
      </c>
      <c r="S51" s="202">
        <f>SUMIFS(Scoreboard_16[Damage Dealt],Scoreboard_16[Role],"Tank",Scoreboard_16[Team],"Yellow")</f>
        <v>1567884</v>
      </c>
      <c r="T51" s="203">
        <f>SUMIFS(Scoreboard_16[Damage Dealt],Scoreboard_16[Role],"Tank",Scoreboard_16[Team],"Red")</f>
        <v>1153968</v>
      </c>
    </row>
    <row r="52" spans="1:20" ht="22.5" customHeight="1">
      <c r="A52" s="115">
        <v>25</v>
      </c>
      <c r="B52" s="115" t="s">
        <v>39</v>
      </c>
      <c r="C52" s="115" t="s">
        <v>45</v>
      </c>
      <c r="D52" s="115" t="s">
        <v>714</v>
      </c>
      <c r="E52" s="98" t="s">
        <v>727</v>
      </c>
      <c r="F52" s="115" t="s">
        <v>483</v>
      </c>
      <c r="G52" s="115">
        <v>14</v>
      </c>
      <c r="H52" s="115">
        <v>22</v>
      </c>
      <c r="I52" s="194">
        <v>36</v>
      </c>
      <c r="J52" s="116">
        <v>933538</v>
      </c>
      <c r="K52" s="116">
        <v>683906</v>
      </c>
      <c r="L52" s="116">
        <v>45143</v>
      </c>
      <c r="M52" s="195">
        <v>2.3762376237623763E-2</v>
      </c>
      <c r="N52" s="195">
        <v>4.2741578180092353E-2</v>
      </c>
      <c r="O52" s="195">
        <v>1.5171240744160245E-2</v>
      </c>
      <c r="P52" s="195">
        <v>1.5876790785798974E-3</v>
      </c>
      <c r="R52" s="201" t="s">
        <v>469</v>
      </c>
      <c r="S52" s="202">
        <f>SUMIFS(Scoreboard_16[Damage Taken],Scoreboard_16[Role],"Tank",Scoreboard_16[Team],"Yellow")</f>
        <v>4082994</v>
      </c>
      <c r="T52" s="203">
        <f>SUMIFS(Scoreboard_16[Damage Taken],Scoreboard_16[Role],"Tank",Scoreboard_16[Team],"Red")</f>
        <v>13300385</v>
      </c>
    </row>
    <row r="53" spans="1:20" ht="22.5" customHeight="1">
      <c r="A53" s="115">
        <v>36</v>
      </c>
      <c r="B53" s="115" t="s">
        <v>67</v>
      </c>
      <c r="C53" s="115" t="s">
        <v>14</v>
      </c>
      <c r="D53" s="115" t="s">
        <v>7</v>
      </c>
      <c r="E53" s="98" t="s">
        <v>64</v>
      </c>
      <c r="F53" s="115" t="s">
        <v>476</v>
      </c>
      <c r="G53" s="115">
        <v>4</v>
      </c>
      <c r="H53" s="115">
        <v>31</v>
      </c>
      <c r="I53" s="194">
        <v>35</v>
      </c>
      <c r="J53" s="116">
        <v>178103</v>
      </c>
      <c r="K53" s="116">
        <v>348538</v>
      </c>
      <c r="L53" s="116">
        <v>27070</v>
      </c>
      <c r="M53" s="195">
        <v>9.9686698946169182E-3</v>
      </c>
      <c r="N53" s="195">
        <v>3.9810624429520124E-3</v>
      </c>
      <c r="O53" s="195">
        <v>1.6226639038917853E-2</v>
      </c>
      <c r="P53" s="195">
        <v>1.8360348321649156E-3</v>
      </c>
      <c r="R53" s="201" t="s">
        <v>470</v>
      </c>
      <c r="S53" s="202">
        <f>SUMIFS(Scoreboard_16[Amount Healed],Scoreboard_16[Role],"Tank",Scoreboard_16[Team],"Yellow")</f>
        <v>370779</v>
      </c>
      <c r="T53" s="203">
        <f>SUMIFS(Scoreboard_16[Amount Healed],Scoreboard_16[Role],"Tank",Scoreboard_16[Team],"Red")</f>
        <v>743408</v>
      </c>
    </row>
    <row r="54" spans="1:20" ht="22.5" customHeight="1">
      <c r="A54" s="115">
        <v>27</v>
      </c>
      <c r="B54" s="115" t="s">
        <v>39</v>
      </c>
      <c r="C54" s="115" t="s">
        <v>58</v>
      </c>
      <c r="D54" s="115" t="s">
        <v>714</v>
      </c>
      <c r="E54" s="98" t="s">
        <v>728</v>
      </c>
      <c r="F54" s="115" t="s">
        <v>483</v>
      </c>
      <c r="G54" s="115">
        <v>9</v>
      </c>
      <c r="H54" s="115">
        <v>24</v>
      </c>
      <c r="I54" s="194">
        <v>33</v>
      </c>
      <c r="J54" s="116">
        <v>1395155</v>
      </c>
      <c r="K54" s="116">
        <v>1062691</v>
      </c>
      <c r="L54" s="116">
        <v>0</v>
      </c>
      <c r="M54" s="195">
        <v>2.1782178217821781E-2</v>
      </c>
      <c r="N54" s="195">
        <v>6.3876485484090362E-2</v>
      </c>
      <c r="O54" s="195">
        <v>2.3573913663065382E-2</v>
      </c>
      <c r="P54" s="195">
        <v>0</v>
      </c>
      <c r="R54" s="201" t="s">
        <v>465</v>
      </c>
      <c r="S54" s="202">
        <f>SUMIFS(Scoreboard_16[Kills],Scoreboard_16[Role],"Tank",Scoreboard_16[Team],"Yellow")</f>
        <v>18</v>
      </c>
      <c r="T54" s="203">
        <f>SUMIFS(Scoreboard_16[Kills],Scoreboard_16[Role],"Tank",Scoreboard_16[Team],"Red")</f>
        <v>6</v>
      </c>
    </row>
    <row r="55" spans="1:20" ht="22.5" customHeight="1">
      <c r="A55" s="115">
        <v>32</v>
      </c>
      <c r="B55" s="115" t="s">
        <v>25</v>
      </c>
      <c r="C55" s="115" t="s">
        <v>24</v>
      </c>
      <c r="D55" s="115" t="s">
        <v>714</v>
      </c>
      <c r="E55" s="98" t="s">
        <v>729</v>
      </c>
      <c r="F55" s="115" t="s">
        <v>483</v>
      </c>
      <c r="G55" s="115">
        <v>6</v>
      </c>
      <c r="H55" s="115">
        <v>27</v>
      </c>
      <c r="I55" s="194">
        <v>33</v>
      </c>
      <c r="J55" s="116">
        <v>967727</v>
      </c>
      <c r="K55" s="116">
        <v>1095295</v>
      </c>
      <c r="L55" s="116">
        <v>7427</v>
      </c>
      <c r="M55" s="195">
        <v>2.1782178217821781E-2</v>
      </c>
      <c r="N55" s="195">
        <v>4.4306904729626687E-2</v>
      </c>
      <c r="O55" s="195">
        <v>2.4297175534174278E-2</v>
      </c>
      <c r="P55" s="195">
        <v>2.6120755192638725E-4</v>
      </c>
      <c r="R55" s="201" t="s">
        <v>466</v>
      </c>
      <c r="S55" s="202">
        <f>SUMIFS(Scoreboard_16[Assists],Scoreboard_16[Role],"Tank",Scoreboard_16[Team],"Yellow")</f>
        <v>325</v>
      </c>
      <c r="T55" s="203">
        <f>SUMIFS(Scoreboard_16[Assists],Scoreboard_16[Role],"Tank",Scoreboard_16[Team],"Red")</f>
        <v>168</v>
      </c>
    </row>
    <row r="56" spans="1:20" ht="22.5" customHeight="1">
      <c r="A56" s="115">
        <v>28</v>
      </c>
      <c r="B56" s="115" t="s">
        <v>39</v>
      </c>
      <c r="C56" s="115" t="s">
        <v>58</v>
      </c>
      <c r="D56" s="115" t="s">
        <v>714</v>
      </c>
      <c r="E56" s="98" t="s">
        <v>730</v>
      </c>
      <c r="F56" s="115" t="s">
        <v>483</v>
      </c>
      <c r="G56" s="115">
        <v>9</v>
      </c>
      <c r="H56" s="115">
        <v>21</v>
      </c>
      <c r="I56" s="194">
        <v>30</v>
      </c>
      <c r="J56" s="116">
        <v>1107689</v>
      </c>
      <c r="K56" s="116">
        <v>1041623</v>
      </c>
      <c r="L56" s="116">
        <v>25100</v>
      </c>
      <c r="M56" s="195">
        <v>1.9801980198019802E-2</v>
      </c>
      <c r="N56" s="195">
        <v>5.0714996060929843E-2</v>
      </c>
      <c r="O56" s="195">
        <v>2.3106557476691863E-2</v>
      </c>
      <c r="P56" s="195">
        <v>8.8276687132790089E-4</v>
      </c>
      <c r="R56" s="201" t="s">
        <v>62</v>
      </c>
      <c r="S56" s="202">
        <f t="shared" ref="S56:S60" si="4">COUNTIFS(C:C,R56,F:F,"Yellow")</f>
        <v>1</v>
      </c>
      <c r="T56" s="203">
        <f t="shared" ref="T56:T60" si="5">COUNTIFS(C:C,R56,F:F,"Red")</f>
        <v>2</v>
      </c>
    </row>
    <row r="57" spans="1:20" ht="22.5" customHeight="1">
      <c r="A57" s="115">
        <v>43</v>
      </c>
      <c r="B57" s="115" t="s">
        <v>67</v>
      </c>
      <c r="C57" s="115" t="s">
        <v>14</v>
      </c>
      <c r="D57" s="115" t="s">
        <v>714</v>
      </c>
      <c r="E57" s="98" t="s">
        <v>731</v>
      </c>
      <c r="F57" s="115" t="s">
        <v>483</v>
      </c>
      <c r="G57" s="115">
        <v>1</v>
      </c>
      <c r="H57" s="115">
        <v>28</v>
      </c>
      <c r="I57" s="194">
        <v>29</v>
      </c>
      <c r="J57" s="116">
        <v>401689</v>
      </c>
      <c r="K57" s="116">
        <v>2045939</v>
      </c>
      <c r="L57" s="116">
        <v>130764</v>
      </c>
      <c r="M57" s="195">
        <v>1.914191419141914E-2</v>
      </c>
      <c r="N57" s="195">
        <v>1.8391133298894226E-2</v>
      </c>
      <c r="O57" s="195">
        <v>4.5385525374636963E-2</v>
      </c>
      <c r="P57" s="195">
        <v>4.5989692096542476E-3</v>
      </c>
      <c r="R57" s="201" t="s">
        <v>70</v>
      </c>
      <c r="S57" s="202">
        <f t="shared" si="4"/>
        <v>0</v>
      </c>
      <c r="T57" s="203">
        <f t="shared" si="5"/>
        <v>0</v>
      </c>
    </row>
    <row r="58" spans="1:20" ht="22.5" customHeight="1">
      <c r="A58" s="115">
        <v>30</v>
      </c>
      <c r="B58" s="115" t="s">
        <v>39</v>
      </c>
      <c r="C58" s="115" t="s">
        <v>48</v>
      </c>
      <c r="D58" s="115" t="s">
        <v>714</v>
      </c>
      <c r="E58" s="98" t="s">
        <v>732</v>
      </c>
      <c r="F58" s="115" t="s">
        <v>483</v>
      </c>
      <c r="G58" s="115">
        <v>8</v>
      </c>
      <c r="H58" s="115">
        <v>20</v>
      </c>
      <c r="I58" s="194">
        <v>28</v>
      </c>
      <c r="J58" s="116">
        <v>925493</v>
      </c>
      <c r="K58" s="116">
        <v>1101878</v>
      </c>
      <c r="L58" s="116">
        <v>53145</v>
      </c>
      <c r="M58" s="195">
        <v>1.8481848184818482E-2</v>
      </c>
      <c r="N58" s="195">
        <v>4.2373241811932902E-2</v>
      </c>
      <c r="O58" s="195">
        <v>2.444320770499718E-2</v>
      </c>
      <c r="P58" s="195">
        <v>1.8691093775586171E-3</v>
      </c>
      <c r="R58" s="201" t="s">
        <v>14</v>
      </c>
      <c r="S58" s="202">
        <f t="shared" si="4"/>
        <v>9</v>
      </c>
      <c r="T58" s="203">
        <f t="shared" si="5"/>
        <v>9</v>
      </c>
    </row>
    <row r="59" spans="1:20" ht="22.5" customHeight="1">
      <c r="A59" s="115">
        <v>31</v>
      </c>
      <c r="B59" s="115" t="s">
        <v>25</v>
      </c>
      <c r="C59" s="115" t="s">
        <v>23</v>
      </c>
      <c r="D59" s="115" t="s">
        <v>714</v>
      </c>
      <c r="E59" s="98" t="s">
        <v>733</v>
      </c>
      <c r="F59" s="115" t="s">
        <v>483</v>
      </c>
      <c r="G59" s="115">
        <v>7</v>
      </c>
      <c r="H59" s="115">
        <v>21</v>
      </c>
      <c r="I59" s="194">
        <v>28</v>
      </c>
      <c r="J59" s="116">
        <v>465696</v>
      </c>
      <c r="K59" s="116">
        <v>1387870</v>
      </c>
      <c r="L59" s="116">
        <v>64197</v>
      </c>
      <c r="M59" s="195">
        <v>1.8481848184818482E-2</v>
      </c>
      <c r="N59" s="195">
        <v>2.1321662312788862E-2</v>
      </c>
      <c r="O59" s="195">
        <v>3.0787432617344603E-2</v>
      </c>
      <c r="P59" s="195">
        <v>2.2578081609018826E-3</v>
      </c>
      <c r="R59" s="201" t="s">
        <v>73</v>
      </c>
      <c r="S59" s="202">
        <f t="shared" si="4"/>
        <v>1</v>
      </c>
      <c r="T59" s="203">
        <f t="shared" si="5"/>
        <v>0</v>
      </c>
    </row>
    <row r="60" spans="1:20" ht="22.5" customHeight="1">
      <c r="A60" s="115">
        <v>68</v>
      </c>
      <c r="B60" s="115" t="s">
        <v>67</v>
      </c>
      <c r="C60" s="115" t="s">
        <v>62</v>
      </c>
      <c r="D60" s="115" t="s">
        <v>7</v>
      </c>
      <c r="E60" s="98" t="s">
        <v>61</v>
      </c>
      <c r="F60" s="115" t="s">
        <v>476</v>
      </c>
      <c r="G60" s="115">
        <v>0</v>
      </c>
      <c r="H60" s="115">
        <v>27</v>
      </c>
      <c r="I60" s="194">
        <v>27</v>
      </c>
      <c r="J60" s="116">
        <v>110537</v>
      </c>
      <c r="K60" s="116">
        <v>171712</v>
      </c>
      <c r="L60" s="116">
        <v>12343</v>
      </c>
      <c r="M60" s="195">
        <v>7.6901167758473372E-3</v>
      </c>
      <c r="N60" s="195">
        <v>2.4707876860950492E-3</v>
      </c>
      <c r="O60" s="195">
        <v>7.994275065131097E-3</v>
      </c>
      <c r="P60" s="195">
        <v>8.371694840565775E-4</v>
      </c>
      <c r="R60" s="201" t="s">
        <v>75</v>
      </c>
      <c r="S60" s="202">
        <f t="shared" si="4"/>
        <v>1</v>
      </c>
      <c r="T60" s="203">
        <f t="shared" si="5"/>
        <v>0</v>
      </c>
    </row>
    <row r="61" spans="1:20" ht="22.5" customHeight="1">
      <c r="A61" s="115">
        <v>69</v>
      </c>
      <c r="B61" s="115" t="s">
        <v>11</v>
      </c>
      <c r="C61" s="115" t="s">
        <v>9</v>
      </c>
      <c r="D61" s="115" t="s">
        <v>714</v>
      </c>
      <c r="E61" s="98" t="s">
        <v>128</v>
      </c>
      <c r="F61" s="115" t="s">
        <v>483</v>
      </c>
      <c r="G61" s="115">
        <v>0</v>
      </c>
      <c r="H61" s="115">
        <v>26</v>
      </c>
      <c r="I61" s="194">
        <v>26</v>
      </c>
      <c r="J61" s="116">
        <v>33936</v>
      </c>
      <c r="K61" s="116">
        <v>701324</v>
      </c>
      <c r="L61" s="116">
        <v>671964</v>
      </c>
      <c r="M61" s="195">
        <v>1.7161716171617162E-2</v>
      </c>
      <c r="N61" s="195">
        <v>1.5537430689694625E-3</v>
      </c>
      <c r="O61" s="195">
        <v>1.5557628158924528E-2</v>
      </c>
      <c r="P61" s="195">
        <v>2.3632970435258228E-2</v>
      </c>
      <c r="R61" s="204"/>
      <c r="S61" s="208"/>
      <c r="T61" s="208"/>
    </row>
    <row r="62" spans="1:20" ht="22.5" customHeight="1">
      <c r="A62" s="115">
        <v>70</v>
      </c>
      <c r="B62" s="115" t="s">
        <v>11</v>
      </c>
      <c r="C62" s="115" t="s">
        <v>9</v>
      </c>
      <c r="D62" s="115" t="s">
        <v>714</v>
      </c>
      <c r="E62" s="98" t="s">
        <v>734</v>
      </c>
      <c r="F62" s="115" t="s">
        <v>483</v>
      </c>
      <c r="G62" s="115">
        <v>0</v>
      </c>
      <c r="H62" s="115">
        <v>26</v>
      </c>
      <c r="I62" s="194">
        <v>26</v>
      </c>
      <c r="J62" s="116">
        <v>36707</v>
      </c>
      <c r="K62" s="116">
        <v>493577</v>
      </c>
      <c r="L62" s="116">
        <v>700737</v>
      </c>
      <c r="M62" s="195">
        <v>1.7161716171617162E-2</v>
      </c>
      <c r="N62" s="195">
        <v>1.6806119410850444E-3</v>
      </c>
      <c r="O62" s="195">
        <v>1.0949129694403004E-2</v>
      </c>
      <c r="P62" s="195">
        <v>2.4644916697756942E-2</v>
      </c>
      <c r="R62" s="6"/>
      <c r="S62" s="209"/>
      <c r="T62" s="209"/>
    </row>
    <row r="63" spans="1:20" ht="22.5" customHeight="1">
      <c r="A63" s="115">
        <v>37</v>
      </c>
      <c r="B63" s="115" t="s">
        <v>11</v>
      </c>
      <c r="C63" s="115" t="s">
        <v>9</v>
      </c>
      <c r="D63" s="115" t="s">
        <v>7</v>
      </c>
      <c r="E63" s="98" t="s">
        <v>96</v>
      </c>
      <c r="F63" s="115" t="s">
        <v>476</v>
      </c>
      <c r="G63" s="115">
        <v>2</v>
      </c>
      <c r="H63" s="115">
        <v>23</v>
      </c>
      <c r="I63" s="194">
        <v>25</v>
      </c>
      <c r="J63" s="116">
        <v>51280</v>
      </c>
      <c r="K63" s="116">
        <v>358308</v>
      </c>
      <c r="L63" s="116">
        <v>845409</v>
      </c>
      <c r="M63" s="195">
        <v>7.1204784961549413E-3</v>
      </c>
      <c r="N63" s="195">
        <v>1.1462405578489929E-3</v>
      </c>
      <c r="O63" s="195">
        <v>1.6681494071683942E-2</v>
      </c>
      <c r="P63" s="195">
        <v>5.7340242756767981E-2</v>
      </c>
      <c r="R63" s="232" t="s">
        <v>11</v>
      </c>
      <c r="S63" s="228"/>
      <c r="T63" s="228"/>
    </row>
    <row r="64" spans="1:20" ht="22.5" customHeight="1">
      <c r="A64" s="115">
        <v>44</v>
      </c>
      <c r="B64" s="115" t="s">
        <v>67</v>
      </c>
      <c r="C64" s="115" t="s">
        <v>14</v>
      </c>
      <c r="D64" s="115" t="s">
        <v>7</v>
      </c>
      <c r="E64" s="98" t="s">
        <v>85</v>
      </c>
      <c r="F64" s="115" t="s">
        <v>476</v>
      </c>
      <c r="G64" s="115">
        <v>1</v>
      </c>
      <c r="H64" s="115">
        <v>23</v>
      </c>
      <c r="I64" s="194">
        <v>24</v>
      </c>
      <c r="J64" s="116">
        <v>172912</v>
      </c>
      <c r="K64" s="116">
        <v>188371</v>
      </c>
      <c r="L64" s="116">
        <v>27320</v>
      </c>
      <c r="M64" s="195">
        <v>6.8356593563087438E-3</v>
      </c>
      <c r="N64" s="195">
        <v>3.865030174313281E-3</v>
      </c>
      <c r="O64" s="195">
        <v>8.7698564357401344E-3</v>
      </c>
      <c r="P64" s="195">
        <v>1.8529911937475248E-3</v>
      </c>
      <c r="R64" s="197" t="s">
        <v>482</v>
      </c>
      <c r="S64" s="198" t="s">
        <v>476</v>
      </c>
      <c r="T64" s="198" t="s">
        <v>483</v>
      </c>
    </row>
    <row r="65" spans="1:20" ht="22.5" customHeight="1">
      <c r="A65" s="115">
        <v>72</v>
      </c>
      <c r="B65" s="115" t="s">
        <v>11</v>
      </c>
      <c r="C65" s="115" t="s">
        <v>9</v>
      </c>
      <c r="D65" s="115" t="s">
        <v>7</v>
      </c>
      <c r="E65" s="98" t="s">
        <v>100</v>
      </c>
      <c r="F65" s="115" t="s">
        <v>476</v>
      </c>
      <c r="G65" s="115">
        <v>0</v>
      </c>
      <c r="H65" s="115">
        <v>24</v>
      </c>
      <c r="I65" s="194">
        <v>24</v>
      </c>
      <c r="J65" s="116">
        <v>201</v>
      </c>
      <c r="K65" s="116">
        <v>600785</v>
      </c>
      <c r="L65" s="116">
        <v>1190653</v>
      </c>
      <c r="M65" s="195">
        <v>6.8356593563087438E-3</v>
      </c>
      <c r="N65" s="195">
        <v>4.4928695812723781E-6</v>
      </c>
      <c r="O65" s="195">
        <v>2.7970325574245166E-2</v>
      </c>
      <c r="P65" s="195">
        <v>8.075657114967319E-2</v>
      </c>
      <c r="R65" s="201" t="s">
        <v>468</v>
      </c>
      <c r="S65" s="202">
        <f>SUMIFS(Scoreboard_16[Damage Dealt],Scoreboard_16[Role],"Healer",Scoreboard_16[Team],"Yellow")</f>
        <v>890217</v>
      </c>
      <c r="T65" s="203">
        <f>SUMIFS(Scoreboard_16[Damage Dealt],Scoreboard_16[Role],"Healer",Scoreboard_16[Team],"Red")</f>
        <v>543655</v>
      </c>
    </row>
    <row r="66" spans="1:20" ht="22.5" customHeight="1">
      <c r="A66" s="115">
        <v>71</v>
      </c>
      <c r="B66" s="115" t="s">
        <v>11</v>
      </c>
      <c r="C66" s="115" t="s">
        <v>10</v>
      </c>
      <c r="D66" s="115" t="s">
        <v>714</v>
      </c>
      <c r="E66" s="98" t="s">
        <v>735</v>
      </c>
      <c r="F66" s="115" t="s">
        <v>483</v>
      </c>
      <c r="G66" s="115">
        <v>0</v>
      </c>
      <c r="H66" s="115">
        <v>24</v>
      </c>
      <c r="I66" s="194">
        <v>24</v>
      </c>
      <c r="J66" s="116">
        <v>39960</v>
      </c>
      <c r="K66" s="116">
        <v>944925</v>
      </c>
      <c r="L66" s="116">
        <v>2666056</v>
      </c>
      <c r="M66" s="195">
        <v>1.5841584158415842E-2</v>
      </c>
      <c r="N66" s="195">
        <v>1.8295489461344803E-3</v>
      </c>
      <c r="O66" s="195">
        <v>2.0961483976124816E-2</v>
      </c>
      <c r="P66" s="195">
        <v>9.3765175852787971E-2</v>
      </c>
      <c r="R66" s="201" t="s">
        <v>469</v>
      </c>
      <c r="S66" s="202">
        <f>SUMIFS(Scoreboard_16[Damage Taken],Scoreboard_16[Role],"Healer",Scoreboard_16[Team],"Yellow")</f>
        <v>6010152</v>
      </c>
      <c r="T66" s="203">
        <f>SUMIFS(Scoreboard_16[Damage Taken],Scoreboard_16[Role],"Healer",Scoreboard_16[Team],"Red")</f>
        <v>13064490</v>
      </c>
    </row>
    <row r="67" spans="1:20" ht="22.5" customHeight="1">
      <c r="A67" s="115">
        <v>33</v>
      </c>
      <c r="B67" s="115" t="s">
        <v>39</v>
      </c>
      <c r="C67" s="115" t="s">
        <v>58</v>
      </c>
      <c r="D67" s="115" t="s">
        <v>714</v>
      </c>
      <c r="E67" s="98" t="s">
        <v>736</v>
      </c>
      <c r="F67" s="115" t="s">
        <v>483</v>
      </c>
      <c r="G67" s="115">
        <v>6</v>
      </c>
      <c r="H67" s="115">
        <v>17</v>
      </c>
      <c r="I67" s="194">
        <v>23</v>
      </c>
      <c r="J67" s="116">
        <v>518173</v>
      </c>
      <c r="K67" s="116">
        <v>711432</v>
      </c>
      <c r="L67" s="116">
        <v>22056</v>
      </c>
      <c r="M67" s="195">
        <v>1.5181518151815182E-2</v>
      </c>
      <c r="N67" s="195">
        <v>2.3724295947581134E-2</v>
      </c>
      <c r="O67" s="195">
        <v>1.5781856198219361E-2</v>
      </c>
      <c r="P67" s="195">
        <v>7.7570940693259685E-4</v>
      </c>
      <c r="R67" s="201" t="s">
        <v>470</v>
      </c>
      <c r="S67" s="202">
        <f>SUMIFS(Scoreboard_16[Amount Healed],Scoreboard_16[Role],"Healer",Scoreboard_16[Team],"Yellow")</f>
        <v>13956342</v>
      </c>
      <c r="T67" s="203">
        <f>SUMIFS(Scoreboard_16[Amount Healed],Scoreboard_16[Role],"Healer",Scoreboard_16[Team],"Red")</f>
        <v>27063341</v>
      </c>
    </row>
    <row r="68" spans="1:20" ht="22.5" customHeight="1">
      <c r="A68" s="115">
        <v>73</v>
      </c>
      <c r="B68" s="115" t="s">
        <v>67</v>
      </c>
      <c r="C68" s="115" t="s">
        <v>14</v>
      </c>
      <c r="D68" s="115" t="s">
        <v>714</v>
      </c>
      <c r="E68" s="98" t="s">
        <v>737</v>
      </c>
      <c r="F68" s="115" t="s">
        <v>483</v>
      </c>
      <c r="G68" s="115">
        <v>0</v>
      </c>
      <c r="H68" s="115">
        <v>23</v>
      </c>
      <c r="I68" s="194">
        <v>23</v>
      </c>
      <c r="J68" s="116">
        <v>167726</v>
      </c>
      <c r="K68" s="116">
        <v>830442</v>
      </c>
      <c r="L68" s="116">
        <v>64132</v>
      </c>
      <c r="M68" s="195">
        <v>1.5181518151815182E-2</v>
      </c>
      <c r="N68" s="195">
        <v>7.6792524158996959E-3</v>
      </c>
      <c r="O68" s="195">
        <v>1.8421881817182365E-2</v>
      </c>
      <c r="P68" s="195">
        <v>2.2555221112350969E-3</v>
      </c>
      <c r="R68" s="201" t="s">
        <v>465</v>
      </c>
      <c r="S68" s="202">
        <f>SUMIFS(Scoreboard_16[Kills],Scoreboard_16[Role],"Healer",Scoreboard_16[Team],"Yellow")</f>
        <v>4</v>
      </c>
      <c r="T68" s="203">
        <f>SUMIFS(Scoreboard_16[Kills],Scoreboard_16[Role],"Healer",Scoreboard_16[Team],"Red")</f>
        <v>0</v>
      </c>
    </row>
    <row r="69" spans="1:20" ht="22.5" customHeight="1">
      <c r="A69" s="115">
        <v>74</v>
      </c>
      <c r="B69" s="115" t="s">
        <v>11</v>
      </c>
      <c r="C69" s="115" t="s">
        <v>10</v>
      </c>
      <c r="D69" s="115" t="s">
        <v>714</v>
      </c>
      <c r="E69" s="98" t="s">
        <v>738</v>
      </c>
      <c r="F69" s="115" t="s">
        <v>483</v>
      </c>
      <c r="G69" s="115">
        <v>0</v>
      </c>
      <c r="H69" s="115">
        <v>23</v>
      </c>
      <c r="I69" s="194">
        <v>23</v>
      </c>
      <c r="J69" s="116">
        <v>76281</v>
      </c>
      <c r="K69" s="116">
        <v>601496</v>
      </c>
      <c r="L69" s="116">
        <v>1257126</v>
      </c>
      <c r="M69" s="195">
        <v>1.5181518151815182E-2</v>
      </c>
      <c r="N69" s="195">
        <v>3.4924880670691768E-3</v>
      </c>
      <c r="O69" s="195">
        <v>1.3343121163799425E-2</v>
      </c>
      <c r="P69" s="195">
        <v>4.4213114975496362E-2</v>
      </c>
      <c r="R69" s="201" t="s">
        <v>466</v>
      </c>
      <c r="S69" s="202">
        <f>SUMIFS(Scoreboard_16[Assists],Scoreboard_16[Role],"Healer",Scoreboard_16[Team],"Yellow")</f>
        <v>1124</v>
      </c>
      <c r="T69" s="203">
        <f>SUMIFS(Scoreboard_16[Assists],Scoreboard_16[Role],"Healer",Scoreboard_16[Team],"Red")</f>
        <v>507</v>
      </c>
    </row>
    <row r="70" spans="1:20" ht="22.5" customHeight="1">
      <c r="A70" s="115">
        <v>75</v>
      </c>
      <c r="B70" s="115" t="s">
        <v>67</v>
      </c>
      <c r="C70" s="115" t="s">
        <v>73</v>
      </c>
      <c r="D70" s="115" t="s">
        <v>7</v>
      </c>
      <c r="E70" s="98" t="s">
        <v>114</v>
      </c>
      <c r="F70" s="115" t="s">
        <v>476</v>
      </c>
      <c r="G70" s="115">
        <v>0</v>
      </c>
      <c r="H70" s="115">
        <v>20</v>
      </c>
      <c r="I70" s="194">
        <v>20</v>
      </c>
      <c r="J70" s="116">
        <v>37553</v>
      </c>
      <c r="K70" s="116">
        <v>199149</v>
      </c>
      <c r="L70" s="116">
        <v>56722</v>
      </c>
      <c r="M70" s="195">
        <v>5.6963827969239529E-3</v>
      </c>
      <c r="N70" s="195">
        <v>8.3940662380856536E-4</v>
      </c>
      <c r="O70" s="195">
        <v>9.2716402170249772E-3</v>
      </c>
      <c r="P70" s="195">
        <v>3.8471949667550184E-3</v>
      </c>
      <c r="R70" s="201" t="s">
        <v>10</v>
      </c>
      <c r="S70" s="202">
        <f t="shared" ref="S70:S72" si="6">COUNTIFS(C:C,R70,F:F,"Yellow")</f>
        <v>7</v>
      </c>
      <c r="T70" s="203">
        <f t="shared" ref="T70:T72" si="7">COUNTIFS(C:C,R70,F:F,"Red")</f>
        <v>8</v>
      </c>
    </row>
    <row r="71" spans="1:20" ht="22.5" customHeight="1">
      <c r="A71" s="115">
        <v>76</v>
      </c>
      <c r="B71" s="115" t="s">
        <v>67</v>
      </c>
      <c r="C71" s="115" t="s">
        <v>14</v>
      </c>
      <c r="D71" s="115" t="s">
        <v>7</v>
      </c>
      <c r="E71" s="98" t="s">
        <v>71</v>
      </c>
      <c r="F71" s="115" t="s">
        <v>476</v>
      </c>
      <c r="G71" s="115">
        <v>0</v>
      </c>
      <c r="H71" s="115">
        <v>18</v>
      </c>
      <c r="I71" s="194">
        <v>18</v>
      </c>
      <c r="J71" s="116">
        <v>45267</v>
      </c>
      <c r="K71" s="116">
        <v>291418</v>
      </c>
      <c r="L71" s="116">
        <v>8007</v>
      </c>
      <c r="M71" s="195">
        <v>5.1267445172315579E-3</v>
      </c>
      <c r="N71" s="195">
        <v>1.0118344643555062E-3</v>
      </c>
      <c r="O71" s="195">
        <v>1.356734328952184E-2</v>
      </c>
      <c r="P71" s="195">
        <v>5.430783487678049E-4</v>
      </c>
      <c r="R71" s="201" t="s">
        <v>9</v>
      </c>
      <c r="S71" s="202">
        <f t="shared" si="6"/>
        <v>12</v>
      </c>
      <c r="T71" s="203">
        <f t="shared" si="7"/>
        <v>12</v>
      </c>
    </row>
    <row r="72" spans="1:20" ht="22.5" customHeight="1">
      <c r="A72" s="115">
        <v>77</v>
      </c>
      <c r="B72" s="115" t="s">
        <v>11</v>
      </c>
      <c r="C72" s="115" t="s">
        <v>9</v>
      </c>
      <c r="D72" s="115" t="s">
        <v>714</v>
      </c>
      <c r="E72" s="98" t="s">
        <v>739</v>
      </c>
      <c r="F72" s="115" t="s">
        <v>483</v>
      </c>
      <c r="G72" s="115">
        <v>0</v>
      </c>
      <c r="H72" s="115">
        <v>18</v>
      </c>
      <c r="I72" s="194">
        <v>18</v>
      </c>
      <c r="J72" s="116">
        <v>21082</v>
      </c>
      <c r="K72" s="116">
        <v>714278</v>
      </c>
      <c r="L72" s="116">
        <v>919269</v>
      </c>
      <c r="M72" s="195">
        <v>1.1881188118811881E-2</v>
      </c>
      <c r="N72" s="195">
        <v>9.6522900106123916E-4</v>
      </c>
      <c r="O72" s="195">
        <v>1.5844989656849464E-2</v>
      </c>
      <c r="P72" s="195">
        <v>3.2330686017479203E-2</v>
      </c>
      <c r="R72" s="201" t="s">
        <v>18</v>
      </c>
      <c r="S72" s="202">
        <f t="shared" si="6"/>
        <v>0</v>
      </c>
      <c r="T72" s="203">
        <f t="shared" si="7"/>
        <v>0</v>
      </c>
    </row>
    <row r="73" spans="1:20" ht="22.5" customHeight="1">
      <c r="A73" s="115">
        <v>78</v>
      </c>
      <c r="B73" s="115" t="s">
        <v>11</v>
      </c>
      <c r="C73" s="115" t="s">
        <v>9</v>
      </c>
      <c r="D73" s="115" t="s">
        <v>714</v>
      </c>
      <c r="E73" s="98" t="s">
        <v>740</v>
      </c>
      <c r="F73" s="115" t="s">
        <v>483</v>
      </c>
      <c r="G73" s="115">
        <v>0</v>
      </c>
      <c r="H73" s="115">
        <v>17</v>
      </c>
      <c r="I73" s="194">
        <v>17</v>
      </c>
      <c r="J73" s="116">
        <v>19964</v>
      </c>
      <c r="K73" s="116">
        <v>235018</v>
      </c>
      <c r="L73" s="116">
        <v>1257878</v>
      </c>
      <c r="M73" s="195">
        <v>1.1221122112211221E-2</v>
      </c>
      <c r="N73" s="195">
        <v>9.140419209366558E-4</v>
      </c>
      <c r="O73" s="195">
        <v>5.2134571961805452E-3</v>
      </c>
      <c r="P73" s="195">
        <v>4.4239562811641327E-2</v>
      </c>
    </row>
    <row r="74" spans="1:20" ht="22.5" customHeight="1">
      <c r="A74" s="115">
        <v>79</v>
      </c>
      <c r="B74" s="115" t="s">
        <v>67</v>
      </c>
      <c r="C74" s="115" t="s">
        <v>14</v>
      </c>
      <c r="D74" s="115" t="s">
        <v>714</v>
      </c>
      <c r="E74" s="98" t="s">
        <v>376</v>
      </c>
      <c r="F74" s="115" t="s">
        <v>483</v>
      </c>
      <c r="G74" s="115">
        <v>0</v>
      </c>
      <c r="H74" s="115">
        <v>17</v>
      </c>
      <c r="I74" s="194">
        <v>17</v>
      </c>
      <c r="J74" s="116">
        <v>13818</v>
      </c>
      <c r="K74" s="116">
        <v>1057732</v>
      </c>
      <c r="L74" s="116">
        <v>24299</v>
      </c>
      <c r="M74" s="195">
        <v>1.1221122112211221E-2</v>
      </c>
      <c r="N74" s="195">
        <v>6.3265033377593214E-4</v>
      </c>
      <c r="O74" s="195">
        <v>2.3463907049802318E-2</v>
      </c>
      <c r="P74" s="195">
        <v>8.5459570543412993E-4</v>
      </c>
    </row>
    <row r="75" spans="1:20" ht="22.5" customHeight="1">
      <c r="A75" s="115">
        <v>39</v>
      </c>
      <c r="B75" s="115" t="s">
        <v>67</v>
      </c>
      <c r="C75" s="115" t="s">
        <v>14</v>
      </c>
      <c r="D75" s="115" t="s">
        <v>7</v>
      </c>
      <c r="E75" s="98" t="s">
        <v>109</v>
      </c>
      <c r="F75" s="115" t="s">
        <v>476</v>
      </c>
      <c r="G75" s="115">
        <v>2</v>
      </c>
      <c r="H75" s="115">
        <v>14</v>
      </c>
      <c r="I75" s="194">
        <v>16</v>
      </c>
      <c r="J75" s="116">
        <v>70802</v>
      </c>
      <c r="K75" s="116">
        <v>557050</v>
      </c>
      <c r="L75" s="116">
        <v>24935</v>
      </c>
      <c r="M75" s="195">
        <v>4.5571062375391628E-3</v>
      </c>
      <c r="N75" s="195">
        <v>1.5826077218569498E-3</v>
      </c>
      <c r="O75" s="195">
        <v>2.5934185875368512E-2</v>
      </c>
      <c r="P75" s="195">
        <v>1.6912275042494339E-3</v>
      </c>
    </row>
    <row r="76" spans="1:20" ht="22.5" customHeight="1">
      <c r="A76" s="115">
        <v>38</v>
      </c>
      <c r="B76" s="115" t="s">
        <v>67</v>
      </c>
      <c r="C76" s="115" t="s">
        <v>14</v>
      </c>
      <c r="D76" s="115" t="s">
        <v>714</v>
      </c>
      <c r="E76" s="98" t="s">
        <v>741</v>
      </c>
      <c r="F76" s="115" t="s">
        <v>483</v>
      </c>
      <c r="G76" s="115">
        <v>2</v>
      </c>
      <c r="H76" s="115">
        <v>14</v>
      </c>
      <c r="I76" s="194">
        <v>16</v>
      </c>
      <c r="J76" s="116">
        <v>192089</v>
      </c>
      <c r="K76" s="116">
        <v>1249629</v>
      </c>
      <c r="L76" s="116">
        <v>79086</v>
      </c>
      <c r="M76" s="195">
        <v>1.0561056105610561E-2</v>
      </c>
      <c r="N76" s="195">
        <v>8.7947003882388932E-3</v>
      </c>
      <c r="O76" s="195">
        <v>2.7720801396513881E-2</v>
      </c>
      <c r="P76" s="195">
        <v>2.7814542145752335E-3</v>
      </c>
    </row>
    <row r="77" spans="1:20" ht="22.5" customHeight="1">
      <c r="A77" s="115">
        <v>80</v>
      </c>
      <c r="B77" s="115" t="s">
        <v>11</v>
      </c>
      <c r="C77" s="115" t="s">
        <v>9</v>
      </c>
      <c r="D77" s="115" t="s">
        <v>714</v>
      </c>
      <c r="E77" s="98" t="s">
        <v>742</v>
      </c>
      <c r="F77" s="115" t="s">
        <v>483</v>
      </c>
      <c r="G77" s="115">
        <v>0</v>
      </c>
      <c r="H77" s="115">
        <v>16</v>
      </c>
      <c r="I77" s="194">
        <v>16</v>
      </c>
      <c r="J77" s="116">
        <v>13272</v>
      </c>
      <c r="K77" s="116">
        <v>763643</v>
      </c>
      <c r="L77" s="116">
        <v>2306745</v>
      </c>
      <c r="M77" s="195">
        <v>1.0561056105610561E-2</v>
      </c>
      <c r="N77" s="195">
        <v>6.0765199231974034E-4</v>
      </c>
      <c r="O77" s="195">
        <v>1.6940064563832985E-2</v>
      </c>
      <c r="P77" s="195">
        <v>8.1128209824752134E-2</v>
      </c>
    </row>
    <row r="78" spans="1:20" ht="22.5" customHeight="1">
      <c r="A78" s="115">
        <v>81</v>
      </c>
      <c r="B78" s="115" t="s">
        <v>11</v>
      </c>
      <c r="C78" s="115" t="s">
        <v>9</v>
      </c>
      <c r="D78" s="115" t="s">
        <v>7</v>
      </c>
      <c r="E78" s="98" t="s">
        <v>99</v>
      </c>
      <c r="F78" s="115" t="s">
        <v>476</v>
      </c>
      <c r="G78" s="115">
        <v>0</v>
      </c>
      <c r="H78" s="115">
        <v>15</v>
      </c>
      <c r="I78" s="194">
        <v>15</v>
      </c>
      <c r="J78" s="116">
        <v>50054</v>
      </c>
      <c r="K78" s="116">
        <v>152787</v>
      </c>
      <c r="L78" s="116">
        <v>224806</v>
      </c>
      <c r="M78" s="195">
        <v>4.2722870976929653E-3</v>
      </c>
      <c r="N78" s="195">
        <v>1.1188362886617295E-3</v>
      </c>
      <c r="O78" s="195">
        <v>7.1131971229511327E-3</v>
      </c>
      <c r="P78" s="195">
        <v>1.5247567287760104E-2</v>
      </c>
    </row>
    <row r="79" spans="1:20" ht="22.5" customHeight="1">
      <c r="A79" s="115">
        <v>82</v>
      </c>
      <c r="B79" s="115" t="s">
        <v>67</v>
      </c>
      <c r="C79" s="115" t="s">
        <v>14</v>
      </c>
      <c r="D79" s="115" t="s">
        <v>7</v>
      </c>
      <c r="E79" s="98" t="s">
        <v>35</v>
      </c>
      <c r="F79" s="115" t="s">
        <v>476</v>
      </c>
      <c r="G79" s="115">
        <v>0</v>
      </c>
      <c r="H79" s="115">
        <v>15</v>
      </c>
      <c r="I79" s="194">
        <v>15</v>
      </c>
      <c r="J79" s="116">
        <v>48305</v>
      </c>
      <c r="K79" s="116">
        <v>344843</v>
      </c>
      <c r="L79" s="116">
        <v>14939</v>
      </c>
      <c r="M79" s="195">
        <v>4.2722870976929653E-3</v>
      </c>
      <c r="N79" s="195">
        <v>1.0797416175291653E-3</v>
      </c>
      <c r="O79" s="195">
        <v>1.6054613517313892E-2</v>
      </c>
      <c r="P79" s="195">
        <v>1.0132443427303907E-3</v>
      </c>
    </row>
    <row r="80" spans="1:20" ht="22.5" customHeight="1">
      <c r="A80" s="115">
        <v>83</v>
      </c>
      <c r="B80" s="115" t="s">
        <v>11</v>
      </c>
      <c r="C80" s="115" t="s">
        <v>10</v>
      </c>
      <c r="D80" s="115" t="s">
        <v>714</v>
      </c>
      <c r="E80" s="98" t="s">
        <v>743</v>
      </c>
      <c r="F80" s="115" t="s">
        <v>483</v>
      </c>
      <c r="G80" s="115">
        <v>0</v>
      </c>
      <c r="H80" s="115">
        <v>15</v>
      </c>
      <c r="I80" s="194">
        <v>15</v>
      </c>
      <c r="J80" s="116">
        <v>41895</v>
      </c>
      <c r="K80" s="116">
        <v>1050619</v>
      </c>
      <c r="L80" s="116">
        <v>1714002</v>
      </c>
      <c r="M80" s="195">
        <v>9.9009900990099011E-3</v>
      </c>
      <c r="N80" s="195">
        <v>1.9181419694270284E-3</v>
      </c>
      <c r="O80" s="195">
        <v>2.3306117769677254E-2</v>
      </c>
      <c r="P80" s="195">
        <v>6.0281441553377078E-2</v>
      </c>
    </row>
    <row r="81" spans="1:16" ht="22.5" customHeight="1">
      <c r="A81" s="115">
        <v>84</v>
      </c>
      <c r="B81" s="115" t="s">
        <v>11</v>
      </c>
      <c r="C81" s="115" t="s">
        <v>9</v>
      </c>
      <c r="D81" s="115" t="s">
        <v>714</v>
      </c>
      <c r="E81" s="98" t="s">
        <v>744</v>
      </c>
      <c r="F81" s="115" t="s">
        <v>483</v>
      </c>
      <c r="G81" s="115">
        <v>0</v>
      </c>
      <c r="H81" s="115">
        <v>13</v>
      </c>
      <c r="I81" s="194">
        <v>13</v>
      </c>
      <c r="J81" s="116">
        <v>10775</v>
      </c>
      <c r="K81" s="116">
        <v>676065</v>
      </c>
      <c r="L81" s="116">
        <v>1053051</v>
      </c>
      <c r="M81" s="195">
        <v>8.580858085808581E-3</v>
      </c>
      <c r="N81" s="195">
        <v>4.9332807544041608E-4</v>
      </c>
      <c r="O81" s="195">
        <v>1.4997302076163531E-2</v>
      </c>
      <c r="P81" s="195">
        <v>3.7035798271662042E-2</v>
      </c>
    </row>
    <row r="82" spans="1:16" ht="22.5" customHeight="1">
      <c r="A82" s="115">
        <v>85</v>
      </c>
      <c r="B82" s="115" t="s">
        <v>11</v>
      </c>
      <c r="C82" s="115" t="s">
        <v>9</v>
      </c>
      <c r="D82" s="115" t="s">
        <v>714</v>
      </c>
      <c r="E82" s="98" t="s">
        <v>745</v>
      </c>
      <c r="F82" s="115" t="s">
        <v>483</v>
      </c>
      <c r="G82" s="115">
        <v>0</v>
      </c>
      <c r="H82" s="115">
        <v>13</v>
      </c>
      <c r="I82" s="194">
        <v>13</v>
      </c>
      <c r="J82" s="116">
        <v>22995</v>
      </c>
      <c r="K82" s="116">
        <v>685457</v>
      </c>
      <c r="L82" s="116">
        <v>1064430</v>
      </c>
      <c r="M82" s="195">
        <v>8.580858085808581E-3</v>
      </c>
      <c r="N82" s="195">
        <v>1.0528147651742337E-3</v>
      </c>
      <c r="O82" s="195">
        <v>1.5205646926287893E-2</v>
      </c>
      <c r="P82" s="195">
        <v>3.7435997643328986E-2</v>
      </c>
    </row>
    <row r="83" spans="1:16" ht="22.5" customHeight="1">
      <c r="A83" s="115">
        <v>86</v>
      </c>
      <c r="B83" s="115" t="s">
        <v>11</v>
      </c>
      <c r="C83" s="115" t="s">
        <v>9</v>
      </c>
      <c r="D83" s="115" t="s">
        <v>714</v>
      </c>
      <c r="E83" s="98" t="s">
        <v>746</v>
      </c>
      <c r="F83" s="115" t="s">
        <v>483</v>
      </c>
      <c r="G83" s="115">
        <v>0</v>
      </c>
      <c r="H83" s="115">
        <v>12</v>
      </c>
      <c r="I83" s="194">
        <v>12</v>
      </c>
      <c r="J83" s="116">
        <v>4799</v>
      </c>
      <c r="K83" s="116">
        <v>432909</v>
      </c>
      <c r="L83" s="116">
        <v>599326</v>
      </c>
      <c r="M83" s="195">
        <v>7.9207920792079209E-3</v>
      </c>
      <c r="N83" s="195">
        <v>2.1971985466715142E-4</v>
      </c>
      <c r="O83" s="195">
        <v>9.6033177941320397E-3</v>
      </c>
      <c r="P83" s="195">
        <v>2.1078292347628109E-2</v>
      </c>
    </row>
    <row r="84" spans="1:16" ht="22.5" customHeight="1">
      <c r="A84" s="115">
        <v>45</v>
      </c>
      <c r="B84" s="115" t="s">
        <v>11</v>
      </c>
      <c r="C84" s="115" t="s">
        <v>10</v>
      </c>
      <c r="D84" s="115" t="s">
        <v>7</v>
      </c>
      <c r="E84" s="98" t="s">
        <v>29</v>
      </c>
      <c r="F84" s="115" t="s">
        <v>476</v>
      </c>
      <c r="G84" s="115">
        <v>1</v>
      </c>
      <c r="H84" s="115">
        <v>10</v>
      </c>
      <c r="I84" s="194">
        <v>11</v>
      </c>
      <c r="J84" s="116">
        <v>69406</v>
      </c>
      <c r="K84" s="116">
        <v>331274</v>
      </c>
      <c r="L84" s="116">
        <v>826548</v>
      </c>
      <c r="M84" s="195">
        <v>3.1330105383081744E-3</v>
      </c>
      <c r="N84" s="195">
        <v>1.5514035132228393E-3</v>
      </c>
      <c r="O84" s="195">
        <v>1.5422891107937937E-2</v>
      </c>
      <c r="P84" s="195">
        <v>5.6060987013529615E-2</v>
      </c>
    </row>
    <row r="85" spans="1:16" ht="22.5" customHeight="1">
      <c r="A85" s="115">
        <v>87</v>
      </c>
      <c r="B85" s="115" t="s">
        <v>67</v>
      </c>
      <c r="C85" s="115" t="s">
        <v>14</v>
      </c>
      <c r="D85" s="115" t="s">
        <v>7</v>
      </c>
      <c r="E85" s="98" t="s">
        <v>111</v>
      </c>
      <c r="F85" s="115" t="s">
        <v>476</v>
      </c>
      <c r="G85" s="115">
        <v>0</v>
      </c>
      <c r="H85" s="115">
        <v>11</v>
      </c>
      <c r="I85" s="194">
        <v>11</v>
      </c>
      <c r="J85" s="116">
        <v>43090</v>
      </c>
      <c r="K85" s="116">
        <v>360865</v>
      </c>
      <c r="L85" s="116">
        <v>10277</v>
      </c>
      <c r="M85" s="195">
        <v>3.1330105383081744E-3</v>
      </c>
      <c r="N85" s="195">
        <v>9.631728868508795E-4</v>
      </c>
      <c r="O85" s="195">
        <v>1.6800538526011773E-2</v>
      </c>
      <c r="P85" s="195">
        <v>6.9704211193789573E-4</v>
      </c>
    </row>
    <row r="86" spans="1:16" ht="22.5" customHeight="1">
      <c r="A86" s="115">
        <v>88</v>
      </c>
      <c r="B86" s="115" t="s">
        <v>11</v>
      </c>
      <c r="C86" s="115" t="s">
        <v>10</v>
      </c>
      <c r="D86" s="115" t="s">
        <v>714</v>
      </c>
      <c r="E86" s="98" t="s">
        <v>747</v>
      </c>
      <c r="F86" s="115" t="s">
        <v>483</v>
      </c>
      <c r="G86" s="115">
        <v>0</v>
      </c>
      <c r="H86" s="115">
        <v>11</v>
      </c>
      <c r="I86" s="194">
        <v>11</v>
      </c>
      <c r="J86" s="116">
        <v>35995</v>
      </c>
      <c r="K86" s="116">
        <v>923168</v>
      </c>
      <c r="L86" s="116">
        <v>1345138</v>
      </c>
      <c r="M86" s="195">
        <v>7.2607260726072608E-3</v>
      </c>
      <c r="N86" s="195">
        <v>1.6480133712740395E-3</v>
      </c>
      <c r="O86" s="195">
        <v>2.0478843547658485E-2</v>
      </c>
      <c r="P86" s="195">
        <v>4.7308496564313539E-2</v>
      </c>
    </row>
    <row r="87" spans="1:16" ht="22.5" customHeight="1">
      <c r="A87" s="115">
        <v>89</v>
      </c>
      <c r="B87" s="115" t="s">
        <v>11</v>
      </c>
      <c r="C87" s="115" t="s">
        <v>10</v>
      </c>
      <c r="D87" s="115" t="s">
        <v>714</v>
      </c>
      <c r="E87" s="98" t="s">
        <v>748</v>
      </c>
      <c r="F87" s="115" t="s">
        <v>483</v>
      </c>
      <c r="G87" s="115">
        <v>0</v>
      </c>
      <c r="H87" s="115">
        <v>11</v>
      </c>
      <c r="I87" s="194">
        <v>11</v>
      </c>
      <c r="J87" s="116">
        <v>13753</v>
      </c>
      <c r="K87" s="116">
        <v>595452</v>
      </c>
      <c r="L87" s="116">
        <v>1371222</v>
      </c>
      <c r="M87" s="195">
        <v>7.2607260726072608E-3</v>
      </c>
      <c r="N87" s="195">
        <v>6.2967434074543316E-4</v>
      </c>
      <c r="O87" s="195">
        <v>1.3209045751304573E-2</v>
      </c>
      <c r="P87" s="195">
        <v>4.8225870710597085E-2</v>
      </c>
    </row>
    <row r="88" spans="1:16" ht="22.5" customHeight="1">
      <c r="A88" s="115">
        <v>90</v>
      </c>
      <c r="B88" s="115" t="s">
        <v>11</v>
      </c>
      <c r="C88" s="115" t="s">
        <v>9</v>
      </c>
      <c r="D88" s="115" t="s">
        <v>714</v>
      </c>
      <c r="E88" s="98" t="s">
        <v>749</v>
      </c>
      <c r="F88" s="115" t="s">
        <v>483</v>
      </c>
      <c r="G88" s="115">
        <v>0</v>
      </c>
      <c r="H88" s="115">
        <v>11</v>
      </c>
      <c r="I88" s="194">
        <v>11</v>
      </c>
      <c r="J88" s="116">
        <v>12654</v>
      </c>
      <c r="K88" s="116">
        <v>277181</v>
      </c>
      <c r="L88" s="116">
        <v>658827</v>
      </c>
      <c r="M88" s="195">
        <v>7.2607260726072608E-3</v>
      </c>
      <c r="N88" s="195">
        <v>5.7935716627591878E-4</v>
      </c>
      <c r="O88" s="195">
        <v>6.1487685160052409E-3</v>
      </c>
      <c r="P88" s="195">
        <v>2.3170942212603463E-2</v>
      </c>
    </row>
    <row r="89" spans="1:16" ht="22.5" customHeight="1">
      <c r="A89" s="115">
        <v>46</v>
      </c>
      <c r="B89" s="115" t="s">
        <v>67</v>
      </c>
      <c r="C89" s="115" t="s">
        <v>14</v>
      </c>
      <c r="D89" s="115" t="s">
        <v>7</v>
      </c>
      <c r="E89" s="98" t="s">
        <v>13</v>
      </c>
      <c r="F89" s="115" t="s">
        <v>476</v>
      </c>
      <c r="G89" s="115">
        <v>1</v>
      </c>
      <c r="H89" s="115">
        <v>8</v>
      </c>
      <c r="I89" s="194">
        <v>9</v>
      </c>
      <c r="J89" s="116">
        <v>147675</v>
      </c>
      <c r="K89" s="116">
        <v>175678</v>
      </c>
      <c r="L89" s="116">
        <v>19405</v>
      </c>
      <c r="M89" s="195">
        <v>2.5633722586157789E-3</v>
      </c>
      <c r="N89" s="195">
        <v>3.3009179871363111E-3</v>
      </c>
      <c r="O89" s="195">
        <v>8.1789173435292874E-3</v>
      </c>
      <c r="P89" s="195">
        <v>1.31615278604212E-3</v>
      </c>
    </row>
    <row r="90" spans="1:16" ht="22.5" customHeight="1">
      <c r="A90" s="115">
        <v>47</v>
      </c>
      <c r="B90" s="115" t="s">
        <v>67</v>
      </c>
      <c r="C90" s="115" t="s">
        <v>14</v>
      </c>
      <c r="D90" s="115" t="s">
        <v>714</v>
      </c>
      <c r="E90" s="98" t="s">
        <v>750</v>
      </c>
      <c r="F90" s="115" t="s">
        <v>483</v>
      </c>
      <c r="G90" s="115">
        <v>1</v>
      </c>
      <c r="H90" s="115">
        <v>8</v>
      </c>
      <c r="I90" s="194">
        <v>9</v>
      </c>
      <c r="J90" s="116">
        <v>74236</v>
      </c>
      <c r="K90" s="116">
        <v>1388554</v>
      </c>
      <c r="L90" s="116">
        <v>80863</v>
      </c>
      <c r="M90" s="195">
        <v>5.9405940594059407E-3</v>
      </c>
      <c r="N90" s="195">
        <v>3.3988587478788611E-3</v>
      </c>
      <c r="O90" s="195">
        <v>3.0802605943311922E-2</v>
      </c>
      <c r="P90" s="195">
        <v>2.8439512954656593E-3</v>
      </c>
    </row>
    <row r="91" spans="1:16" ht="22.5" customHeight="1">
      <c r="A91" s="115">
        <v>91</v>
      </c>
      <c r="B91" s="115" t="s">
        <v>67</v>
      </c>
      <c r="C91" s="115" t="s">
        <v>14</v>
      </c>
      <c r="D91" s="115" t="s">
        <v>714</v>
      </c>
      <c r="E91" s="98" t="s">
        <v>751</v>
      </c>
      <c r="F91" s="115" t="s">
        <v>483</v>
      </c>
      <c r="G91" s="115">
        <v>0</v>
      </c>
      <c r="H91" s="115">
        <v>8</v>
      </c>
      <c r="I91" s="194">
        <v>8</v>
      </c>
      <c r="J91" s="116">
        <v>103165</v>
      </c>
      <c r="K91" s="116">
        <v>1385745</v>
      </c>
      <c r="L91" s="116">
        <v>122990</v>
      </c>
      <c r="M91" s="195">
        <v>5.2805280528052806E-3</v>
      </c>
      <c r="N91" s="195">
        <v>4.7233587844835749E-3</v>
      </c>
      <c r="O91" s="195">
        <v>3.0740293264010458E-2</v>
      </c>
      <c r="P91" s="195">
        <v>4.3255576695067138E-3</v>
      </c>
    </row>
    <row r="92" spans="1:16" ht="22.5" customHeight="1">
      <c r="A92" s="115">
        <v>92</v>
      </c>
      <c r="B92" s="115" t="s">
        <v>11</v>
      </c>
      <c r="C92" s="115" t="s">
        <v>10</v>
      </c>
      <c r="D92" s="115" t="s">
        <v>714</v>
      </c>
      <c r="E92" s="98" t="s">
        <v>752</v>
      </c>
      <c r="F92" s="115" t="s">
        <v>483</v>
      </c>
      <c r="G92" s="115">
        <v>0</v>
      </c>
      <c r="H92" s="115">
        <v>7</v>
      </c>
      <c r="I92" s="194">
        <v>7</v>
      </c>
      <c r="J92" s="116">
        <v>39128</v>
      </c>
      <c r="K92" s="116">
        <v>961233</v>
      </c>
      <c r="L92" s="116">
        <v>3166365</v>
      </c>
      <c r="M92" s="195">
        <v>4.6204620462046205E-3</v>
      </c>
      <c r="N92" s="195">
        <v>1.7914562353440928E-3</v>
      </c>
      <c r="O92" s="195">
        <v>2.1323248011029854E-2</v>
      </c>
      <c r="P92" s="195">
        <v>0.11136104081801469</v>
      </c>
    </row>
    <row r="93" spans="1:16" ht="22.5" customHeight="1">
      <c r="A93" s="115">
        <v>93</v>
      </c>
      <c r="B93" s="115" t="s">
        <v>11</v>
      </c>
      <c r="C93" s="115" t="s">
        <v>9</v>
      </c>
      <c r="D93" s="115" t="s">
        <v>714</v>
      </c>
      <c r="E93" s="98" t="s">
        <v>753</v>
      </c>
      <c r="F93" s="115" t="s">
        <v>483</v>
      </c>
      <c r="G93" s="115">
        <v>0</v>
      </c>
      <c r="H93" s="115">
        <v>7</v>
      </c>
      <c r="I93" s="194">
        <v>7</v>
      </c>
      <c r="J93" s="116">
        <v>8844</v>
      </c>
      <c r="K93" s="116">
        <v>725042</v>
      </c>
      <c r="L93" s="116">
        <v>1106404</v>
      </c>
      <c r="M93" s="195">
        <v>4.6204620462046205E-3</v>
      </c>
      <c r="N93" s="195">
        <v>4.0491819018051412E-4</v>
      </c>
      <c r="O93" s="195">
        <v>1.6083769891808861E-2</v>
      </c>
      <c r="P93" s="195">
        <v>3.8912223008154376E-2</v>
      </c>
    </row>
    <row r="94" spans="1:16" ht="22.5" customHeight="1">
      <c r="A94" s="115">
        <v>94</v>
      </c>
      <c r="B94" s="115" t="s">
        <v>67</v>
      </c>
      <c r="C94" s="115" t="s">
        <v>14</v>
      </c>
      <c r="D94" s="115" t="s">
        <v>714</v>
      </c>
      <c r="E94" s="98" t="s">
        <v>754</v>
      </c>
      <c r="F94" s="115" t="s">
        <v>483</v>
      </c>
      <c r="G94" s="115">
        <v>0</v>
      </c>
      <c r="H94" s="115">
        <v>6</v>
      </c>
      <c r="I94" s="194">
        <v>6</v>
      </c>
      <c r="J94" s="116">
        <v>18674</v>
      </c>
      <c r="K94" s="116">
        <v>1474333</v>
      </c>
      <c r="L94" s="116">
        <v>59183</v>
      </c>
      <c r="M94" s="195">
        <v>3.9603960396039604E-3</v>
      </c>
      <c r="N94" s="195">
        <v>8.549799054082904E-4</v>
      </c>
      <c r="O94" s="195">
        <v>3.2705460809029321E-2</v>
      </c>
      <c r="P94" s="195">
        <v>2.0814658066055439E-3</v>
      </c>
    </row>
    <row r="95" spans="1:16" ht="22.5" customHeight="1">
      <c r="A95" s="115">
        <v>48</v>
      </c>
      <c r="B95" s="115" t="s">
        <v>67</v>
      </c>
      <c r="C95" s="115" t="s">
        <v>14</v>
      </c>
      <c r="D95" s="115" t="s">
        <v>714</v>
      </c>
      <c r="E95" s="98" t="s">
        <v>755</v>
      </c>
      <c r="F95" s="115" t="s">
        <v>483</v>
      </c>
      <c r="G95" s="115">
        <v>1</v>
      </c>
      <c r="H95" s="115">
        <v>4</v>
      </c>
      <c r="I95" s="194">
        <v>5</v>
      </c>
      <c r="J95" s="116">
        <v>56903</v>
      </c>
      <c r="K95" s="116">
        <v>1278194</v>
      </c>
      <c r="L95" s="116">
        <v>48523</v>
      </c>
      <c r="M95" s="195">
        <v>3.3003300330033004E-3</v>
      </c>
      <c r="N95" s="195">
        <v>2.6052758679151735E-3</v>
      </c>
      <c r="O95" s="195">
        <v>2.8354465221450256E-2</v>
      </c>
      <c r="P95" s="195">
        <v>1.7065536612527383E-3</v>
      </c>
    </row>
    <row r="96" spans="1:16" ht="22.5" customHeight="1">
      <c r="A96" s="115">
        <v>95</v>
      </c>
      <c r="B96" s="115" t="s">
        <v>67</v>
      </c>
      <c r="C96" s="115" t="s">
        <v>62</v>
      </c>
      <c r="D96" s="115" t="s">
        <v>714</v>
      </c>
      <c r="E96" s="98" t="s">
        <v>756</v>
      </c>
      <c r="F96" s="115" t="s">
        <v>483</v>
      </c>
      <c r="G96" s="115">
        <v>0</v>
      </c>
      <c r="H96" s="115">
        <v>4</v>
      </c>
      <c r="I96" s="194">
        <v>4</v>
      </c>
      <c r="J96" s="116">
        <v>29394</v>
      </c>
      <c r="K96" s="116">
        <v>709280</v>
      </c>
      <c r="L96" s="116">
        <v>30629</v>
      </c>
      <c r="M96" s="195">
        <v>2.6402640264026403E-3</v>
      </c>
      <c r="N96" s="195">
        <v>1.3457898328998227E-3</v>
      </c>
      <c r="O96" s="195">
        <v>1.573411789780756E-2</v>
      </c>
      <c r="P96" s="195">
        <v>1.0772217729841543E-3</v>
      </c>
    </row>
    <row r="97" spans="1:16" ht="22.5" customHeight="1">
      <c r="A97" s="115">
        <v>96</v>
      </c>
      <c r="B97" s="115" t="s">
        <v>67</v>
      </c>
      <c r="C97" s="115" t="s">
        <v>62</v>
      </c>
      <c r="D97" s="115" t="s">
        <v>714</v>
      </c>
      <c r="E97" s="98" t="s">
        <v>757</v>
      </c>
      <c r="F97" s="115" t="s">
        <v>483</v>
      </c>
      <c r="G97" s="115">
        <v>0</v>
      </c>
      <c r="H97" s="115">
        <v>3</v>
      </c>
      <c r="I97" s="194">
        <v>3</v>
      </c>
      <c r="J97" s="116">
        <v>35263</v>
      </c>
      <c r="K97" s="116">
        <v>1295336</v>
      </c>
      <c r="L97" s="116">
        <v>32575</v>
      </c>
      <c r="M97" s="195">
        <v>1.9801980198019802E-3</v>
      </c>
      <c r="N97" s="195">
        <v>1.6144991112998044E-3</v>
      </c>
      <c r="O97" s="195">
        <v>2.8734730066087375E-2</v>
      </c>
      <c r="P97" s="195">
        <v>1.145662583008222E-3</v>
      </c>
    </row>
    <row r="98" spans="1:16" ht="22.5" hidden="1" customHeight="1">
      <c r="A98" s="115"/>
      <c r="B98" s="115" t="e">
        <f>VLOOKUP(C98,Lists!I:J,2,FALSE)</f>
        <v>#N/A</v>
      </c>
      <c r="C98" s="115" t="e">
        <f>VLOOKUP(E98,Lists!D:E,2,FALSE)</f>
        <v>#N/A</v>
      </c>
      <c r="D98" s="115"/>
      <c r="E98" s="98"/>
      <c r="F98" s="115"/>
      <c r="G98" s="115"/>
      <c r="H98" s="115"/>
      <c r="I98" s="194">
        <f t="shared" ref="I98:I103" si="8">SUM(G98:H98)</f>
        <v>0</v>
      </c>
      <c r="J98" s="116"/>
      <c r="K98" s="116"/>
      <c r="L98" s="116"/>
      <c r="M98" s="195" t="e">
        <f>I98/(HLOOKUP(F98,Team_Composition_16[[#All],[Yellow]:[Red]],10,FALSE)+HLOOKUP(F98,Team_Composition_16[[#All],[Yellow]:[Red]],11,FALSE))</f>
        <v>#N/A</v>
      </c>
      <c r="N98" s="195" t="e">
        <f>J98/HLOOKUP(F98,Team_Composition_16[[#All],[Yellow]:[Red]],6,FALSE)</f>
        <v>#N/A</v>
      </c>
      <c r="O98" s="195" t="e">
        <f>K98/HLOOKUP(F98,Team_Composition_16[[#All],[Yellow]:[Red]],8,FALSE)</f>
        <v>#N/A</v>
      </c>
      <c r="P98" s="195" t="e">
        <f>L98/HLOOKUP(F98,Team_Composition_16[[#All],[Yellow]:[Red]],7,FALSE)</f>
        <v>#N/A</v>
      </c>
    </row>
    <row r="99" spans="1:16" ht="22.5" hidden="1" customHeight="1">
      <c r="A99" s="115"/>
      <c r="B99" s="115" t="e">
        <f>VLOOKUP(C99,Lists!I:J,2,FALSE)</f>
        <v>#N/A</v>
      </c>
      <c r="C99" s="115" t="e">
        <f>VLOOKUP(E99,Lists!D:E,2,FALSE)</f>
        <v>#N/A</v>
      </c>
      <c r="D99" s="115"/>
      <c r="E99" s="98"/>
      <c r="F99" s="115"/>
      <c r="G99" s="115"/>
      <c r="H99" s="115"/>
      <c r="I99" s="194">
        <f t="shared" si="8"/>
        <v>0</v>
      </c>
      <c r="J99" s="116"/>
      <c r="K99" s="116"/>
      <c r="L99" s="116"/>
      <c r="M99" s="195" t="e">
        <f>I99/(HLOOKUP(F99,Team_Composition_16[[#All],[Yellow]:[Red]],10,FALSE)+HLOOKUP(F99,Team_Composition_16[[#All],[Yellow]:[Red]],11,FALSE))</f>
        <v>#N/A</v>
      </c>
      <c r="N99" s="195" t="e">
        <f>J99/HLOOKUP(F99,Team_Composition_16[[#All],[Yellow]:[Red]],6,FALSE)</f>
        <v>#N/A</v>
      </c>
      <c r="O99" s="195" t="e">
        <f>K99/HLOOKUP(F99,Team_Composition_16[[#All],[Yellow]:[Red]],8,FALSE)</f>
        <v>#N/A</v>
      </c>
      <c r="P99" s="195" t="e">
        <f>L99/HLOOKUP(F99,Team_Composition_16[[#All],[Yellow]:[Red]],7,FALSE)</f>
        <v>#N/A</v>
      </c>
    </row>
    <row r="100" spans="1:16" ht="22.5" hidden="1" customHeight="1">
      <c r="A100" s="115"/>
      <c r="B100" s="115" t="e">
        <f>VLOOKUP(C100,Lists!I:J,2,FALSE)</f>
        <v>#N/A</v>
      </c>
      <c r="C100" s="115" t="e">
        <f>VLOOKUP(E100,Lists!D:E,2,FALSE)</f>
        <v>#N/A</v>
      </c>
      <c r="D100" s="115"/>
      <c r="E100" s="98"/>
      <c r="F100" s="115"/>
      <c r="G100" s="115"/>
      <c r="H100" s="115"/>
      <c r="I100" s="194">
        <f t="shared" si="8"/>
        <v>0</v>
      </c>
      <c r="J100" s="116"/>
      <c r="K100" s="116"/>
      <c r="L100" s="116"/>
      <c r="M100" s="195" t="e">
        <f>I100/(HLOOKUP(F100,Team_Composition_16[[#All],[Yellow]:[Red]],10,FALSE)+HLOOKUP(F100,Team_Composition_16[[#All],[Yellow]:[Red]],11,FALSE))</f>
        <v>#N/A</v>
      </c>
      <c r="N100" s="195" t="e">
        <f>J100/HLOOKUP(F100,Team_Composition_16[[#All],[Yellow]:[Red]],6,FALSE)</f>
        <v>#N/A</v>
      </c>
      <c r="O100" s="195" t="e">
        <f>K100/HLOOKUP(F100,Team_Composition_16[[#All],[Yellow]:[Red]],8,FALSE)</f>
        <v>#N/A</v>
      </c>
      <c r="P100" s="195" t="e">
        <f>L100/HLOOKUP(F100,Team_Composition_16[[#All],[Yellow]:[Red]],7,FALSE)</f>
        <v>#N/A</v>
      </c>
    </row>
    <row r="101" spans="1:16" ht="22.5" hidden="1" customHeight="1">
      <c r="A101" s="115"/>
      <c r="B101" s="115" t="e">
        <f>VLOOKUP(C101,Lists!I:J,2,FALSE)</f>
        <v>#N/A</v>
      </c>
      <c r="C101" s="115" t="e">
        <f>VLOOKUP(E101,Lists!D:E,2,FALSE)</f>
        <v>#N/A</v>
      </c>
      <c r="D101" s="115"/>
      <c r="E101" s="98"/>
      <c r="F101" s="115"/>
      <c r="G101" s="115"/>
      <c r="H101" s="115"/>
      <c r="I101" s="194">
        <f t="shared" si="8"/>
        <v>0</v>
      </c>
      <c r="J101" s="116"/>
      <c r="K101" s="116"/>
      <c r="L101" s="116"/>
      <c r="M101" s="195" t="e">
        <f>I101/(HLOOKUP(F101,Team_Composition_16[[#All],[Yellow]:[Red]],10,FALSE)+HLOOKUP(F101,Team_Composition_16[[#All],[Yellow]:[Red]],11,FALSE))</f>
        <v>#N/A</v>
      </c>
      <c r="N101" s="195" t="e">
        <f>J101/HLOOKUP(F101,Team_Composition_16[[#All],[Yellow]:[Red]],6,FALSE)</f>
        <v>#N/A</v>
      </c>
      <c r="O101" s="195" t="e">
        <f>K101/HLOOKUP(F101,Team_Composition_16[[#All],[Yellow]:[Red]],8,FALSE)</f>
        <v>#N/A</v>
      </c>
      <c r="P101" s="195" t="e">
        <f>L101/HLOOKUP(F101,Team_Composition_16[[#All],[Yellow]:[Red]],7,FALSE)</f>
        <v>#N/A</v>
      </c>
    </row>
    <row r="102" spans="1:16" ht="22.5" hidden="1" customHeight="1">
      <c r="A102" s="115"/>
      <c r="B102" s="115" t="e">
        <f>VLOOKUP(C102,Lists!I:J,2,FALSE)</f>
        <v>#N/A</v>
      </c>
      <c r="C102" s="115" t="e">
        <f>VLOOKUP(E102,Lists!D:E,2,FALSE)</f>
        <v>#N/A</v>
      </c>
      <c r="D102" s="115"/>
      <c r="E102" s="98"/>
      <c r="F102" s="115"/>
      <c r="G102" s="115"/>
      <c r="H102" s="115"/>
      <c r="I102" s="194">
        <f t="shared" si="8"/>
        <v>0</v>
      </c>
      <c r="J102" s="116"/>
      <c r="K102" s="116"/>
      <c r="L102" s="116"/>
      <c r="M102" s="195" t="e">
        <f>I102/(HLOOKUP(F102,Team_Composition_16[[#All],[Yellow]:[Red]],10,FALSE)+HLOOKUP(F102,Team_Composition_16[[#All],[Yellow]:[Red]],11,FALSE))</f>
        <v>#N/A</v>
      </c>
      <c r="N102" s="195" t="e">
        <f>J102/HLOOKUP(F102,Team_Composition_16[[#All],[Yellow]:[Red]],6,FALSE)</f>
        <v>#N/A</v>
      </c>
      <c r="O102" s="195" t="e">
        <f>K102/HLOOKUP(F102,Team_Composition_16[[#All],[Yellow]:[Red]],8,FALSE)</f>
        <v>#N/A</v>
      </c>
      <c r="P102" s="195" t="e">
        <f>L102/HLOOKUP(F102,Team_Composition_16[[#All],[Yellow]:[Red]],7,FALSE)</f>
        <v>#N/A</v>
      </c>
    </row>
    <row r="103" spans="1:16" ht="22.5" hidden="1" customHeight="1">
      <c r="A103" s="115"/>
      <c r="B103" s="115" t="e">
        <f>VLOOKUP(C103,Lists!I:J,2,FALSE)</f>
        <v>#N/A</v>
      </c>
      <c r="C103" s="115" t="e">
        <f>VLOOKUP(E103,Lists!D:E,2,FALSE)</f>
        <v>#N/A</v>
      </c>
      <c r="D103" s="115"/>
      <c r="E103" s="98"/>
      <c r="F103" s="115"/>
      <c r="G103" s="115"/>
      <c r="H103" s="115"/>
      <c r="I103" s="194">
        <f t="shared" si="8"/>
        <v>0</v>
      </c>
      <c r="J103" s="116"/>
      <c r="K103" s="116"/>
      <c r="L103" s="116"/>
      <c r="M103" s="195" t="e">
        <f>I103/(HLOOKUP(F103,Team_Composition_16[[#All],[Yellow]:[Red]],10,FALSE)+HLOOKUP(F103,Team_Composition_16[[#All],[Yellow]:[Red]],11,FALSE))</f>
        <v>#N/A</v>
      </c>
      <c r="N103" s="195" t="e">
        <f>J103/HLOOKUP(F103,Team_Composition_16[[#All],[Yellow]:[Red]],6,FALSE)</f>
        <v>#N/A</v>
      </c>
      <c r="O103" s="195" t="e">
        <f>K103/HLOOKUP(F103,Team_Composition_16[[#All],[Yellow]:[Red]],8,FALSE)</f>
        <v>#N/A</v>
      </c>
      <c r="P103" s="195" t="e">
        <f>L103/HLOOKUP(F103,Team_Composition_16[[#All],[Yellow]:[Red]],7,FALSE)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C00-000000000000}">
      <formula1>#REF!</formula1>
    </dataValidation>
    <dataValidation type="list" allowBlank="1" sqref="F2:F103" xr:uid="{00000000-0002-0000-1C00-000002000000}">
      <formula1>"Yellow,Red"</formula1>
    </dataValidation>
    <dataValidation type="custom" allowBlank="1" showDropDown="1" sqref="S4:T13 S17:T25 S30:T46 S51:T60 S65:T72 A2:A103 G2:L103" xr:uid="{00000000-0002-0000-1C00-000003000000}">
      <formula1>AND(ISNUMBER(A2),(NOT(OR(NOT(ISERROR(DATEVALUE(A2))), AND(ISNUMBER(A2), LEFT(CELL("format", A2))="D")))))</formula1>
    </dataValidation>
    <dataValidation allowBlank="1" showDropDown="1" sqref="E2:E103" xr:uid="{00000000-0002-0000-1C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tr">
        <f>VLOOKUP(C2,Lists!I:J,2,FALSE)</f>
        <v>Ranged DPS</v>
      </c>
      <c r="C2" s="115" t="str">
        <f>VLOOKUP(E2,Lists!D:E,2,FALSE)</f>
        <v>Staff/Dagger</v>
      </c>
      <c r="D2" s="115" t="s">
        <v>7</v>
      </c>
      <c r="E2" s="98" t="s">
        <v>42</v>
      </c>
      <c r="F2" s="115" t="s">
        <v>476</v>
      </c>
      <c r="G2" s="115">
        <v>64</v>
      </c>
      <c r="H2" s="115">
        <v>118</v>
      </c>
      <c r="I2" s="194">
        <f t="shared" ref="I2:I44" si="0">SUM(G2:H2)</f>
        <v>182</v>
      </c>
      <c r="J2" s="116">
        <v>5085866</v>
      </c>
      <c r="K2" s="116">
        <v>713034</v>
      </c>
      <c r="L2" s="116">
        <v>13121</v>
      </c>
      <c r="M2" s="195">
        <f>I2/(HLOOKUP(F2,Team_Composition_17[[#All],[Yellow]:[Red]],10,FALSE)+HLOOKUP(F2,Team_Composition_17[[#All],[Yellow]:[Red]],11,FALSE))</f>
        <v>5.2692530399536766E-2</v>
      </c>
      <c r="N2" s="195">
        <f>J2/HLOOKUP(F2,Team_Composition_17[[#All],[Yellow]:[Red]],6,FALSE)</f>
        <v>0.11244096307006318</v>
      </c>
      <c r="O2" s="195">
        <f>K2/HLOOKUP(F2,Team_Composition_17[[#All],[Yellow]:[Red]],8,FALSE)</f>
        <v>2.4503361508449853E-2</v>
      </c>
      <c r="P2" s="195">
        <f>L2/HLOOKUP(F2,Team_Composition_17[[#All],[Yellow]:[Red]],7,FALSE)</f>
        <v>6.3432908157357894E-4</v>
      </c>
      <c r="R2" s="232" t="s">
        <v>477</v>
      </c>
      <c r="S2" s="228"/>
      <c r="T2" s="228"/>
      <c r="V2" s="233" t="s">
        <v>478</v>
      </c>
      <c r="W2" s="228"/>
      <c r="X2" s="196"/>
      <c r="Y2" s="233" t="s">
        <v>479</v>
      </c>
      <c r="Z2" s="228"/>
    </row>
    <row r="3" spans="1:26" ht="22.5" customHeight="1">
      <c r="A3" s="115">
        <v>2</v>
      </c>
      <c r="B3" s="115" t="str">
        <f>VLOOKUP(C3,Lists!I:J,2,FALSE)</f>
        <v>Ranged DPS</v>
      </c>
      <c r="C3" s="115" t="str">
        <f>VLOOKUP(E3,Lists!D:E,2,FALSE)</f>
        <v>Staff/Dagger</v>
      </c>
      <c r="D3" s="115" t="s">
        <v>7</v>
      </c>
      <c r="E3" s="98" t="s">
        <v>86</v>
      </c>
      <c r="F3" s="115" t="s">
        <v>476</v>
      </c>
      <c r="G3" s="115">
        <v>61</v>
      </c>
      <c r="H3" s="115">
        <v>100</v>
      </c>
      <c r="I3" s="194">
        <f t="shared" si="0"/>
        <v>161</v>
      </c>
      <c r="J3" s="116">
        <v>4160561</v>
      </c>
      <c r="K3" s="116">
        <v>1171498</v>
      </c>
      <c r="L3" s="116">
        <v>0</v>
      </c>
      <c r="M3" s="195">
        <f>I3/(HLOOKUP(F3,Team_Composition_17[[#All],[Yellow]:[Red]],10,FALSE)+HLOOKUP(F3,Team_Composition_17[[#All],[Yellow]:[Red]],11,FALSE))</f>
        <v>4.6612623045744067E-2</v>
      </c>
      <c r="N3" s="195">
        <f>J3/HLOOKUP(F3,Team_Composition_17[[#All],[Yellow]:[Red]],6,FALSE)</f>
        <v>9.1983840264715025E-2</v>
      </c>
      <c r="O3" s="195">
        <f>K3/HLOOKUP(F3,Team_Composition_17[[#All],[Yellow]:[Red]],8,FALSE)</f>
        <v>4.0258443496980489E-2</v>
      </c>
      <c r="P3" s="195">
        <f>L3/HLOOKUP(F3,Team_Composition_17[[#All],[Yellow]:[Red]],7,FALSE)</f>
        <v>0</v>
      </c>
      <c r="R3" s="197" t="s">
        <v>482</v>
      </c>
      <c r="S3" s="198" t="s">
        <v>476</v>
      </c>
      <c r="T3" s="198" t="s">
        <v>483</v>
      </c>
      <c r="V3" s="199" t="s">
        <v>1</v>
      </c>
      <c r="W3" s="200" t="s">
        <v>467</v>
      </c>
      <c r="Y3" s="199" t="s">
        <v>1</v>
      </c>
      <c r="Z3" s="200" t="s">
        <v>484</v>
      </c>
    </row>
    <row r="4" spans="1:26" ht="22.5" customHeight="1">
      <c r="A4" s="115">
        <v>13</v>
      </c>
      <c r="B4" s="115" t="str">
        <f>VLOOKUP(C4,Lists!I:J,2,FALSE)</f>
        <v>Melee DPS</v>
      </c>
      <c r="C4" s="115" t="str">
        <f>VLOOKUP(E4,Lists!D:E,2,FALSE)</f>
        <v>Greatsword/Spear</v>
      </c>
      <c r="D4" s="115" t="s">
        <v>7</v>
      </c>
      <c r="E4" s="98" t="s">
        <v>77</v>
      </c>
      <c r="F4" s="115" t="s">
        <v>476</v>
      </c>
      <c r="G4" s="115">
        <v>30</v>
      </c>
      <c r="H4" s="115">
        <v>107</v>
      </c>
      <c r="I4" s="194">
        <f t="shared" si="0"/>
        <v>137</v>
      </c>
      <c r="J4" s="116">
        <v>2370947</v>
      </c>
      <c r="K4" s="116">
        <v>857737</v>
      </c>
      <c r="L4" s="116">
        <v>46846</v>
      </c>
      <c r="M4" s="195">
        <f>I4/(HLOOKUP(F4,Team_Composition_17[[#All],[Yellow]:[Red]],10,FALSE)+HLOOKUP(F4,Team_Composition_17[[#All],[Yellow]:[Red]],11,FALSE))</f>
        <v>3.9664157498552406E-2</v>
      </c>
      <c r="N4" s="195">
        <f>J4/HLOOKUP(F4,Team_Composition_17[[#All],[Yellow]:[Red]],6,FALSE)</f>
        <v>5.2418125854687692E-2</v>
      </c>
      <c r="O4" s="195">
        <f>K4/HLOOKUP(F4,Team_Composition_17[[#All],[Yellow]:[Red]],8,FALSE)</f>
        <v>2.9476069570558001E-2</v>
      </c>
      <c r="P4" s="195">
        <f>L4/HLOOKUP(F4,Team_Composition_17[[#All],[Yellow]:[Red]],7,FALSE)</f>
        <v>2.2647496498282051E-3</v>
      </c>
      <c r="R4" s="201" t="s">
        <v>25</v>
      </c>
      <c r="S4" s="202">
        <f>COUNTIFS(Scoreboard_17[Role],R4,Scoreboard_17[Team],"Yellow")</f>
        <v>4</v>
      </c>
      <c r="T4" s="203">
        <f>COUNTIFS(Scoreboard_17[Role],R4,Scoreboard_17[Team],"Red")</f>
        <v>1</v>
      </c>
      <c r="V4" s="204" t="str">
        <f ca="1">IFERROR(__xludf.DUMMYFUNCTION("query(A1:P239, ""Select E,I where B!='Healer' Order by I Desc Limit 10"", 0)"),"edmun")</f>
        <v>edmun</v>
      </c>
      <c r="W4" s="116">
        <f ca="1">IFERROR(__xludf.DUMMYFUNCTION("""COMPUTED_VALUE"""),182)</f>
        <v>182</v>
      </c>
      <c r="Y4" s="204" t="str">
        <f ca="1">IFERROR(__xludf.DUMMYFUNCTION("query(A1:P239, ""Select E,J Order by J Desc Limit 10"", 0)"),"edmun")</f>
        <v>edmun</v>
      </c>
      <c r="Z4" s="116">
        <f ca="1">IFERROR(__xludf.DUMMYFUNCTION("""COMPUTED_VALUE"""),5085866)</f>
        <v>5085866</v>
      </c>
    </row>
    <row r="5" spans="1:26" ht="22.5" customHeight="1">
      <c r="A5" s="115">
        <v>16</v>
      </c>
      <c r="B5" s="115" t="str">
        <f>VLOOKUP(C5,Lists!I:J,2,FALSE)</f>
        <v>Melee DPS</v>
      </c>
      <c r="C5" s="115" t="str">
        <f>VLOOKUP(E5,Lists!D:E,2,FALSE)</f>
        <v>Greatsword/Spear</v>
      </c>
      <c r="D5" s="115" t="s">
        <v>7</v>
      </c>
      <c r="E5" s="98" t="s">
        <v>113</v>
      </c>
      <c r="F5" s="115" t="s">
        <v>476</v>
      </c>
      <c r="G5" s="115">
        <v>26</v>
      </c>
      <c r="H5" s="115">
        <v>110</v>
      </c>
      <c r="I5" s="194">
        <f t="shared" si="0"/>
        <v>136</v>
      </c>
      <c r="J5" s="116">
        <v>2110341</v>
      </c>
      <c r="K5" s="116">
        <v>680628</v>
      </c>
      <c r="L5" s="116">
        <v>77889</v>
      </c>
      <c r="M5" s="195">
        <f>I5/(HLOOKUP(F5,Team_Composition_17[[#All],[Yellow]:[Red]],10,FALSE)+HLOOKUP(F5,Team_Composition_17[[#All],[Yellow]:[Red]],11,FALSE))</f>
        <v>3.937463810075275E-2</v>
      </c>
      <c r="N5" s="195">
        <f>J5/HLOOKUP(F5,Team_Composition_17[[#All],[Yellow]:[Red]],6,FALSE)</f>
        <v>4.6656513255803472E-2</v>
      </c>
      <c r="O5" s="195">
        <f>K5/HLOOKUP(F5,Team_Composition_17[[#All],[Yellow]:[Red]],8,FALSE)</f>
        <v>2.3389731677273744E-2</v>
      </c>
      <c r="P5" s="195">
        <f>L5/HLOOKUP(F5,Team_Composition_17[[#All],[Yellow]:[Red]],7,FALSE)</f>
        <v>3.7655100857163699E-3</v>
      </c>
      <c r="R5" s="201" t="s">
        <v>39</v>
      </c>
      <c r="S5" s="202">
        <f>COUNTIFS(Scoreboard_17[Role],R5,Scoreboard_17[Team],"Yellow")</f>
        <v>5</v>
      </c>
      <c r="T5" s="203">
        <f>COUNTIFS(Scoreboard_17[Role],R5,Scoreboard_17[Team],"Red")</f>
        <v>5</v>
      </c>
      <c r="V5" s="204" t="str">
        <f ca="1">IFERROR(__xludf.DUMMYFUNCTION("""COMPUTED_VALUE"""),"Nsin")</f>
        <v>Nsin</v>
      </c>
      <c r="W5" s="116">
        <f ca="1">IFERROR(__xludf.DUMMYFUNCTION("""COMPUTED_VALUE"""),161)</f>
        <v>161</v>
      </c>
      <c r="Y5" s="204" t="str">
        <f ca="1">IFERROR(__xludf.DUMMYFUNCTION("""COMPUTED_VALUE"""),"Nsin")</f>
        <v>Nsin</v>
      </c>
      <c r="Z5" s="116">
        <f ca="1">IFERROR(__xludf.DUMMYFUNCTION("""COMPUTED_VALUE"""),4160561)</f>
        <v>4160561</v>
      </c>
    </row>
    <row r="6" spans="1:26" ht="22.5" customHeight="1">
      <c r="A6" s="115">
        <v>4</v>
      </c>
      <c r="B6" s="115" t="e">
        <f>VLOOKUP(C6,Lists!I:J,2,FALSE)</f>
        <v>#N/A</v>
      </c>
      <c r="C6" s="115" t="e">
        <f>VLOOKUP(E6,Lists!D:E,2,FALSE)</f>
        <v>#N/A</v>
      </c>
      <c r="D6" s="115" t="s">
        <v>7</v>
      </c>
      <c r="E6" s="98" t="s">
        <v>758</v>
      </c>
      <c r="F6" s="115" t="s">
        <v>476</v>
      </c>
      <c r="G6" s="115">
        <v>58</v>
      </c>
      <c r="H6" s="115">
        <v>77</v>
      </c>
      <c r="I6" s="194">
        <f t="shared" si="0"/>
        <v>135</v>
      </c>
      <c r="J6" s="116">
        <v>3609760</v>
      </c>
      <c r="K6" s="116">
        <v>634537</v>
      </c>
      <c r="L6" s="116">
        <v>0</v>
      </c>
      <c r="M6" s="195">
        <f>I6/(HLOOKUP(F6,Team_Composition_17[[#All],[Yellow]:[Red]],10,FALSE)+HLOOKUP(F6,Team_Composition_17[[#All],[Yellow]:[Red]],11,FALSE))</f>
        <v>3.9085118702953101E-2</v>
      </c>
      <c r="N6" s="195">
        <f>J6/HLOOKUP(F6,Team_Composition_17[[#All],[Yellow]:[Red]],6,FALSE)</f>
        <v>7.9806446110021634E-2</v>
      </c>
      <c r="O6" s="195">
        <f>K6/HLOOKUP(F6,Team_Composition_17[[#All],[Yellow]:[Red]],8,FALSE)</f>
        <v>2.180581781722505E-2</v>
      </c>
      <c r="P6" s="195">
        <f>L6/HLOOKUP(F6,Team_Composition_17[[#All],[Yellow]:[Red]],7,FALSE)</f>
        <v>0</v>
      </c>
      <c r="R6" s="201" t="s">
        <v>67</v>
      </c>
      <c r="S6" s="202">
        <f>COUNTIFS(Scoreboard_17[Role],R6,Scoreboard_17[Team],"Yellow")</f>
        <v>12</v>
      </c>
      <c r="T6" s="203">
        <f>COUNTIFS(Scoreboard_17[Role],R6,Scoreboard_17[Team],"Red")</f>
        <v>6</v>
      </c>
      <c r="V6" s="204" t="str">
        <f ca="1">IFERROR(__xludf.DUMMYFUNCTION("""COMPUTED_VALUE"""),"Kyu")</f>
        <v>Kyu</v>
      </c>
      <c r="W6" s="116">
        <f ca="1">IFERROR(__xludf.DUMMYFUNCTION("""COMPUTED_VALUE"""),137)</f>
        <v>137</v>
      </c>
      <c r="Y6" s="204" t="str">
        <f ca="1">IFERROR(__xludf.DUMMYFUNCTION("""COMPUTED_VALUE"""),"CLEM`")</f>
        <v>CLEM`</v>
      </c>
      <c r="Z6" s="116">
        <f ca="1">IFERROR(__xludf.DUMMYFUNCTION("""COMPUTED_VALUE"""),3609760)</f>
        <v>3609760</v>
      </c>
    </row>
    <row r="7" spans="1:26" ht="22.5" customHeight="1">
      <c r="A7" s="115">
        <v>18</v>
      </c>
      <c r="B7" s="115" t="str">
        <f>VLOOKUP(C7,Lists!I:J,2,FALSE)</f>
        <v>Melee DPS</v>
      </c>
      <c r="C7" s="115" t="str">
        <f>VLOOKUP(E7,Lists!D:E,2,FALSE)</f>
        <v>Spear/Dagger</v>
      </c>
      <c r="D7" s="115" t="s">
        <v>7</v>
      </c>
      <c r="E7" s="98" t="s">
        <v>104</v>
      </c>
      <c r="F7" s="115" t="s">
        <v>476</v>
      </c>
      <c r="G7" s="115">
        <v>24</v>
      </c>
      <c r="H7" s="115">
        <v>106</v>
      </c>
      <c r="I7" s="194">
        <f t="shared" si="0"/>
        <v>130</v>
      </c>
      <c r="J7" s="116">
        <v>2315110</v>
      </c>
      <c r="K7" s="116">
        <v>496880</v>
      </c>
      <c r="L7" s="116">
        <v>2583</v>
      </c>
      <c r="M7" s="195">
        <f>I7/(HLOOKUP(F7,Team_Composition_17[[#All],[Yellow]:[Red]],10,FALSE)+HLOOKUP(F7,Team_Composition_17[[#All],[Yellow]:[Red]],11,FALSE))</f>
        <v>3.7637521713954833E-2</v>
      </c>
      <c r="N7" s="195">
        <f>J7/HLOOKUP(F7,Team_Composition_17[[#All],[Yellow]:[Red]],6,FALSE)</f>
        <v>5.1183652501488236E-2</v>
      </c>
      <c r="O7" s="195">
        <f>K7/HLOOKUP(F7,Team_Composition_17[[#All],[Yellow]:[Red]],8,FALSE)</f>
        <v>1.7075245032240487E-2</v>
      </c>
      <c r="P7" s="195">
        <f>L7/HLOOKUP(F7,Team_Composition_17[[#All],[Yellow]:[Red]],7,FALSE)</f>
        <v>1.2487402009790066E-4</v>
      </c>
      <c r="R7" s="201" t="s">
        <v>11</v>
      </c>
      <c r="S7" s="202">
        <f>COUNTIFS(Scoreboard_17[Role],R7,Scoreboard_17[Team],"Yellow")</f>
        <v>18</v>
      </c>
      <c r="T7" s="203">
        <f>COUNTIFS(Scoreboard_17[Role],R7,Scoreboard_17[Team],"Red")</f>
        <v>16</v>
      </c>
      <c r="V7" s="204" t="str">
        <f ca="1">IFERROR(__xludf.DUMMYFUNCTION("""COMPUTED_VALUE"""),"Willan")</f>
        <v>Willan</v>
      </c>
      <c r="W7" s="116">
        <f ca="1">IFERROR(__xludf.DUMMYFUNCTION("""COMPUTED_VALUE"""),136)</f>
        <v>136</v>
      </c>
      <c r="Y7" s="204" t="str">
        <f ca="1">IFERROR(__xludf.DUMMYFUNCTION("""COMPUTED_VALUE"""),"Geebinho17")</f>
        <v>Geebinho17</v>
      </c>
      <c r="Z7" s="116">
        <f ca="1">IFERROR(__xludf.DUMMYFUNCTION("""COMPUTED_VALUE"""),2709841)</f>
        <v>2709841</v>
      </c>
    </row>
    <row r="8" spans="1:26" ht="22.5" customHeight="1">
      <c r="A8" s="115">
        <v>3</v>
      </c>
      <c r="B8" s="115" t="str">
        <f>VLOOKUP(C8,Lists!I:J,2,FALSE)</f>
        <v>KS</v>
      </c>
      <c r="C8" s="115" t="str">
        <f>VLOOKUP(E8,Lists!D:E,2,FALSE)</f>
        <v>Crossbow/Dagger</v>
      </c>
      <c r="D8" s="115" t="s">
        <v>7</v>
      </c>
      <c r="E8" s="98" t="s">
        <v>53</v>
      </c>
      <c r="F8" s="115" t="s">
        <v>476</v>
      </c>
      <c r="G8" s="115">
        <v>60</v>
      </c>
      <c r="H8" s="115">
        <v>59</v>
      </c>
      <c r="I8" s="194">
        <f t="shared" si="0"/>
        <v>119</v>
      </c>
      <c r="J8" s="116">
        <v>2709841</v>
      </c>
      <c r="K8" s="116">
        <v>875308</v>
      </c>
      <c r="L8" s="116">
        <v>21893</v>
      </c>
      <c r="M8" s="195">
        <f>I8/(HLOOKUP(F8,Team_Composition_17[[#All],[Yellow]:[Red]],10,FALSE)+HLOOKUP(F8,Team_Composition_17[[#All],[Yellow]:[Red]],11,FALSE))</f>
        <v>3.4452808338158655E-2</v>
      </c>
      <c r="N8" s="195">
        <f>J8/HLOOKUP(F8,Team_Composition_17[[#All],[Yellow]:[Red]],6,FALSE)</f>
        <v>5.9910570157912749E-2</v>
      </c>
      <c r="O8" s="195">
        <f>K8/HLOOKUP(F8,Team_Composition_17[[#All],[Yellow]:[Red]],8,FALSE)</f>
        <v>3.0079895706569708E-2</v>
      </c>
      <c r="P8" s="195">
        <f>L8/HLOOKUP(F8,Team_Composition_17[[#All],[Yellow]:[Red]],7,FALSE)</f>
        <v>1.0584076353090744E-3</v>
      </c>
      <c r="R8" s="201" t="s">
        <v>468</v>
      </c>
      <c r="S8" s="202">
        <f>SUMIFS(Scoreboard_17[Damage Dealt],Scoreboard_17[Team],"Yellow")</f>
        <v>45231434</v>
      </c>
      <c r="T8" s="203">
        <f>SUMIFS(Scoreboard_17[Damage Dealt],Scoreboard_17[Team],"Red")</f>
        <v>30063590</v>
      </c>
      <c r="V8" s="204" t="str">
        <f ca="1">IFERROR(__xludf.DUMMYFUNCTION("""COMPUTED_VALUE"""),"CLEM`")</f>
        <v>CLEM`</v>
      </c>
      <c r="W8" s="116">
        <f ca="1">IFERROR(__xludf.DUMMYFUNCTION("""COMPUTED_VALUE"""),135)</f>
        <v>135</v>
      </c>
      <c r="Y8" s="204" t="str">
        <f ca="1">IFERROR(__xludf.DUMMYFUNCTION("""COMPUTED_VALUE"""),"Spot·")</f>
        <v>Spot·</v>
      </c>
      <c r="Z8" s="116">
        <f ca="1">IFERROR(__xludf.DUMMYFUNCTION("""COMPUTED_VALUE"""),2487557)</f>
        <v>2487557</v>
      </c>
    </row>
    <row r="9" spans="1:26" ht="22.5" customHeight="1">
      <c r="A9" s="115">
        <v>5</v>
      </c>
      <c r="B9" s="115" t="str">
        <f>VLOOKUP(C9,Lists!I:J,2,FALSE)</f>
        <v>KS</v>
      </c>
      <c r="C9" s="115" t="str">
        <f>VLOOKUP(E9,Lists!D:E,2,FALSE)</f>
        <v>Greatsword/Dagger</v>
      </c>
      <c r="D9" s="115" t="s">
        <v>7</v>
      </c>
      <c r="E9" s="98" t="s">
        <v>98</v>
      </c>
      <c r="F9" s="115" t="s">
        <v>476</v>
      </c>
      <c r="G9" s="115">
        <v>48</v>
      </c>
      <c r="H9" s="115">
        <v>70</v>
      </c>
      <c r="I9" s="194">
        <f t="shared" si="0"/>
        <v>118</v>
      </c>
      <c r="J9" s="116">
        <v>2413251</v>
      </c>
      <c r="K9" s="116">
        <v>1352735</v>
      </c>
      <c r="L9" s="116">
        <v>46335</v>
      </c>
      <c r="M9" s="195">
        <f>I9/(HLOOKUP(F9,Team_Composition_17[[#All],[Yellow]:[Red]],10,FALSE)+HLOOKUP(F9,Team_Composition_17[[#All],[Yellow]:[Red]],11,FALSE))</f>
        <v>3.4163288940359006E-2</v>
      </c>
      <c r="N9" s="195">
        <f>J9/HLOOKUP(F9,Team_Composition_17[[#All],[Yellow]:[Red]],6,FALSE)</f>
        <v>5.3353404625641539E-2</v>
      </c>
      <c r="O9" s="195">
        <f>K9/HLOOKUP(F9,Team_Composition_17[[#All],[Yellow]:[Red]],8,FALSE)</f>
        <v>4.6486639809788753E-2</v>
      </c>
      <c r="P9" s="195">
        <f>L9/HLOOKUP(F9,Team_Composition_17[[#All],[Yellow]:[Red]],7,FALSE)</f>
        <v>2.2400455753914931E-3</v>
      </c>
      <c r="R9" s="201" t="s">
        <v>470</v>
      </c>
      <c r="S9" s="202">
        <f>SUMIFS(Scoreboard_17[Amount Healed],Scoreboard_17[Team],"Yellow")</f>
        <v>20684847</v>
      </c>
      <c r="T9" s="203">
        <f>SUMIFS(Scoreboard_17[Amount Healed],Scoreboard_17[Team],"Red")</f>
        <v>28559776</v>
      </c>
      <c r="V9" s="204" t="str">
        <f ca="1">IFERROR(__xludf.DUMMYFUNCTION("""COMPUTED_VALUE"""),"Superluigi")</f>
        <v>Superluigi</v>
      </c>
      <c r="W9" s="116">
        <f ca="1">IFERROR(__xludf.DUMMYFUNCTION("""COMPUTED_VALUE"""),130)</f>
        <v>130</v>
      </c>
      <c r="Y9" s="204" t="str">
        <f ca="1">IFERROR(__xludf.DUMMYFUNCTION("""COMPUTED_VALUE"""),"Arisce")</f>
        <v>Arisce</v>
      </c>
      <c r="Z9" s="116">
        <f ca="1">IFERROR(__xludf.DUMMYFUNCTION("""COMPUTED_VALUE"""),2434952)</f>
        <v>2434952</v>
      </c>
    </row>
    <row r="10" spans="1:26" ht="22.5" customHeight="1">
      <c r="A10" s="115">
        <v>55</v>
      </c>
      <c r="B10" s="115" t="str">
        <f>VLOOKUP(C10,Lists!I:J,2,FALSE)</f>
        <v>Healer</v>
      </c>
      <c r="C10" s="115" t="str">
        <f>VLOOKUP(E10,Lists!D:E,2,FALSE)</f>
        <v>Wand/Orb</v>
      </c>
      <c r="D10" s="115" t="s">
        <v>7</v>
      </c>
      <c r="E10" s="98" t="s">
        <v>8</v>
      </c>
      <c r="F10" s="115" t="s">
        <v>476</v>
      </c>
      <c r="G10" s="115">
        <v>0</v>
      </c>
      <c r="H10" s="115">
        <v>112</v>
      </c>
      <c r="I10" s="194">
        <f t="shared" si="0"/>
        <v>112</v>
      </c>
      <c r="J10" s="116">
        <v>35437</v>
      </c>
      <c r="K10" s="116">
        <v>324888</v>
      </c>
      <c r="L10" s="116">
        <v>945362</v>
      </c>
      <c r="M10" s="195">
        <f>I10/(HLOOKUP(F10,Team_Composition_17[[#All],[Yellow]:[Red]],10,FALSE)+HLOOKUP(F10,Team_Composition_17[[#All],[Yellow]:[Red]],11,FALSE))</f>
        <v>3.2426172553561089E-2</v>
      </c>
      <c r="N10" s="195">
        <f>J10/HLOOKUP(F10,Team_Composition_17[[#All],[Yellow]:[Red]],6,FALSE)</f>
        <v>7.8345957371150335E-4</v>
      </c>
      <c r="O10" s="195">
        <f>K10/HLOOKUP(F10,Team_Composition_17[[#All],[Yellow]:[Red]],8,FALSE)</f>
        <v>1.11647524714912E-2</v>
      </c>
      <c r="P10" s="195">
        <f>L10/HLOOKUP(F10,Team_Composition_17[[#All],[Yellow]:[Red]],7,FALSE)</f>
        <v>4.5703117842737728E-2</v>
      </c>
      <c r="R10" s="201" t="s">
        <v>469</v>
      </c>
      <c r="S10" s="202">
        <f>SUMIFS(Scoreboard_17[Damage Taken],Scoreboard_17[Team],"Yellow")</f>
        <v>29099436</v>
      </c>
      <c r="T10" s="203">
        <f>SUMIFS(Scoreboard_17[Damage Taken],Scoreboard_17[Team],"Red")</f>
        <v>43945588</v>
      </c>
      <c r="V10" s="204" t="str">
        <f ca="1">IFERROR(__xludf.DUMMYFUNCTION("""COMPUTED_VALUE"""),"Geebinho17")</f>
        <v>Geebinho17</v>
      </c>
      <c r="W10" s="116">
        <f ca="1">IFERROR(__xludf.DUMMYFUNCTION("""COMPUTED_VALUE"""),119)</f>
        <v>119</v>
      </c>
      <c r="Y10" s="204" t="str">
        <f ca="1">IFERROR(__xludf.DUMMYFUNCTION("""COMPUTED_VALUE"""),"ShawarmaShuffle")</f>
        <v>ShawarmaShuffle</v>
      </c>
      <c r="Z10" s="116">
        <f ca="1">IFERROR(__xludf.DUMMYFUNCTION("""COMPUTED_VALUE"""),2413251)</f>
        <v>2413251</v>
      </c>
    </row>
    <row r="11" spans="1:26" ht="22.5" customHeight="1">
      <c r="A11" s="115">
        <v>8</v>
      </c>
      <c r="B11" s="115" t="str">
        <f>VLOOKUP(C11,Lists!I:J,2,FALSE)</f>
        <v>KS</v>
      </c>
      <c r="C11" s="115" t="str">
        <f>VLOOKUP(E11,Lists!D:E,2,FALSE)</f>
        <v>Crossbow/Dagger</v>
      </c>
      <c r="D11" s="115" t="s">
        <v>7</v>
      </c>
      <c r="E11" s="98" t="s">
        <v>95</v>
      </c>
      <c r="F11" s="115" t="s">
        <v>476</v>
      </c>
      <c r="G11" s="115">
        <v>42</v>
      </c>
      <c r="H11" s="115">
        <v>67</v>
      </c>
      <c r="I11" s="194">
        <f t="shared" si="0"/>
        <v>109</v>
      </c>
      <c r="J11" s="116">
        <v>2113027</v>
      </c>
      <c r="K11" s="116">
        <v>761253</v>
      </c>
      <c r="L11" s="116">
        <v>9383</v>
      </c>
      <c r="M11" s="195">
        <f>I11/(HLOOKUP(F11,Team_Composition_17[[#All],[Yellow]:[Red]],10,FALSE)+HLOOKUP(F11,Team_Composition_17[[#All],[Yellow]:[Red]],11,FALSE))</f>
        <v>3.1557614360162134E-2</v>
      </c>
      <c r="N11" s="195">
        <f>J11/HLOOKUP(F11,Team_Composition_17[[#All],[Yellow]:[Red]],6,FALSE)</f>
        <v>4.6715896736769388E-2</v>
      </c>
      <c r="O11" s="195">
        <f>K11/HLOOKUP(F11,Team_Composition_17[[#All],[Yellow]:[Red]],8,FALSE)</f>
        <v>2.616040393360201E-2</v>
      </c>
      <c r="P11" s="195">
        <f>L11/HLOOKUP(F11,Team_Composition_17[[#All],[Yellow]:[Red]],7,FALSE)</f>
        <v>4.5361708500913739E-4</v>
      </c>
      <c r="R11" s="201" t="s">
        <v>495</v>
      </c>
      <c r="S11" s="202">
        <f ca="1">IFERROR(DIVIDE(SUMIFS(Scoreboard_17[Amount Healed],Scoreboard_17[Team],"Yellow"), SUMIFS(Scoreboard_17[Damage Taken],Scoreboard_17[Team],"Yellow"))*(100),0)</f>
        <v>0</v>
      </c>
      <c r="T11" s="203">
        <f ca="1">IFERROR(DIVIDE(SUMIFS(Scoreboard_17[Amount Healed],Scoreboard_17[Team],"Red"), SUMIFS(Scoreboard_17[Damage Taken],Scoreboard_17[Team],"Red"))*(100),0)</f>
        <v>0</v>
      </c>
      <c r="V11" s="204" t="str">
        <f ca="1">IFERROR(__xludf.DUMMYFUNCTION("""COMPUTED_VALUE"""),"ShawarmaShuffle")</f>
        <v>ShawarmaShuffle</v>
      </c>
      <c r="W11" s="116">
        <f ca="1">IFERROR(__xludf.DUMMYFUNCTION("""COMPUTED_VALUE"""),118)</f>
        <v>118</v>
      </c>
      <c r="Y11" s="204" t="str">
        <f ca="1">IFERROR(__xludf.DUMMYFUNCTION("""COMPUTED_VALUE"""),"Kyu")</f>
        <v>Kyu</v>
      </c>
      <c r="Z11" s="116">
        <f ca="1">IFERROR(__xludf.DUMMYFUNCTION("""COMPUTED_VALUE"""),2370947)</f>
        <v>2370947</v>
      </c>
    </row>
    <row r="12" spans="1:26" ht="22.5" customHeight="1">
      <c r="A12" s="115">
        <v>11</v>
      </c>
      <c r="B12" s="115" t="str">
        <f>VLOOKUP(C12,Lists!I:J,2,FALSE)</f>
        <v>Melee DPS</v>
      </c>
      <c r="C12" s="115" t="str">
        <f>VLOOKUP(E12,Lists!D:E,2,FALSE)</f>
        <v>Greatsword/Spear</v>
      </c>
      <c r="D12" s="115" t="s">
        <v>7</v>
      </c>
      <c r="E12" s="98" t="s">
        <v>47</v>
      </c>
      <c r="F12" s="115" t="s">
        <v>476</v>
      </c>
      <c r="G12" s="115">
        <v>38</v>
      </c>
      <c r="H12" s="115">
        <v>71</v>
      </c>
      <c r="I12" s="194">
        <f t="shared" si="0"/>
        <v>109</v>
      </c>
      <c r="J12" s="116">
        <v>2079816</v>
      </c>
      <c r="K12" s="116">
        <v>732234</v>
      </c>
      <c r="L12" s="116">
        <v>11477</v>
      </c>
      <c r="M12" s="195">
        <f>I12/(HLOOKUP(F12,Team_Composition_17[[#All],[Yellow]:[Red]],10,FALSE)+HLOOKUP(F12,Team_Composition_17[[#All],[Yellow]:[Red]],11,FALSE))</f>
        <v>3.1557614360162134E-2</v>
      </c>
      <c r="N12" s="195">
        <f>J12/HLOOKUP(F12,Team_Composition_17[[#All],[Yellow]:[Red]],6,FALSE)</f>
        <v>4.598165072546672E-2</v>
      </c>
      <c r="O12" s="195">
        <f>K12/HLOOKUP(F12,Team_Composition_17[[#All],[Yellow]:[Red]],8,FALSE)</f>
        <v>2.5163168110887098E-2</v>
      </c>
      <c r="P12" s="195">
        <f>L12/HLOOKUP(F12,Team_Composition_17[[#All],[Yellow]:[Red]],7,FALSE)</f>
        <v>5.5485061117445053E-4</v>
      </c>
      <c r="R12" s="201" t="s">
        <v>465</v>
      </c>
      <c r="S12" s="202">
        <f>SUMIFS(Scoreboard_17[Kills],Scoreboard_17[Team],"Yellow")</f>
        <v>667</v>
      </c>
      <c r="T12" s="203">
        <f>SUMIFS(Scoreboard_17[Kills],Scoreboard_17[Team],"Red")</f>
        <v>357</v>
      </c>
      <c r="V12" s="204" t="str">
        <f ca="1">IFERROR(__xludf.DUMMYFUNCTION("""COMPUTED_VALUE"""),"Regentlord")</f>
        <v>Regentlord</v>
      </c>
      <c r="W12" s="116">
        <f ca="1">IFERROR(__xludf.DUMMYFUNCTION("""COMPUTED_VALUE"""),109)</f>
        <v>109</v>
      </c>
      <c r="Y12" s="204" t="str">
        <f ca="1">IFERROR(__xludf.DUMMYFUNCTION("""COMPUTED_VALUE"""),"ALilSnakes")</f>
        <v>ALilSnakes</v>
      </c>
      <c r="Z12" s="116">
        <f ca="1">IFERROR(__xludf.DUMMYFUNCTION("""COMPUTED_VALUE"""),2346460)</f>
        <v>2346460</v>
      </c>
    </row>
    <row r="13" spans="1:26" ht="22.5" customHeight="1">
      <c r="A13" s="115">
        <v>6</v>
      </c>
      <c r="B13" s="115" t="str">
        <f>VLOOKUP(C13,Lists!I:J,2,FALSE)</f>
        <v>KS</v>
      </c>
      <c r="C13" s="115" t="str">
        <f>VLOOKUP(E13,Lists!D:E,2,FALSE)</f>
        <v>Greatsword/Dagger</v>
      </c>
      <c r="D13" s="115" t="s">
        <v>7</v>
      </c>
      <c r="E13" s="98" t="s">
        <v>90</v>
      </c>
      <c r="F13" s="115" t="s">
        <v>476</v>
      </c>
      <c r="G13" s="115">
        <v>46</v>
      </c>
      <c r="H13" s="115">
        <v>62</v>
      </c>
      <c r="I13" s="194">
        <f t="shared" si="0"/>
        <v>108</v>
      </c>
      <c r="J13" s="116">
        <v>2204525</v>
      </c>
      <c r="K13" s="116">
        <v>1436244</v>
      </c>
      <c r="L13" s="116">
        <v>103222</v>
      </c>
      <c r="M13" s="195">
        <f>I13/(HLOOKUP(F13,Team_Composition_17[[#All],[Yellow]:[Red]],10,FALSE)+HLOOKUP(F13,Team_Composition_17[[#All],[Yellow]:[Red]],11,FALSE))</f>
        <v>3.1268094962362478E-2</v>
      </c>
      <c r="N13" s="195">
        <f>J13/HLOOKUP(F13,Team_Composition_17[[#All],[Yellow]:[Red]],6,FALSE)</f>
        <v>4.8738781971847278E-2</v>
      </c>
      <c r="O13" s="195">
        <f>K13/HLOOKUP(F13,Team_Composition_17[[#All],[Yellow]:[Red]],8,FALSE)</f>
        <v>4.9356420516191449E-2</v>
      </c>
      <c r="P13" s="195">
        <f>L13/HLOOKUP(F13,Team_Composition_17[[#All],[Yellow]:[Red]],7,FALSE)</f>
        <v>4.9902230362158344E-3</v>
      </c>
      <c r="R13" s="201" t="s">
        <v>466</v>
      </c>
      <c r="S13" s="202">
        <f>SUMIFS(Scoreboard_17[Assists],Scoreboard_17[Team],"Yellow")</f>
        <v>2787</v>
      </c>
      <c r="T13" s="203">
        <f>SUMIFS(Scoreboard_17[Assists],Scoreboard_17[Team],"Red")</f>
        <v>1580</v>
      </c>
      <c r="V13" s="204" t="str">
        <f ca="1">IFERROR(__xludf.DUMMYFUNCTION("""COMPUTED_VALUE"""),"Fadeふち")</f>
        <v>Fadeふち</v>
      </c>
      <c r="W13" s="116">
        <f ca="1">IFERROR(__xludf.DUMMYFUNCTION("""COMPUTED_VALUE"""),109)</f>
        <v>109</v>
      </c>
      <c r="Y13" s="204" t="str">
        <f ca="1">IFERROR(__xludf.DUMMYFUNCTION("""COMPUTED_VALUE"""),"Superluigi")</f>
        <v>Superluigi</v>
      </c>
      <c r="Z13" s="116">
        <f ca="1">IFERROR(__xludf.DUMMYFUNCTION("""COMPUTED_VALUE"""),2315110)</f>
        <v>2315110</v>
      </c>
    </row>
    <row r="14" spans="1:26" ht="22.5" customHeight="1">
      <c r="A14" s="115">
        <v>9</v>
      </c>
      <c r="B14" s="115" t="str">
        <f>VLOOKUP(C14,Lists!I:J,2,FALSE)</f>
        <v>KS</v>
      </c>
      <c r="C14" s="115" t="str">
        <f>VLOOKUP(E14,Lists!D:E,2,FALSE)</f>
        <v>Greatsword/Dagger</v>
      </c>
      <c r="D14" s="115" t="s">
        <v>714</v>
      </c>
      <c r="E14" s="98" t="s">
        <v>334</v>
      </c>
      <c r="F14" s="115" t="s">
        <v>483</v>
      </c>
      <c r="G14" s="115">
        <v>42</v>
      </c>
      <c r="H14" s="115">
        <v>64</v>
      </c>
      <c r="I14" s="194">
        <f t="shared" si="0"/>
        <v>106</v>
      </c>
      <c r="J14" s="116">
        <v>2346460</v>
      </c>
      <c r="K14" s="116">
        <v>1755203</v>
      </c>
      <c r="L14" s="116">
        <v>165140</v>
      </c>
      <c r="M14" s="195">
        <f>I14/(HLOOKUP(F14,Team_Composition_17[[#All],[Yellow]:[Red]],10,FALSE)+HLOOKUP(F14,Team_Composition_17[[#All],[Yellow]:[Red]],11,FALSE))</f>
        <v>5.4723799690242644E-2</v>
      </c>
      <c r="N14" s="195">
        <f>J14/HLOOKUP(F14,Team_Composition_17[[#All],[Yellow]:[Red]],6,FALSE)</f>
        <v>7.8049893575584284E-2</v>
      </c>
      <c r="O14" s="195">
        <f>K14/HLOOKUP(F14,Team_Composition_17[[#All],[Yellow]:[Red]],8,FALSE)</f>
        <v>3.9940368985391661E-2</v>
      </c>
      <c r="P14" s="195">
        <f>L14/HLOOKUP(F14,Team_Composition_17[[#All],[Yellow]:[Red]],7,FALSE)</f>
        <v>5.7822582361990518E-3</v>
      </c>
    </row>
    <row r="15" spans="1:26" ht="22.5" customHeight="1">
      <c r="A15" s="115">
        <v>10</v>
      </c>
      <c r="B15" s="115" t="str">
        <f>VLOOKUP(C15,Lists!I:J,2,FALSE)</f>
        <v>KS</v>
      </c>
      <c r="C15" s="115" t="str">
        <f>VLOOKUP(E15,Lists!D:E,2,FALSE)</f>
        <v>Crossbow/Dagger</v>
      </c>
      <c r="D15" s="115" t="s">
        <v>7</v>
      </c>
      <c r="E15" s="98" t="s">
        <v>103</v>
      </c>
      <c r="F15" s="115" t="s">
        <v>476</v>
      </c>
      <c r="G15" s="115">
        <v>40</v>
      </c>
      <c r="H15" s="115">
        <v>63</v>
      </c>
      <c r="I15" s="194">
        <f t="shared" si="0"/>
        <v>103</v>
      </c>
      <c r="J15" s="116">
        <v>2487557</v>
      </c>
      <c r="K15" s="116">
        <v>691716</v>
      </c>
      <c r="L15" s="116">
        <v>11045</v>
      </c>
      <c r="M15" s="195">
        <f>I15/(HLOOKUP(F15,Team_Composition_17[[#All],[Yellow]:[Red]],10,FALSE)+HLOOKUP(F15,Team_Composition_17[[#All],[Yellow]:[Red]],11,FALSE))</f>
        <v>2.9820497973364217E-2</v>
      </c>
      <c r="N15" s="195">
        <f>J15/HLOOKUP(F15,Team_Composition_17[[#All],[Yellow]:[Red]],6,FALSE)</f>
        <v>5.4996200208907817E-2</v>
      </c>
      <c r="O15" s="195">
        <f>K15/HLOOKUP(F15,Team_Composition_17[[#All],[Yellow]:[Red]],8,FALSE)</f>
        <v>2.3770769990181254E-2</v>
      </c>
      <c r="P15" s="195">
        <f>L15/HLOOKUP(F15,Team_Composition_17[[#All],[Yellow]:[Red]],7,FALSE)</f>
        <v>5.3396575763891316E-4</v>
      </c>
      <c r="R15" s="232" t="s">
        <v>25</v>
      </c>
      <c r="S15" s="228"/>
      <c r="T15" s="228"/>
      <c r="V15" s="233" t="s">
        <v>496</v>
      </c>
      <c r="W15" s="228"/>
      <c r="Y15" s="233" t="s">
        <v>497</v>
      </c>
      <c r="Z15" s="228"/>
    </row>
    <row r="16" spans="1:26" ht="22.5" customHeight="1">
      <c r="A16" s="115">
        <v>44</v>
      </c>
      <c r="B16" s="115" t="str">
        <f>VLOOKUP(C16,Lists!I:J,2,FALSE)</f>
        <v>Healer</v>
      </c>
      <c r="C16" s="115" t="str">
        <f>VLOOKUP(E16,Lists!D:E,2,FALSE)</f>
        <v>Wand/Orb</v>
      </c>
      <c r="D16" s="115" t="s">
        <v>7</v>
      </c>
      <c r="E16" s="98" t="s">
        <v>87</v>
      </c>
      <c r="F16" s="115" t="s">
        <v>476</v>
      </c>
      <c r="G16" s="115">
        <v>1</v>
      </c>
      <c r="H16" s="115">
        <v>101</v>
      </c>
      <c r="I16" s="194">
        <f t="shared" si="0"/>
        <v>102</v>
      </c>
      <c r="J16" s="116">
        <v>90519</v>
      </c>
      <c r="K16" s="116">
        <v>376511</v>
      </c>
      <c r="L16" s="116">
        <v>1032647</v>
      </c>
      <c r="M16" s="195">
        <f>I16/(HLOOKUP(F16,Team_Composition_17[[#All],[Yellow]:[Red]],10,FALSE)+HLOOKUP(F16,Team_Composition_17[[#All],[Yellow]:[Red]],11,FALSE))</f>
        <v>2.9530978575564564E-2</v>
      </c>
      <c r="N16" s="195">
        <f>J16/HLOOKUP(F16,Team_Composition_17[[#All],[Yellow]:[Red]],6,FALSE)</f>
        <v>2.0012409953661871E-3</v>
      </c>
      <c r="O16" s="195">
        <f>K16/HLOOKUP(F16,Team_Composition_17[[#All],[Yellow]:[Red]],8,FALSE)</f>
        <v>1.2938773108867128E-2</v>
      </c>
      <c r="P16" s="195">
        <f>L16/HLOOKUP(F16,Team_Composition_17[[#All],[Yellow]:[Red]],7,FALSE)</f>
        <v>4.9922873492852037E-2</v>
      </c>
      <c r="R16" s="197" t="s">
        <v>482</v>
      </c>
      <c r="S16" s="198" t="s">
        <v>476</v>
      </c>
      <c r="T16" s="198" t="s">
        <v>483</v>
      </c>
      <c r="V16" s="199" t="s">
        <v>1</v>
      </c>
      <c r="W16" s="200" t="s">
        <v>498</v>
      </c>
      <c r="Y16" s="199" t="s">
        <v>1</v>
      </c>
      <c r="Z16" s="200" t="s">
        <v>499</v>
      </c>
    </row>
    <row r="17" spans="1:26" ht="22.5" customHeight="1">
      <c r="A17" s="115">
        <v>56</v>
      </c>
      <c r="B17" s="115" t="str">
        <f>VLOOKUP(C17,Lists!I:J,2,FALSE)</f>
        <v>Healer</v>
      </c>
      <c r="C17" s="115" t="str">
        <f>VLOOKUP(E17,Lists!D:E,2,FALSE)</f>
        <v>Wand/Longbow</v>
      </c>
      <c r="D17" s="115" t="s">
        <v>7</v>
      </c>
      <c r="E17" s="98" t="s">
        <v>49</v>
      </c>
      <c r="F17" s="115" t="s">
        <v>476</v>
      </c>
      <c r="G17" s="115">
        <v>0</v>
      </c>
      <c r="H17" s="115">
        <v>102</v>
      </c>
      <c r="I17" s="194">
        <f t="shared" si="0"/>
        <v>102</v>
      </c>
      <c r="J17" s="116">
        <v>33691</v>
      </c>
      <c r="K17" s="116">
        <v>402188</v>
      </c>
      <c r="L17" s="116">
        <v>1265394</v>
      </c>
      <c r="M17" s="195">
        <f>I17/(HLOOKUP(F17,Team_Composition_17[[#All],[Yellow]:[Red]],10,FALSE)+HLOOKUP(F17,Team_Composition_17[[#All],[Yellow]:[Red]],11,FALSE))</f>
        <v>2.9530978575564564E-2</v>
      </c>
      <c r="N17" s="195">
        <f>J17/HLOOKUP(F17,Team_Composition_17[[#All],[Yellow]:[Red]],6,FALSE)</f>
        <v>7.4485810023179892E-4</v>
      </c>
      <c r="O17" s="195">
        <f>K17/HLOOKUP(F17,Team_Composition_17[[#All],[Yellow]:[Red]],8,FALSE)</f>
        <v>1.3821161344845309E-2</v>
      </c>
      <c r="P17" s="195">
        <f>L17/HLOOKUP(F17,Team_Composition_17[[#All],[Yellow]:[Red]],7,FALSE)</f>
        <v>6.1174926747101392E-2</v>
      </c>
      <c r="R17" s="201" t="s">
        <v>468</v>
      </c>
      <c r="S17" s="202">
        <f>SUMIFS(Scoreboard_17[Damage Dealt],Scoreboard_17[Role],"Melee DPS",Scoreboard_17[Team],"Yellow")</f>
        <v>8876214</v>
      </c>
      <c r="T17" s="203">
        <f>SUMIFS(Scoreboard_17[Damage Dealt],Scoreboard_17[Role],"Melee DPS",Scoreboard_17[Team],"Red")</f>
        <v>1600397</v>
      </c>
      <c r="V17" s="204" t="str">
        <f ca="1">IFERROR(__xludf.DUMMYFUNCTION("query(A1:P239, ""Select E,K Order by K Desc Limit 10"", 0)"),"ALilSnakes")</f>
        <v>ALilSnakes</v>
      </c>
      <c r="W17" s="116">
        <f ca="1">IFERROR(__xludf.DUMMYFUNCTION("""COMPUTED_VALUE"""),1755203)</f>
        <v>1755203</v>
      </c>
      <c r="Y17" s="204" t="str">
        <f ca="1">IFERROR(__xludf.DUMMYFUNCTION("query(A1:P239, ""Select E,L Order by L Desc Limit 10"", 0)"),"mgmt")</f>
        <v>mgmt</v>
      </c>
      <c r="Z17" s="116">
        <f ca="1">IFERROR(__xludf.DUMMYFUNCTION("""COMPUTED_VALUE"""),2643945)</f>
        <v>2643945</v>
      </c>
    </row>
    <row r="18" spans="1:26" ht="22.5" customHeight="1">
      <c r="A18" s="115">
        <v>7</v>
      </c>
      <c r="B18" s="115" t="e">
        <f>VLOOKUP(C18,Lists!I:J,2,FALSE)</f>
        <v>#N/A</v>
      </c>
      <c r="C18" s="115" t="e">
        <f>VLOOKUP(E18,Lists!D:E,2,FALSE)</f>
        <v>#N/A</v>
      </c>
      <c r="D18" s="115" t="s">
        <v>714</v>
      </c>
      <c r="E18" s="98" t="s">
        <v>716</v>
      </c>
      <c r="F18" s="115" t="s">
        <v>483</v>
      </c>
      <c r="G18" s="115">
        <v>46</v>
      </c>
      <c r="H18" s="115">
        <v>55</v>
      </c>
      <c r="I18" s="194">
        <f t="shared" si="0"/>
        <v>101</v>
      </c>
      <c r="J18" s="116">
        <v>2282458</v>
      </c>
      <c r="K18" s="116">
        <v>982597</v>
      </c>
      <c r="L18" s="116">
        <v>0</v>
      </c>
      <c r="M18" s="195">
        <f>I18/(HLOOKUP(F18,Team_Composition_17[[#All],[Yellow]:[Red]],10,FALSE)+HLOOKUP(F18,Team_Composition_17[[#All],[Yellow]:[Red]],11,FALSE))</f>
        <v>5.2142488384099121E-2</v>
      </c>
      <c r="N18" s="195">
        <f>J18/HLOOKUP(F18,Team_Composition_17[[#All],[Yellow]:[Red]],6,FALSE)</f>
        <v>7.5921006107387709E-2</v>
      </c>
      <c r="O18" s="195">
        <f>K18/HLOOKUP(F18,Team_Composition_17[[#All],[Yellow]:[Red]],8,FALSE)</f>
        <v>2.2359400447662686E-2</v>
      </c>
      <c r="P18" s="195">
        <f>L18/HLOOKUP(F18,Team_Composition_17[[#All],[Yellow]:[Red]],7,FALSE)</f>
        <v>0</v>
      </c>
      <c r="R18" s="201" t="s">
        <v>469</v>
      </c>
      <c r="S18" s="202">
        <f>SUMIFS(Scoreboard_17[Damage Taken],Scoreboard_17[Role],"Melee DPS",Scoreboard_17[Team],"Yellow")</f>
        <v>2767479</v>
      </c>
      <c r="T18" s="203">
        <f>SUMIFS(Scoreboard_17[Damage Taken],Scoreboard_17[Role],"Melee DPS",Scoreboard_17[Team],"Red")</f>
        <v>1129773</v>
      </c>
      <c r="V18" s="204" t="str">
        <f ca="1">IFERROR(__xludf.DUMMYFUNCTION("""COMPUTED_VALUE"""),"uhh°")</f>
        <v>uhh°</v>
      </c>
      <c r="W18" s="116">
        <f ca="1">IFERROR(__xludf.DUMMYFUNCTION("""COMPUTED_VALUE"""),1740134)</f>
        <v>1740134</v>
      </c>
      <c r="Y18" s="204" t="str">
        <f ca="1">IFERROR(__xludf.DUMMYFUNCTION("""COMPUTED_VALUE"""),"ShiPhu")</f>
        <v>ShiPhu</v>
      </c>
      <c r="Z18" s="116">
        <f ca="1">IFERROR(__xludf.DUMMYFUNCTION("""COMPUTED_VALUE"""),2255455)</f>
        <v>2255455</v>
      </c>
    </row>
    <row r="19" spans="1:26" ht="22.5" customHeight="1">
      <c r="A19" s="115">
        <v>12</v>
      </c>
      <c r="B19" s="115" t="str">
        <f>VLOOKUP(C19,Lists!I:J,2,FALSE)</f>
        <v>KS</v>
      </c>
      <c r="C19" s="115" t="str">
        <f>VLOOKUP(E19,Lists!D:E,2,FALSE)</f>
        <v>Greatsword/Dagger</v>
      </c>
      <c r="D19" s="115" t="s">
        <v>7</v>
      </c>
      <c r="E19" s="98" t="s">
        <v>68</v>
      </c>
      <c r="F19" s="115" t="s">
        <v>476</v>
      </c>
      <c r="G19" s="115">
        <v>36</v>
      </c>
      <c r="H19" s="115">
        <v>64</v>
      </c>
      <c r="I19" s="194">
        <f t="shared" si="0"/>
        <v>100</v>
      </c>
      <c r="J19" s="116">
        <v>1600112</v>
      </c>
      <c r="K19" s="116">
        <v>1270671</v>
      </c>
      <c r="L19" s="116">
        <v>89332</v>
      </c>
      <c r="M19" s="195">
        <f>I19/(HLOOKUP(F19,Team_Composition_17[[#All],[Yellow]:[Red]],10,FALSE)+HLOOKUP(F19,Team_Composition_17[[#All],[Yellow]:[Red]],11,FALSE))</f>
        <v>2.8951939779965258E-2</v>
      </c>
      <c r="N19" s="195">
        <f>J19/HLOOKUP(F19,Team_Composition_17[[#All],[Yellow]:[Red]],6,FALSE)</f>
        <v>3.5376105917844659E-2</v>
      </c>
      <c r="O19" s="195">
        <f>K19/HLOOKUP(F19,Team_Composition_17[[#All],[Yellow]:[Red]],8,FALSE)</f>
        <v>4.3666516423204904E-2</v>
      </c>
      <c r="P19" s="195">
        <f>L19/HLOOKUP(F19,Team_Composition_17[[#All],[Yellow]:[Red]],7,FALSE)</f>
        <v>4.3187169815662643E-3</v>
      </c>
      <c r="R19" s="201" t="s">
        <v>470</v>
      </c>
      <c r="S19" s="202">
        <f>SUMIFS(Scoreboard_17[Amount Healed],Scoreboard_17[Role],"Melee DPS",Scoreboard_17[Team],"Yellow")</f>
        <v>138795</v>
      </c>
      <c r="T19" s="203">
        <f>SUMIFS(Scoreboard_17[Amount Healed],Scoreboard_17[Role],"Melee DPS",Scoreboard_17[Team],"Red")</f>
        <v>0</v>
      </c>
      <c r="V19" s="204" t="str">
        <f ca="1">IFERROR(__xludf.DUMMYFUNCTION("""COMPUTED_VALUE"""),"Prefire")</f>
        <v>Prefire</v>
      </c>
      <c r="W19" s="116">
        <f ca="1">IFERROR(__xludf.DUMMYFUNCTION("""COMPUTED_VALUE"""),1436244)</f>
        <v>1436244</v>
      </c>
      <c r="Y19" s="204" t="str">
        <f ca="1">IFERROR(__xludf.DUMMYFUNCTION("""COMPUTED_VALUE"""),"Cozies")</f>
        <v>Cozies</v>
      </c>
      <c r="Z19" s="116">
        <f ca="1">IFERROR(__xludf.DUMMYFUNCTION("""COMPUTED_VALUE"""),2211591)</f>
        <v>2211591</v>
      </c>
    </row>
    <row r="20" spans="1:26" ht="22.5" customHeight="1">
      <c r="A20" s="115">
        <v>57</v>
      </c>
      <c r="B20" s="115" t="str">
        <f>VLOOKUP(C20,Lists!I:J,2,FALSE)</f>
        <v>Healer</v>
      </c>
      <c r="C20" s="115" t="str">
        <f>VLOOKUP(E20,Lists!D:E,2,FALSE)</f>
        <v>Wand/Longbow</v>
      </c>
      <c r="D20" s="115" t="s">
        <v>7</v>
      </c>
      <c r="E20" s="98" t="s">
        <v>101</v>
      </c>
      <c r="F20" s="115" t="s">
        <v>476</v>
      </c>
      <c r="G20" s="115">
        <v>0</v>
      </c>
      <c r="H20" s="115">
        <v>100</v>
      </c>
      <c r="I20" s="194">
        <f t="shared" si="0"/>
        <v>100</v>
      </c>
      <c r="J20" s="116">
        <v>48247</v>
      </c>
      <c r="K20" s="116">
        <v>348061</v>
      </c>
      <c r="L20" s="116">
        <v>2066504</v>
      </c>
      <c r="M20" s="195">
        <f>I20/(HLOOKUP(F20,Team_Composition_17[[#All],[Yellow]:[Red]],10,FALSE)+HLOOKUP(F20,Team_Composition_17[[#All],[Yellow]:[Red]],11,FALSE))</f>
        <v>2.8951939779965258E-2</v>
      </c>
      <c r="N20" s="195">
        <f>J20/HLOOKUP(F20,Team_Composition_17[[#All],[Yellow]:[Red]],6,FALSE)</f>
        <v>1.0666696970076165E-3</v>
      </c>
      <c r="O20" s="195">
        <f>K20/HLOOKUP(F20,Team_Composition_17[[#All],[Yellow]:[Red]],8,FALSE)</f>
        <v>1.1961090929734857E-2</v>
      </c>
      <c r="P20" s="195">
        <f>L20/HLOOKUP(F20,Team_Composition_17[[#All],[Yellow]:[Red]],7,FALSE)</f>
        <v>9.9904243913430932E-2</v>
      </c>
      <c r="R20" s="201" t="s">
        <v>465</v>
      </c>
      <c r="S20" s="202">
        <f>SUMIFS(Scoreboard_17[Kills],Scoreboard_17[Role],"Melee DPS",Scoreboard_17[Team],"Yellow")</f>
        <v>118</v>
      </c>
      <c r="T20" s="203">
        <f>SUMIFS(Scoreboard_17[Kills],Scoreboard_17[Role],"Melee DPS",Scoreboard_17[Team],"Red")</f>
        <v>19</v>
      </c>
      <c r="V20" s="204" t="str">
        <f ca="1">IFERROR(__xludf.DUMMYFUNCTION("""COMPUTED_VALUE"""),"Gunnex")</f>
        <v>Gunnex</v>
      </c>
      <c r="W20" s="116">
        <f ca="1">IFERROR(__xludf.DUMMYFUNCTION("""COMPUTED_VALUE"""),1427411)</f>
        <v>1427411</v>
      </c>
      <c r="Y20" s="204" t="str">
        <f ca="1">IFERROR(__xludf.DUMMYFUNCTION("""COMPUTED_VALUE"""),"Whiterangea")</f>
        <v>Whiterangea</v>
      </c>
      <c r="Z20" s="116">
        <f ca="1">IFERROR(__xludf.DUMMYFUNCTION("""COMPUTED_VALUE"""),2206830)</f>
        <v>2206830</v>
      </c>
    </row>
    <row r="21" spans="1:26" ht="22.5" customHeight="1">
      <c r="A21" s="115">
        <v>19</v>
      </c>
      <c r="B21" s="115" t="e">
        <f>VLOOKUP(C21,Lists!I:J,2,FALSE)</f>
        <v>#N/A</v>
      </c>
      <c r="C21" s="115" t="e">
        <f>VLOOKUP(E21,Lists!D:E,2,FALSE)</f>
        <v>#N/A</v>
      </c>
      <c r="D21" s="115" t="s">
        <v>7</v>
      </c>
      <c r="E21" s="98" t="s">
        <v>661</v>
      </c>
      <c r="F21" s="115" t="s">
        <v>476</v>
      </c>
      <c r="G21" s="115">
        <v>24</v>
      </c>
      <c r="H21" s="115">
        <v>71</v>
      </c>
      <c r="I21" s="194">
        <f t="shared" si="0"/>
        <v>95</v>
      </c>
      <c r="J21" s="116">
        <v>1752209</v>
      </c>
      <c r="K21" s="116">
        <v>786378</v>
      </c>
      <c r="L21" s="116">
        <v>9149</v>
      </c>
      <c r="M21" s="195">
        <f>I21/(HLOOKUP(F21,Team_Composition_17[[#All],[Yellow]:[Red]],10,FALSE)+HLOOKUP(F21,Team_Composition_17[[#All],[Yellow]:[Red]],11,FALSE))</f>
        <v>2.7504342790966994E-2</v>
      </c>
      <c r="N21" s="195">
        <f>J21/HLOOKUP(F21,Team_Composition_17[[#All],[Yellow]:[Red]],6,FALSE)</f>
        <v>3.8738745271706398E-2</v>
      </c>
      <c r="O21" s="195">
        <f>K21/HLOOKUP(F21,Team_Composition_17[[#All],[Yellow]:[Red]],8,FALSE)</f>
        <v>2.7023822729760123E-2</v>
      </c>
      <c r="P21" s="195">
        <f>L21/HLOOKUP(F21,Team_Composition_17[[#All],[Yellow]:[Red]],7,FALSE)</f>
        <v>4.4230445601072129E-4</v>
      </c>
      <c r="R21" s="201" t="s">
        <v>466</v>
      </c>
      <c r="S21" s="202">
        <f>SUMIFS(Scoreboard_17[Assists],Scoreboard_17[Role],"Melee DPS",Scoreboard_17[Team],"Yellow")</f>
        <v>394</v>
      </c>
      <c r="T21" s="203">
        <f>SUMIFS(Scoreboard_17[Assists],Scoreboard_17[Role],"Melee DPS",Scoreboard_17[Team],"Red")</f>
        <v>43</v>
      </c>
      <c r="V21" s="204" t="str">
        <f ca="1">IFERROR(__xludf.DUMMYFUNCTION("""COMPUTED_VALUE"""),"Whiterangea")</f>
        <v>Whiterangea</v>
      </c>
      <c r="W21" s="116">
        <f ca="1">IFERROR(__xludf.DUMMYFUNCTION("""COMPUTED_VALUE"""),1418497)</f>
        <v>1418497</v>
      </c>
      <c r="Y21" s="204" t="str">
        <f ca="1">IFERROR(__xludf.DUMMYFUNCTION("""COMPUTED_VALUE"""),"soju·")</f>
        <v>soju·</v>
      </c>
      <c r="Z21" s="116">
        <f ca="1">IFERROR(__xludf.DUMMYFUNCTION("""COMPUTED_VALUE"""),2066504)</f>
        <v>2066504</v>
      </c>
    </row>
    <row r="22" spans="1:26" ht="22.5" customHeight="1">
      <c r="A22" s="115">
        <v>58</v>
      </c>
      <c r="B22" s="115" t="e">
        <f>VLOOKUP(C22,Lists!I:J,2,FALSE)</f>
        <v>#N/A</v>
      </c>
      <c r="C22" s="115" t="e">
        <f>VLOOKUP(E22,Lists!D:E,2,FALSE)</f>
        <v>#N/A</v>
      </c>
      <c r="D22" s="115" t="s">
        <v>714</v>
      </c>
      <c r="E22" s="98" t="s">
        <v>715</v>
      </c>
      <c r="F22" s="115" t="s">
        <v>483</v>
      </c>
      <c r="G22" s="115">
        <v>0</v>
      </c>
      <c r="H22" s="115">
        <v>91</v>
      </c>
      <c r="I22" s="194">
        <f t="shared" si="0"/>
        <v>91</v>
      </c>
      <c r="J22" s="116">
        <v>28284</v>
      </c>
      <c r="K22" s="116">
        <v>774527</v>
      </c>
      <c r="L22" s="116">
        <v>2211591</v>
      </c>
      <c r="M22" s="195">
        <f>I22/(HLOOKUP(F22,Team_Composition_17[[#All],[Yellow]:[Red]],10,FALSE)+HLOOKUP(F22,Team_Composition_17[[#All],[Yellow]:[Red]],11,FALSE))</f>
        <v>4.6979865771812082E-2</v>
      </c>
      <c r="N22" s="195">
        <f>J22/HLOOKUP(F22,Team_Composition_17[[#All],[Yellow]:[Red]],6,FALSE)</f>
        <v>9.4080580529471033E-4</v>
      </c>
      <c r="O22" s="195">
        <f>K22/HLOOKUP(F22,Team_Composition_17[[#All],[Yellow]:[Red]],8,FALSE)</f>
        <v>1.7624681685906671E-2</v>
      </c>
      <c r="P22" s="195">
        <f>L22/HLOOKUP(F22,Team_Composition_17[[#All],[Yellow]:[Red]],7,FALSE)</f>
        <v>7.7437267014979383E-2</v>
      </c>
      <c r="R22" s="201" t="s">
        <v>24</v>
      </c>
      <c r="S22" s="202">
        <f t="shared" ref="S22:S25" si="1">COUNTIFS(C:C,R22,F:F,"Yellow")</f>
        <v>1</v>
      </c>
      <c r="T22" s="203">
        <f t="shared" ref="T22:T25" si="2">COUNTIFS(C:C,R22,F:F,"Red")</f>
        <v>1</v>
      </c>
      <c r="V22" s="204" t="str">
        <f ca="1">IFERROR(__xludf.DUMMYFUNCTION("""COMPUTED_VALUE"""),"ShawarmaShuffle")</f>
        <v>ShawarmaShuffle</v>
      </c>
      <c r="W22" s="116">
        <f ca="1">IFERROR(__xludf.DUMMYFUNCTION("""COMPUTED_VALUE"""),1352735)</f>
        <v>1352735</v>
      </c>
      <c r="Y22" s="204" t="str">
        <f ca="1">IFERROR(__xludf.DUMMYFUNCTION("""COMPUTED_VALUE"""),"Groaxy")</f>
        <v>Groaxy</v>
      </c>
      <c r="Z22" s="116">
        <f ca="1">IFERROR(__xludf.DUMMYFUNCTION("""COMPUTED_VALUE"""),2043527)</f>
        <v>2043527</v>
      </c>
    </row>
    <row r="23" spans="1:26" ht="22.5" customHeight="1">
      <c r="A23" s="115">
        <v>17</v>
      </c>
      <c r="B23" s="115" t="str">
        <f>VLOOKUP(C23,Lists!I:J,2,FALSE)</f>
        <v>Ranged DPS</v>
      </c>
      <c r="C23" s="115" t="str">
        <f>VLOOKUP(E23,Lists!D:E,2,FALSE)</f>
        <v>Crossbow/SnS</v>
      </c>
      <c r="D23" s="115" t="s">
        <v>7</v>
      </c>
      <c r="E23" s="98" t="s">
        <v>88</v>
      </c>
      <c r="F23" s="115" t="s">
        <v>476</v>
      </c>
      <c r="G23" s="115">
        <v>26</v>
      </c>
      <c r="H23" s="115">
        <v>64</v>
      </c>
      <c r="I23" s="194">
        <f t="shared" si="0"/>
        <v>90</v>
      </c>
      <c r="J23" s="116">
        <v>1921069</v>
      </c>
      <c r="K23" s="116">
        <v>669055</v>
      </c>
      <c r="L23" s="116">
        <v>21436</v>
      </c>
      <c r="M23" s="195">
        <f>I23/(HLOOKUP(F23,Team_Composition_17[[#All],[Yellow]:[Red]],10,FALSE)+HLOOKUP(F23,Team_Composition_17[[#All],[Yellow]:[Red]],11,FALSE))</f>
        <v>2.605674580196873E-2</v>
      </c>
      <c r="N23" s="195">
        <f>J23/HLOOKUP(F23,Team_Composition_17[[#All],[Yellow]:[Red]],6,FALSE)</f>
        <v>4.2471989722899346E-2</v>
      </c>
      <c r="O23" s="195">
        <f>K23/HLOOKUP(F23,Team_Composition_17[[#All],[Yellow]:[Red]],8,FALSE)</f>
        <v>2.2992026374669256E-2</v>
      </c>
      <c r="P23" s="195">
        <f>L23/HLOOKUP(F23,Team_Composition_17[[#All],[Yellow]:[Red]],7,FALSE)</f>
        <v>1.0363141675643044E-3</v>
      </c>
      <c r="R23" s="201" t="s">
        <v>69</v>
      </c>
      <c r="S23" s="202">
        <f t="shared" si="1"/>
        <v>3</v>
      </c>
      <c r="T23" s="203">
        <f t="shared" si="2"/>
        <v>2</v>
      </c>
      <c r="V23" s="204" t="str">
        <f ca="1">IFERROR(__xludf.DUMMYFUNCTION("""COMPUTED_VALUE"""),"Whalenツ")</f>
        <v>Whalenツ</v>
      </c>
      <c r="W23" s="116">
        <f ca="1">IFERROR(__xludf.DUMMYFUNCTION("""COMPUTED_VALUE"""),1307193)</f>
        <v>1307193</v>
      </c>
      <c r="Y23" s="204" t="str">
        <f ca="1">IFERROR(__xludf.DUMMYFUNCTION("""COMPUTED_VALUE"""),"ALilOuk")</f>
        <v>ALilOuk</v>
      </c>
      <c r="Z23" s="116">
        <f ca="1">IFERROR(__xludf.DUMMYFUNCTION("""COMPUTED_VALUE"""),1844124)</f>
        <v>1844124</v>
      </c>
    </row>
    <row r="24" spans="1:26" ht="22.5" customHeight="1">
      <c r="A24" s="115">
        <v>59</v>
      </c>
      <c r="B24" s="115" t="e">
        <f>VLOOKUP(C24,Lists!I:J,2,FALSE)</f>
        <v>#N/A</v>
      </c>
      <c r="C24" s="115" t="e">
        <f>VLOOKUP(E24,Lists!D:E,2,FALSE)</f>
        <v>#N/A</v>
      </c>
      <c r="D24" s="115" t="s">
        <v>714</v>
      </c>
      <c r="E24" s="98" t="s">
        <v>717</v>
      </c>
      <c r="F24" s="115" t="s">
        <v>483</v>
      </c>
      <c r="G24" s="115">
        <v>0</v>
      </c>
      <c r="H24" s="115">
        <v>84</v>
      </c>
      <c r="I24" s="194">
        <f t="shared" si="0"/>
        <v>84</v>
      </c>
      <c r="J24" s="116">
        <v>33312</v>
      </c>
      <c r="K24" s="116">
        <v>728147</v>
      </c>
      <c r="L24" s="116">
        <v>1282299</v>
      </c>
      <c r="M24" s="195">
        <f>I24/(HLOOKUP(F24,Team_Composition_17[[#All],[Yellow]:[Red]],10,FALSE)+HLOOKUP(F24,Team_Composition_17[[#All],[Yellow]:[Red]],11,FALSE))</f>
        <v>4.3366029943211148E-2</v>
      </c>
      <c r="N24" s="195">
        <f>J24/HLOOKUP(F24,Team_Composition_17[[#All],[Yellow]:[Red]],6,FALSE)</f>
        <v>1.1080513005931761E-3</v>
      </c>
      <c r="O24" s="195">
        <f>K24/HLOOKUP(F24,Team_Composition_17[[#All],[Yellow]:[Red]],8,FALSE)</f>
        <v>1.6569285635682017E-2</v>
      </c>
      <c r="P24" s="195">
        <f>L24/HLOOKUP(F24,Team_Composition_17[[#All],[Yellow]:[Red]],7,FALSE)</f>
        <v>4.4898776517014696E-2</v>
      </c>
      <c r="R24" s="201" t="s">
        <v>23</v>
      </c>
      <c r="S24" s="202">
        <f t="shared" si="1"/>
        <v>3</v>
      </c>
      <c r="T24" s="203">
        <f t="shared" si="2"/>
        <v>0</v>
      </c>
      <c r="V24" s="204" t="str">
        <f ca="1">IFERROR(__xludf.DUMMYFUNCTION("""COMPUTED_VALUE"""),"R3ckl3ss")</f>
        <v>R3ckl3ss</v>
      </c>
      <c r="W24" s="116">
        <f ca="1">IFERROR(__xludf.DUMMYFUNCTION("""COMPUTED_VALUE"""),1291852)</f>
        <v>1291852</v>
      </c>
      <c r="Y24" s="204" t="str">
        <f ca="1">IFERROR(__xludf.DUMMYFUNCTION("""COMPUTED_VALUE"""),"Azaliaz")</f>
        <v>Azaliaz</v>
      </c>
      <c r="Z24" s="116">
        <f ca="1">IFERROR(__xludf.DUMMYFUNCTION("""COMPUTED_VALUE"""),1733075)</f>
        <v>1733075</v>
      </c>
    </row>
    <row r="25" spans="1:26" ht="22.5" customHeight="1">
      <c r="A25" s="115">
        <v>60</v>
      </c>
      <c r="B25" s="115" t="e">
        <f>VLOOKUP(C25,Lists!I:J,2,FALSE)</f>
        <v>#N/A</v>
      </c>
      <c r="C25" s="115" t="e">
        <f>VLOOKUP(E25,Lists!D:E,2,FALSE)</f>
        <v>#N/A</v>
      </c>
      <c r="D25" s="115" t="s">
        <v>7</v>
      </c>
      <c r="E25" s="98" t="s">
        <v>695</v>
      </c>
      <c r="F25" s="115" t="s">
        <v>476</v>
      </c>
      <c r="G25" s="115">
        <v>0</v>
      </c>
      <c r="H25" s="115">
        <v>81</v>
      </c>
      <c r="I25" s="194">
        <f t="shared" si="0"/>
        <v>81</v>
      </c>
      <c r="J25" s="116">
        <v>39763</v>
      </c>
      <c r="K25" s="116">
        <v>173645</v>
      </c>
      <c r="L25" s="116">
        <v>909150</v>
      </c>
      <c r="M25" s="195">
        <f>I25/(HLOOKUP(F25,Team_Composition_17[[#All],[Yellow]:[Red]],10,FALSE)+HLOOKUP(F25,Team_Composition_17[[#All],[Yellow]:[Red]],11,FALSE))</f>
        <v>2.3451071221771858E-2</v>
      </c>
      <c r="N25" s="195">
        <f>J25/HLOOKUP(F25,Team_Composition_17[[#All],[Yellow]:[Red]],6,FALSE)</f>
        <v>8.7910102518527268E-4</v>
      </c>
      <c r="O25" s="195">
        <f>K25/HLOOKUP(F25,Team_Composition_17[[#All],[Yellow]:[Red]],8,FALSE)</f>
        <v>5.9672977854278685E-3</v>
      </c>
      <c r="P25" s="195">
        <f>L25/HLOOKUP(F25,Team_Composition_17[[#All],[Yellow]:[Red]],7,FALSE)</f>
        <v>4.3952464332948658E-2</v>
      </c>
      <c r="R25" s="201" t="s">
        <v>33</v>
      </c>
      <c r="S25" s="202">
        <f t="shared" si="1"/>
        <v>0</v>
      </c>
      <c r="T25" s="203">
        <f t="shared" si="2"/>
        <v>0</v>
      </c>
      <c r="V25" s="204" t="str">
        <f ca="1">IFERROR(__xludf.DUMMYFUNCTION("""COMPUTED_VALUE"""),"NeoBahamut")</f>
        <v>NeoBahamut</v>
      </c>
      <c r="W25" s="116">
        <f ca="1">IFERROR(__xludf.DUMMYFUNCTION("""COMPUTED_VALUE"""),1287192)</f>
        <v>1287192</v>
      </c>
      <c r="Y25" s="204" t="str">
        <f ca="1">IFERROR(__xludf.DUMMYFUNCTION("""COMPUTED_VALUE"""),"Zanax")</f>
        <v>Zanax</v>
      </c>
      <c r="Z25" s="116">
        <f ca="1">IFERROR(__xludf.DUMMYFUNCTION("""COMPUTED_VALUE"""),1566517)</f>
        <v>1566517</v>
      </c>
    </row>
    <row r="26" spans="1:26" ht="22.5" customHeight="1">
      <c r="A26" s="115">
        <v>61</v>
      </c>
      <c r="B26" s="115" t="str">
        <f>VLOOKUP(C26,Lists!I:J,2,FALSE)</f>
        <v>Healer</v>
      </c>
      <c r="C26" s="115" t="str">
        <f>VLOOKUP(E26,Lists!D:E,2,FALSE)</f>
        <v>Wand/Orb</v>
      </c>
      <c r="D26" s="115" t="s">
        <v>7</v>
      </c>
      <c r="E26" s="98" t="s">
        <v>72</v>
      </c>
      <c r="F26" s="115" t="s">
        <v>476</v>
      </c>
      <c r="G26" s="115">
        <v>0</v>
      </c>
      <c r="H26" s="115">
        <v>80</v>
      </c>
      <c r="I26" s="194">
        <f t="shared" si="0"/>
        <v>80</v>
      </c>
      <c r="J26" s="116">
        <v>13821</v>
      </c>
      <c r="K26" s="116">
        <v>274347</v>
      </c>
      <c r="L26" s="116">
        <v>648449</v>
      </c>
      <c r="M26" s="195">
        <f>I26/(HLOOKUP(F26,Team_Composition_17[[#All],[Yellow]:[Red]],10,FALSE)+HLOOKUP(F26,Team_Composition_17[[#All],[Yellow]:[Red]],11,FALSE))</f>
        <v>2.3161551823972205E-2</v>
      </c>
      <c r="N26" s="195">
        <f>J26/HLOOKUP(F26,Team_Composition_17[[#All],[Yellow]:[Red]],6,FALSE)</f>
        <v>3.0556183560308964E-4</v>
      </c>
      <c r="O26" s="195">
        <f>K26/HLOOKUP(F26,Team_Composition_17[[#All],[Yellow]:[Red]],8,FALSE)</f>
        <v>9.4279146853567877E-3</v>
      </c>
      <c r="P26" s="195">
        <f>L26/HLOOKUP(F26,Team_Composition_17[[#All],[Yellow]:[Red]],7,FALSE)</f>
        <v>3.13489870145039E-2</v>
      </c>
      <c r="R26" s="204"/>
      <c r="S26" s="208"/>
      <c r="T26" s="208"/>
      <c r="V26" s="204" t="str">
        <f ca="1">IFERROR(__xludf.DUMMYFUNCTION("""COMPUTED_VALUE"""),"pookiee")</f>
        <v>pookiee</v>
      </c>
      <c r="W26" s="116">
        <f ca="1">IFERROR(__xludf.DUMMYFUNCTION("""COMPUTED_VALUE"""),1287136)</f>
        <v>1287136</v>
      </c>
      <c r="Y26" s="204" t="str">
        <f ca="1">IFERROR(__xludf.DUMMYFUNCTION("""COMPUTED_VALUE"""),"Snobu")</f>
        <v>Snobu</v>
      </c>
      <c r="Z26" s="116">
        <f ca="1">IFERROR(__xludf.DUMMYFUNCTION("""COMPUTED_VALUE"""),1473489)</f>
        <v>1473489</v>
      </c>
    </row>
    <row r="27" spans="1:26" ht="22.5" customHeight="1">
      <c r="A27" s="115">
        <v>29</v>
      </c>
      <c r="B27" s="115" t="str">
        <f>VLOOKUP(C27,Lists!I:J,2,FALSE)</f>
        <v>Ranged DPS</v>
      </c>
      <c r="C27" s="115" t="str">
        <f>VLOOKUP(E27,Lists!D:E,2,FALSE)</f>
        <v>Crossbow/SnS</v>
      </c>
      <c r="D27" s="115" t="s">
        <v>7</v>
      </c>
      <c r="E27" s="98" t="s">
        <v>83</v>
      </c>
      <c r="F27" s="115" t="s">
        <v>476</v>
      </c>
      <c r="G27" s="115">
        <v>14</v>
      </c>
      <c r="H27" s="115">
        <v>64</v>
      </c>
      <c r="I27" s="194">
        <f t="shared" si="0"/>
        <v>78</v>
      </c>
      <c r="J27" s="116">
        <v>1374148</v>
      </c>
      <c r="K27" s="116">
        <v>411889</v>
      </c>
      <c r="L27" s="116">
        <v>12047</v>
      </c>
      <c r="M27" s="195">
        <f>I27/(HLOOKUP(F27,Team_Composition_17[[#All],[Yellow]:[Red]],10,FALSE)+HLOOKUP(F27,Team_Composition_17[[#All],[Yellow]:[Red]],11,FALSE))</f>
        <v>2.25825130283729E-2</v>
      </c>
      <c r="N27" s="195">
        <f>J27/HLOOKUP(F27,Team_Composition_17[[#All],[Yellow]:[Red]],6,FALSE)</f>
        <v>3.0380376620383072E-2</v>
      </c>
      <c r="O27" s="195">
        <f>K27/HLOOKUP(F27,Team_Composition_17[[#All],[Yellow]:[Red]],8,FALSE)</f>
        <v>1.4154535503712169E-2</v>
      </c>
      <c r="P27" s="195">
        <f>L27/HLOOKUP(F27,Team_Composition_17[[#All],[Yellow]:[Red]],7,FALSE)</f>
        <v>5.8240701514495133E-4</v>
      </c>
      <c r="R27" s="6"/>
      <c r="S27" s="209"/>
      <c r="T27" s="209"/>
    </row>
    <row r="28" spans="1:26" ht="22.5" customHeight="1">
      <c r="A28" s="115">
        <v>15</v>
      </c>
      <c r="B28" s="115" t="str">
        <f>VLOOKUP(C28,Lists!I:J,2,FALSE)</f>
        <v>Ranged DPS</v>
      </c>
      <c r="C28" s="115" t="s">
        <v>58</v>
      </c>
      <c r="D28" s="115" t="s">
        <v>714</v>
      </c>
      <c r="E28" s="98" t="s">
        <v>759</v>
      </c>
      <c r="F28" s="115" t="s">
        <v>483</v>
      </c>
      <c r="G28" s="115">
        <v>27</v>
      </c>
      <c r="H28" s="115">
        <v>51</v>
      </c>
      <c r="I28" s="194">
        <f t="shared" si="0"/>
        <v>78</v>
      </c>
      <c r="J28" s="116">
        <v>2434952</v>
      </c>
      <c r="K28" s="116">
        <v>870779</v>
      </c>
      <c r="L28" s="116">
        <v>0</v>
      </c>
      <c r="M28" s="195">
        <f>I28/(HLOOKUP(F28,Team_Composition_17[[#All],[Yellow]:[Red]],10,FALSE)+HLOOKUP(F28,Team_Composition_17[[#All],[Yellow]:[Red]],11,FALSE))</f>
        <v>4.0268456375838924E-2</v>
      </c>
      <c r="N28" s="195">
        <f>J28/HLOOKUP(F28,Team_Composition_17[[#All],[Yellow]:[Red]],6,FALSE)</f>
        <v>8.0993387682575496E-2</v>
      </c>
      <c r="O28" s="195">
        <f>K28/HLOOKUP(F28,Team_Composition_17[[#All],[Yellow]:[Red]],8,FALSE)</f>
        <v>1.981493568819696E-2</v>
      </c>
      <c r="P28" s="195">
        <f>L28/HLOOKUP(F28,Team_Composition_17[[#All],[Yellow]:[Red]],7,FALSE)</f>
        <v>0</v>
      </c>
      <c r="R28" s="232" t="s">
        <v>39</v>
      </c>
      <c r="S28" s="228"/>
      <c r="T28" s="228"/>
    </row>
    <row r="29" spans="1:26" ht="22.5" customHeight="1">
      <c r="A29" s="115">
        <v>31</v>
      </c>
      <c r="B29" s="115" t="e">
        <f>VLOOKUP(C29,Lists!I:J,2,FALSE)</f>
        <v>#N/A</v>
      </c>
      <c r="C29" s="115" t="e">
        <f>VLOOKUP(E29,Lists!D:E,2,FALSE)</f>
        <v>#N/A</v>
      </c>
      <c r="D29" s="115" t="s">
        <v>714</v>
      </c>
      <c r="E29" s="98" t="s">
        <v>731</v>
      </c>
      <c r="F29" s="115" t="s">
        <v>483</v>
      </c>
      <c r="G29" s="115">
        <v>10</v>
      </c>
      <c r="H29" s="115">
        <v>67</v>
      </c>
      <c r="I29" s="194">
        <f t="shared" si="0"/>
        <v>77</v>
      </c>
      <c r="J29" s="116">
        <v>1635685</v>
      </c>
      <c r="K29" s="116">
        <v>1740134</v>
      </c>
      <c r="L29" s="116">
        <v>177892</v>
      </c>
      <c r="M29" s="195">
        <f>I29/(HLOOKUP(F29,Team_Composition_17[[#All],[Yellow]:[Red]],10,FALSE)+HLOOKUP(F29,Team_Composition_17[[#All],[Yellow]:[Red]],11,FALSE))</f>
        <v>3.9752194114610222E-2</v>
      </c>
      <c r="N29" s="195">
        <f>J29/HLOOKUP(F29,Team_Composition_17[[#All],[Yellow]:[Red]],6,FALSE)</f>
        <v>5.4407507553156494E-2</v>
      </c>
      <c r="O29" s="195">
        <f>K29/HLOOKUP(F29,Team_Composition_17[[#All],[Yellow]:[Red]],8,FALSE)</f>
        <v>3.9597467668426693E-2</v>
      </c>
      <c r="P29" s="195">
        <f>L29/HLOOKUP(F29,Team_Composition_17[[#All],[Yellow]:[Red]],7,FALSE)</f>
        <v>6.2287603376160929E-3</v>
      </c>
      <c r="R29" s="197" t="s">
        <v>482</v>
      </c>
      <c r="S29" s="198" t="s">
        <v>476</v>
      </c>
      <c r="T29" s="198" t="s">
        <v>483</v>
      </c>
    </row>
    <row r="30" spans="1:26" ht="22.5" customHeight="1">
      <c r="A30" s="115">
        <v>24</v>
      </c>
      <c r="B30" s="115" t="e">
        <f>VLOOKUP(C30,Lists!I:J,2,FALSE)</f>
        <v>#N/A</v>
      </c>
      <c r="C30" s="115" t="e">
        <f>VLOOKUP(E30,Lists!D:E,2,FALSE)</f>
        <v>#N/A</v>
      </c>
      <c r="D30" s="115" t="s">
        <v>714</v>
      </c>
      <c r="E30" s="98" t="s">
        <v>722</v>
      </c>
      <c r="F30" s="115" t="s">
        <v>483</v>
      </c>
      <c r="G30" s="115">
        <v>18</v>
      </c>
      <c r="H30" s="115">
        <v>58</v>
      </c>
      <c r="I30" s="194">
        <f t="shared" si="0"/>
        <v>76</v>
      </c>
      <c r="J30" s="116">
        <v>1839265</v>
      </c>
      <c r="K30" s="116">
        <v>1255346</v>
      </c>
      <c r="L30" s="116">
        <v>36833</v>
      </c>
      <c r="M30" s="195">
        <f>I30/(HLOOKUP(F30,Team_Composition_17[[#All],[Yellow]:[Red]],10,FALSE)+HLOOKUP(F30,Team_Composition_17[[#All],[Yellow]:[Red]],11,FALSE))</f>
        <v>3.923593185338152E-2</v>
      </c>
      <c r="N30" s="195">
        <f>J30/HLOOKUP(F30,Team_Composition_17[[#All],[Yellow]:[Red]],6,FALSE)</f>
        <v>6.1179153920074086E-2</v>
      </c>
      <c r="O30" s="195">
        <f>K30/HLOOKUP(F30,Team_Composition_17[[#All],[Yellow]:[Red]],8,FALSE)</f>
        <v>2.8565916560269942E-2</v>
      </c>
      <c r="P30" s="195">
        <f>L30/HLOOKUP(F30,Team_Composition_17[[#All],[Yellow]:[Red]],7,FALSE)</f>
        <v>1.2896809834923074E-3</v>
      </c>
      <c r="R30" s="201" t="s">
        <v>468</v>
      </c>
      <c r="S30" s="202">
        <f>SUMIFS(Scoreboard_17[Damage Dealt],Scoreboard_17[Role],"Ranged DPS",Scoreboard_17[Team],"Yellow")</f>
        <v>13684926</v>
      </c>
      <c r="T30" s="203">
        <f>SUMIFS(Scoreboard_17[Damage Dealt],Scoreboard_17[Role],"Ranged DPS",Scoreboard_17[Team],"Red")</f>
        <v>9172689</v>
      </c>
    </row>
    <row r="31" spans="1:26" ht="22.5" customHeight="1">
      <c r="A31" s="115">
        <v>62</v>
      </c>
      <c r="B31" s="115" t="str">
        <f>VLOOKUP(C31,Lists!I:J,2,FALSE)</f>
        <v>Healer</v>
      </c>
      <c r="C31" s="115" t="str">
        <f>VLOOKUP(E31,Lists!D:E,2,FALSE)</f>
        <v>Wand/Orb</v>
      </c>
      <c r="D31" s="115" t="s">
        <v>7</v>
      </c>
      <c r="E31" s="98" t="s">
        <v>91</v>
      </c>
      <c r="F31" s="115" t="s">
        <v>476</v>
      </c>
      <c r="G31" s="115">
        <v>0</v>
      </c>
      <c r="H31" s="115">
        <v>75</v>
      </c>
      <c r="I31" s="194">
        <f t="shared" si="0"/>
        <v>75</v>
      </c>
      <c r="J31" s="116">
        <v>8880</v>
      </c>
      <c r="K31" s="116">
        <v>265679</v>
      </c>
      <c r="L31" s="116">
        <v>826097</v>
      </c>
      <c r="M31" s="195">
        <f>I31/(HLOOKUP(F31,Team_Composition_17[[#All],[Yellow]:[Red]],10,FALSE)+HLOOKUP(F31,Team_Composition_17[[#All],[Yellow]:[Red]],11,FALSE))</f>
        <v>2.1713954834973945E-2</v>
      </c>
      <c r="N31" s="195">
        <f>J31/HLOOKUP(F31,Team_Composition_17[[#All],[Yellow]:[Red]],6,FALSE)</f>
        <v>1.9632364518887461E-4</v>
      </c>
      <c r="O31" s="195">
        <f>K31/HLOOKUP(F31,Team_Composition_17[[#All],[Yellow]:[Red]],8,FALSE)</f>
        <v>9.130039496298141E-3</v>
      </c>
      <c r="P31" s="195">
        <f>L31/HLOOKUP(F31,Team_Composition_17[[#All],[Yellow]:[Red]],7,FALSE)</f>
        <v>3.993730289617322E-2</v>
      </c>
      <c r="R31" s="201" t="s">
        <v>469</v>
      </c>
      <c r="S31" s="202">
        <f>SUMIFS(Scoreboard_17[Damage Taken],Scoreboard_17[Role],"Ranged DPS",Scoreboard_17[Team],"Yellow")</f>
        <v>3544993</v>
      </c>
      <c r="T31" s="203">
        <f>SUMIFS(Scoreboard_17[Damage Taken],Scoreboard_17[Role],"Ranged DPS",Scoreboard_17[Team],"Red")</f>
        <v>5028243</v>
      </c>
    </row>
    <row r="32" spans="1:26" ht="22.5" customHeight="1">
      <c r="A32" s="115">
        <v>63</v>
      </c>
      <c r="B32" s="115" t="str">
        <f>VLOOKUP(C32,Lists!I:J,2,FALSE)</f>
        <v>Healer</v>
      </c>
      <c r="C32" s="115" t="str">
        <f>VLOOKUP(E32,Lists!D:E,2,FALSE)</f>
        <v>Wand/Longbow</v>
      </c>
      <c r="D32" s="115" t="s">
        <v>7</v>
      </c>
      <c r="E32" s="98" t="s">
        <v>105</v>
      </c>
      <c r="F32" s="115" t="s">
        <v>476</v>
      </c>
      <c r="G32" s="115">
        <v>0</v>
      </c>
      <c r="H32" s="115">
        <v>71</v>
      </c>
      <c r="I32" s="194">
        <f t="shared" si="0"/>
        <v>71</v>
      </c>
      <c r="J32" s="116">
        <v>15950</v>
      </c>
      <c r="K32" s="116">
        <v>823182</v>
      </c>
      <c r="L32" s="116">
        <v>1187475</v>
      </c>
      <c r="M32" s="195">
        <f>I32/(HLOOKUP(F32,Team_Composition_17[[#All],[Yellow]:[Red]],10,FALSE)+HLOOKUP(F32,Team_Composition_17[[#All],[Yellow]:[Red]],11,FALSE))</f>
        <v>2.0555877243775333E-2</v>
      </c>
      <c r="N32" s="195">
        <f>J32/HLOOKUP(F32,Team_Composition_17[[#All],[Yellow]:[Red]],6,FALSE)</f>
        <v>3.5263087170749437E-4</v>
      </c>
      <c r="O32" s="195">
        <f>K32/HLOOKUP(F32,Team_Composition_17[[#All],[Yellow]:[Red]],8,FALSE)</f>
        <v>2.8288589510807014E-2</v>
      </c>
      <c r="P32" s="195">
        <f>L32/HLOOKUP(F32,Team_Composition_17[[#All],[Yellow]:[Red]],7,FALSE)</f>
        <v>5.7407966324333946E-2</v>
      </c>
      <c r="R32" s="201" t="s">
        <v>470</v>
      </c>
      <c r="S32" s="202">
        <f>SUMIFS(Scoreboard_17[Amount Healed],Scoreboard_17[Role],"Ranged DPS",Scoreboard_17[Team],"Yellow")</f>
        <v>331521</v>
      </c>
      <c r="T32" s="203">
        <f>SUMIFS(Scoreboard_17[Amount Healed],Scoreboard_17[Role],"Ranged DPS",Scoreboard_17[Team],"Red")</f>
        <v>104691</v>
      </c>
    </row>
    <row r="33" spans="1:20" ht="22.5" customHeight="1">
      <c r="A33" s="115">
        <v>20</v>
      </c>
      <c r="B33" s="115" t="e">
        <f>VLOOKUP(C33,Lists!I:J,2,FALSE)</f>
        <v>#N/A</v>
      </c>
      <c r="C33" s="115" t="e">
        <f>VLOOKUP(E33,Lists!D:E,2,FALSE)</f>
        <v>#N/A</v>
      </c>
      <c r="D33" s="115" t="s">
        <v>714</v>
      </c>
      <c r="E33" s="98" t="s">
        <v>718</v>
      </c>
      <c r="F33" s="115" t="s">
        <v>483</v>
      </c>
      <c r="G33" s="115">
        <v>21</v>
      </c>
      <c r="H33" s="115">
        <v>46</v>
      </c>
      <c r="I33" s="194">
        <f t="shared" si="0"/>
        <v>67</v>
      </c>
      <c r="J33" s="116">
        <v>1076564</v>
      </c>
      <c r="K33" s="116">
        <v>737103</v>
      </c>
      <c r="L33" s="116">
        <v>0</v>
      </c>
      <c r="M33" s="195">
        <f>I33/(HLOOKUP(F33,Team_Composition_17[[#All],[Yellow]:[Red]],10,FALSE)+HLOOKUP(F33,Team_Composition_17[[#All],[Yellow]:[Red]],11,FALSE))</f>
        <v>3.4589571502323183E-2</v>
      </c>
      <c r="N33" s="195">
        <f>J33/HLOOKUP(F33,Team_Composition_17[[#All],[Yellow]:[Red]],6,FALSE)</f>
        <v>3.5809562331045625E-2</v>
      </c>
      <c r="O33" s="195">
        <f>K33/HLOOKUP(F33,Team_Composition_17[[#All],[Yellow]:[Red]],8,FALSE)</f>
        <v>1.6773083113599482E-2</v>
      </c>
      <c r="P33" s="195">
        <f>L33/HLOOKUP(F33,Team_Composition_17[[#All],[Yellow]:[Red]],7,FALSE)</f>
        <v>0</v>
      </c>
      <c r="R33" s="201" t="s">
        <v>465</v>
      </c>
      <c r="S33" s="202">
        <f>SUMIFS(Scoreboard_17[Kills],Scoreboard_17[Role],"Ranged DPS",Scoreboard_17[Team],"Yellow")</f>
        <v>173</v>
      </c>
      <c r="T33" s="203">
        <f>SUMIFS(Scoreboard_17[Kills],Scoreboard_17[Role],"Ranged DPS",Scoreboard_17[Team],"Red")</f>
        <v>95</v>
      </c>
    </row>
    <row r="34" spans="1:20" ht="22.5" customHeight="1">
      <c r="A34" s="115">
        <v>21</v>
      </c>
      <c r="B34" s="115" t="e">
        <f>VLOOKUP(C34,Lists!I:J,2,FALSE)</f>
        <v>#N/A</v>
      </c>
      <c r="C34" s="115" t="e">
        <f>VLOOKUP(E34,Lists!D:E,2,FALSE)</f>
        <v>#N/A</v>
      </c>
      <c r="D34" s="115" t="s">
        <v>714</v>
      </c>
      <c r="E34" s="98" t="s">
        <v>723</v>
      </c>
      <c r="F34" s="115" t="s">
        <v>483</v>
      </c>
      <c r="G34" s="115">
        <v>20</v>
      </c>
      <c r="H34" s="115">
        <v>47</v>
      </c>
      <c r="I34" s="194">
        <f t="shared" si="0"/>
        <v>67</v>
      </c>
      <c r="J34" s="116">
        <v>1591824</v>
      </c>
      <c r="K34" s="116">
        <v>1427411</v>
      </c>
      <c r="L34" s="116">
        <v>42231</v>
      </c>
      <c r="M34" s="195">
        <f>I34/(HLOOKUP(F34,Team_Composition_17[[#All],[Yellow]:[Red]],10,FALSE)+HLOOKUP(F34,Team_Composition_17[[#All],[Yellow]:[Red]],11,FALSE))</f>
        <v>3.4589571502323183E-2</v>
      </c>
      <c r="N34" s="195">
        <f>J34/HLOOKUP(F34,Team_Composition_17[[#All],[Yellow]:[Red]],6,FALSE)</f>
        <v>5.2948566688143364E-2</v>
      </c>
      <c r="O34" s="195">
        <f>K34/HLOOKUP(F34,Team_Composition_17[[#All],[Yellow]:[Red]],8,FALSE)</f>
        <v>3.2481326680621501E-2</v>
      </c>
      <c r="P34" s="195">
        <f>L34/HLOOKUP(F34,Team_Composition_17[[#All],[Yellow]:[Red]],7,FALSE)</f>
        <v>1.4786880681417109E-3</v>
      </c>
      <c r="R34" s="201" t="s">
        <v>466</v>
      </c>
      <c r="S34" s="202">
        <f>SUMIFS(Scoreboard_17[Assists],Scoreboard_17[Role],"Ranged DPS",Scoreboard_17[Team],"Yellow")</f>
        <v>391</v>
      </c>
      <c r="T34" s="203">
        <f>SUMIFS(Scoreboard_17[Assists],Scoreboard_17[Role],"Ranged DPS",Scoreboard_17[Team],"Red")</f>
        <v>194</v>
      </c>
    </row>
    <row r="35" spans="1:20" ht="22.5" customHeight="1">
      <c r="A35" s="115">
        <v>22</v>
      </c>
      <c r="B35" s="115" t="str">
        <f>VLOOKUP(C35,Lists!I:J,2,FALSE)</f>
        <v>Ranged DPS</v>
      </c>
      <c r="C35" s="115" t="s">
        <v>58</v>
      </c>
      <c r="D35" s="115" t="s">
        <v>714</v>
      </c>
      <c r="E35" s="98" t="s">
        <v>760</v>
      </c>
      <c r="F35" s="115" t="s">
        <v>483</v>
      </c>
      <c r="G35" s="115">
        <v>19</v>
      </c>
      <c r="H35" s="115">
        <v>48</v>
      </c>
      <c r="I35" s="194">
        <f t="shared" si="0"/>
        <v>67</v>
      </c>
      <c r="J35" s="116">
        <v>2191096</v>
      </c>
      <c r="K35" s="116">
        <v>1032432</v>
      </c>
      <c r="L35" s="116">
        <v>0</v>
      </c>
      <c r="M35" s="195">
        <f>I35/(HLOOKUP(F35,Team_Composition_17[[#All],[Yellow]:[Red]],10,FALSE)+HLOOKUP(F35,Team_Composition_17[[#All],[Yellow]:[Red]],11,FALSE))</f>
        <v>3.4589571502323183E-2</v>
      </c>
      <c r="N35" s="195">
        <f>J35/HLOOKUP(F35,Team_Composition_17[[#All],[Yellow]:[Red]],6,FALSE)</f>
        <v>7.2882047686254364E-2</v>
      </c>
      <c r="O35" s="195">
        <f>K35/HLOOKUP(F35,Team_Composition_17[[#All],[Yellow]:[Red]],8,FALSE)</f>
        <v>2.349341644945108E-2</v>
      </c>
      <c r="P35" s="195">
        <f>L35/HLOOKUP(F35,Team_Composition_17[[#All],[Yellow]:[Red]],7,FALSE)</f>
        <v>0</v>
      </c>
      <c r="R35" s="201" t="s">
        <v>54</v>
      </c>
      <c r="S35" s="202">
        <f t="shared" ref="S35:S46" si="3">COUNTIFS(C:C,R35,F:F,"Yellow")</f>
        <v>3</v>
      </c>
      <c r="T35" s="203">
        <f t="shared" ref="T35:T46" si="4">COUNTIFS(C:C,R35,F:F,"Red")</f>
        <v>2</v>
      </c>
    </row>
    <row r="36" spans="1:20" ht="22.5" customHeight="1">
      <c r="A36" s="115">
        <v>39</v>
      </c>
      <c r="B36" s="115" t="str">
        <f>VLOOKUP(C36,Lists!I:J,2,FALSE)</f>
        <v>Healer</v>
      </c>
      <c r="C36" s="115" t="str">
        <f>VLOOKUP(E36,Lists!D:E,2,FALSE)</f>
        <v>Wand/Longbow</v>
      </c>
      <c r="D36" s="115" t="s">
        <v>7</v>
      </c>
      <c r="E36" s="98" t="s">
        <v>115</v>
      </c>
      <c r="F36" s="115" t="s">
        <v>476</v>
      </c>
      <c r="G36" s="115">
        <v>2</v>
      </c>
      <c r="H36" s="115">
        <v>60</v>
      </c>
      <c r="I36" s="194">
        <f t="shared" si="0"/>
        <v>62</v>
      </c>
      <c r="J36" s="116">
        <v>859733</v>
      </c>
      <c r="K36" s="116">
        <v>717051</v>
      </c>
      <c r="L36" s="116">
        <v>1566517</v>
      </c>
      <c r="M36" s="195">
        <f>I36/(HLOOKUP(F36,Team_Composition_17[[#All],[Yellow]:[Red]],10,FALSE)+HLOOKUP(F36,Team_Composition_17[[#All],[Yellow]:[Red]],11,FALSE))</f>
        <v>1.7950202663578461E-2</v>
      </c>
      <c r="N36" s="195">
        <f>J36/HLOOKUP(F36,Team_Composition_17[[#All],[Yellow]:[Red]],6,FALSE)</f>
        <v>1.9007423023554813E-2</v>
      </c>
      <c r="O36" s="195">
        <f>K36/HLOOKUP(F36,Team_Composition_17[[#All],[Yellow]:[Red]],8,FALSE)</f>
        <v>2.464140542105352E-2</v>
      </c>
      <c r="P36" s="195">
        <f>L36/HLOOKUP(F36,Team_Composition_17[[#All],[Yellow]:[Red]],7,FALSE)</f>
        <v>7.5732588208169971E-2</v>
      </c>
      <c r="R36" s="201" t="s">
        <v>43</v>
      </c>
      <c r="S36" s="202">
        <f t="shared" si="3"/>
        <v>0</v>
      </c>
      <c r="T36" s="203">
        <f t="shared" si="4"/>
        <v>0</v>
      </c>
    </row>
    <row r="37" spans="1:20" ht="22.5" customHeight="1">
      <c r="A37" s="115">
        <v>23</v>
      </c>
      <c r="B37" s="115" t="str">
        <f>VLOOKUP(C37,Lists!I:J,2,FALSE)</f>
        <v>Melee DPS</v>
      </c>
      <c r="C37" s="115" t="s">
        <v>24</v>
      </c>
      <c r="D37" s="115" t="s">
        <v>714</v>
      </c>
      <c r="E37" s="98" t="s">
        <v>761</v>
      </c>
      <c r="F37" s="115" t="s">
        <v>483</v>
      </c>
      <c r="G37" s="115">
        <v>19</v>
      </c>
      <c r="H37" s="115">
        <v>43</v>
      </c>
      <c r="I37" s="194">
        <f t="shared" si="0"/>
        <v>62</v>
      </c>
      <c r="J37" s="116">
        <v>1600397</v>
      </c>
      <c r="K37" s="116">
        <v>1129773</v>
      </c>
      <c r="L37" s="116">
        <v>0</v>
      </c>
      <c r="M37" s="195">
        <f>I37/(HLOOKUP(F37,Team_Composition_17[[#All],[Yellow]:[Red]],10,FALSE)+HLOOKUP(F37,Team_Composition_17[[#All],[Yellow]:[Red]],11,FALSE))</f>
        <v>3.200826019617966E-2</v>
      </c>
      <c r="N37" s="195">
        <f>J37/HLOOKUP(F37,Team_Composition_17[[#All],[Yellow]:[Red]],6,FALSE)</f>
        <v>5.3233728905962327E-2</v>
      </c>
      <c r="O37" s="195">
        <f>K37/HLOOKUP(F37,Team_Composition_17[[#All],[Yellow]:[Red]],8,FALSE)</f>
        <v>2.5708451096387652E-2</v>
      </c>
      <c r="P37" s="195">
        <f>L37/HLOOKUP(F37,Team_Composition_17[[#All],[Yellow]:[Red]],7,FALSE)</f>
        <v>0</v>
      </c>
      <c r="R37" s="201" t="s">
        <v>45</v>
      </c>
      <c r="S37" s="202">
        <f t="shared" si="3"/>
        <v>2</v>
      </c>
      <c r="T37" s="203">
        <f t="shared" si="4"/>
        <v>1</v>
      </c>
    </row>
    <row r="38" spans="1:20" ht="22.5" customHeight="1">
      <c r="A38" s="115">
        <v>14</v>
      </c>
      <c r="B38" s="115" t="str">
        <f>VLOOKUP(C38,Lists!I:J,2,FALSE)</f>
        <v>KS</v>
      </c>
      <c r="C38" s="115" t="s">
        <v>54</v>
      </c>
      <c r="D38" s="115" t="s">
        <v>714</v>
      </c>
      <c r="E38" s="98" t="s">
        <v>762</v>
      </c>
      <c r="F38" s="115" t="s">
        <v>483</v>
      </c>
      <c r="G38" s="115">
        <v>28</v>
      </c>
      <c r="H38" s="115">
        <v>33</v>
      </c>
      <c r="I38" s="194">
        <f t="shared" si="0"/>
        <v>61</v>
      </c>
      <c r="J38" s="116">
        <v>1509615</v>
      </c>
      <c r="K38" s="116">
        <v>926345</v>
      </c>
      <c r="L38" s="116">
        <v>19810</v>
      </c>
      <c r="M38" s="195">
        <f>I38/(HLOOKUP(F38,Team_Composition_17[[#All],[Yellow]:[Red]],10,FALSE)+HLOOKUP(F38,Team_Composition_17[[#All],[Yellow]:[Red]],11,FALSE))</f>
        <v>3.1491997934950958E-2</v>
      </c>
      <c r="N38" s="195">
        <f>J38/HLOOKUP(F38,Team_Composition_17[[#All],[Yellow]:[Red]],6,FALSE)</f>
        <v>5.021406292462078E-2</v>
      </c>
      <c r="O38" s="195">
        <f>K38/HLOOKUP(F38,Team_Composition_17[[#All],[Yellow]:[Red]],8,FALSE)</f>
        <v>2.1079362961305696E-2</v>
      </c>
      <c r="P38" s="195">
        <f>L38/HLOOKUP(F38,Team_Composition_17[[#All],[Yellow]:[Red]],7,FALSE)</f>
        <v>6.9363289123836264E-4</v>
      </c>
      <c r="R38" s="201" t="s">
        <v>81</v>
      </c>
      <c r="S38" s="202">
        <f t="shared" si="3"/>
        <v>0</v>
      </c>
      <c r="T38" s="203">
        <f t="shared" si="4"/>
        <v>0</v>
      </c>
    </row>
    <row r="39" spans="1:20" ht="22.5" customHeight="1">
      <c r="A39" s="115">
        <v>45</v>
      </c>
      <c r="B39" s="115" t="str">
        <f>VLOOKUP(C39,Lists!I:J,2,FALSE)</f>
        <v>Tank</v>
      </c>
      <c r="C39" s="115" t="str">
        <f>VLOOKUP(E39,Lists!D:E,2,FALSE)</f>
        <v>SnS/Spear</v>
      </c>
      <c r="D39" s="115" t="s">
        <v>7</v>
      </c>
      <c r="E39" s="98" t="s">
        <v>89</v>
      </c>
      <c r="F39" s="115" t="s">
        <v>476</v>
      </c>
      <c r="G39" s="115">
        <v>1</v>
      </c>
      <c r="H39" s="115">
        <v>59</v>
      </c>
      <c r="I39" s="194">
        <f t="shared" si="0"/>
        <v>60</v>
      </c>
      <c r="J39" s="116">
        <v>57335</v>
      </c>
      <c r="K39" s="116">
        <v>434850</v>
      </c>
      <c r="L39" s="116">
        <v>86847</v>
      </c>
      <c r="M39" s="195">
        <f>I39/(HLOOKUP(F39,Team_Composition_17[[#All],[Yellow]:[Red]],10,FALSE)+HLOOKUP(F39,Team_Composition_17[[#All],[Yellow]:[Red]],11,FALSE))</f>
        <v>1.7371163867979156E-2</v>
      </c>
      <c r="N39" s="195">
        <f>J39/HLOOKUP(F39,Team_Composition_17[[#All],[Yellow]:[Red]],6,FALSE)</f>
        <v>1.2675919140657801E-3</v>
      </c>
      <c r="O39" s="195">
        <f>K39/HLOOKUP(F39,Team_Composition_17[[#All],[Yellow]:[Red]],8,FALSE)</f>
        <v>1.4943588597387248E-2</v>
      </c>
      <c r="P39" s="195">
        <f>L39/HLOOKUP(F39,Team_Composition_17[[#All],[Yellow]:[Red]],7,FALSE)</f>
        <v>4.1985807291685549E-3</v>
      </c>
      <c r="R39" s="201" t="s">
        <v>48</v>
      </c>
      <c r="S39" s="202">
        <f t="shared" si="3"/>
        <v>0</v>
      </c>
      <c r="T39" s="203">
        <f t="shared" si="4"/>
        <v>0</v>
      </c>
    </row>
    <row r="40" spans="1:20" ht="22.5" customHeight="1">
      <c r="A40" s="115">
        <v>37</v>
      </c>
      <c r="B40" s="115" t="str">
        <f>VLOOKUP(C40,Lists!I:J,2,FALSE)</f>
        <v>Tank</v>
      </c>
      <c r="C40" s="115" t="str">
        <f>VLOOKUP(E40,Lists!D:E,2,FALSE)</f>
        <v>SnS/Greatsword</v>
      </c>
      <c r="D40" s="115" t="s">
        <v>7</v>
      </c>
      <c r="E40" s="98" t="s">
        <v>55</v>
      </c>
      <c r="F40" s="115" t="s">
        <v>476</v>
      </c>
      <c r="G40" s="115">
        <v>3</v>
      </c>
      <c r="H40" s="115">
        <v>56</v>
      </c>
      <c r="I40" s="194">
        <f t="shared" si="0"/>
        <v>59</v>
      </c>
      <c r="J40" s="116">
        <v>644433</v>
      </c>
      <c r="K40" s="116">
        <v>712281</v>
      </c>
      <c r="L40" s="116">
        <v>83402</v>
      </c>
      <c r="M40" s="195">
        <f>I40/(HLOOKUP(F40,Team_Composition_17[[#All],[Yellow]:[Red]],10,FALSE)+HLOOKUP(F40,Team_Composition_17[[#All],[Yellow]:[Red]],11,FALSE))</f>
        <v>1.7081644470179503E-2</v>
      </c>
      <c r="N40" s="195">
        <f>J40/HLOOKUP(F40,Team_Composition_17[[#All],[Yellow]:[Red]],6,FALSE)</f>
        <v>1.4247458968468699E-2</v>
      </c>
      <c r="O40" s="195">
        <f>K40/HLOOKUP(F40,Team_Composition_17[[#All],[Yellow]:[Red]],8,FALSE)</f>
        <v>2.4477484718260518E-2</v>
      </c>
      <c r="P40" s="195">
        <f>L40/HLOOKUP(F40,Team_Composition_17[[#All],[Yellow]:[Red]],7,FALSE)</f>
        <v>4.0320336911363183E-3</v>
      </c>
      <c r="R40" s="201" t="s">
        <v>50</v>
      </c>
      <c r="S40" s="202">
        <f t="shared" si="3"/>
        <v>0</v>
      </c>
      <c r="T40" s="203">
        <f t="shared" si="4"/>
        <v>0</v>
      </c>
    </row>
    <row r="41" spans="1:20" ht="22.5" customHeight="1">
      <c r="A41" s="115">
        <v>35</v>
      </c>
      <c r="B41" s="115" t="str">
        <f>VLOOKUP(C41,Lists!I:J,2,FALSE)</f>
        <v>Tank</v>
      </c>
      <c r="C41" s="115" t="str">
        <f>VLOOKUP(E41,Lists!D:E,2,FALSE)</f>
        <v>SnS/Greatsword</v>
      </c>
      <c r="D41" s="115" t="s">
        <v>7</v>
      </c>
      <c r="E41" s="98" t="s">
        <v>37</v>
      </c>
      <c r="F41" s="115" t="s">
        <v>476</v>
      </c>
      <c r="G41" s="115">
        <v>6</v>
      </c>
      <c r="H41" s="115">
        <v>52</v>
      </c>
      <c r="I41" s="194">
        <f t="shared" si="0"/>
        <v>58</v>
      </c>
      <c r="J41" s="116">
        <v>397911</v>
      </c>
      <c r="K41" s="116">
        <v>965145</v>
      </c>
      <c r="L41" s="116">
        <v>80637</v>
      </c>
      <c r="M41" s="195">
        <f>I41/(HLOOKUP(F41,Team_Composition_17[[#All],[Yellow]:[Red]],10,FALSE)+HLOOKUP(F41,Team_Composition_17[[#All],[Yellow]:[Red]],11,FALSE))</f>
        <v>1.679212507237985E-2</v>
      </c>
      <c r="N41" s="195">
        <f>J41/HLOOKUP(F41,Team_Composition_17[[#All],[Yellow]:[Red]],6,FALSE)</f>
        <v>8.797222745579987E-3</v>
      </c>
      <c r="O41" s="195">
        <f>K41/HLOOKUP(F41,Team_Composition_17[[#All],[Yellow]:[Red]],8,FALSE)</f>
        <v>3.3167137672359008E-2</v>
      </c>
      <c r="P41" s="195">
        <f>L41/HLOOKUP(F41,Team_Composition_17[[#All],[Yellow]:[Red]],7,FALSE)</f>
        <v>3.898360959595205E-3</v>
      </c>
      <c r="R41" s="201" t="s">
        <v>52</v>
      </c>
      <c r="S41" s="202">
        <f t="shared" si="3"/>
        <v>1</v>
      </c>
      <c r="T41" s="203">
        <f t="shared" si="4"/>
        <v>0</v>
      </c>
    </row>
    <row r="42" spans="1:20" ht="22.5" customHeight="1">
      <c r="A42" s="115">
        <v>30</v>
      </c>
      <c r="B42" s="115" t="e">
        <f>VLOOKUP(C42,Lists!I:J,2,FALSE)</f>
        <v>#N/A</v>
      </c>
      <c r="C42" s="115" t="e">
        <f>VLOOKUP(E42,Lists!D:E,2,FALSE)</f>
        <v>#N/A</v>
      </c>
      <c r="D42" s="115" t="s">
        <v>714</v>
      </c>
      <c r="E42" s="98" t="s">
        <v>729</v>
      </c>
      <c r="F42" s="115" t="s">
        <v>483</v>
      </c>
      <c r="G42" s="115">
        <v>11</v>
      </c>
      <c r="H42" s="115">
        <v>45</v>
      </c>
      <c r="I42" s="194">
        <f t="shared" si="0"/>
        <v>56</v>
      </c>
      <c r="J42" s="116">
        <v>1012275</v>
      </c>
      <c r="K42" s="116">
        <v>1141920</v>
      </c>
      <c r="L42" s="116">
        <v>47687</v>
      </c>
      <c r="M42" s="195">
        <f>I42/(HLOOKUP(F42,Team_Composition_17[[#All],[Yellow]:[Red]],10,FALSE)+HLOOKUP(F42,Team_Composition_17[[#All],[Yellow]:[Red]],11,FALSE))</f>
        <v>2.8910686628807435E-2</v>
      </c>
      <c r="N42" s="195">
        <f>J42/HLOOKUP(F42,Team_Composition_17[[#All],[Yellow]:[Red]],6,FALSE)</f>
        <v>3.3671128431434834E-2</v>
      </c>
      <c r="O42" s="195">
        <f>K42/HLOOKUP(F42,Team_Composition_17[[#All],[Yellow]:[Red]],8,FALSE)</f>
        <v>2.5984861096863696E-2</v>
      </c>
      <c r="P42" s="195">
        <f>L42/HLOOKUP(F42,Team_Composition_17[[#All],[Yellow]:[Red]],7,FALSE)</f>
        <v>1.669725981044109E-3</v>
      </c>
      <c r="R42" s="201" t="s">
        <v>32</v>
      </c>
      <c r="S42" s="202">
        <f t="shared" si="3"/>
        <v>2</v>
      </c>
      <c r="T42" s="203">
        <f t="shared" si="4"/>
        <v>0</v>
      </c>
    </row>
    <row r="43" spans="1:20" ht="22.5" customHeight="1">
      <c r="A43" s="115">
        <v>40</v>
      </c>
      <c r="B43" s="115" t="e">
        <f>VLOOKUP(C43,Lists!I:J,2,FALSE)</f>
        <v>#N/A</v>
      </c>
      <c r="C43" s="115" t="e">
        <f>VLOOKUP(E43,Lists!D:E,2,FALSE)</f>
        <v>#N/A</v>
      </c>
      <c r="D43" s="115" t="s">
        <v>714</v>
      </c>
      <c r="E43" s="98" t="s">
        <v>720</v>
      </c>
      <c r="F43" s="115" t="s">
        <v>483</v>
      </c>
      <c r="G43" s="115">
        <v>2</v>
      </c>
      <c r="H43" s="115">
        <v>53</v>
      </c>
      <c r="I43" s="194">
        <f t="shared" si="0"/>
        <v>55</v>
      </c>
      <c r="J43" s="116">
        <v>876471</v>
      </c>
      <c r="K43" s="116">
        <v>1011461</v>
      </c>
      <c r="L43" s="116">
        <v>91538</v>
      </c>
      <c r="M43" s="195">
        <f>I43/(HLOOKUP(F43,Team_Composition_17[[#All],[Yellow]:[Red]],10,FALSE)+HLOOKUP(F43,Team_Composition_17[[#All],[Yellow]:[Red]],11,FALSE))</f>
        <v>2.8394424367578729E-2</v>
      </c>
      <c r="N43" s="195">
        <f>J43/HLOOKUP(F43,Team_Composition_17[[#All],[Yellow]:[Red]],6,FALSE)</f>
        <v>2.9153903442669354E-2</v>
      </c>
      <c r="O43" s="195">
        <f>K43/HLOOKUP(F43,Team_Composition_17[[#All],[Yellow]:[Red]],8,FALSE)</f>
        <v>2.3016212685560151E-2</v>
      </c>
      <c r="P43" s="195">
        <f>L43/HLOOKUP(F43,Team_Composition_17[[#All],[Yellow]:[Red]],7,FALSE)</f>
        <v>3.2051371831487755E-3</v>
      </c>
      <c r="R43" s="201" t="s">
        <v>56</v>
      </c>
      <c r="S43" s="202">
        <f t="shared" si="3"/>
        <v>0</v>
      </c>
      <c r="T43" s="203">
        <f t="shared" si="4"/>
        <v>0</v>
      </c>
    </row>
    <row r="44" spans="1:20" ht="22.5" customHeight="1">
      <c r="A44" s="115">
        <v>33</v>
      </c>
      <c r="B44" s="115" t="str">
        <f>VLOOKUP(C44,Lists!I:J,2,FALSE)</f>
        <v>Ranged DPS</v>
      </c>
      <c r="C44" s="115" t="s">
        <v>52</v>
      </c>
      <c r="D44" s="115" t="s">
        <v>7</v>
      </c>
      <c r="E44" s="98" t="s">
        <v>66</v>
      </c>
      <c r="F44" s="115" t="s">
        <v>476</v>
      </c>
      <c r="G44" s="115">
        <v>8</v>
      </c>
      <c r="H44" s="115">
        <v>45</v>
      </c>
      <c r="I44" s="194">
        <f t="shared" si="0"/>
        <v>53</v>
      </c>
      <c r="J44" s="116">
        <v>1143282</v>
      </c>
      <c r="K44" s="116">
        <v>579517</v>
      </c>
      <c r="L44" s="116">
        <v>284917</v>
      </c>
      <c r="M44" s="195">
        <f>I44/(HLOOKUP(F44,Team_Composition_17[[#All],[Yellow]:[Red]],10,FALSE)+HLOOKUP(F44,Team_Composition_17[[#All],[Yellow]:[Red]],11,FALSE))</f>
        <v>1.5344528083381586E-2</v>
      </c>
      <c r="N44" s="195">
        <f>J44/HLOOKUP(F44,Team_Composition_17[[#All],[Yellow]:[Red]],6,FALSE)</f>
        <v>2.5276271364732764E-2</v>
      </c>
      <c r="O44" s="195">
        <f>K44/HLOOKUP(F44,Team_Composition_17[[#All],[Yellow]:[Red]],8,FALSE)</f>
        <v>1.9915059522115825E-2</v>
      </c>
      <c r="P44" s="195">
        <f>L44/HLOOKUP(F44,Team_Composition_17[[#All],[Yellow]:[Red]],7,FALSE)</f>
        <v>1.3774189386075711E-2</v>
      </c>
      <c r="R44" s="201" t="s">
        <v>58</v>
      </c>
      <c r="S44" s="202">
        <f t="shared" si="3"/>
        <v>0</v>
      </c>
      <c r="T44" s="203">
        <f t="shared" si="4"/>
        <v>4</v>
      </c>
    </row>
    <row r="45" spans="1:20" ht="22.5" customHeight="1">
      <c r="A45" s="115">
        <v>64</v>
      </c>
      <c r="B45" s="115" t="s">
        <v>11</v>
      </c>
      <c r="C45" s="115" t="s">
        <v>9</v>
      </c>
      <c r="D45" s="115" t="s">
        <v>7</v>
      </c>
      <c r="E45" s="98" t="s">
        <v>51</v>
      </c>
      <c r="F45" s="115" t="s">
        <v>476</v>
      </c>
      <c r="G45" s="115">
        <v>0</v>
      </c>
      <c r="H45" s="115">
        <v>53</v>
      </c>
      <c r="I45" s="194">
        <v>53</v>
      </c>
      <c r="J45" s="116">
        <v>40209</v>
      </c>
      <c r="K45" s="116">
        <v>334040</v>
      </c>
      <c r="L45" s="116">
        <v>475148</v>
      </c>
      <c r="M45" s="195">
        <v>1.5344528083381586E-2</v>
      </c>
      <c r="N45" s="195">
        <v>8.8896142448192115E-4</v>
      </c>
      <c r="O45" s="195">
        <v>1.1479260285319618E-2</v>
      </c>
      <c r="P45" s="195">
        <v>2.2970824971535925E-2</v>
      </c>
      <c r="R45" s="201" t="s">
        <v>60</v>
      </c>
      <c r="S45" s="202">
        <f t="shared" si="3"/>
        <v>0</v>
      </c>
      <c r="T45" s="203">
        <f t="shared" si="4"/>
        <v>0</v>
      </c>
    </row>
    <row r="46" spans="1:20" ht="22.5" customHeight="1">
      <c r="A46" s="115">
        <v>27</v>
      </c>
      <c r="B46" s="115" t="e">
        <f>VLOOKUP(C46,Lists!I:J,2,FALSE)</f>
        <v>#N/A</v>
      </c>
      <c r="C46" s="115" t="e">
        <f>VLOOKUP(E46,Lists!D:E,2,FALSE)</f>
        <v>#N/A</v>
      </c>
      <c r="D46" s="115" t="s">
        <v>714</v>
      </c>
      <c r="E46" s="98" t="s">
        <v>727</v>
      </c>
      <c r="F46" s="115" t="s">
        <v>483</v>
      </c>
      <c r="G46" s="115">
        <v>15</v>
      </c>
      <c r="H46" s="115">
        <v>38</v>
      </c>
      <c r="I46" s="194">
        <f t="shared" ref="I46:I47" si="5">SUM(G46:H46)</f>
        <v>53</v>
      </c>
      <c r="J46" s="116">
        <v>1302126</v>
      </c>
      <c r="K46" s="116">
        <v>810632</v>
      </c>
      <c r="L46" s="116">
        <v>33819</v>
      </c>
      <c r="M46" s="195">
        <f>I46/(HLOOKUP(F46,Team_Composition_17[[#All],[Yellow]:[Red]],10,FALSE)+HLOOKUP(F46,Team_Composition_17[[#All],[Yellow]:[Red]],11,FALSE))</f>
        <v>2.7361899845121322E-2</v>
      </c>
      <c r="N46" s="195">
        <f>J46/HLOOKUP(F46,Team_Composition_17[[#All],[Yellow]:[Red]],6,FALSE)</f>
        <v>4.3312392166071981E-2</v>
      </c>
      <c r="O46" s="195">
        <f>K46/HLOOKUP(F46,Team_Composition_17[[#All],[Yellow]:[Red]],8,FALSE)</f>
        <v>1.8446265868600962E-2</v>
      </c>
      <c r="P46" s="195">
        <f>L46/HLOOKUP(F46,Team_Composition_17[[#All],[Yellow]:[Red]],7,FALSE)</f>
        <v>1.184147942897031E-3</v>
      </c>
      <c r="R46" s="201" t="s">
        <v>63</v>
      </c>
      <c r="S46" s="202">
        <f t="shared" si="3"/>
        <v>0</v>
      </c>
      <c r="T46" s="203">
        <f t="shared" si="4"/>
        <v>0</v>
      </c>
    </row>
    <row r="47" spans="1:20" ht="22.5" customHeight="1">
      <c r="A47" s="115">
        <v>25</v>
      </c>
      <c r="B47" s="115" t="str">
        <f>VLOOKUP(C47,Lists!I:J,2,FALSE)</f>
        <v>Ranged DPS</v>
      </c>
      <c r="C47" s="115" t="str">
        <f>VLOOKUP(E47,Lists!D:E,2,FALSE)</f>
        <v>Crossbow/SnS</v>
      </c>
      <c r="D47" s="115" t="s">
        <v>714</v>
      </c>
      <c r="E47" s="98" t="s">
        <v>399</v>
      </c>
      <c r="F47" s="115" t="s">
        <v>483</v>
      </c>
      <c r="G47" s="115">
        <v>18</v>
      </c>
      <c r="H47" s="115">
        <v>34</v>
      </c>
      <c r="I47" s="194">
        <f t="shared" si="5"/>
        <v>52</v>
      </c>
      <c r="J47" s="116">
        <v>1886838</v>
      </c>
      <c r="K47" s="116">
        <v>1159062</v>
      </c>
      <c r="L47" s="116">
        <v>104691</v>
      </c>
      <c r="M47" s="195">
        <f>I47/(HLOOKUP(F47,Team_Composition_17[[#All],[Yellow]:[Red]],10,FALSE)+HLOOKUP(F47,Team_Composition_17[[#All],[Yellow]:[Red]],11,FALSE))</f>
        <v>2.6845637583892617E-2</v>
      </c>
      <c r="N47" s="195">
        <f>J47/HLOOKUP(F47,Team_Composition_17[[#All],[Yellow]:[Red]],6,FALSE)</f>
        <v>6.2761566399754651E-2</v>
      </c>
      <c r="O47" s="195">
        <f>K47/HLOOKUP(F47,Team_Composition_17[[#All],[Yellow]:[Red]],8,FALSE)</f>
        <v>2.6374934384766908E-2</v>
      </c>
      <c r="P47" s="195">
        <f>L47/HLOOKUP(F47,Team_Composition_17[[#All],[Yellow]:[Red]],7,FALSE)</f>
        <v>3.6656800109356601E-3</v>
      </c>
      <c r="R47" s="204"/>
      <c r="S47" s="208"/>
      <c r="T47" s="208"/>
    </row>
    <row r="48" spans="1:20" ht="22.5" customHeight="1">
      <c r="A48" s="115">
        <v>65</v>
      </c>
      <c r="B48" s="115" t="s">
        <v>11</v>
      </c>
      <c r="C48" s="115" t="s">
        <v>10</v>
      </c>
      <c r="D48" s="115" t="s">
        <v>7</v>
      </c>
      <c r="E48" s="98" t="s">
        <v>108</v>
      </c>
      <c r="F48" s="115" t="s">
        <v>476</v>
      </c>
      <c r="G48" s="115">
        <v>0</v>
      </c>
      <c r="H48" s="115">
        <v>50</v>
      </c>
      <c r="I48" s="194">
        <v>50</v>
      </c>
      <c r="J48" s="116">
        <v>83023</v>
      </c>
      <c r="K48" s="116">
        <v>513158</v>
      </c>
      <c r="L48" s="116">
        <v>847814</v>
      </c>
      <c r="M48" s="195">
        <v>1.4475969889982629E-2</v>
      </c>
      <c r="N48" s="195">
        <v>1.8355155399229659E-3</v>
      </c>
      <c r="O48" s="195">
        <v>1.7634637317369313E-2</v>
      </c>
      <c r="P48" s="195">
        <v>4.0987201887449302E-2</v>
      </c>
      <c r="R48" s="6"/>
      <c r="S48" s="209"/>
      <c r="T48" s="209"/>
    </row>
    <row r="49" spans="1:20" ht="22.5" customHeight="1">
      <c r="A49" s="115">
        <v>66</v>
      </c>
      <c r="B49" s="115" t="s">
        <v>11</v>
      </c>
      <c r="C49" s="115" t="s">
        <v>9</v>
      </c>
      <c r="D49" s="115" t="s">
        <v>7</v>
      </c>
      <c r="E49" s="98" t="s">
        <v>44</v>
      </c>
      <c r="F49" s="115" t="s">
        <v>476</v>
      </c>
      <c r="G49" s="115">
        <v>0</v>
      </c>
      <c r="H49" s="115">
        <v>49</v>
      </c>
      <c r="I49" s="194">
        <v>49</v>
      </c>
      <c r="J49" s="116">
        <v>87354</v>
      </c>
      <c r="K49" s="116">
        <v>572351</v>
      </c>
      <c r="L49" s="116">
        <v>1233502</v>
      </c>
      <c r="M49" s="195">
        <v>1.4186450492182976E-2</v>
      </c>
      <c r="N49" s="195">
        <v>1.9312675339897471E-3</v>
      </c>
      <c r="O49" s="195">
        <v>1.9668800453727008E-2</v>
      </c>
      <c r="P49" s="195">
        <v>5.9633121772667691E-2</v>
      </c>
      <c r="R49" s="232" t="s">
        <v>67</v>
      </c>
      <c r="S49" s="228"/>
      <c r="T49" s="228"/>
    </row>
    <row r="50" spans="1:20" ht="22.5" customHeight="1">
      <c r="A50" s="115">
        <v>26</v>
      </c>
      <c r="B50" s="115" t="str">
        <f>VLOOKUP(C50,Lists!I:J,2,FALSE)</f>
        <v>Ranged DPS</v>
      </c>
      <c r="C50" s="115" t="s">
        <v>58</v>
      </c>
      <c r="D50" s="115" t="s">
        <v>714</v>
      </c>
      <c r="E50" s="98" t="s">
        <v>763</v>
      </c>
      <c r="F50" s="115" t="s">
        <v>483</v>
      </c>
      <c r="G50" s="115">
        <v>16</v>
      </c>
      <c r="H50" s="115">
        <v>32</v>
      </c>
      <c r="I50" s="194">
        <f>SUM(G50:H50)</f>
        <v>48</v>
      </c>
      <c r="J50" s="116">
        <v>1412255</v>
      </c>
      <c r="K50" s="116">
        <v>1002824</v>
      </c>
      <c r="L50" s="116">
        <v>0</v>
      </c>
      <c r="M50" s="195">
        <f>I50/(HLOOKUP(F50,Team_Composition_17[[#All],[Yellow]:[Red]],10,FALSE)+HLOOKUP(F50,Team_Composition_17[[#All],[Yellow]:[Red]],11,FALSE))</f>
        <v>2.4780588538977799E-2</v>
      </c>
      <c r="N50" s="195">
        <f>J50/HLOOKUP(F50,Team_Composition_17[[#All],[Yellow]:[Red]],6,FALSE)</f>
        <v>4.6975594065778573E-2</v>
      </c>
      <c r="O50" s="195">
        <f>K50/HLOOKUP(F50,Team_Composition_17[[#All],[Yellow]:[Red]],8,FALSE)</f>
        <v>2.2819674184357257E-2</v>
      </c>
      <c r="P50" s="195">
        <f>L50/HLOOKUP(F50,Team_Composition_17[[#All],[Yellow]:[Red]],7,FALSE)</f>
        <v>0</v>
      </c>
      <c r="R50" s="197" t="s">
        <v>482</v>
      </c>
      <c r="S50" s="198" t="s">
        <v>476</v>
      </c>
      <c r="T50" s="198" t="s">
        <v>483</v>
      </c>
    </row>
    <row r="51" spans="1:20" ht="22.5" customHeight="1">
      <c r="A51" s="115">
        <v>67</v>
      </c>
      <c r="B51" s="115" t="s">
        <v>11</v>
      </c>
      <c r="C51" s="115" t="s">
        <v>9</v>
      </c>
      <c r="D51" s="115" t="s">
        <v>7</v>
      </c>
      <c r="E51" s="98" t="s">
        <v>41</v>
      </c>
      <c r="F51" s="115" t="s">
        <v>476</v>
      </c>
      <c r="G51" s="115">
        <v>0</v>
      </c>
      <c r="H51" s="115">
        <v>45</v>
      </c>
      <c r="I51" s="194">
        <v>45</v>
      </c>
      <c r="J51" s="116">
        <v>44893</v>
      </c>
      <c r="K51" s="116">
        <v>216012</v>
      </c>
      <c r="L51" s="116">
        <v>682269</v>
      </c>
      <c r="M51" s="195">
        <v>1.3028372900984365E-2</v>
      </c>
      <c r="N51" s="195">
        <v>9.9251772561533198E-4</v>
      </c>
      <c r="O51" s="195">
        <v>7.4232366565455087E-3</v>
      </c>
      <c r="P51" s="195">
        <v>3.2984000316753609E-2</v>
      </c>
      <c r="R51" s="201" t="s">
        <v>468</v>
      </c>
      <c r="S51" s="202">
        <f>SUMIFS(Scoreboard_17[Damage Dealt],Scoreboard_17[Role],"Tank",Scoreboard_17[Team],"Yellow")</f>
        <v>2263123</v>
      </c>
      <c r="T51" s="203">
        <f>SUMIFS(Scoreboard_17[Damage Dealt],Scoreboard_17[Role],"Tank",Scoreboard_17[Team],"Red")</f>
        <v>791323</v>
      </c>
    </row>
    <row r="52" spans="1:20" ht="22.5" customHeight="1">
      <c r="A52" s="115">
        <v>28</v>
      </c>
      <c r="B52" s="115" t="str">
        <f>VLOOKUP(C52,Lists!I:J,2,FALSE)</f>
        <v>Ranged DPS</v>
      </c>
      <c r="C52" s="115" t="s">
        <v>58</v>
      </c>
      <c r="D52" s="115" t="s">
        <v>714</v>
      </c>
      <c r="E52" s="98" t="s">
        <v>764</v>
      </c>
      <c r="F52" s="115" t="s">
        <v>483</v>
      </c>
      <c r="G52" s="115">
        <v>15</v>
      </c>
      <c r="H52" s="115">
        <v>29</v>
      </c>
      <c r="I52" s="194">
        <f t="shared" ref="I52:I54" si="6">SUM(G52:H52)</f>
        <v>44</v>
      </c>
      <c r="J52" s="116">
        <v>1247548</v>
      </c>
      <c r="K52" s="116">
        <v>963146</v>
      </c>
      <c r="L52" s="116">
        <v>0</v>
      </c>
      <c r="M52" s="195">
        <f>I52/(HLOOKUP(F52,Team_Composition_17[[#All],[Yellow]:[Red]],10,FALSE)+HLOOKUP(F52,Team_Composition_17[[#All],[Yellow]:[Red]],11,FALSE))</f>
        <v>2.2715539494062985E-2</v>
      </c>
      <c r="N52" s="195">
        <f>J52/HLOOKUP(F52,Team_Composition_17[[#All],[Yellow]:[Red]],6,FALSE)</f>
        <v>4.149697358166473E-2</v>
      </c>
      <c r="O52" s="195">
        <f>K52/HLOOKUP(F52,Team_Composition_17[[#All],[Yellow]:[Red]],8,FALSE)</f>
        <v>2.1916784911377225E-2</v>
      </c>
      <c r="P52" s="195">
        <f>L52/HLOOKUP(F52,Team_Composition_17[[#All],[Yellow]:[Red]],7,FALSE)</f>
        <v>0</v>
      </c>
      <c r="R52" s="201" t="s">
        <v>469</v>
      </c>
      <c r="S52" s="202">
        <f>SUMIFS(Scoreboard_17[Damage Taken],Scoreboard_17[Role],"Tank",Scoreboard_17[Team],"Yellow")</f>
        <v>6189814</v>
      </c>
      <c r="T52" s="203">
        <f>SUMIFS(Scoreboard_17[Damage Taken],Scoreboard_17[Role],"Tank",Scoreboard_17[Team],"Red")</f>
        <v>5875585</v>
      </c>
    </row>
    <row r="53" spans="1:20" ht="22.5" customHeight="1">
      <c r="A53" s="115">
        <v>46</v>
      </c>
      <c r="B53" s="115" t="str">
        <f>VLOOKUP(C53,Lists!I:J,2,FALSE)</f>
        <v>Healer</v>
      </c>
      <c r="C53" s="115" t="str">
        <f>VLOOKUP(E53,Lists!D:E,2,FALSE)</f>
        <v>Wand/Orb</v>
      </c>
      <c r="D53" s="115" t="s">
        <v>7</v>
      </c>
      <c r="E53" s="98" t="s">
        <v>59</v>
      </c>
      <c r="F53" s="115" t="s">
        <v>476</v>
      </c>
      <c r="G53" s="115">
        <v>1</v>
      </c>
      <c r="H53" s="115">
        <v>40</v>
      </c>
      <c r="I53" s="194">
        <f t="shared" si="6"/>
        <v>41</v>
      </c>
      <c r="J53" s="116">
        <v>49327</v>
      </c>
      <c r="K53" s="116">
        <v>400006</v>
      </c>
      <c r="L53" s="116">
        <v>814415</v>
      </c>
      <c r="M53" s="195">
        <f>I53/(HLOOKUP(F53,Team_Composition_17[[#All],[Yellow]:[Red]],10,FALSE)+HLOOKUP(F53,Team_Composition_17[[#All],[Yellow]:[Red]],11,FALSE))</f>
        <v>1.1870295309785756E-2</v>
      </c>
      <c r="N53" s="195">
        <f>J53/HLOOKUP(F53,Team_Composition_17[[#All],[Yellow]:[Red]],6,FALSE)</f>
        <v>1.0905468970981553E-3</v>
      </c>
      <c r="O53" s="195">
        <f>K53/HLOOKUP(F53,Team_Composition_17[[#All],[Yellow]:[Red]],8,FALSE)</f>
        <v>1.3746177073672494E-2</v>
      </c>
      <c r="P53" s="195">
        <f>L53/HLOOKUP(F53,Team_Composition_17[[#All],[Yellow]:[Red]],7,FALSE)</f>
        <v>3.9372541648483063E-2</v>
      </c>
      <c r="R53" s="201" t="s">
        <v>470</v>
      </c>
      <c r="S53" s="202">
        <f>SUMIFS(Scoreboard_17[Amount Healed],Scoreboard_17[Role],"Tank",Scoreboard_17[Team],"Yellow")</f>
        <v>544479</v>
      </c>
      <c r="T53" s="203">
        <f>SUMIFS(Scoreboard_17[Amount Healed],Scoreboard_17[Role],"Tank",Scoreboard_17[Team],"Red")</f>
        <v>250663</v>
      </c>
    </row>
    <row r="54" spans="1:20" ht="22.5" customHeight="1">
      <c r="A54" s="115">
        <v>41</v>
      </c>
      <c r="B54" s="115" t="e">
        <f>VLOOKUP(C54,Lists!I:J,2,FALSE)</f>
        <v>#N/A</v>
      </c>
      <c r="C54" s="115" t="e">
        <f>VLOOKUP(E54,Lists!D:E,2,FALSE)</f>
        <v>#N/A</v>
      </c>
      <c r="D54" s="115" t="s">
        <v>714</v>
      </c>
      <c r="E54" s="98" t="s">
        <v>741</v>
      </c>
      <c r="F54" s="115" t="s">
        <v>483</v>
      </c>
      <c r="G54" s="115">
        <v>2</v>
      </c>
      <c r="H54" s="115">
        <v>35</v>
      </c>
      <c r="I54" s="194">
        <f t="shared" si="6"/>
        <v>37</v>
      </c>
      <c r="J54" s="116">
        <v>477908</v>
      </c>
      <c r="K54" s="116">
        <v>959381</v>
      </c>
      <c r="L54" s="116">
        <v>76251</v>
      </c>
      <c r="M54" s="195">
        <f>I54/(HLOOKUP(F54,Team_Composition_17[[#All],[Yellow]:[Red]],10,FALSE)+HLOOKUP(F54,Team_Composition_17[[#All],[Yellow]:[Red]],11,FALSE))</f>
        <v>1.9101703665462055E-2</v>
      </c>
      <c r="N54" s="195">
        <f>J54/HLOOKUP(F54,Team_Composition_17[[#All],[Yellow]:[Red]],6,FALSE)</f>
        <v>1.5896571234506589E-2</v>
      </c>
      <c r="O54" s="195">
        <f>K54/HLOOKUP(F54,Team_Composition_17[[#All],[Yellow]:[Red]],8,FALSE)</f>
        <v>2.1831110781815002E-2</v>
      </c>
      <c r="P54" s="195">
        <f>L54/HLOOKUP(F54,Team_Composition_17[[#All],[Yellow]:[Red]],7,FALSE)</f>
        <v>2.6698738813637755E-3</v>
      </c>
      <c r="R54" s="201" t="s">
        <v>465</v>
      </c>
      <c r="S54" s="202">
        <f>SUMIFS(Scoreboard_17[Kills],Scoreboard_17[Role],"Tank",Scoreboard_17[Team],"Yellow")</f>
        <v>17</v>
      </c>
      <c r="T54" s="203">
        <f>SUMIFS(Scoreboard_17[Kills],Scoreboard_17[Role],"Tank",Scoreboard_17[Team],"Red")</f>
        <v>3</v>
      </c>
    </row>
    <row r="55" spans="1:20" ht="22.5" customHeight="1">
      <c r="A55" s="115">
        <v>68</v>
      </c>
      <c r="B55" s="115" t="s">
        <v>11</v>
      </c>
      <c r="C55" s="115" t="s">
        <v>9</v>
      </c>
      <c r="D55" s="115" t="s">
        <v>714</v>
      </c>
      <c r="E55" s="98" t="s">
        <v>765</v>
      </c>
      <c r="F55" s="115" t="s">
        <v>483</v>
      </c>
      <c r="G55" s="115">
        <v>0</v>
      </c>
      <c r="H55" s="115">
        <v>37</v>
      </c>
      <c r="I55" s="194">
        <v>37</v>
      </c>
      <c r="J55" s="116">
        <v>13997</v>
      </c>
      <c r="K55" s="116">
        <v>622846</v>
      </c>
      <c r="L55" s="116">
        <v>838944</v>
      </c>
      <c r="M55" s="195">
        <v>1.9101703665462055E-2</v>
      </c>
      <c r="N55" s="195">
        <v>4.6557979269940816E-4</v>
      </c>
      <c r="O55" s="195">
        <v>1.4173117902074719E-2</v>
      </c>
      <c r="P55" s="195">
        <v>2.937502030828253E-2</v>
      </c>
      <c r="R55" s="201" t="s">
        <v>466</v>
      </c>
      <c r="S55" s="202">
        <f>SUMIFS(Scoreboard_17[Assists],Scoreboard_17[Role],"Tank",Scoreboard_17[Team],"Yellow")</f>
        <v>353</v>
      </c>
      <c r="T55" s="203">
        <f>SUMIFS(Scoreboard_17[Assists],Scoreboard_17[Role],"Tank",Scoreboard_17[Team],"Red")</f>
        <v>76</v>
      </c>
    </row>
    <row r="56" spans="1:20" ht="22.5" customHeight="1">
      <c r="A56" s="115">
        <v>42</v>
      </c>
      <c r="B56" s="115" t="str">
        <f>VLOOKUP(C56,Lists!I:J,2,FALSE)</f>
        <v>Tank</v>
      </c>
      <c r="C56" s="115" t="str">
        <f>VLOOKUP(E56,Lists!D:E,2,FALSE)</f>
        <v>SnS/Greatsword</v>
      </c>
      <c r="D56" s="115" t="s">
        <v>7</v>
      </c>
      <c r="E56" s="98" t="s">
        <v>93</v>
      </c>
      <c r="F56" s="115" t="s">
        <v>476</v>
      </c>
      <c r="G56" s="115">
        <v>2</v>
      </c>
      <c r="H56" s="115">
        <v>34</v>
      </c>
      <c r="I56" s="194">
        <f>SUM(G56:H56)</f>
        <v>36</v>
      </c>
      <c r="J56" s="116">
        <v>121854</v>
      </c>
      <c r="K56" s="116">
        <v>962170</v>
      </c>
      <c r="L56" s="116">
        <v>38891</v>
      </c>
      <c r="M56" s="195">
        <f>I56/(HLOOKUP(F56,Team_Composition_17[[#All],[Yellow]:[Red]],10,FALSE)+HLOOKUP(F56,Team_Composition_17[[#All],[Yellow]:[Red]],11,FALSE))</f>
        <v>1.0422698320787493E-2</v>
      </c>
      <c r="N56" s="195">
        <f>J56/HLOOKUP(F56,Team_Composition_17[[#All],[Yellow]:[Red]],6,FALSE)</f>
        <v>2.6940114257708479E-3</v>
      </c>
      <c r="O56" s="195">
        <f>K56/HLOOKUP(F56,Team_Composition_17[[#All],[Yellow]:[Red]],8,FALSE)</f>
        <v>3.3064902013908451E-2</v>
      </c>
      <c r="P56" s="195">
        <f>L56/HLOOKUP(F56,Team_Composition_17[[#All],[Yellow]:[Red]],7,FALSE)</f>
        <v>1.8801686084504274E-3</v>
      </c>
      <c r="R56" s="201" t="s">
        <v>62</v>
      </c>
      <c r="S56" s="202">
        <f t="shared" ref="S56:S60" si="7">COUNTIFS(C:C,R56,F:F,"Yellow")</f>
        <v>2</v>
      </c>
      <c r="T56" s="203">
        <f t="shared" ref="T56:T60" si="8">COUNTIFS(C:C,R56,F:F,"Red")</f>
        <v>2</v>
      </c>
    </row>
    <row r="57" spans="1:20" ht="22.5" customHeight="1">
      <c r="A57" s="115">
        <v>69</v>
      </c>
      <c r="B57" s="115" t="s">
        <v>11</v>
      </c>
      <c r="C57" s="115" t="s">
        <v>9</v>
      </c>
      <c r="D57" s="115" t="s">
        <v>714</v>
      </c>
      <c r="E57" s="98" t="s">
        <v>740</v>
      </c>
      <c r="F57" s="115" t="s">
        <v>483</v>
      </c>
      <c r="G57" s="115">
        <v>0</v>
      </c>
      <c r="H57" s="115">
        <v>36</v>
      </c>
      <c r="I57" s="194">
        <v>36</v>
      </c>
      <c r="J57" s="116">
        <v>27500</v>
      </c>
      <c r="K57" s="116">
        <v>490093</v>
      </c>
      <c r="L57" s="116">
        <v>1243339</v>
      </c>
      <c r="M57" s="195">
        <v>1.8585441404233349E-2</v>
      </c>
      <c r="N57" s="195">
        <v>9.1472774874856928E-4</v>
      </c>
      <c r="O57" s="195">
        <v>1.1152268573582404E-2</v>
      </c>
      <c r="P57" s="195">
        <v>4.3534620159485844E-2</v>
      </c>
      <c r="R57" s="201" t="s">
        <v>70</v>
      </c>
      <c r="S57" s="202">
        <f t="shared" si="7"/>
        <v>0</v>
      </c>
      <c r="T57" s="203">
        <f t="shared" si="8"/>
        <v>0</v>
      </c>
    </row>
    <row r="58" spans="1:20" ht="22.5" customHeight="1">
      <c r="A58" s="115">
        <v>43</v>
      </c>
      <c r="B58" s="115" t="str">
        <f>VLOOKUP(C58,Lists!I:J,2,FALSE)</f>
        <v>Tank</v>
      </c>
      <c r="C58" s="115" t="s">
        <v>14</v>
      </c>
      <c r="D58" s="115" t="s">
        <v>714</v>
      </c>
      <c r="E58" s="98" t="s">
        <v>766</v>
      </c>
      <c r="F58" s="115" t="s">
        <v>483</v>
      </c>
      <c r="G58" s="115">
        <v>2</v>
      </c>
      <c r="H58" s="115">
        <v>33</v>
      </c>
      <c r="I58" s="194">
        <f t="shared" ref="I58:I59" si="9">SUM(G58:H58)</f>
        <v>35</v>
      </c>
      <c r="J58" s="116">
        <v>92827</v>
      </c>
      <c r="K58" s="116">
        <v>776686</v>
      </c>
      <c r="L58" s="116">
        <v>1594</v>
      </c>
      <c r="M58" s="195">
        <f>I58/(HLOOKUP(F58,Team_Composition_17[[#All],[Yellow]:[Red]],10,FALSE)+HLOOKUP(F58,Team_Composition_17[[#All],[Yellow]:[Red]],11,FALSE))</f>
        <v>1.8069179143004648E-2</v>
      </c>
      <c r="N58" s="195">
        <f>J58/HLOOKUP(F58,Team_Composition_17[[#All],[Yellow]:[Red]],6,FALSE)</f>
        <v>3.0876884630212159E-3</v>
      </c>
      <c r="O58" s="195">
        <f>K58/HLOOKUP(F58,Team_Composition_17[[#All],[Yellow]:[Red]],8,FALSE)</f>
        <v>1.767381062235417E-2</v>
      </c>
      <c r="P58" s="195">
        <f>L58/HLOOKUP(F58,Team_Composition_17[[#All],[Yellow]:[Red]],7,FALSE)</f>
        <v>5.5812762677130238E-5</v>
      </c>
      <c r="R58" s="201" t="s">
        <v>14</v>
      </c>
      <c r="S58" s="202">
        <f t="shared" si="7"/>
        <v>9</v>
      </c>
      <c r="T58" s="203">
        <f t="shared" si="8"/>
        <v>4</v>
      </c>
    </row>
    <row r="59" spans="1:20" ht="22.5" customHeight="1">
      <c r="A59" s="115">
        <v>32</v>
      </c>
      <c r="B59" s="115" t="str">
        <f>VLOOKUP(C59,Lists!I:J,2,FALSE)</f>
        <v>KS</v>
      </c>
      <c r="C59" s="115" t="s">
        <v>69</v>
      </c>
      <c r="D59" s="115" t="s">
        <v>714</v>
      </c>
      <c r="E59" s="98" t="s">
        <v>767</v>
      </c>
      <c r="F59" s="115" t="s">
        <v>483</v>
      </c>
      <c r="G59" s="115">
        <v>10</v>
      </c>
      <c r="H59" s="115">
        <v>24</v>
      </c>
      <c r="I59" s="194">
        <f t="shared" si="9"/>
        <v>34</v>
      </c>
      <c r="J59" s="116">
        <v>675155</v>
      </c>
      <c r="K59" s="116">
        <v>1287136</v>
      </c>
      <c r="L59" s="116">
        <v>79763</v>
      </c>
      <c r="M59" s="195">
        <f>I59/(HLOOKUP(F59,Team_Composition_17[[#All],[Yellow]:[Red]],10,FALSE)+HLOOKUP(F59,Team_Composition_17[[#All],[Yellow]:[Red]],11,FALSE))</f>
        <v>1.7552916881775942E-2</v>
      </c>
      <c r="N59" s="195">
        <f>J59/HLOOKUP(F59,Team_Composition_17[[#All],[Yellow]:[Red]],6,FALSE)</f>
        <v>2.2457564116594192E-2</v>
      </c>
      <c r="O59" s="195">
        <f>K59/HLOOKUP(F59,Team_Composition_17[[#All],[Yellow]:[Red]],8,FALSE)</f>
        <v>2.9289311136307929E-2</v>
      </c>
      <c r="P59" s="195">
        <f>L59/HLOOKUP(F59,Team_Composition_17[[#All],[Yellow]:[Red]],7,FALSE)</f>
        <v>2.7928440335106271E-3</v>
      </c>
      <c r="R59" s="201" t="s">
        <v>73</v>
      </c>
      <c r="S59" s="202">
        <f t="shared" si="7"/>
        <v>1</v>
      </c>
      <c r="T59" s="203">
        <f t="shared" si="8"/>
        <v>0</v>
      </c>
    </row>
    <row r="60" spans="1:20" ht="22.5" customHeight="1">
      <c r="A60" s="115">
        <v>70</v>
      </c>
      <c r="B60" s="115" t="s">
        <v>11</v>
      </c>
      <c r="C60" s="115" t="s">
        <v>10</v>
      </c>
      <c r="D60" s="115" t="s">
        <v>714</v>
      </c>
      <c r="E60" s="98" t="s">
        <v>748</v>
      </c>
      <c r="F60" s="115" t="s">
        <v>483</v>
      </c>
      <c r="G60" s="115">
        <v>0</v>
      </c>
      <c r="H60" s="115">
        <v>34</v>
      </c>
      <c r="I60" s="194">
        <v>34</v>
      </c>
      <c r="J60" s="116">
        <v>15195</v>
      </c>
      <c r="K60" s="116">
        <v>710358</v>
      </c>
      <c r="L60" s="116">
        <v>1844124</v>
      </c>
      <c r="M60" s="195">
        <v>1.7552916881775942E-2</v>
      </c>
      <c r="N60" s="195">
        <v>5.0542865971761857E-4</v>
      </c>
      <c r="O60" s="195">
        <v>1.6164489595633581E-2</v>
      </c>
      <c r="P60" s="195">
        <v>6.4570674503889661E-2</v>
      </c>
      <c r="R60" s="201" t="s">
        <v>75</v>
      </c>
      <c r="S60" s="202">
        <f t="shared" si="7"/>
        <v>0</v>
      </c>
      <c r="T60" s="203">
        <f t="shared" si="8"/>
        <v>0</v>
      </c>
    </row>
    <row r="61" spans="1:20" ht="22.5" customHeight="1">
      <c r="A61" s="115">
        <v>34</v>
      </c>
      <c r="B61" s="115" t="e">
        <f>VLOOKUP(C61,Lists!I:J,2,FALSE)</f>
        <v>#N/A</v>
      </c>
      <c r="C61" s="115" t="e">
        <f>VLOOKUP(E61,Lists!D:E,2,FALSE)</f>
        <v>#N/A</v>
      </c>
      <c r="D61" s="115" t="s">
        <v>714</v>
      </c>
      <c r="E61" s="98" t="s">
        <v>732</v>
      </c>
      <c r="F61" s="115" t="s">
        <v>483</v>
      </c>
      <c r="G61" s="115">
        <v>7</v>
      </c>
      <c r="H61" s="115">
        <v>25</v>
      </c>
      <c r="I61" s="194">
        <f>SUM(G61:H61)</f>
        <v>32</v>
      </c>
      <c r="J61" s="116">
        <v>955267</v>
      </c>
      <c r="K61" s="116">
        <v>1307193</v>
      </c>
      <c r="L61" s="116">
        <v>85357</v>
      </c>
      <c r="M61" s="195">
        <f>I61/(HLOOKUP(F61,Team_Composition_17[[#All],[Yellow]:[Red]],10,FALSE)+HLOOKUP(F61,Team_Composition_17[[#All],[Yellow]:[Red]],11,FALSE))</f>
        <v>1.6520392359318535E-2</v>
      </c>
      <c r="N61" s="195">
        <f>J61/HLOOKUP(F61,Team_Composition_17[[#All],[Yellow]:[Red]],6,FALSE)</f>
        <v>3.1774881176865437E-2</v>
      </c>
      <c r="O61" s="195">
        <f>K61/HLOOKUP(F61,Team_Composition_17[[#All],[Yellow]:[Red]],8,FALSE)</f>
        <v>2.9745716452809778E-2</v>
      </c>
      <c r="P61" s="195">
        <f>L61/HLOOKUP(F61,Team_Composition_17[[#All],[Yellow]:[Red]],7,FALSE)</f>
        <v>2.9887139170839436E-3</v>
      </c>
      <c r="R61" s="204"/>
      <c r="S61" s="208"/>
      <c r="T61" s="208"/>
    </row>
    <row r="62" spans="1:20" ht="22.5" customHeight="1">
      <c r="A62" s="115">
        <v>72</v>
      </c>
      <c r="B62" s="115" t="s">
        <v>67</v>
      </c>
      <c r="C62" s="115" t="s">
        <v>14</v>
      </c>
      <c r="D62" s="115" t="s">
        <v>7</v>
      </c>
      <c r="E62" s="98" t="s">
        <v>35</v>
      </c>
      <c r="F62" s="115" t="s">
        <v>476</v>
      </c>
      <c r="G62" s="115">
        <v>0</v>
      </c>
      <c r="H62" s="115">
        <v>31</v>
      </c>
      <c r="I62" s="194">
        <v>31</v>
      </c>
      <c r="J62" s="116">
        <v>39010</v>
      </c>
      <c r="K62" s="116">
        <v>245848</v>
      </c>
      <c r="L62" s="116">
        <v>14527</v>
      </c>
      <c r="M62" s="195">
        <v>8.9751013317892307E-3</v>
      </c>
      <c r="N62" s="195">
        <v>8.6245331067770264E-4</v>
      </c>
      <c r="O62" s="195">
        <v>8.4485486247912155E-3</v>
      </c>
      <c r="P62" s="195">
        <v>7.0230154470081409E-4</v>
      </c>
      <c r="R62" s="6"/>
      <c r="S62" s="209"/>
      <c r="T62" s="209"/>
    </row>
    <row r="63" spans="1:20" ht="22.5" customHeight="1">
      <c r="A63" s="115">
        <v>71</v>
      </c>
      <c r="B63" s="115" t="s">
        <v>11</v>
      </c>
      <c r="C63" s="115" t="s">
        <v>10</v>
      </c>
      <c r="D63" s="115" t="s">
        <v>714</v>
      </c>
      <c r="E63" s="98" t="s">
        <v>735</v>
      </c>
      <c r="F63" s="115" t="s">
        <v>483</v>
      </c>
      <c r="G63" s="115">
        <v>0</v>
      </c>
      <c r="H63" s="115">
        <v>31</v>
      </c>
      <c r="I63" s="194">
        <v>31</v>
      </c>
      <c r="J63" s="116">
        <v>63537</v>
      </c>
      <c r="K63" s="116">
        <v>1213498</v>
      </c>
      <c r="L63" s="116">
        <v>2255455</v>
      </c>
      <c r="M63" s="195">
        <v>1.600413009808983E-2</v>
      </c>
      <c r="N63" s="195">
        <v>2.1134202535359218E-3</v>
      </c>
      <c r="O63" s="195">
        <v>2.7613648041300527E-2</v>
      </c>
      <c r="P63" s="195">
        <v>7.8973133402726964E-2</v>
      </c>
      <c r="R63" s="232" t="s">
        <v>11</v>
      </c>
      <c r="S63" s="228"/>
      <c r="T63" s="228"/>
    </row>
    <row r="64" spans="1:20" ht="22.5" customHeight="1">
      <c r="A64" s="115">
        <v>47</v>
      </c>
      <c r="B64" s="115" t="e">
        <f>VLOOKUP(C64,Lists!I:J,2,FALSE)</f>
        <v>#N/A</v>
      </c>
      <c r="C64" s="115" t="e">
        <f>VLOOKUP(E64,Lists!D:E,2,FALSE)</f>
        <v>#N/A</v>
      </c>
      <c r="D64" s="115" t="s">
        <v>714</v>
      </c>
      <c r="E64" s="98" t="s">
        <v>738</v>
      </c>
      <c r="F64" s="115" t="s">
        <v>483</v>
      </c>
      <c r="G64" s="115">
        <v>1</v>
      </c>
      <c r="H64" s="115">
        <v>29</v>
      </c>
      <c r="I64" s="194">
        <f>SUM(G64:H64)</f>
        <v>30</v>
      </c>
      <c r="J64" s="116">
        <v>53985</v>
      </c>
      <c r="K64" s="116">
        <v>650909</v>
      </c>
      <c r="L64" s="116">
        <v>1733075</v>
      </c>
      <c r="M64" s="195">
        <f>I64/(HLOOKUP(F64,Team_Composition_17[[#All],[Yellow]:[Red]],10,FALSE)+HLOOKUP(F64,Team_Composition_17[[#All],[Yellow]:[Red]],11,FALSE))</f>
        <v>1.5487867836861126E-2</v>
      </c>
      <c r="N64" s="195">
        <f>J64/HLOOKUP(F64,Team_Composition_17[[#All],[Yellow]:[Red]],6,FALSE)</f>
        <v>1.7956937278615095E-3</v>
      </c>
      <c r="O64" s="195">
        <f>K64/HLOOKUP(F64,Team_Composition_17[[#All],[Yellow]:[Red]],8,FALSE)</f>
        <v>1.4811703054240621E-2</v>
      </c>
      <c r="P64" s="195">
        <f>L64/HLOOKUP(F64,Team_Composition_17[[#All],[Yellow]:[Red]],7,FALSE)</f>
        <v>6.068237369928952E-2</v>
      </c>
      <c r="R64" s="197" t="s">
        <v>482</v>
      </c>
      <c r="S64" s="198" t="s">
        <v>476</v>
      </c>
      <c r="T64" s="198" t="s">
        <v>483</v>
      </c>
    </row>
    <row r="65" spans="1:20" ht="22.5" customHeight="1">
      <c r="A65" s="115">
        <v>73</v>
      </c>
      <c r="B65" s="115" t="s">
        <v>11</v>
      </c>
      <c r="C65" s="115" t="s">
        <v>9</v>
      </c>
      <c r="D65" s="115" t="s">
        <v>714</v>
      </c>
      <c r="E65" s="98" t="s">
        <v>734</v>
      </c>
      <c r="F65" s="115" t="s">
        <v>483</v>
      </c>
      <c r="G65" s="115">
        <v>0</v>
      </c>
      <c r="H65" s="115">
        <v>30</v>
      </c>
      <c r="I65" s="194">
        <v>30</v>
      </c>
      <c r="J65" s="116">
        <v>12018</v>
      </c>
      <c r="K65" s="116">
        <v>462963</v>
      </c>
      <c r="L65" s="116">
        <v>859463</v>
      </c>
      <c r="M65" s="195">
        <v>1.5487867836861126E-2</v>
      </c>
      <c r="N65" s="195">
        <v>3.9975265761673837E-4</v>
      </c>
      <c r="O65" s="195">
        <v>1.0534914221650647E-2</v>
      </c>
      <c r="P65" s="195">
        <v>3.0093478324199743E-2</v>
      </c>
      <c r="R65" s="201" t="s">
        <v>468</v>
      </c>
      <c r="S65" s="202">
        <f>SUMIFS(Scoreboard_17[Damage Dealt],Scoreboard_17[Role],"Healer",Scoreboard_17[Team],"Yellow")</f>
        <v>1477126</v>
      </c>
      <c r="T65" s="203">
        <f>SUMIFS(Scoreboard_17[Damage Dealt],Scoreboard_17[Role],"Healer",Scoreboard_17[Team],"Red")</f>
        <v>277474</v>
      </c>
    </row>
    <row r="66" spans="1:20" ht="22.5" customHeight="1">
      <c r="A66" s="115">
        <v>74</v>
      </c>
      <c r="B66" s="115" t="s">
        <v>11</v>
      </c>
      <c r="C66" s="115" t="s">
        <v>9</v>
      </c>
      <c r="D66" s="115" t="s">
        <v>714</v>
      </c>
      <c r="E66" s="98" t="s">
        <v>128</v>
      </c>
      <c r="F66" s="115" t="s">
        <v>483</v>
      </c>
      <c r="G66" s="115">
        <v>0</v>
      </c>
      <c r="H66" s="115">
        <v>30</v>
      </c>
      <c r="I66" s="194">
        <v>30</v>
      </c>
      <c r="J66" s="116">
        <v>7695</v>
      </c>
      <c r="K66" s="116">
        <v>935976</v>
      </c>
      <c r="L66" s="116">
        <v>854065</v>
      </c>
      <c r="M66" s="195">
        <v>1.5487867836861126E-2</v>
      </c>
      <c r="N66" s="195">
        <v>2.5595745551346328E-4</v>
      </c>
      <c r="O66" s="195">
        <v>2.1298520342929533E-2</v>
      </c>
      <c r="P66" s="195">
        <v>2.990447123955034E-2</v>
      </c>
      <c r="R66" s="201" t="s">
        <v>469</v>
      </c>
      <c r="S66" s="202">
        <f>SUMIFS(Scoreboard_17[Damage Taken],Scoreboard_17[Role],"Healer",Scoreboard_17[Team],"Yellow")</f>
        <v>8614663</v>
      </c>
      <c r="T66" s="203">
        <f>SUMIFS(Scoreboard_17[Damage Taken],Scoreboard_17[Role],"Healer",Scoreboard_17[Team],"Red")</f>
        <v>10518814</v>
      </c>
    </row>
    <row r="67" spans="1:20" ht="22.5" customHeight="1">
      <c r="A67" s="115">
        <v>48</v>
      </c>
      <c r="B67" s="115" t="str">
        <f>VLOOKUP(C67,Lists!I:J,2,FALSE)</f>
        <v>Tank</v>
      </c>
      <c r="C67" s="115" t="str">
        <f>VLOOKUP(E67,Lists!D:E,2,FALSE)</f>
        <v>SnS/Greatsword</v>
      </c>
      <c r="D67" s="115" t="s">
        <v>7</v>
      </c>
      <c r="E67" s="98" t="s">
        <v>85</v>
      </c>
      <c r="F67" s="115" t="s">
        <v>476</v>
      </c>
      <c r="G67" s="115">
        <v>1</v>
      </c>
      <c r="H67" s="115">
        <v>28</v>
      </c>
      <c r="I67" s="194">
        <f>SUM(G67:H67)</f>
        <v>29</v>
      </c>
      <c r="J67" s="116">
        <v>22034</v>
      </c>
      <c r="K67" s="116">
        <v>396524</v>
      </c>
      <c r="L67" s="116">
        <v>26980</v>
      </c>
      <c r="M67" s="195">
        <f>I67/(HLOOKUP(F67,Team_Composition_17[[#All],[Yellow]:[Red]],10,FALSE)+HLOOKUP(F67,Team_Composition_17[[#All],[Yellow]:[Red]],11,FALSE))</f>
        <v>8.3960625361899251E-3</v>
      </c>
      <c r="N67" s="195">
        <f>J67/HLOOKUP(F67,Team_Composition_17[[#All],[Yellow]:[Red]],6,FALSE)</f>
        <v>4.8713909888419634E-4</v>
      </c>
      <c r="O67" s="195">
        <f>K67/HLOOKUP(F67,Team_Composition_17[[#All],[Yellow]:[Red]],8,FALSE)</f>
        <v>1.3626518397126322E-2</v>
      </c>
      <c r="P67" s="195">
        <f>L67/HLOOKUP(F67,Team_Composition_17[[#All],[Yellow]:[Red]],7,FALSE)</f>
        <v>1.3043364546037009E-3</v>
      </c>
      <c r="R67" s="201" t="s">
        <v>470</v>
      </c>
      <c r="S67" s="202">
        <f>SUMIFS(Scoreboard_17[Amount Healed],Scoreboard_17[Role],"Healer",Scoreboard_17[Team],"Yellow")</f>
        <v>18470543</v>
      </c>
      <c r="T67" s="203">
        <f>SUMIFS(Scoreboard_17[Amount Healed],Scoreboard_17[Role],"Healer",Scoreboard_17[Team],"Red")</f>
        <v>19891321</v>
      </c>
    </row>
    <row r="68" spans="1:20" ht="22.5" customHeight="1">
      <c r="A68" s="115">
        <v>76</v>
      </c>
      <c r="B68" s="115" t="s">
        <v>11</v>
      </c>
      <c r="C68" s="115" t="s">
        <v>9</v>
      </c>
      <c r="D68" s="115" t="s">
        <v>7</v>
      </c>
      <c r="E68" s="98" t="s">
        <v>96</v>
      </c>
      <c r="F68" s="115" t="s">
        <v>476</v>
      </c>
      <c r="G68" s="115">
        <v>0</v>
      </c>
      <c r="H68" s="115">
        <v>29</v>
      </c>
      <c r="I68" s="194">
        <v>29</v>
      </c>
      <c r="J68" s="116">
        <v>15778</v>
      </c>
      <c r="K68" s="116">
        <v>425306</v>
      </c>
      <c r="L68" s="116">
        <v>1187944</v>
      </c>
      <c r="M68" s="195">
        <v>8.3960625361899251E-3</v>
      </c>
      <c r="N68" s="195">
        <v>3.4882820650789008E-4</v>
      </c>
      <c r="O68" s="195">
        <v>1.4615609732092402E-2</v>
      </c>
      <c r="P68" s="195">
        <v>5.7430639926899146E-2</v>
      </c>
      <c r="R68" s="201" t="s">
        <v>465</v>
      </c>
      <c r="S68" s="202">
        <f>SUMIFS(Scoreboard_17[Kills],Scoreboard_17[Role],"Healer",Scoreboard_17[Team],"Yellow")</f>
        <v>5</v>
      </c>
      <c r="T68" s="203">
        <f>SUMIFS(Scoreboard_17[Kills],Scoreboard_17[Role],"Healer",Scoreboard_17[Team],"Red")</f>
        <v>0</v>
      </c>
    </row>
    <row r="69" spans="1:20" ht="22.5" customHeight="1">
      <c r="A69" s="115">
        <v>78</v>
      </c>
      <c r="B69" s="115" t="s">
        <v>11</v>
      </c>
      <c r="C69" s="115" t="s">
        <v>9</v>
      </c>
      <c r="D69" s="115" t="s">
        <v>7</v>
      </c>
      <c r="E69" s="98" t="s">
        <v>100</v>
      </c>
      <c r="F69" s="115" t="s">
        <v>476</v>
      </c>
      <c r="G69" s="115">
        <v>0</v>
      </c>
      <c r="H69" s="115">
        <v>29</v>
      </c>
      <c r="I69" s="194">
        <v>29</v>
      </c>
      <c r="J69" s="116">
        <v>387</v>
      </c>
      <c r="K69" s="116">
        <v>753590</v>
      </c>
      <c r="L69" s="116">
        <v>1473489</v>
      </c>
      <c r="M69" s="195">
        <v>8.3960625361899251E-3</v>
      </c>
      <c r="N69" s="195">
        <v>8.5559966991097389E-6</v>
      </c>
      <c r="O69" s="195">
        <v>2.589706549638969E-2</v>
      </c>
      <c r="P69" s="195">
        <v>7.123518970191077E-2</v>
      </c>
      <c r="R69" s="201" t="s">
        <v>466</v>
      </c>
      <c r="S69" s="202">
        <f>SUMIFS(Scoreboard_17[Assists],Scoreboard_17[Role],"Healer",Scoreboard_17[Team],"Yellow")</f>
        <v>1035</v>
      </c>
      <c r="T69" s="203">
        <f>SUMIFS(Scoreboard_17[Assists],Scoreboard_17[Role],"Healer",Scoreboard_17[Team],"Red")</f>
        <v>429</v>
      </c>
    </row>
    <row r="70" spans="1:20" ht="22.5" customHeight="1">
      <c r="A70" s="115">
        <v>75</v>
      </c>
      <c r="B70" s="115" t="s">
        <v>11</v>
      </c>
      <c r="C70" s="115" t="s">
        <v>9</v>
      </c>
      <c r="D70" s="115" t="s">
        <v>714</v>
      </c>
      <c r="E70" s="98" t="s">
        <v>749</v>
      </c>
      <c r="F70" s="115" t="s">
        <v>483</v>
      </c>
      <c r="G70" s="115">
        <v>0</v>
      </c>
      <c r="H70" s="115">
        <v>29</v>
      </c>
      <c r="I70" s="194">
        <v>29</v>
      </c>
      <c r="J70" s="116">
        <v>33848</v>
      </c>
      <c r="K70" s="116">
        <v>340823</v>
      </c>
      <c r="L70" s="116">
        <v>1183161</v>
      </c>
      <c r="M70" s="195">
        <v>1.4971605575632421E-2</v>
      </c>
      <c r="N70" s="195">
        <v>1.1258801759869662E-3</v>
      </c>
      <c r="O70" s="195">
        <v>7.7555680902483314E-3</v>
      </c>
      <c r="P70" s="195">
        <v>4.1427530804163171E-2</v>
      </c>
      <c r="R70" s="201" t="s">
        <v>10</v>
      </c>
      <c r="S70" s="202">
        <f t="shared" ref="S70:S72" si="10">COUNTIFS(C:C,R70,F:F,"Yellow")</f>
        <v>7</v>
      </c>
      <c r="T70" s="203">
        <f t="shared" ref="T70:T72" si="11">COUNTIFS(C:C,R70,F:F,"Red")</f>
        <v>4</v>
      </c>
    </row>
    <row r="71" spans="1:20" ht="22.5" customHeight="1">
      <c r="A71" s="115">
        <v>77</v>
      </c>
      <c r="B71" s="115" t="s">
        <v>11</v>
      </c>
      <c r="C71" s="115" t="s">
        <v>9</v>
      </c>
      <c r="D71" s="115" t="s">
        <v>714</v>
      </c>
      <c r="E71" s="98" t="s">
        <v>768</v>
      </c>
      <c r="F71" s="115" t="s">
        <v>483</v>
      </c>
      <c r="G71" s="115">
        <v>0</v>
      </c>
      <c r="H71" s="115">
        <v>29</v>
      </c>
      <c r="I71" s="194">
        <v>29</v>
      </c>
      <c r="J71" s="116">
        <v>10493</v>
      </c>
      <c r="K71" s="116">
        <v>445701</v>
      </c>
      <c r="L71" s="116">
        <v>874323</v>
      </c>
      <c r="M71" s="195">
        <v>1.4971605575632421E-2</v>
      </c>
      <c r="N71" s="195">
        <v>3.4902684609522681E-4</v>
      </c>
      <c r="O71" s="195">
        <v>1.0142110284199634E-2</v>
      </c>
      <c r="P71" s="195">
        <v>3.0613790528329073E-2</v>
      </c>
      <c r="R71" s="201" t="s">
        <v>9</v>
      </c>
      <c r="S71" s="202">
        <f t="shared" si="10"/>
        <v>11</v>
      </c>
      <c r="T71" s="203">
        <f t="shared" si="11"/>
        <v>12</v>
      </c>
    </row>
    <row r="72" spans="1:20" ht="22.5" customHeight="1">
      <c r="A72" s="115">
        <v>79</v>
      </c>
      <c r="B72" s="115" t="s">
        <v>11</v>
      </c>
      <c r="C72" s="115" t="s">
        <v>9</v>
      </c>
      <c r="D72" s="115" t="s">
        <v>714</v>
      </c>
      <c r="E72" s="98" t="s">
        <v>724</v>
      </c>
      <c r="F72" s="115" t="s">
        <v>483</v>
      </c>
      <c r="G72" s="115">
        <v>0</v>
      </c>
      <c r="H72" s="115">
        <v>27</v>
      </c>
      <c r="I72" s="194">
        <v>27</v>
      </c>
      <c r="J72" s="116">
        <v>13188</v>
      </c>
      <c r="K72" s="116">
        <v>381337</v>
      </c>
      <c r="L72" s="116">
        <v>765530</v>
      </c>
      <c r="M72" s="195">
        <v>1.3939081053175014E-2</v>
      </c>
      <c r="N72" s="195">
        <v>4.3867016547258659E-4</v>
      </c>
      <c r="O72" s="195">
        <v>8.6774808884113683E-3</v>
      </c>
      <c r="P72" s="195">
        <v>2.6804481939914374E-2</v>
      </c>
      <c r="R72" s="201" t="s">
        <v>18</v>
      </c>
      <c r="S72" s="202">
        <f t="shared" si="10"/>
        <v>0</v>
      </c>
      <c r="T72" s="203">
        <f t="shared" si="11"/>
        <v>0</v>
      </c>
    </row>
    <row r="73" spans="1:20" ht="22.5" customHeight="1">
      <c r="A73" s="115">
        <v>80</v>
      </c>
      <c r="B73" s="115" t="s">
        <v>11</v>
      </c>
      <c r="C73" s="115" t="s">
        <v>9</v>
      </c>
      <c r="D73" s="115" t="s">
        <v>714</v>
      </c>
      <c r="E73" s="98" t="s">
        <v>742</v>
      </c>
      <c r="F73" s="115" t="s">
        <v>483</v>
      </c>
      <c r="G73" s="115">
        <v>0</v>
      </c>
      <c r="H73" s="115">
        <v>26</v>
      </c>
      <c r="I73" s="194">
        <v>26</v>
      </c>
      <c r="J73" s="116">
        <v>3581</v>
      </c>
      <c r="K73" s="116">
        <v>867213</v>
      </c>
      <c r="L73" s="116">
        <v>2643945</v>
      </c>
      <c r="M73" s="195">
        <v>1.3422818791946308E-2</v>
      </c>
      <c r="N73" s="195">
        <v>1.1911418430067732E-4</v>
      </c>
      <c r="O73" s="195">
        <v>1.9733789885801507E-2</v>
      </c>
      <c r="P73" s="195">
        <v>9.2575831126966823E-2</v>
      </c>
    </row>
    <row r="74" spans="1:20" ht="22.5" customHeight="1">
      <c r="A74" s="115">
        <v>81</v>
      </c>
      <c r="B74" s="115" t="s">
        <v>11</v>
      </c>
      <c r="C74" s="115" t="s">
        <v>9</v>
      </c>
      <c r="D74" s="115" t="s">
        <v>714</v>
      </c>
      <c r="E74" s="98" t="s">
        <v>746</v>
      </c>
      <c r="F74" s="115" t="s">
        <v>483</v>
      </c>
      <c r="G74" s="115">
        <v>0</v>
      </c>
      <c r="H74" s="115">
        <v>25</v>
      </c>
      <c r="I74" s="194">
        <v>25</v>
      </c>
      <c r="J74" s="116">
        <v>37803</v>
      </c>
      <c r="K74" s="116">
        <v>349832</v>
      </c>
      <c r="L74" s="116">
        <v>657665</v>
      </c>
      <c r="M74" s="195">
        <v>1.2906556530717605E-2</v>
      </c>
      <c r="N74" s="195">
        <v>1.2574346576706241E-3</v>
      </c>
      <c r="O74" s="195">
        <v>7.9605716050494078E-3</v>
      </c>
      <c r="P74" s="195">
        <v>2.3027666603547593E-2</v>
      </c>
    </row>
    <row r="75" spans="1:20" ht="22.5" customHeight="1">
      <c r="A75" s="115">
        <v>82</v>
      </c>
      <c r="B75" s="115" t="s">
        <v>11</v>
      </c>
      <c r="C75" s="115" t="s">
        <v>9</v>
      </c>
      <c r="D75" s="115" t="s">
        <v>714</v>
      </c>
      <c r="E75" s="98" t="s">
        <v>769</v>
      </c>
      <c r="F75" s="115" t="s">
        <v>483</v>
      </c>
      <c r="G75" s="115">
        <v>0</v>
      </c>
      <c r="H75" s="115">
        <v>24</v>
      </c>
      <c r="I75" s="194">
        <v>24</v>
      </c>
      <c r="J75" s="116">
        <v>3467</v>
      </c>
      <c r="K75" s="116">
        <v>429850</v>
      </c>
      <c r="L75" s="116">
        <v>1023783</v>
      </c>
      <c r="M75" s="195">
        <v>1.23902942694889E-2</v>
      </c>
      <c r="N75" s="195">
        <v>1.1532222199677417E-4</v>
      </c>
      <c r="O75" s="195">
        <v>9.7814142343481663E-3</v>
      </c>
      <c r="P75" s="195">
        <v>3.5847024850615077E-2</v>
      </c>
    </row>
    <row r="76" spans="1:20" ht="22.5" customHeight="1">
      <c r="A76" s="115">
        <v>83</v>
      </c>
      <c r="B76" s="115" t="s">
        <v>11</v>
      </c>
      <c r="C76" s="115" t="s">
        <v>9</v>
      </c>
      <c r="D76" s="115" t="s">
        <v>714</v>
      </c>
      <c r="E76" s="98" t="s">
        <v>744</v>
      </c>
      <c r="F76" s="115" t="s">
        <v>483</v>
      </c>
      <c r="G76" s="115">
        <v>0</v>
      </c>
      <c r="H76" s="115">
        <v>22</v>
      </c>
      <c r="I76" s="194">
        <v>22</v>
      </c>
      <c r="J76" s="116">
        <v>2290</v>
      </c>
      <c r="K76" s="116">
        <v>740096</v>
      </c>
      <c r="L76" s="116">
        <v>1223213</v>
      </c>
      <c r="M76" s="195">
        <v>1.1357769747031492E-2</v>
      </c>
      <c r="N76" s="195">
        <v>7.6171874350335406E-5</v>
      </c>
      <c r="O76" s="195">
        <v>1.6841190064404189E-2</v>
      </c>
      <c r="P76" s="195">
        <v>4.2829922755696685E-2</v>
      </c>
    </row>
    <row r="77" spans="1:20" ht="22.5" customHeight="1">
      <c r="A77" s="115">
        <v>84</v>
      </c>
      <c r="B77" s="115" t="s">
        <v>11</v>
      </c>
      <c r="C77" s="115" t="s">
        <v>9</v>
      </c>
      <c r="D77" s="115" t="s">
        <v>714</v>
      </c>
      <c r="E77" s="98" t="s">
        <v>753</v>
      </c>
      <c r="F77" s="115" t="s">
        <v>483</v>
      </c>
      <c r="G77" s="115">
        <v>0</v>
      </c>
      <c r="H77" s="115">
        <v>22</v>
      </c>
      <c r="I77" s="194">
        <v>22</v>
      </c>
      <c r="J77" s="116">
        <v>1834</v>
      </c>
      <c r="K77" s="116">
        <v>565140</v>
      </c>
      <c r="L77" s="116">
        <v>639844</v>
      </c>
      <c r="M77" s="195">
        <v>1.1357769747031492E-2</v>
      </c>
      <c r="N77" s="195">
        <v>6.1004025134722768E-5</v>
      </c>
      <c r="O77" s="195">
        <v>1.2859994045363553E-2</v>
      </c>
      <c r="P77" s="195">
        <v>2.2403677115674855E-2</v>
      </c>
    </row>
    <row r="78" spans="1:20" ht="22.5" customHeight="1">
      <c r="A78" s="115">
        <v>49</v>
      </c>
      <c r="B78" s="115" t="str">
        <f>VLOOKUP(C78,Lists!I:J,2,FALSE)</f>
        <v>Tank</v>
      </c>
      <c r="C78" s="115" t="str">
        <f>VLOOKUP(E78,Lists!D:E,2,FALSE)</f>
        <v>SnS/Spear</v>
      </c>
      <c r="D78" s="115" t="s">
        <v>7</v>
      </c>
      <c r="E78" s="98" t="s">
        <v>61</v>
      </c>
      <c r="F78" s="115" t="s">
        <v>476</v>
      </c>
      <c r="G78" s="115">
        <v>1</v>
      </c>
      <c r="H78" s="115">
        <v>20</v>
      </c>
      <c r="I78" s="194">
        <f>SUM(G78:H78)</f>
        <v>21</v>
      </c>
      <c r="J78" s="116">
        <v>166299</v>
      </c>
      <c r="K78" s="116">
        <v>200860</v>
      </c>
      <c r="L78" s="116">
        <v>3881</v>
      </c>
      <c r="M78" s="195">
        <f>I78/(HLOOKUP(F78,Team_Composition_17[[#All],[Yellow]:[Red]],10,FALSE)+HLOOKUP(F78,Team_Composition_17[[#All],[Yellow]:[Red]],11,FALSE))</f>
        <v>6.0799073537927042E-3</v>
      </c>
      <c r="N78" s="195">
        <f>J78/HLOOKUP(F78,Team_Composition_17[[#All],[Yellow]:[Red]],6,FALSE)</f>
        <v>3.6766245350523265E-3</v>
      </c>
      <c r="O78" s="195">
        <f>K78/HLOOKUP(F78,Team_Composition_17[[#All],[Yellow]:[Red]],8,FALSE)</f>
        <v>6.902539279455451E-3</v>
      </c>
      <c r="P78" s="195">
        <f>L78/HLOOKUP(F78,Team_Composition_17[[#All],[Yellow]:[Red]],7,FALSE)</f>
        <v>1.8762526984125141E-4</v>
      </c>
    </row>
    <row r="79" spans="1:20" ht="22.5" customHeight="1">
      <c r="A79" s="115">
        <v>85</v>
      </c>
      <c r="B79" s="115" t="s">
        <v>67</v>
      </c>
      <c r="C79" s="115" t="s">
        <v>14</v>
      </c>
      <c r="D79" s="115" t="s">
        <v>7</v>
      </c>
      <c r="E79" s="98" t="s">
        <v>64</v>
      </c>
      <c r="F79" s="115" t="s">
        <v>476</v>
      </c>
      <c r="G79" s="115">
        <v>0</v>
      </c>
      <c r="H79" s="115">
        <v>21</v>
      </c>
      <c r="I79" s="194">
        <v>21</v>
      </c>
      <c r="J79" s="116">
        <v>92281</v>
      </c>
      <c r="K79" s="116">
        <v>277307</v>
      </c>
      <c r="L79" s="116">
        <v>15942</v>
      </c>
      <c r="M79" s="195">
        <v>6.0799073537927042E-3</v>
      </c>
      <c r="N79" s="195">
        <v>2.0401962051435291E-3</v>
      </c>
      <c r="O79" s="195">
        <v>9.5296348698991964E-3</v>
      </c>
      <c r="P79" s="195">
        <v>7.7070910894337294E-4</v>
      </c>
    </row>
    <row r="80" spans="1:20" ht="22.5" customHeight="1">
      <c r="A80" s="115">
        <v>86</v>
      </c>
      <c r="B80" s="115" t="s">
        <v>11</v>
      </c>
      <c r="C80" s="115" t="s">
        <v>10</v>
      </c>
      <c r="D80" s="115" t="s">
        <v>7</v>
      </c>
      <c r="E80" s="98" t="s">
        <v>20</v>
      </c>
      <c r="F80" s="115" t="s">
        <v>476</v>
      </c>
      <c r="G80" s="115">
        <v>0</v>
      </c>
      <c r="H80" s="115">
        <v>21</v>
      </c>
      <c r="I80" s="194">
        <v>21</v>
      </c>
      <c r="J80" s="116">
        <v>8070</v>
      </c>
      <c r="K80" s="116">
        <v>1215618</v>
      </c>
      <c r="L80" s="116">
        <v>1098908</v>
      </c>
      <c r="M80" s="195">
        <v>6.0799073537927042E-3</v>
      </c>
      <c r="N80" s="195">
        <v>1.7841574512097053E-4</v>
      </c>
      <c r="O80" s="195">
        <v>4.1774624085497737E-2</v>
      </c>
      <c r="P80" s="195">
        <v>5.3126232937570191E-2</v>
      </c>
    </row>
    <row r="81" spans="1:16" ht="22.5" customHeight="1">
      <c r="A81" s="115">
        <v>38</v>
      </c>
      <c r="B81" s="115" t="str">
        <f>VLOOKUP(C81,Lists!I:J,2,FALSE)</f>
        <v>Tank</v>
      </c>
      <c r="C81" s="115" t="str">
        <f>VLOOKUP(E81,Lists!D:E,2,FALSE)</f>
        <v>SnS/Greatsword</v>
      </c>
      <c r="D81" s="115" t="s">
        <v>7</v>
      </c>
      <c r="E81" s="98" t="s">
        <v>80</v>
      </c>
      <c r="F81" s="115" t="s">
        <v>476</v>
      </c>
      <c r="G81" s="115">
        <v>3</v>
      </c>
      <c r="H81" s="115">
        <v>17</v>
      </c>
      <c r="I81" s="194">
        <f>SUM(G81:H81)</f>
        <v>20</v>
      </c>
      <c r="J81" s="116">
        <v>555741</v>
      </c>
      <c r="K81" s="116">
        <v>447308</v>
      </c>
      <c r="L81" s="116">
        <v>19163</v>
      </c>
      <c r="M81" s="195">
        <f>I81/(HLOOKUP(F81,Team_Composition_17[[#All],[Yellow]:[Red]],10,FALSE)+HLOOKUP(F81,Team_Composition_17[[#All],[Yellow]:[Red]],11,FALSE))</f>
        <v>5.7903879559930514E-3</v>
      </c>
      <c r="N81" s="195">
        <f>J81/HLOOKUP(F81,Team_Composition_17[[#All],[Yellow]:[Red]],6,FALSE)</f>
        <v>1.2286610236589005E-2</v>
      </c>
      <c r="O81" s="195">
        <f>K81/HLOOKUP(F81,Team_Composition_17[[#All],[Yellow]:[Red]],8,FALSE)</f>
        <v>1.5371706860572831E-2</v>
      </c>
      <c r="P81" s="195">
        <f>L81/HLOOKUP(F81,Team_Composition_17[[#All],[Yellow]:[Red]],7,FALSE)</f>
        <v>9.264269636608866E-4</v>
      </c>
    </row>
    <row r="82" spans="1:16" ht="22.5" customHeight="1">
      <c r="A82" s="115">
        <v>87</v>
      </c>
      <c r="B82" s="115" t="s">
        <v>67</v>
      </c>
      <c r="C82" s="115" t="s">
        <v>14</v>
      </c>
      <c r="D82" s="115" t="s">
        <v>7</v>
      </c>
      <c r="E82" s="98" t="s">
        <v>109</v>
      </c>
      <c r="F82" s="115" t="s">
        <v>476</v>
      </c>
      <c r="G82" s="115">
        <v>0</v>
      </c>
      <c r="H82" s="115">
        <v>19</v>
      </c>
      <c r="I82" s="194">
        <v>19</v>
      </c>
      <c r="J82" s="116">
        <v>87302</v>
      </c>
      <c r="K82" s="116">
        <v>647510</v>
      </c>
      <c r="L82" s="116">
        <v>40061</v>
      </c>
      <c r="M82" s="195">
        <v>5.5008685581933985E-3</v>
      </c>
      <c r="N82" s="195">
        <v>1.9301178910224248E-3</v>
      </c>
      <c r="O82" s="195">
        <v>2.2251634017923922E-2</v>
      </c>
      <c r="P82" s="195">
        <v>1.9367317534425079E-3</v>
      </c>
    </row>
    <row r="83" spans="1:16" ht="22.5" customHeight="1">
      <c r="A83" s="115">
        <v>50</v>
      </c>
      <c r="B83" s="115" t="e">
        <f>VLOOKUP(C83,Lists!I:J,2,FALSE)</f>
        <v>#N/A</v>
      </c>
      <c r="C83" s="115" t="e">
        <f>VLOOKUP(E83,Lists!D:E,2,FALSE)</f>
        <v>#N/A</v>
      </c>
      <c r="D83" s="115" t="s">
        <v>714</v>
      </c>
      <c r="E83" s="98" t="s">
        <v>747</v>
      </c>
      <c r="F83" s="115" t="s">
        <v>483</v>
      </c>
      <c r="G83" s="115">
        <v>1</v>
      </c>
      <c r="H83" s="115">
        <v>18</v>
      </c>
      <c r="I83" s="194">
        <f t="shared" ref="I83:I84" si="12">SUM(G83:H83)</f>
        <v>19</v>
      </c>
      <c r="J83" s="116">
        <v>140373</v>
      </c>
      <c r="K83" s="116">
        <v>1202386</v>
      </c>
      <c r="L83" s="116">
        <v>2043527</v>
      </c>
      <c r="M83" s="195">
        <f>I83/(HLOOKUP(F83,Team_Composition_17[[#All],[Yellow]:[Red]],10,FALSE)+HLOOKUP(F83,Team_Composition_17[[#All],[Yellow]:[Red]],11,FALSE))</f>
        <v>9.80898296334538E-3</v>
      </c>
      <c r="N83" s="195">
        <f>J83/HLOOKUP(F83,Team_Composition_17[[#All],[Yellow]:[Red]],6,FALSE)</f>
        <v>4.6692028463666511E-3</v>
      </c>
      <c r="O83" s="195">
        <f>K83/HLOOKUP(F83,Team_Composition_17[[#All],[Yellow]:[Red]],8,FALSE)</f>
        <v>2.736078989317426E-2</v>
      </c>
      <c r="P83" s="195">
        <f>L83/HLOOKUP(F83,Team_Composition_17[[#All],[Yellow]:[Red]],7,FALSE)</f>
        <v>7.155262702340523E-2</v>
      </c>
    </row>
    <row r="84" spans="1:16" ht="22.5" customHeight="1">
      <c r="A84" s="115">
        <v>36</v>
      </c>
      <c r="B84" s="115" t="e">
        <f>VLOOKUP(C84,Lists!I:J,2,FALSE)</f>
        <v>#N/A</v>
      </c>
      <c r="C84" s="115" t="e">
        <f>VLOOKUP(E84,Lists!D:E,2,FALSE)</f>
        <v>#N/A</v>
      </c>
      <c r="D84" s="115" t="s">
        <v>714</v>
      </c>
      <c r="E84" s="98" t="s">
        <v>751</v>
      </c>
      <c r="F84" s="115" t="s">
        <v>483</v>
      </c>
      <c r="G84" s="115">
        <v>4</v>
      </c>
      <c r="H84" s="115">
        <v>14</v>
      </c>
      <c r="I84" s="194">
        <f t="shared" si="12"/>
        <v>18</v>
      </c>
      <c r="J84" s="116">
        <v>159907</v>
      </c>
      <c r="K84" s="116">
        <v>1291852</v>
      </c>
      <c r="L84" s="116">
        <v>106261</v>
      </c>
      <c r="M84" s="195">
        <f>I84/(HLOOKUP(F84,Team_Composition_17[[#All],[Yellow]:[Red]],10,FALSE)+HLOOKUP(F84,Team_Composition_17[[#All],[Yellow]:[Red]],11,FALSE))</f>
        <v>9.2927207021166747E-3</v>
      </c>
      <c r="N84" s="195">
        <f>J84/HLOOKUP(F84,Team_Composition_17[[#All],[Yellow]:[Red]],6,FALSE)</f>
        <v>5.3189589134231803E-3</v>
      </c>
      <c r="O84" s="195">
        <f>K84/HLOOKUP(F84,Team_Composition_17[[#All],[Yellow]:[Red]],8,FALSE)</f>
        <v>2.9396625663536461E-2</v>
      </c>
      <c r="P84" s="195">
        <f>L84/HLOOKUP(F84,Team_Composition_17[[#All],[Yellow]:[Red]],7,FALSE)</f>
        <v>3.7206524308874131E-3</v>
      </c>
    </row>
    <row r="85" spans="1:16" ht="22.5" customHeight="1">
      <c r="A85" s="115">
        <v>88</v>
      </c>
      <c r="B85" s="115" t="s">
        <v>11</v>
      </c>
      <c r="C85" s="115" t="s">
        <v>10</v>
      </c>
      <c r="D85" s="115" t="s">
        <v>714</v>
      </c>
      <c r="E85" s="98" t="s">
        <v>752</v>
      </c>
      <c r="F85" s="115" t="s">
        <v>483</v>
      </c>
      <c r="G85" s="115">
        <v>0</v>
      </c>
      <c r="H85" s="115">
        <v>18</v>
      </c>
      <c r="I85" s="194">
        <v>18</v>
      </c>
      <c r="J85" s="116">
        <v>25915</v>
      </c>
      <c r="K85" s="116">
        <v>1418497</v>
      </c>
      <c r="L85" s="116">
        <v>2206830</v>
      </c>
      <c r="M85" s="195">
        <v>9.2927207021166747E-3</v>
      </c>
      <c r="N85" s="195">
        <v>8.620061675934245E-4</v>
      </c>
      <c r="O85" s="195">
        <v>3.2278484930045766E-2</v>
      </c>
      <c r="P85" s="195">
        <v>7.7270564026832703E-2</v>
      </c>
    </row>
    <row r="86" spans="1:16" ht="22.5" customHeight="1">
      <c r="A86" s="115">
        <v>89</v>
      </c>
      <c r="B86" s="115" t="s">
        <v>67</v>
      </c>
      <c r="C86" s="115" t="s">
        <v>14</v>
      </c>
      <c r="D86" s="115" t="s">
        <v>714</v>
      </c>
      <c r="E86" s="98" t="s">
        <v>755</v>
      </c>
      <c r="F86" s="115" t="s">
        <v>483</v>
      </c>
      <c r="G86" s="115">
        <v>0</v>
      </c>
      <c r="H86" s="115">
        <v>13</v>
      </c>
      <c r="I86" s="194">
        <v>13</v>
      </c>
      <c r="J86" s="116">
        <v>217520</v>
      </c>
      <c r="K86" s="116">
        <v>1287192</v>
      </c>
      <c r="L86" s="116">
        <v>72650</v>
      </c>
      <c r="M86" s="195">
        <v>6.7114093959731542E-3</v>
      </c>
      <c r="N86" s="195">
        <v>7.2353301784650473E-3</v>
      </c>
      <c r="O86" s="195">
        <v>2.9290585439430233E-2</v>
      </c>
      <c r="P86" s="195">
        <v>2.5437874582769837E-3</v>
      </c>
    </row>
    <row r="87" spans="1:16" ht="22.5" customHeight="1">
      <c r="A87" s="115">
        <v>51</v>
      </c>
      <c r="B87" s="115" t="str">
        <f>VLOOKUP(C87,Lists!I:J,2,FALSE)</f>
        <v>Healer</v>
      </c>
      <c r="C87" s="115" t="str">
        <f>VLOOKUP(E87,Lists!D:E,2,FALSE)</f>
        <v>Wand/Longbow</v>
      </c>
      <c r="D87" s="115" t="s">
        <v>7</v>
      </c>
      <c r="E87" s="98" t="s">
        <v>106</v>
      </c>
      <c r="F87" s="115" t="s">
        <v>476</v>
      </c>
      <c r="G87" s="115">
        <v>1</v>
      </c>
      <c r="H87" s="115">
        <v>9</v>
      </c>
      <c r="I87" s="194">
        <f>SUM(G87:H87)</f>
        <v>10</v>
      </c>
      <c r="J87" s="116">
        <v>32433</v>
      </c>
      <c r="K87" s="116">
        <v>431751</v>
      </c>
      <c r="L87" s="116">
        <v>690791</v>
      </c>
      <c r="M87" s="195">
        <f>I87/(HLOOKUP(F87,Team_Composition_17[[#All],[Yellow]:[Red]],10,FALSE)+HLOOKUP(F87,Team_Composition_17[[#All],[Yellow]:[Red]],11,FALSE))</f>
        <v>2.8951939779965257E-3</v>
      </c>
      <c r="N87" s="195">
        <f>J87/HLOOKUP(F87,Team_Composition_17[[#All],[Yellow]:[Red]],6,FALSE)</f>
        <v>7.1704558383004174E-4</v>
      </c>
      <c r="O87" s="195">
        <f>K87/HLOOKUP(F87,Team_Composition_17[[#All],[Yellow]:[Red]],8,FALSE)</f>
        <v>1.4837091687962612E-2</v>
      </c>
      <c r="P87" s="195">
        <f>L87/HLOOKUP(F87,Team_Composition_17[[#All],[Yellow]:[Red]],7,FALSE)</f>
        <v>3.339599272839678E-2</v>
      </c>
    </row>
    <row r="88" spans="1:16" ht="22.5" customHeight="1">
      <c r="A88" s="115">
        <v>90</v>
      </c>
      <c r="B88" s="115" t="s">
        <v>67</v>
      </c>
      <c r="C88" s="115" t="s">
        <v>14</v>
      </c>
      <c r="D88" s="115" t="s">
        <v>7</v>
      </c>
      <c r="E88" s="98" t="s">
        <v>111</v>
      </c>
      <c r="F88" s="115" t="s">
        <v>476</v>
      </c>
      <c r="G88" s="115">
        <v>0</v>
      </c>
      <c r="H88" s="115">
        <v>10</v>
      </c>
      <c r="I88" s="194">
        <v>10</v>
      </c>
      <c r="J88" s="116">
        <v>34648</v>
      </c>
      <c r="K88" s="116">
        <v>827187</v>
      </c>
      <c r="L88" s="116">
        <v>64289</v>
      </c>
      <c r="M88" s="195">
        <v>2.8951939779965257E-3</v>
      </c>
      <c r="N88" s="195">
        <v>7.6601595253424862E-4</v>
      </c>
      <c r="O88" s="195">
        <v>2.8426221044284158E-2</v>
      </c>
      <c r="P88" s="195">
        <v>3.1080239558938967E-3</v>
      </c>
    </row>
    <row r="89" spans="1:16" ht="22.5" customHeight="1">
      <c r="A89" s="115">
        <v>93</v>
      </c>
      <c r="B89" s="115" t="s">
        <v>11</v>
      </c>
      <c r="C89" s="115" t="s">
        <v>9</v>
      </c>
      <c r="D89" s="115" t="s">
        <v>7</v>
      </c>
      <c r="E89" s="98" t="s">
        <v>99</v>
      </c>
      <c r="F89" s="115" t="s">
        <v>476</v>
      </c>
      <c r="G89" s="115">
        <v>0</v>
      </c>
      <c r="H89" s="115">
        <v>9</v>
      </c>
      <c r="I89" s="194">
        <v>9</v>
      </c>
      <c r="J89" s="116">
        <v>9374</v>
      </c>
      <c r="K89" s="116">
        <v>220924</v>
      </c>
      <c r="L89" s="116">
        <v>427818</v>
      </c>
      <c r="M89" s="195">
        <v>2.6056745801968733E-3</v>
      </c>
      <c r="N89" s="195">
        <v>2.0724525337843588E-4</v>
      </c>
      <c r="O89" s="195">
        <v>7.5920371790023696E-3</v>
      </c>
      <c r="P89" s="195">
        <v>2.068267655061698E-2</v>
      </c>
    </row>
    <row r="90" spans="1:16" ht="22.5" customHeight="1">
      <c r="A90" s="115">
        <v>52</v>
      </c>
      <c r="B90" s="115" t="str">
        <f>VLOOKUP(C90,Lists!I:J,2,FALSE)</f>
        <v>KS</v>
      </c>
      <c r="C90" s="115" t="s">
        <v>54</v>
      </c>
      <c r="D90" s="115" t="s">
        <v>714</v>
      </c>
      <c r="E90" s="98" t="s">
        <v>770</v>
      </c>
      <c r="F90" s="115" t="s">
        <v>483</v>
      </c>
      <c r="G90" s="115">
        <v>1</v>
      </c>
      <c r="H90" s="115">
        <v>8</v>
      </c>
      <c r="I90" s="194">
        <f>SUM(G90:H90)</f>
        <v>9</v>
      </c>
      <c r="J90" s="116">
        <v>205175</v>
      </c>
      <c r="K90" s="116">
        <v>200929</v>
      </c>
      <c r="L90" s="116">
        <v>15440</v>
      </c>
      <c r="M90" s="195">
        <f>I90/(HLOOKUP(F90,Team_Composition_17[[#All],[Yellow]:[Red]],10,FALSE)+HLOOKUP(F90,Team_Composition_17[[#All],[Yellow]:[Red]],11,FALSE))</f>
        <v>4.6463603510583373E-3</v>
      </c>
      <c r="N90" s="195">
        <f>J90/HLOOKUP(F90,Team_Composition_17[[#All],[Yellow]:[Red]],6,FALSE)</f>
        <v>6.8247005763450077E-3</v>
      </c>
      <c r="O90" s="195">
        <f>K90/HLOOKUP(F90,Team_Composition_17[[#All],[Yellow]:[Red]],8,FALSE)</f>
        <v>4.5722223582490241E-3</v>
      </c>
      <c r="P90" s="195">
        <f>L90/HLOOKUP(F90,Team_Composition_17[[#All],[Yellow]:[Red]],7,FALSE)</f>
        <v>5.4062048665927908E-4</v>
      </c>
    </row>
    <row r="91" spans="1:16" ht="22.5" customHeight="1">
      <c r="A91" s="115">
        <v>91</v>
      </c>
      <c r="B91" s="115" t="s">
        <v>67</v>
      </c>
      <c r="C91" s="115" t="s">
        <v>14</v>
      </c>
      <c r="D91" s="115" t="s">
        <v>714</v>
      </c>
      <c r="E91" s="98" t="s">
        <v>750</v>
      </c>
      <c r="F91" s="115" t="s">
        <v>483</v>
      </c>
      <c r="G91" s="115">
        <v>0</v>
      </c>
      <c r="H91" s="115">
        <v>9</v>
      </c>
      <c r="I91" s="194">
        <v>9</v>
      </c>
      <c r="J91" s="116">
        <v>161576</v>
      </c>
      <c r="K91" s="116">
        <v>1153954</v>
      </c>
      <c r="L91" s="116">
        <v>89234</v>
      </c>
      <c r="M91" s="195">
        <v>4.6463603510583373E-3</v>
      </c>
      <c r="N91" s="195">
        <v>5.3744745720654121E-3</v>
      </c>
      <c r="O91" s="195">
        <v>2.6258699735682227E-2</v>
      </c>
      <c r="P91" s="195">
        <v>3.1244642815125719E-3</v>
      </c>
    </row>
    <row r="92" spans="1:16" ht="22.5" customHeight="1">
      <c r="A92" s="115">
        <v>92</v>
      </c>
      <c r="B92" s="115" t="s">
        <v>67</v>
      </c>
      <c r="C92" s="115" t="s">
        <v>62</v>
      </c>
      <c r="D92" s="115" t="s">
        <v>714</v>
      </c>
      <c r="E92" s="98" t="s">
        <v>771</v>
      </c>
      <c r="F92" s="115" t="s">
        <v>483</v>
      </c>
      <c r="G92" s="115">
        <v>0</v>
      </c>
      <c r="H92" s="115">
        <v>9</v>
      </c>
      <c r="I92" s="194">
        <v>9</v>
      </c>
      <c r="J92" s="116">
        <v>23576</v>
      </c>
      <c r="K92" s="116">
        <v>817342</v>
      </c>
      <c r="L92" s="116">
        <v>29038</v>
      </c>
      <c r="M92" s="195">
        <v>4.6463603510583373E-3</v>
      </c>
      <c r="N92" s="195">
        <v>7.8420441470895526E-4</v>
      </c>
      <c r="O92" s="195">
        <v>1.859895468914877E-2</v>
      </c>
      <c r="P92" s="195">
        <v>1.0167446691458644E-3</v>
      </c>
    </row>
    <row r="93" spans="1:16" ht="22.5" customHeight="1">
      <c r="A93" s="115">
        <v>94</v>
      </c>
      <c r="B93" s="115" t="s">
        <v>11</v>
      </c>
      <c r="C93" s="115" t="s">
        <v>10</v>
      </c>
      <c r="D93" s="115" t="s">
        <v>714</v>
      </c>
      <c r="E93" s="98" t="s">
        <v>743</v>
      </c>
      <c r="F93" s="115" t="s">
        <v>483</v>
      </c>
      <c r="G93" s="115">
        <v>0</v>
      </c>
      <c r="H93" s="115">
        <v>9</v>
      </c>
      <c r="I93" s="194">
        <v>9</v>
      </c>
      <c r="J93" s="116">
        <v>5113</v>
      </c>
      <c r="K93" s="116">
        <v>544591</v>
      </c>
      <c r="L93" s="116">
        <v>777637</v>
      </c>
      <c r="M93" s="195">
        <v>4.6463603510583373E-3</v>
      </c>
      <c r="N93" s="195">
        <v>1.7007283561277944E-4</v>
      </c>
      <c r="O93" s="195">
        <v>1.2392393065715721E-2</v>
      </c>
      <c r="P93" s="195">
        <v>2.7228399830586905E-2</v>
      </c>
    </row>
    <row r="94" spans="1:16" ht="22.5" customHeight="1">
      <c r="A94" s="115">
        <v>53</v>
      </c>
      <c r="B94" s="115" t="str">
        <f>VLOOKUP(C94,Lists!I:J,2,FALSE)</f>
        <v>Tank</v>
      </c>
      <c r="C94" s="115" t="s">
        <v>14</v>
      </c>
      <c r="D94" s="115" t="s">
        <v>714</v>
      </c>
      <c r="E94" s="98" t="s">
        <v>772</v>
      </c>
      <c r="F94" s="115" t="s">
        <v>483</v>
      </c>
      <c r="G94" s="115">
        <v>1</v>
      </c>
      <c r="H94" s="115">
        <v>7</v>
      </c>
      <c r="I94" s="194">
        <f>SUM(G94:H94)</f>
        <v>8</v>
      </c>
      <c r="J94" s="116">
        <v>248813</v>
      </c>
      <c r="K94" s="116">
        <v>771444</v>
      </c>
      <c r="L94" s="116">
        <v>28330</v>
      </c>
      <c r="M94" s="195">
        <f>I94/(HLOOKUP(F94,Team_Composition_17[[#All],[Yellow]:[Red]],10,FALSE)+HLOOKUP(F94,Team_Composition_17[[#All],[Yellow]:[Red]],11,FALSE))</f>
        <v>4.1300980898296338E-3</v>
      </c>
      <c r="N94" s="195">
        <f>J94/HLOOKUP(F94,Team_Composition_17[[#All],[Yellow]:[Red]],6,FALSE)</f>
        <v>8.2762238308864648E-3</v>
      </c>
      <c r="O94" s="195">
        <f>K94/HLOOKUP(F94,Team_Composition_17[[#All],[Yellow]:[Red]],8,FALSE)</f>
        <v>1.7554526747941113E-2</v>
      </c>
      <c r="P94" s="195">
        <f>L94/HLOOKUP(F94,Team_Composition_17[[#All],[Yellow]:[Red]],7,FALSE)</f>
        <v>9.9195455874723942E-4</v>
      </c>
    </row>
    <row r="95" spans="1:16" ht="22.5" customHeight="1">
      <c r="A95" s="115">
        <v>95</v>
      </c>
      <c r="B95" s="115" t="s">
        <v>67</v>
      </c>
      <c r="C95" s="115" t="s">
        <v>73</v>
      </c>
      <c r="D95" s="115" t="s">
        <v>7</v>
      </c>
      <c r="E95" s="98" t="s">
        <v>114</v>
      </c>
      <c r="F95" s="115" t="s">
        <v>476</v>
      </c>
      <c r="G95" s="115">
        <v>0</v>
      </c>
      <c r="H95" s="115">
        <v>6</v>
      </c>
      <c r="I95" s="194">
        <v>6</v>
      </c>
      <c r="J95" s="116">
        <v>44275</v>
      </c>
      <c r="K95" s="116">
        <v>72824</v>
      </c>
      <c r="L95" s="116">
        <v>69859</v>
      </c>
      <c r="M95" s="195">
        <v>1.7371163867979154E-3</v>
      </c>
      <c r="N95" s="195">
        <v>9.7885466111907933E-4</v>
      </c>
      <c r="O95" s="195">
        <v>2.5025914591609265E-3</v>
      </c>
      <c r="P95" s="195">
        <v>3.3773032017108949E-3</v>
      </c>
    </row>
    <row r="96" spans="1:16" ht="22.5" customHeight="1">
      <c r="A96" s="115">
        <v>54</v>
      </c>
      <c r="B96" s="115" t="e">
        <f>VLOOKUP(C96,Lists!I:J,2,FALSE)</f>
        <v>#N/A</v>
      </c>
      <c r="C96" s="115" t="e">
        <f>VLOOKUP(E96,Lists!D:E,2,FALSE)</f>
        <v>#N/A</v>
      </c>
      <c r="D96" s="115" t="s">
        <v>714</v>
      </c>
      <c r="E96" s="98" t="s">
        <v>754</v>
      </c>
      <c r="F96" s="115" t="s">
        <v>483</v>
      </c>
      <c r="G96" s="115">
        <v>1</v>
      </c>
      <c r="H96" s="115">
        <v>4</v>
      </c>
      <c r="I96" s="194">
        <f>SUM(G96:H96)</f>
        <v>5</v>
      </c>
      <c r="J96" s="116">
        <v>19598</v>
      </c>
      <c r="K96" s="116">
        <v>1202561</v>
      </c>
      <c r="L96" s="116">
        <v>64587</v>
      </c>
      <c r="M96" s="195">
        <f>I96/(HLOOKUP(F96,Team_Composition_17[[#All],[Yellow]:[Red]],10,FALSE)+HLOOKUP(F96,Team_Composition_17[[#All],[Yellow]:[Red]],11,FALSE))</f>
        <v>2.5813113061435209E-3</v>
      </c>
      <c r="N96" s="195">
        <f>J96/HLOOKUP(F96,Team_Composition_17[[#All],[Yellow]:[Red]],6,FALSE)</f>
        <v>6.5188488799907134E-4</v>
      </c>
      <c r="O96" s="195">
        <f>K96/HLOOKUP(F96,Team_Composition_17[[#All],[Yellow]:[Red]],8,FALSE)</f>
        <v>2.7364772090431467E-2</v>
      </c>
      <c r="P96" s="195">
        <f>L96/HLOOKUP(F96,Team_Composition_17[[#All],[Yellow]:[Red]],7,FALSE)</f>
        <v>2.2614673168304959E-3</v>
      </c>
    </row>
    <row r="97" spans="1:16" ht="22.5" customHeight="1">
      <c r="A97" s="115">
        <v>8</v>
      </c>
      <c r="B97" s="115" t="s">
        <v>67</v>
      </c>
      <c r="C97" s="115" t="s">
        <v>62</v>
      </c>
      <c r="D97" s="115" t="s">
        <v>714</v>
      </c>
      <c r="E97" s="98" t="s">
        <v>175</v>
      </c>
      <c r="F97" s="115" t="s">
        <v>483</v>
      </c>
      <c r="G97" s="115">
        <v>0</v>
      </c>
      <c r="H97" s="115">
        <v>5</v>
      </c>
      <c r="I97" s="194">
        <v>5</v>
      </c>
      <c r="J97" s="116">
        <v>47011</v>
      </c>
      <c r="K97" s="116">
        <v>1068967</v>
      </c>
      <c r="L97" s="116">
        <v>29817</v>
      </c>
      <c r="M97" s="195">
        <v>2.5813113061435209E-3</v>
      </c>
      <c r="N97" s="195">
        <v>1.5637187707788723E-3</v>
      </c>
      <c r="O97" s="195">
        <v>2.4324785459691654E-2</v>
      </c>
      <c r="P97" s="195">
        <v>1.0440207934403968E-3</v>
      </c>
    </row>
    <row r="98" spans="1:16" ht="22.5" hidden="1" customHeight="1">
      <c r="A98" s="115"/>
      <c r="B98" s="115" t="e">
        <f>VLOOKUP(C98,Lists!I:J,2,FALSE)</f>
        <v>#N/A</v>
      </c>
      <c r="C98" s="115" t="e">
        <f>VLOOKUP(E98,Lists!D:E,2,FALSE)</f>
        <v>#N/A</v>
      </c>
      <c r="D98" s="115"/>
      <c r="E98" s="98"/>
      <c r="F98" s="115"/>
      <c r="G98" s="115"/>
      <c r="H98" s="115"/>
      <c r="I98" s="194">
        <f t="shared" ref="I98:I103" si="13">SUM(G98:H98)</f>
        <v>0</v>
      </c>
      <c r="J98" s="116"/>
      <c r="K98" s="116"/>
      <c r="L98" s="116"/>
      <c r="M98" s="195" t="e">
        <f>I98/(HLOOKUP(F98,Team_Composition_17[[#All],[Yellow]:[Red]],10,FALSE)+HLOOKUP(F98,Team_Composition_17[[#All],[Yellow]:[Red]],11,FALSE))</f>
        <v>#N/A</v>
      </c>
      <c r="N98" s="195" t="e">
        <f>J98/HLOOKUP(F98,Team_Composition_17[[#All],[Yellow]:[Red]],6,FALSE)</f>
        <v>#N/A</v>
      </c>
      <c r="O98" s="195" t="e">
        <f>K98/HLOOKUP(F98,Team_Composition_17[[#All],[Yellow]:[Red]],8,FALSE)</f>
        <v>#N/A</v>
      </c>
      <c r="P98" s="195" t="e">
        <f>L98/HLOOKUP(F98,Team_Composition_17[[#All],[Yellow]:[Red]],7,FALSE)</f>
        <v>#N/A</v>
      </c>
    </row>
    <row r="99" spans="1:16" ht="22.5" hidden="1" customHeight="1">
      <c r="A99" s="115"/>
      <c r="B99" s="115" t="e">
        <f>VLOOKUP(C99,Lists!I:J,2,FALSE)</f>
        <v>#N/A</v>
      </c>
      <c r="C99" s="115" t="e">
        <f>VLOOKUP(E99,Lists!D:E,2,FALSE)</f>
        <v>#N/A</v>
      </c>
      <c r="D99" s="115"/>
      <c r="E99" s="98"/>
      <c r="F99" s="115"/>
      <c r="G99" s="115"/>
      <c r="H99" s="115"/>
      <c r="I99" s="194">
        <f t="shared" si="13"/>
        <v>0</v>
      </c>
      <c r="J99" s="116"/>
      <c r="K99" s="116"/>
      <c r="L99" s="116"/>
      <c r="M99" s="195" t="e">
        <f>I99/(HLOOKUP(F99,Team_Composition_17[[#All],[Yellow]:[Red]],10,FALSE)+HLOOKUP(F99,Team_Composition_17[[#All],[Yellow]:[Red]],11,FALSE))</f>
        <v>#N/A</v>
      </c>
      <c r="N99" s="195" t="e">
        <f>J99/HLOOKUP(F99,Team_Composition_17[[#All],[Yellow]:[Red]],6,FALSE)</f>
        <v>#N/A</v>
      </c>
      <c r="O99" s="195" t="e">
        <f>K99/HLOOKUP(F99,Team_Composition_17[[#All],[Yellow]:[Red]],8,FALSE)</f>
        <v>#N/A</v>
      </c>
      <c r="P99" s="195" t="e">
        <f>L99/HLOOKUP(F99,Team_Composition_17[[#All],[Yellow]:[Red]],7,FALSE)</f>
        <v>#N/A</v>
      </c>
    </row>
    <row r="100" spans="1:16" ht="22.5" hidden="1" customHeight="1">
      <c r="A100" s="115"/>
      <c r="B100" s="115" t="e">
        <f>VLOOKUP(C100,Lists!I:J,2,FALSE)</f>
        <v>#N/A</v>
      </c>
      <c r="C100" s="115" t="e">
        <f>VLOOKUP(E100,Lists!D:E,2,FALSE)</f>
        <v>#N/A</v>
      </c>
      <c r="D100" s="115"/>
      <c r="E100" s="98"/>
      <c r="F100" s="115"/>
      <c r="G100" s="115"/>
      <c r="H100" s="115"/>
      <c r="I100" s="194">
        <f t="shared" si="13"/>
        <v>0</v>
      </c>
      <c r="J100" s="116"/>
      <c r="K100" s="116"/>
      <c r="L100" s="116"/>
      <c r="M100" s="195" t="e">
        <f>I100/(HLOOKUP(F100,Team_Composition_17[[#All],[Yellow]:[Red]],10,FALSE)+HLOOKUP(F100,Team_Composition_17[[#All],[Yellow]:[Red]],11,FALSE))</f>
        <v>#N/A</v>
      </c>
      <c r="N100" s="195" t="e">
        <f>J100/HLOOKUP(F100,Team_Composition_17[[#All],[Yellow]:[Red]],6,FALSE)</f>
        <v>#N/A</v>
      </c>
      <c r="O100" s="195" t="e">
        <f>K100/HLOOKUP(F100,Team_Composition_17[[#All],[Yellow]:[Red]],8,FALSE)</f>
        <v>#N/A</v>
      </c>
      <c r="P100" s="195" t="e">
        <f>L100/HLOOKUP(F100,Team_Composition_17[[#All],[Yellow]:[Red]],7,FALSE)</f>
        <v>#N/A</v>
      </c>
    </row>
    <row r="101" spans="1:16" ht="22.5" hidden="1" customHeight="1">
      <c r="A101" s="115"/>
      <c r="B101" s="115" t="e">
        <f>VLOOKUP(C101,Lists!I:J,2,FALSE)</f>
        <v>#N/A</v>
      </c>
      <c r="C101" s="115" t="e">
        <f>VLOOKUP(E101,Lists!D:E,2,FALSE)</f>
        <v>#N/A</v>
      </c>
      <c r="D101" s="115"/>
      <c r="E101" s="98"/>
      <c r="F101" s="115"/>
      <c r="G101" s="115"/>
      <c r="H101" s="115"/>
      <c r="I101" s="194">
        <f t="shared" si="13"/>
        <v>0</v>
      </c>
      <c r="J101" s="116"/>
      <c r="K101" s="116"/>
      <c r="L101" s="116"/>
      <c r="M101" s="195" t="e">
        <f>I101/(HLOOKUP(F101,Team_Composition_17[[#All],[Yellow]:[Red]],10,FALSE)+HLOOKUP(F101,Team_Composition_17[[#All],[Yellow]:[Red]],11,FALSE))</f>
        <v>#N/A</v>
      </c>
      <c r="N101" s="195" t="e">
        <f>J101/HLOOKUP(F101,Team_Composition_17[[#All],[Yellow]:[Red]],6,FALSE)</f>
        <v>#N/A</v>
      </c>
      <c r="O101" s="195" t="e">
        <f>K101/HLOOKUP(F101,Team_Composition_17[[#All],[Yellow]:[Red]],8,FALSE)</f>
        <v>#N/A</v>
      </c>
      <c r="P101" s="195" t="e">
        <f>L101/HLOOKUP(F101,Team_Composition_17[[#All],[Yellow]:[Red]],7,FALSE)</f>
        <v>#N/A</v>
      </c>
    </row>
    <row r="102" spans="1:16" ht="22.5" hidden="1" customHeight="1">
      <c r="A102" s="115"/>
      <c r="B102" s="115" t="e">
        <f>VLOOKUP(C102,Lists!I:J,2,FALSE)</f>
        <v>#N/A</v>
      </c>
      <c r="C102" s="115" t="e">
        <f>VLOOKUP(E102,Lists!D:E,2,FALSE)</f>
        <v>#N/A</v>
      </c>
      <c r="D102" s="115"/>
      <c r="E102" s="98"/>
      <c r="F102" s="115"/>
      <c r="G102" s="115"/>
      <c r="H102" s="115"/>
      <c r="I102" s="194">
        <f t="shared" si="13"/>
        <v>0</v>
      </c>
      <c r="J102" s="116"/>
      <c r="K102" s="116"/>
      <c r="L102" s="116"/>
      <c r="M102" s="195" t="e">
        <f>I102/(HLOOKUP(F102,Team_Composition_17[[#All],[Yellow]:[Red]],10,FALSE)+HLOOKUP(F102,Team_Composition_17[[#All],[Yellow]:[Red]],11,FALSE))</f>
        <v>#N/A</v>
      </c>
      <c r="N102" s="195" t="e">
        <f>J102/HLOOKUP(F102,Team_Composition_17[[#All],[Yellow]:[Red]],6,FALSE)</f>
        <v>#N/A</v>
      </c>
      <c r="O102" s="195" t="e">
        <f>K102/HLOOKUP(F102,Team_Composition_17[[#All],[Yellow]:[Red]],8,FALSE)</f>
        <v>#N/A</v>
      </c>
      <c r="P102" s="195" t="e">
        <f>L102/HLOOKUP(F102,Team_Composition_17[[#All],[Yellow]:[Red]],7,FALSE)</f>
        <v>#N/A</v>
      </c>
    </row>
    <row r="103" spans="1:16" ht="22.5" hidden="1" customHeight="1">
      <c r="A103" s="115"/>
      <c r="B103" s="115" t="e">
        <f>VLOOKUP(C103,Lists!I:J,2,FALSE)</f>
        <v>#N/A</v>
      </c>
      <c r="C103" s="115" t="e">
        <f>VLOOKUP(E103,Lists!D:E,2,FALSE)</f>
        <v>#N/A</v>
      </c>
      <c r="D103" s="115"/>
      <c r="E103" s="98"/>
      <c r="F103" s="115"/>
      <c r="G103" s="115"/>
      <c r="H103" s="115"/>
      <c r="I103" s="194">
        <f t="shared" si="13"/>
        <v>0</v>
      </c>
      <c r="J103" s="116"/>
      <c r="K103" s="116"/>
      <c r="L103" s="116"/>
      <c r="M103" s="195" t="e">
        <f>I103/(HLOOKUP(F103,Team_Composition_17[[#All],[Yellow]:[Red]],10,FALSE)+HLOOKUP(F103,Team_Composition_17[[#All],[Yellow]:[Red]],11,FALSE))</f>
        <v>#N/A</v>
      </c>
      <c r="N103" s="195" t="e">
        <f>J103/HLOOKUP(F103,Team_Composition_17[[#All],[Yellow]:[Red]],6,FALSE)</f>
        <v>#N/A</v>
      </c>
      <c r="O103" s="195" t="e">
        <f>K103/HLOOKUP(F103,Team_Composition_17[[#All],[Yellow]:[Red]],8,FALSE)</f>
        <v>#N/A</v>
      </c>
      <c r="P103" s="195" t="e">
        <f>L103/HLOOKUP(F103,Team_Composition_17[[#All],[Yellow]:[Red]],7,FALSE)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D00-000000000000}">
      <formula1>#REF!</formula1>
    </dataValidation>
    <dataValidation type="list" allowBlank="1" sqref="F2:F103" xr:uid="{00000000-0002-0000-1D00-000002000000}">
      <formula1>"Yellow,Red"</formula1>
    </dataValidation>
    <dataValidation type="custom" allowBlank="1" showDropDown="1" sqref="S4:T13 S17:T25 S30:T46 S51:T60 S65:T72 A2:A103 G2:L103" xr:uid="{00000000-0002-0000-1D00-000003000000}">
      <formula1>AND(ISNUMBER(A2),(NOT(OR(NOT(ISERROR(DATEVALUE(A2))), AND(ISNUMBER(A2), LEFT(CELL("format", A2))="D")))))</formula1>
    </dataValidation>
    <dataValidation allowBlank="1" showDropDown="1" sqref="E2:E103" xr:uid="{00000000-0002-0000-1D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
        <v>39</v>
      </c>
      <c r="C2" s="115" t="s">
        <v>58</v>
      </c>
      <c r="D2" s="115" t="s">
        <v>7</v>
      </c>
      <c r="E2" s="98" t="s">
        <v>86</v>
      </c>
      <c r="F2" s="115" t="s">
        <v>476</v>
      </c>
      <c r="G2" s="115">
        <v>76</v>
      </c>
      <c r="H2" s="115">
        <v>97</v>
      </c>
      <c r="I2" s="194">
        <v>173</v>
      </c>
      <c r="J2" s="116">
        <v>4856689</v>
      </c>
      <c r="K2" s="116">
        <v>914135</v>
      </c>
      <c r="L2" s="116">
        <v>0</v>
      </c>
      <c r="M2" s="195">
        <v>6.0278745644599306E-2</v>
      </c>
      <c r="N2" s="195">
        <v>0.12547093040934534</v>
      </c>
      <c r="O2" s="195">
        <v>2.3262912763472747E-2</v>
      </c>
      <c r="P2" s="195">
        <v>0</v>
      </c>
      <c r="R2" s="232" t="s">
        <v>477</v>
      </c>
      <c r="S2" s="228"/>
      <c r="T2" s="228"/>
      <c r="V2" s="233" t="s">
        <v>478</v>
      </c>
      <c r="W2" s="228"/>
      <c r="X2" s="196"/>
      <c r="Y2" s="233" t="s">
        <v>479</v>
      </c>
      <c r="Z2" s="228"/>
    </row>
    <row r="3" spans="1:26" ht="22.5" customHeight="1">
      <c r="A3" s="115">
        <v>7</v>
      </c>
      <c r="B3" s="115" t="s">
        <v>39</v>
      </c>
      <c r="C3" s="115" t="s">
        <v>58</v>
      </c>
      <c r="D3" s="115" t="s">
        <v>7</v>
      </c>
      <c r="E3" s="98" t="s">
        <v>758</v>
      </c>
      <c r="F3" s="115" t="s">
        <v>476</v>
      </c>
      <c r="G3" s="115">
        <v>42</v>
      </c>
      <c r="H3" s="115">
        <v>89</v>
      </c>
      <c r="I3" s="194">
        <v>131</v>
      </c>
      <c r="J3" s="116">
        <v>3407428</v>
      </c>
      <c r="K3" s="116">
        <v>1150090</v>
      </c>
      <c r="L3" s="116">
        <v>0</v>
      </c>
      <c r="M3" s="195">
        <v>4.5644599303135885E-2</v>
      </c>
      <c r="N3" s="195">
        <v>8.8029758846583511E-2</v>
      </c>
      <c r="O3" s="195">
        <v>2.9267496967233912E-2</v>
      </c>
      <c r="P3" s="195">
        <v>0</v>
      </c>
      <c r="R3" s="197" t="s">
        <v>482</v>
      </c>
      <c r="S3" s="198" t="s">
        <v>476</v>
      </c>
      <c r="T3" s="198" t="s">
        <v>483</v>
      </c>
      <c r="V3" s="199" t="s">
        <v>1</v>
      </c>
      <c r="W3" s="200" t="s">
        <v>467</v>
      </c>
      <c r="Y3" s="199" t="s">
        <v>1</v>
      </c>
      <c r="Z3" s="200" t="s">
        <v>484</v>
      </c>
    </row>
    <row r="4" spans="1:26" ht="22.5" customHeight="1">
      <c r="A4" s="115">
        <v>18</v>
      </c>
      <c r="B4" s="115" t="s">
        <v>25</v>
      </c>
      <c r="C4" s="115" t="s">
        <v>23</v>
      </c>
      <c r="D4" s="115" t="s">
        <v>7</v>
      </c>
      <c r="E4" s="98" t="s">
        <v>22</v>
      </c>
      <c r="F4" s="115" t="s">
        <v>476</v>
      </c>
      <c r="G4" s="115">
        <v>26</v>
      </c>
      <c r="H4" s="115">
        <v>102</v>
      </c>
      <c r="I4" s="194">
        <v>128</v>
      </c>
      <c r="J4" s="116">
        <v>2108301</v>
      </c>
      <c r="K4" s="116">
        <v>1648120</v>
      </c>
      <c r="L4" s="116">
        <v>53887</v>
      </c>
      <c r="M4" s="195">
        <v>4.4599303135888502E-2</v>
      </c>
      <c r="N4" s="195">
        <v>5.4467248788825723E-2</v>
      </c>
      <c r="O4" s="195">
        <v>4.1941367285723341E-2</v>
      </c>
      <c r="P4" s="195">
        <v>2.0929393717173659E-3</v>
      </c>
      <c r="R4" s="201" t="s">
        <v>25</v>
      </c>
      <c r="S4" s="202">
        <f>COUNTIFS(Scoreboard_15[Role],R4,Scoreboard_15[Team],"Yellow")</f>
        <v>9</v>
      </c>
      <c r="T4" s="203">
        <f>COUNTIFS(Scoreboard_15[Role],R4,Scoreboard_15[Team],"Red")</f>
        <v>7</v>
      </c>
      <c r="V4" s="204" t="str">
        <f ca="1">IFERROR(__xludf.DUMMYFUNCTION("query(A1:P239, ""Select E,I where B!='Healer' Order by I Desc Limit 10"", 0)"),"Levy1ng")</f>
        <v>Levy1ng</v>
      </c>
      <c r="W4" s="116">
        <f ca="1">IFERROR(__xludf.DUMMYFUNCTION("""COMPUTED_VALUE"""),186)</f>
        <v>186</v>
      </c>
      <c r="Y4" s="204" t="str">
        <f ca="1">IFERROR(__xludf.DUMMYFUNCTION("query(A1:P239, ""Select E,J Order by J Desc Limit 10"", 0)"),"Nsin")</f>
        <v>Nsin</v>
      </c>
      <c r="Z4" s="116">
        <f ca="1">IFERROR(__xludf.DUMMYFUNCTION("""COMPUTED_VALUE"""),4856689)</f>
        <v>4856689</v>
      </c>
    </row>
    <row r="5" spans="1:26" ht="22.5" customHeight="1">
      <c r="A5" s="115">
        <v>12</v>
      </c>
      <c r="B5" s="115" t="s">
        <v>25</v>
      </c>
      <c r="C5" s="115" t="s">
        <v>24</v>
      </c>
      <c r="D5" s="115" t="s">
        <v>7</v>
      </c>
      <c r="E5" s="98" t="s">
        <v>104</v>
      </c>
      <c r="F5" s="115" t="s">
        <v>476</v>
      </c>
      <c r="G5" s="115">
        <v>31</v>
      </c>
      <c r="H5" s="115">
        <v>94</v>
      </c>
      <c r="I5" s="194">
        <v>125</v>
      </c>
      <c r="J5" s="116">
        <v>2577270</v>
      </c>
      <c r="K5" s="116">
        <v>754499</v>
      </c>
      <c r="L5" s="116">
        <v>24912</v>
      </c>
      <c r="M5" s="195">
        <v>4.3554006968641118E-2</v>
      </c>
      <c r="N5" s="195">
        <v>6.6582905517749535E-2</v>
      </c>
      <c r="O5" s="195">
        <v>1.9200494912816404E-2</v>
      </c>
      <c r="P5" s="195">
        <v>9.6756742123746018E-4</v>
      </c>
      <c r="R5" s="201" t="s">
        <v>39</v>
      </c>
      <c r="S5" s="202">
        <f>COUNTIFS(Scoreboard_15[Role],R5,Scoreboard_15[Team],"Yellow")</f>
        <v>7</v>
      </c>
      <c r="T5" s="203">
        <f>COUNTIFS(Scoreboard_15[Role],R5,Scoreboard_15[Team],"Red")</f>
        <v>11</v>
      </c>
      <c r="V5" s="204" t="str">
        <f ca="1">IFERROR(__xludf.DUMMYFUNCTION("""COMPUTED_VALUE"""),"Nsin")</f>
        <v>Nsin</v>
      </c>
      <c r="W5" s="116">
        <f ca="1">IFERROR(__xludf.DUMMYFUNCTION("""COMPUTED_VALUE"""),173)</f>
        <v>173</v>
      </c>
      <c r="Y5" s="204" t="str">
        <f ca="1">IFERROR(__xludf.DUMMYFUNCTION("""COMPUTED_VALUE"""),"Levy1ng")</f>
        <v>Levy1ng</v>
      </c>
      <c r="Z5" s="116">
        <f ca="1">IFERROR(__xludf.DUMMYFUNCTION("""COMPUTED_VALUE"""),4716858)</f>
        <v>4716858</v>
      </c>
    </row>
    <row r="6" spans="1:26" ht="22.5" customHeight="1">
      <c r="A6" s="115">
        <v>6</v>
      </c>
      <c r="B6" s="115" t="s">
        <v>25</v>
      </c>
      <c r="C6" s="115" t="s">
        <v>23</v>
      </c>
      <c r="D6" s="115" t="s">
        <v>7</v>
      </c>
      <c r="E6" s="98" t="s">
        <v>77</v>
      </c>
      <c r="F6" s="115" t="s">
        <v>476</v>
      </c>
      <c r="G6" s="115">
        <v>43</v>
      </c>
      <c r="H6" s="115">
        <v>76</v>
      </c>
      <c r="I6" s="194">
        <v>119</v>
      </c>
      <c r="J6" s="116">
        <v>2771910</v>
      </c>
      <c r="K6" s="116">
        <v>1362433</v>
      </c>
      <c r="L6" s="116">
        <v>41199</v>
      </c>
      <c r="M6" s="195">
        <v>4.1463414634146344E-2</v>
      </c>
      <c r="N6" s="195">
        <v>7.1611364596532431E-2</v>
      </c>
      <c r="O6" s="195">
        <v>3.4671202858523591E-2</v>
      </c>
      <c r="P6" s="195">
        <v>1.6001449176124808E-3</v>
      </c>
      <c r="R6" s="201" t="s">
        <v>67</v>
      </c>
      <c r="S6" s="202">
        <f>COUNTIFS(Scoreboard_15[Role],R6,Scoreboard_15[Team],"Yellow")</f>
        <v>13</v>
      </c>
      <c r="T6" s="203">
        <f>COUNTIFS(Scoreboard_15[Role],R6,Scoreboard_15[Team],"Red")</f>
        <v>13</v>
      </c>
      <c r="V6" s="204" t="str">
        <f ca="1">IFERROR(__xludf.DUMMYFUNCTION("""COMPUTED_VALUE"""),"BBlast")</f>
        <v>BBlast</v>
      </c>
      <c r="W6" s="116">
        <f ca="1">IFERROR(__xludf.DUMMYFUNCTION("""COMPUTED_VALUE"""),169)</f>
        <v>169</v>
      </c>
      <c r="Y6" s="204" t="str">
        <f ca="1">IFERROR(__xludf.DUMMYFUNCTION("""COMPUTED_VALUE"""),"BBlast")</f>
        <v>BBlast</v>
      </c>
      <c r="Z6" s="116">
        <f ca="1">IFERROR(__xludf.DUMMYFUNCTION("""COMPUTED_VALUE"""),4167699)</f>
        <v>4167699</v>
      </c>
    </row>
    <row r="7" spans="1:26" ht="22.5" customHeight="1">
      <c r="A7" s="115">
        <v>30</v>
      </c>
      <c r="B7" s="115" t="s">
        <v>39</v>
      </c>
      <c r="C7" s="115" t="s">
        <v>58</v>
      </c>
      <c r="D7" s="115" t="s">
        <v>7</v>
      </c>
      <c r="E7" s="98" t="s">
        <v>661</v>
      </c>
      <c r="F7" s="115" t="s">
        <v>476</v>
      </c>
      <c r="G7" s="115">
        <v>18</v>
      </c>
      <c r="H7" s="115">
        <v>97</v>
      </c>
      <c r="I7" s="194">
        <v>115</v>
      </c>
      <c r="J7" s="116">
        <v>2620681</v>
      </c>
      <c r="K7" s="116">
        <v>910048</v>
      </c>
      <c r="L7" s="116">
        <v>0</v>
      </c>
      <c r="M7" s="195">
        <v>4.0069686411149823E-2</v>
      </c>
      <c r="N7" s="195">
        <v>6.7704414134010557E-2</v>
      </c>
      <c r="O7" s="195">
        <v>2.3158906763850903E-2</v>
      </c>
      <c r="P7" s="195">
        <v>0</v>
      </c>
      <c r="R7" s="201" t="s">
        <v>11</v>
      </c>
      <c r="S7" s="202">
        <f>COUNTIFS(Scoreboard_15[Role],R7,Scoreboard_15[Team],"Yellow")</f>
        <v>19</v>
      </c>
      <c r="T7" s="203">
        <f>COUNTIFS(Scoreboard_15[Role],R7,Scoreboard_15[Team],"Red")</f>
        <v>17</v>
      </c>
      <c r="V7" s="204" t="str">
        <f ca="1">IFERROR(__xludf.DUMMYFUNCTION("""COMPUTED_VALUE"""),"Robinーbtwツ")</f>
        <v>Robinーbtwツ</v>
      </c>
      <c r="W7" s="116">
        <f ca="1">IFERROR(__xludf.DUMMYFUNCTION("""COMPUTED_VALUE"""),137)</f>
        <v>137</v>
      </c>
      <c r="Y7" s="204" t="str">
        <f ca="1">IFERROR(__xludf.DUMMYFUNCTION("""COMPUTED_VALUE"""),"CLEM`")</f>
        <v>CLEM`</v>
      </c>
      <c r="Z7" s="116">
        <f ca="1">IFERROR(__xludf.DUMMYFUNCTION("""COMPUTED_VALUE"""),3407428)</f>
        <v>3407428</v>
      </c>
    </row>
    <row r="8" spans="1:26" ht="22.5" customHeight="1">
      <c r="A8" s="115">
        <v>4</v>
      </c>
      <c r="B8" s="115" t="s">
        <v>39</v>
      </c>
      <c r="C8" s="115" t="s">
        <v>54</v>
      </c>
      <c r="D8" s="115" t="s">
        <v>7</v>
      </c>
      <c r="E8" s="98" t="s">
        <v>103</v>
      </c>
      <c r="F8" s="115" t="s">
        <v>476</v>
      </c>
      <c r="G8" s="115">
        <v>53</v>
      </c>
      <c r="H8" s="115">
        <v>47</v>
      </c>
      <c r="I8" s="194">
        <v>100</v>
      </c>
      <c r="J8" s="116">
        <v>2563415</v>
      </c>
      <c r="K8" s="116">
        <v>635091</v>
      </c>
      <c r="L8" s="116">
        <v>13777</v>
      </c>
      <c r="M8" s="195">
        <v>3.484320557491289E-2</v>
      </c>
      <c r="N8" s="195">
        <v>6.6224966242489899E-2</v>
      </c>
      <c r="O8" s="195">
        <v>1.6161799438667888E-2</v>
      </c>
      <c r="P8" s="195">
        <v>5.3509057331360341E-4</v>
      </c>
      <c r="R8" s="201" t="s">
        <v>468</v>
      </c>
      <c r="S8" s="202">
        <f>SUMIFS(Scoreboard_15[Damage Dealt],Scoreboard_15[Team],"Yellow")</f>
        <v>38707683</v>
      </c>
      <c r="T8" s="203">
        <f>SUMIFS(Scoreboard_15[Damage Dealt],Scoreboard_15[Team],"Red")</f>
        <v>39122469</v>
      </c>
      <c r="V8" s="204" t="str">
        <f ca="1">IFERROR(__xludf.DUMMYFUNCTION("""COMPUTED_VALUE"""),"CLEM`")</f>
        <v>CLEM`</v>
      </c>
      <c r="W8" s="116">
        <f ca="1">IFERROR(__xludf.DUMMYFUNCTION("""COMPUTED_VALUE"""),131)</f>
        <v>131</v>
      </c>
      <c r="Y8" s="204" t="str">
        <f ca="1">IFERROR(__xludf.DUMMYFUNCTION("""COMPUTED_VALUE"""),"Robinーbtwツ")</f>
        <v>Robinーbtwツ</v>
      </c>
      <c r="Z8" s="116">
        <f ca="1">IFERROR(__xludf.DUMMYFUNCTION("""COMPUTED_VALUE"""),3168338)</f>
        <v>3168338</v>
      </c>
    </row>
    <row r="9" spans="1:26" ht="22.5" customHeight="1">
      <c r="A9" s="115">
        <v>8</v>
      </c>
      <c r="B9" s="115" t="s">
        <v>25</v>
      </c>
      <c r="C9" s="115" t="s">
        <v>69</v>
      </c>
      <c r="D9" s="115" t="s">
        <v>7</v>
      </c>
      <c r="E9" s="98" t="s">
        <v>98</v>
      </c>
      <c r="F9" s="115" t="s">
        <v>476</v>
      </c>
      <c r="G9" s="115">
        <v>42</v>
      </c>
      <c r="H9" s="115">
        <v>53</v>
      </c>
      <c r="I9" s="194">
        <v>95</v>
      </c>
      <c r="J9" s="116">
        <v>2015628</v>
      </c>
      <c r="K9" s="116">
        <v>954450</v>
      </c>
      <c r="L9" s="116">
        <v>27139</v>
      </c>
      <c r="M9" s="195">
        <v>3.3101045296167246E-2</v>
      </c>
      <c r="N9" s="195">
        <v>5.2073072934900287E-2</v>
      </c>
      <c r="O9" s="195">
        <v>2.4288849116483411E-2</v>
      </c>
      <c r="P9" s="195">
        <v>1.0540627908222314E-3</v>
      </c>
      <c r="R9" s="201" t="s">
        <v>470</v>
      </c>
      <c r="S9" s="202">
        <f>SUMIFS(Scoreboard_15[Amount Healed],Scoreboard_15[Team],"Yellow")</f>
        <v>25747043</v>
      </c>
      <c r="T9" s="203">
        <f>SUMIFS(Scoreboard_15[Amount Healed],Scoreboard_15[Team],"Red")</f>
        <v>25170374</v>
      </c>
      <c r="V9" s="204" t="str">
        <f ca="1">IFERROR(__xludf.DUMMYFUNCTION("""COMPUTED_VALUE"""),"Baozer")</f>
        <v>Baozer</v>
      </c>
      <c r="W9" s="116">
        <f ca="1">IFERROR(__xludf.DUMMYFUNCTION("""COMPUTED_VALUE"""),128)</f>
        <v>128</v>
      </c>
      <c r="Y9" s="204" t="str">
        <f ca="1">IFERROR(__xludf.DUMMYFUNCTION("""COMPUTED_VALUE"""),"Kyu")</f>
        <v>Kyu</v>
      </c>
      <c r="Z9" s="116">
        <f ca="1">IFERROR(__xludf.DUMMYFUNCTION("""COMPUTED_VALUE"""),2771910)</f>
        <v>2771910</v>
      </c>
    </row>
    <row r="10" spans="1:26" ht="22.5" customHeight="1">
      <c r="A10" s="115">
        <v>14</v>
      </c>
      <c r="B10" s="115" t="s">
        <v>25</v>
      </c>
      <c r="C10" s="115" t="s">
        <v>23</v>
      </c>
      <c r="D10" s="115" t="s">
        <v>7</v>
      </c>
      <c r="E10" s="98" t="s">
        <v>27</v>
      </c>
      <c r="F10" s="115" t="s">
        <v>476</v>
      </c>
      <c r="G10" s="115">
        <v>28</v>
      </c>
      <c r="H10" s="115">
        <v>67</v>
      </c>
      <c r="I10" s="194">
        <v>95</v>
      </c>
      <c r="J10" s="116">
        <v>1792911</v>
      </c>
      <c r="K10" s="116">
        <v>1345141</v>
      </c>
      <c r="L10" s="116">
        <v>35307</v>
      </c>
      <c r="M10" s="195">
        <v>3.3101045296167246E-2</v>
      </c>
      <c r="N10" s="195">
        <v>4.6319253983763381E-2</v>
      </c>
      <c r="O10" s="195">
        <v>3.4231155942580138E-2</v>
      </c>
      <c r="P10" s="195">
        <v>1.371303104593409E-3</v>
      </c>
      <c r="R10" s="201" t="s">
        <v>469</v>
      </c>
      <c r="S10" s="202">
        <f>SUMIFS(Scoreboard_15[Damage Taken],Scoreboard_15[Team],"Yellow")</f>
        <v>39295810</v>
      </c>
      <c r="T10" s="203">
        <f>SUMIFS(Scoreboard_15[Damage Taken],Scoreboard_15[Team],"Red")</f>
        <v>38686142</v>
      </c>
      <c r="V10" s="204" t="str">
        <f ca="1">IFERROR(__xludf.DUMMYFUNCTION("""COMPUTED_VALUE"""),"Superluigi")</f>
        <v>Superluigi</v>
      </c>
      <c r="W10" s="116">
        <f ca="1">IFERROR(__xludf.DUMMYFUNCTION("""COMPUTED_VALUE"""),125)</f>
        <v>125</v>
      </c>
      <c r="Y10" s="204" t="str">
        <f ca="1">IFERROR(__xludf.DUMMYFUNCTION("""COMPUTED_VALUE"""),"爱RosesAreRosie")</f>
        <v>爱RosesAreRosie</v>
      </c>
      <c r="Z10" s="116">
        <f ca="1">IFERROR(__xludf.DUMMYFUNCTION("""COMPUTED_VALUE"""),2620681)</f>
        <v>2620681</v>
      </c>
    </row>
    <row r="11" spans="1:26" ht="22.5" customHeight="1">
      <c r="A11" s="115">
        <v>32</v>
      </c>
      <c r="B11" s="115" t="s">
        <v>39</v>
      </c>
      <c r="C11" s="115" t="s">
        <v>45</v>
      </c>
      <c r="D11" s="115" t="s">
        <v>7</v>
      </c>
      <c r="E11" s="98" t="s">
        <v>88</v>
      </c>
      <c r="F11" s="115" t="s">
        <v>476</v>
      </c>
      <c r="G11" s="115">
        <v>17</v>
      </c>
      <c r="H11" s="115">
        <v>74</v>
      </c>
      <c r="I11" s="194">
        <v>91</v>
      </c>
      <c r="J11" s="116">
        <v>2087658</v>
      </c>
      <c r="K11" s="116">
        <v>544955</v>
      </c>
      <c r="L11" s="116">
        <v>11311</v>
      </c>
      <c r="M11" s="195">
        <v>3.1707317073170732E-2</v>
      </c>
      <c r="N11" s="195">
        <v>5.3933943811620033E-2</v>
      </c>
      <c r="O11" s="195">
        <v>1.3868017989704245E-2</v>
      </c>
      <c r="P11" s="195">
        <v>4.3931258436162942E-4</v>
      </c>
      <c r="R11" s="201" t="s">
        <v>495</v>
      </c>
      <c r="S11" s="202">
        <f ca="1">IFERROR(DIVIDE(SUMIFS(Scoreboard_15[Amount Healed],Scoreboard_15[Team],"Yellow"), SUMIFS(Scoreboard_15[Damage Taken],Scoreboard_15[Team],"Yellow"))*(100),0)</f>
        <v>0</v>
      </c>
      <c r="T11" s="203">
        <f ca="1">IFERROR(DIVIDE(SUMIFS(Scoreboard_15[Amount Healed],Scoreboard_15[Team],"Red"), SUMIFS(Scoreboard_15[Damage Taken],Scoreboard_15[Team],"Red"))*(100),0)</f>
        <v>0</v>
      </c>
      <c r="V11" s="204" t="str">
        <f ca="1">IFERROR(__xludf.DUMMYFUNCTION("""COMPUTED_VALUE"""),"Kyu")</f>
        <v>Kyu</v>
      </c>
      <c r="W11" s="116">
        <f ca="1">IFERROR(__xludf.DUMMYFUNCTION("""COMPUTED_VALUE"""),119)</f>
        <v>119</v>
      </c>
      <c r="Y11" s="204" t="str">
        <f ca="1">IFERROR(__xludf.DUMMYFUNCTION("""COMPUTED_VALUE"""),"Superluigi")</f>
        <v>Superluigi</v>
      </c>
      <c r="Z11" s="116">
        <f ca="1">IFERROR(__xludf.DUMMYFUNCTION("""COMPUTED_VALUE"""),2577270)</f>
        <v>2577270</v>
      </c>
    </row>
    <row r="12" spans="1:26" ht="22.5" customHeight="1">
      <c r="A12" s="115">
        <v>41</v>
      </c>
      <c r="B12" s="115" t="s">
        <v>11</v>
      </c>
      <c r="C12" s="115" t="s">
        <v>9</v>
      </c>
      <c r="D12" s="115" t="s">
        <v>7</v>
      </c>
      <c r="E12" s="98" t="s">
        <v>87</v>
      </c>
      <c r="F12" s="115" t="s">
        <v>476</v>
      </c>
      <c r="G12" s="115">
        <v>2</v>
      </c>
      <c r="H12" s="115">
        <v>89</v>
      </c>
      <c r="I12" s="194">
        <v>91</v>
      </c>
      <c r="J12" s="116">
        <v>90246</v>
      </c>
      <c r="K12" s="116">
        <v>392669</v>
      </c>
      <c r="L12" s="116">
        <v>1175450</v>
      </c>
      <c r="M12" s="195">
        <v>3.1707317073170732E-2</v>
      </c>
      <c r="N12" s="195">
        <v>2.3314751234270467E-3</v>
      </c>
      <c r="O12" s="195">
        <v>9.9926429815290745E-3</v>
      </c>
      <c r="P12" s="195">
        <v>4.5653786339658498E-2</v>
      </c>
      <c r="R12" s="201" t="s">
        <v>465</v>
      </c>
      <c r="S12" s="202">
        <f>SUMIFS(Scoreboard_15[Kills],Scoreboard_15[Team],"Yellow")</f>
        <v>553</v>
      </c>
      <c r="T12" s="203">
        <f>SUMIFS(Scoreboard_15[Kills],Scoreboard_15[Team],"Red")</f>
        <v>547</v>
      </c>
      <c r="V12" s="204" t="str">
        <f ca="1">IFERROR(__xludf.DUMMYFUNCTION("""COMPUTED_VALUE"""),"爱RosesAreRosie")</f>
        <v>爱RosesAreRosie</v>
      </c>
      <c r="W12" s="116">
        <f ca="1">IFERROR(__xludf.DUMMYFUNCTION("""COMPUTED_VALUE"""),115)</f>
        <v>115</v>
      </c>
      <c r="Y12" s="204" t="str">
        <f ca="1">IFERROR(__xludf.DUMMYFUNCTION("""COMPUTED_VALUE"""),"Spot·")</f>
        <v>Spot·</v>
      </c>
      <c r="Z12" s="116">
        <f ca="1">IFERROR(__xludf.DUMMYFUNCTION("""COMPUTED_VALUE"""),2563415)</f>
        <v>2563415</v>
      </c>
    </row>
    <row r="13" spans="1:26" ht="22.5" customHeight="1">
      <c r="A13" s="115">
        <v>16</v>
      </c>
      <c r="B13" s="115" t="s">
        <v>39</v>
      </c>
      <c r="C13" s="115" t="s">
        <v>45</v>
      </c>
      <c r="D13" s="115" t="s">
        <v>7</v>
      </c>
      <c r="E13" s="98" t="s">
        <v>83</v>
      </c>
      <c r="F13" s="115" t="s">
        <v>476</v>
      </c>
      <c r="G13" s="115">
        <v>27</v>
      </c>
      <c r="H13" s="115">
        <v>62</v>
      </c>
      <c r="I13" s="194">
        <v>89</v>
      </c>
      <c r="J13" s="116">
        <v>2167181</v>
      </c>
      <c r="K13" s="116">
        <v>523382</v>
      </c>
      <c r="L13" s="116">
        <v>18347</v>
      </c>
      <c r="M13" s="195">
        <v>3.1010452961672475E-2</v>
      </c>
      <c r="N13" s="195">
        <v>5.5988393828687706E-2</v>
      </c>
      <c r="O13" s="195">
        <v>1.3319028161017677E-2</v>
      </c>
      <c r="P13" s="195">
        <v>7.1258668422622361E-4</v>
      </c>
      <c r="R13" s="201" t="s">
        <v>466</v>
      </c>
      <c r="S13" s="202">
        <f>SUMIFS(Scoreboard_15[Assists],Scoreboard_15[Team],"Yellow")</f>
        <v>2317</v>
      </c>
      <c r="T13" s="203">
        <f>SUMIFS(Scoreboard_15[Assists],Scoreboard_15[Team],"Red")</f>
        <v>2333</v>
      </c>
      <c r="V13" s="204" t="str">
        <f ca="1">IFERROR(__xludf.DUMMYFUNCTION("""COMPUTED_VALUE"""),"Artemis°")</f>
        <v>Artemis°</v>
      </c>
      <c r="W13" s="116">
        <f ca="1">IFERROR(__xludf.DUMMYFUNCTION("""COMPUTED_VALUE"""),110)</f>
        <v>110</v>
      </c>
      <c r="Y13" s="204" t="str">
        <f ca="1">IFERROR(__xludf.DUMMYFUNCTION("""COMPUTED_VALUE"""),"Justin")</f>
        <v>Justin</v>
      </c>
      <c r="Z13" s="116">
        <f ca="1">IFERROR(__xludf.DUMMYFUNCTION("""COMPUTED_VALUE"""),2466947)</f>
        <v>2466947</v>
      </c>
    </row>
    <row r="14" spans="1:26" ht="22.5" customHeight="1">
      <c r="A14" s="115">
        <v>23</v>
      </c>
      <c r="B14" s="115" t="s">
        <v>25</v>
      </c>
      <c r="C14" s="115" t="s">
        <v>23</v>
      </c>
      <c r="D14" s="115" t="s">
        <v>7</v>
      </c>
      <c r="E14" s="98" t="s">
        <v>47</v>
      </c>
      <c r="F14" s="115" t="s">
        <v>476</v>
      </c>
      <c r="G14" s="115">
        <v>22</v>
      </c>
      <c r="H14" s="115">
        <v>62</v>
      </c>
      <c r="I14" s="194">
        <v>84</v>
      </c>
      <c r="J14" s="116">
        <v>1575851</v>
      </c>
      <c r="K14" s="116">
        <v>987276</v>
      </c>
      <c r="L14" s="116">
        <v>8879</v>
      </c>
      <c r="M14" s="195">
        <v>2.9268292682926831E-2</v>
      </c>
      <c r="N14" s="195">
        <v>4.0711581729136304E-2</v>
      </c>
      <c r="O14" s="195">
        <v>2.512420535420952E-2</v>
      </c>
      <c r="P14" s="195">
        <v>3.4485513540331603E-4</v>
      </c>
    </row>
    <row r="15" spans="1:26" ht="22.5" customHeight="1">
      <c r="A15" s="115">
        <v>17</v>
      </c>
      <c r="B15" s="115" t="s">
        <v>25</v>
      </c>
      <c r="C15" s="115" t="s">
        <v>69</v>
      </c>
      <c r="D15" s="115" t="s">
        <v>7</v>
      </c>
      <c r="E15" s="98" t="s">
        <v>68</v>
      </c>
      <c r="F15" s="115" t="s">
        <v>476</v>
      </c>
      <c r="G15" s="115">
        <v>27</v>
      </c>
      <c r="H15" s="115">
        <v>55</v>
      </c>
      <c r="I15" s="194">
        <v>82</v>
      </c>
      <c r="J15" s="116">
        <v>1333593</v>
      </c>
      <c r="K15" s="116">
        <v>1257017</v>
      </c>
      <c r="L15" s="116">
        <v>97055</v>
      </c>
      <c r="M15" s="195">
        <v>2.8571428571428571E-2</v>
      </c>
      <c r="N15" s="195">
        <v>3.4452927600962323E-2</v>
      </c>
      <c r="O15" s="195">
        <v>3.1988575881245353E-2</v>
      </c>
      <c r="P15" s="195">
        <v>3.7695590907274282E-3</v>
      </c>
      <c r="R15" s="232" t="s">
        <v>25</v>
      </c>
      <c r="S15" s="228"/>
      <c r="T15" s="228"/>
      <c r="V15" s="233" t="s">
        <v>496</v>
      </c>
      <c r="W15" s="228"/>
      <c r="Y15" s="233" t="s">
        <v>497</v>
      </c>
      <c r="Z15" s="228"/>
    </row>
    <row r="16" spans="1:26" ht="22.5" customHeight="1">
      <c r="A16" s="115">
        <v>11</v>
      </c>
      <c r="B16" s="115" t="s">
        <v>25</v>
      </c>
      <c r="C16" s="115" t="s">
        <v>69</v>
      </c>
      <c r="D16" s="115" t="s">
        <v>7</v>
      </c>
      <c r="E16" s="98" t="s">
        <v>110</v>
      </c>
      <c r="F16" s="115" t="s">
        <v>476</v>
      </c>
      <c r="G16" s="115">
        <v>32</v>
      </c>
      <c r="H16" s="115">
        <v>48</v>
      </c>
      <c r="I16" s="194">
        <v>80</v>
      </c>
      <c r="J16" s="116">
        <v>1273004</v>
      </c>
      <c r="K16" s="116">
        <v>872478</v>
      </c>
      <c r="L16" s="116">
        <v>123800</v>
      </c>
      <c r="M16" s="195">
        <v>2.7874564459930314E-2</v>
      </c>
      <c r="N16" s="195">
        <v>3.2887631119641027E-2</v>
      </c>
      <c r="O16" s="195">
        <v>2.2202825186705657E-2</v>
      </c>
      <c r="P16" s="195">
        <v>4.8083191533878277E-3</v>
      </c>
      <c r="R16" s="197" t="s">
        <v>482</v>
      </c>
      <c r="S16" s="198" t="s">
        <v>476</v>
      </c>
      <c r="T16" s="198" t="s">
        <v>483</v>
      </c>
      <c r="V16" s="199" t="s">
        <v>1</v>
      </c>
      <c r="W16" s="200" t="s">
        <v>498</v>
      </c>
      <c r="Y16" s="199" t="s">
        <v>1</v>
      </c>
      <c r="Z16" s="200" t="s">
        <v>499</v>
      </c>
    </row>
    <row r="17" spans="1:26" ht="22.5" customHeight="1">
      <c r="A17" s="115">
        <v>61</v>
      </c>
      <c r="B17" s="115" t="s">
        <v>11</v>
      </c>
      <c r="C17" s="115" t="s">
        <v>10</v>
      </c>
      <c r="D17" s="115" t="s">
        <v>7</v>
      </c>
      <c r="E17" s="98" t="s">
        <v>101</v>
      </c>
      <c r="F17" s="115" t="s">
        <v>476</v>
      </c>
      <c r="G17" s="115">
        <v>0</v>
      </c>
      <c r="H17" s="115">
        <v>79</v>
      </c>
      <c r="I17" s="194">
        <v>79</v>
      </c>
      <c r="J17" s="116">
        <v>56140</v>
      </c>
      <c r="K17" s="116">
        <v>613880</v>
      </c>
      <c r="L17" s="116">
        <v>1979167</v>
      </c>
      <c r="M17" s="195">
        <v>2.7526132404181183E-2</v>
      </c>
      <c r="N17" s="195">
        <v>1.4503580594064491E-3</v>
      </c>
      <c r="O17" s="195">
        <v>1.5622021788073589E-2</v>
      </c>
      <c r="P17" s="195">
        <v>7.6869681695097961E-2</v>
      </c>
      <c r="R17" s="201" t="s">
        <v>468</v>
      </c>
      <c r="S17" s="202">
        <f>SUMIFS(Scoreboard_15[Damage Dealt],Scoreboard_15[Role],"Melee DPS",Scoreboard_15[Team],"Yellow")</f>
        <v>16587814</v>
      </c>
      <c r="T17" s="203">
        <f>SUMIFS(Scoreboard_15[Damage Dealt],Scoreboard_15[Role],"Melee DPS",Scoreboard_15[Team],"Red")</f>
        <v>8132753</v>
      </c>
      <c r="V17" s="204" t="str">
        <f ca="1">IFERROR(__xludf.DUMMYFUNCTION("query(A1:P239, ""Select E,K Order by K Desc Limit 10"", 0)"),"stepbro梦")</f>
        <v>stepbro梦</v>
      </c>
      <c r="W17" s="116">
        <f ca="1">IFERROR(__xludf.DUMMYFUNCTION("""COMPUTED_VALUE"""),1819259)</f>
        <v>1819259</v>
      </c>
      <c r="Y17" s="204" t="str">
        <f ca="1">IFERROR(__xludf.DUMMYFUNCTION("query(A1:P239, ""Select E,L Order by L Desc Limit 10"", 0)"),"Dioxin")</f>
        <v>Dioxin</v>
      </c>
      <c r="Z17" s="116">
        <f ca="1">IFERROR(__xludf.DUMMYFUNCTION("""COMPUTED_VALUE"""),2473712)</f>
        <v>2473712</v>
      </c>
    </row>
    <row r="18" spans="1:26" ht="22.5" customHeight="1">
      <c r="A18" s="115">
        <v>27</v>
      </c>
      <c r="B18" s="115" t="s">
        <v>25</v>
      </c>
      <c r="C18" s="115" t="s">
        <v>69</v>
      </c>
      <c r="D18" s="115" t="s">
        <v>7</v>
      </c>
      <c r="E18" s="98" t="s">
        <v>90</v>
      </c>
      <c r="F18" s="115" t="s">
        <v>476</v>
      </c>
      <c r="G18" s="115">
        <v>21</v>
      </c>
      <c r="H18" s="115">
        <v>56</v>
      </c>
      <c r="I18" s="194">
        <v>77</v>
      </c>
      <c r="J18" s="116">
        <v>1139346</v>
      </c>
      <c r="K18" s="116">
        <v>1137368</v>
      </c>
      <c r="L18" s="116">
        <v>94517</v>
      </c>
      <c r="M18" s="195">
        <v>2.6829268292682926E-2</v>
      </c>
      <c r="N18" s="195">
        <v>2.9434621545288569E-2</v>
      </c>
      <c r="O18" s="195">
        <v>2.8943747437703917E-2</v>
      </c>
      <c r="P18" s="195">
        <v>3.6709846641418201E-3</v>
      </c>
      <c r="R18" s="201" t="s">
        <v>469</v>
      </c>
      <c r="S18" s="202">
        <f>SUMIFS(Scoreboard_15[Damage Taken],Scoreboard_15[Role],"Melee DPS",Scoreboard_15[Team],"Yellow")</f>
        <v>10318782</v>
      </c>
      <c r="T18" s="203">
        <f>SUMIFS(Scoreboard_15[Damage Taken],Scoreboard_15[Role],"Melee DPS",Scoreboard_15[Team],"Red")</f>
        <v>8456993</v>
      </c>
      <c r="V18" s="204" t="str">
        <f ca="1">IFERROR(__xludf.DUMMYFUNCTION("""COMPUTED_VALUE"""),"Baozer")</f>
        <v>Baozer</v>
      </c>
      <c r="W18" s="116">
        <f ca="1">IFERROR(__xludf.DUMMYFUNCTION("""COMPUTED_VALUE"""),1648120)</f>
        <v>1648120</v>
      </c>
      <c r="Y18" s="204" t="str">
        <f ca="1">IFERROR(__xludf.DUMMYFUNCTION("""COMPUTED_VALUE"""),"Catwomanツ")</f>
        <v>Catwomanツ</v>
      </c>
      <c r="Z18" s="116">
        <f ca="1">IFERROR(__xludf.DUMMYFUNCTION("""COMPUTED_VALUE"""),2274146)</f>
        <v>2274146</v>
      </c>
    </row>
    <row r="19" spans="1:26" ht="22.5" customHeight="1">
      <c r="A19" s="115">
        <v>9</v>
      </c>
      <c r="B19" s="115" t="s">
        <v>39</v>
      </c>
      <c r="C19" s="115" t="s">
        <v>54</v>
      </c>
      <c r="D19" s="115" t="s">
        <v>7</v>
      </c>
      <c r="E19" s="98" t="s">
        <v>95</v>
      </c>
      <c r="F19" s="115" t="s">
        <v>476</v>
      </c>
      <c r="G19" s="115">
        <v>33</v>
      </c>
      <c r="H19" s="115">
        <v>42</v>
      </c>
      <c r="I19" s="194">
        <v>75</v>
      </c>
      <c r="J19" s="116">
        <v>1779497</v>
      </c>
      <c r="K19" s="116">
        <v>637348</v>
      </c>
      <c r="L19" s="116">
        <v>6963</v>
      </c>
      <c r="M19" s="195">
        <v>2.6132404181184669E-2</v>
      </c>
      <c r="N19" s="195">
        <v>4.597270779550406E-2</v>
      </c>
      <c r="O19" s="195">
        <v>1.6219235587712787E-2</v>
      </c>
      <c r="P19" s="195">
        <v>2.704388228193816E-4</v>
      </c>
      <c r="R19" s="201" t="s">
        <v>470</v>
      </c>
      <c r="S19" s="202">
        <f>SUMIFS(Scoreboard_15[Amount Healed],Scoreboard_15[Role],"Melee DPS",Scoreboard_15[Team],"Yellow")</f>
        <v>506695</v>
      </c>
      <c r="T19" s="203">
        <f>SUMIFS(Scoreboard_15[Amount Healed],Scoreboard_15[Role],"Melee DPS",Scoreboard_15[Team],"Red")</f>
        <v>245504</v>
      </c>
      <c r="V19" s="204" t="str">
        <f ca="1">IFERROR(__xludf.DUMMYFUNCTION("""COMPUTED_VALUE"""),"Loudpack")</f>
        <v>Loudpack</v>
      </c>
      <c r="W19" s="116">
        <f ca="1">IFERROR(__xludf.DUMMYFUNCTION("""COMPUTED_VALUE"""),1406734)</f>
        <v>1406734</v>
      </c>
      <c r="Y19" s="204" t="str">
        <f ca="1">IFERROR(__xludf.DUMMYFUNCTION("""COMPUTED_VALUE"""),"stepsis梦")</f>
        <v>stepsis梦</v>
      </c>
      <c r="Z19" s="116">
        <f ca="1">IFERROR(__xludf.DUMMYFUNCTION("""COMPUTED_VALUE"""),2203959)</f>
        <v>2203959</v>
      </c>
    </row>
    <row r="20" spans="1:26" ht="22.5" customHeight="1">
      <c r="A20" s="115">
        <v>46</v>
      </c>
      <c r="B20" s="115" t="s">
        <v>11</v>
      </c>
      <c r="C20" s="115" t="s">
        <v>9</v>
      </c>
      <c r="D20" s="115" t="s">
        <v>7</v>
      </c>
      <c r="E20" s="98" t="s">
        <v>51</v>
      </c>
      <c r="F20" s="115" t="s">
        <v>476</v>
      </c>
      <c r="G20" s="115">
        <v>1</v>
      </c>
      <c r="H20" s="115">
        <v>71</v>
      </c>
      <c r="I20" s="194">
        <v>72</v>
      </c>
      <c r="J20" s="116">
        <v>37400</v>
      </c>
      <c r="K20" s="116">
        <v>479762</v>
      </c>
      <c r="L20" s="116">
        <v>778645</v>
      </c>
      <c r="M20" s="195">
        <v>2.5087108013937282E-2</v>
      </c>
      <c r="N20" s="195">
        <v>9.6621644855363726E-4</v>
      </c>
      <c r="O20" s="195">
        <v>1.2208986148904933E-2</v>
      </c>
      <c r="P20" s="195">
        <v>3.0242113628349478E-2</v>
      </c>
      <c r="R20" s="201" t="s">
        <v>465</v>
      </c>
      <c r="S20" s="202">
        <f>SUMIFS(Scoreboard_15[Kills],Scoreboard_15[Role],"Melee DPS",Scoreboard_15[Team],"Yellow")</f>
        <v>272</v>
      </c>
      <c r="T20" s="203">
        <f>SUMIFS(Scoreboard_15[Kills],Scoreboard_15[Role],"Melee DPS",Scoreboard_15[Team],"Red")</f>
        <v>132</v>
      </c>
      <c r="V20" s="204" t="str">
        <f ca="1">IFERROR(__xludf.DUMMYFUNCTION("""COMPUTED_VALUE"""),"Kyu")</f>
        <v>Kyu</v>
      </c>
      <c r="W20" s="116">
        <f ca="1">IFERROR(__xludf.DUMMYFUNCTION("""COMPUTED_VALUE"""),1362433)</f>
        <v>1362433</v>
      </c>
      <c r="Y20" s="204" t="str">
        <f ca="1">IFERROR(__xludf.DUMMYFUNCTION("""COMPUTED_VALUE"""),"Purple")</f>
        <v>Purple</v>
      </c>
      <c r="Z20" s="116">
        <f ca="1">IFERROR(__xludf.DUMMYFUNCTION("""COMPUTED_VALUE"""),2137883)</f>
        <v>2137883</v>
      </c>
    </row>
    <row r="21" spans="1:26" ht="22.5" customHeight="1">
      <c r="A21" s="115">
        <v>62</v>
      </c>
      <c r="B21" s="115" t="s">
        <v>11</v>
      </c>
      <c r="C21" s="115" t="s">
        <v>9</v>
      </c>
      <c r="D21" s="115" t="s">
        <v>7</v>
      </c>
      <c r="E21" s="98" t="s">
        <v>8</v>
      </c>
      <c r="F21" s="115" t="s">
        <v>476</v>
      </c>
      <c r="G21" s="115">
        <v>0</v>
      </c>
      <c r="H21" s="115">
        <v>68</v>
      </c>
      <c r="I21" s="194">
        <v>68</v>
      </c>
      <c r="J21" s="116">
        <v>22195</v>
      </c>
      <c r="K21" s="116">
        <v>610538</v>
      </c>
      <c r="L21" s="116">
        <v>1162220</v>
      </c>
      <c r="M21" s="195">
        <v>2.3693379790940768E-2</v>
      </c>
      <c r="N21" s="195">
        <v>5.73400376354224E-4</v>
      </c>
      <c r="O21" s="195">
        <v>1.5536974552757661E-2</v>
      </c>
      <c r="P21" s="195">
        <v>4.5139940924478199E-2</v>
      </c>
      <c r="R21" s="201" t="s">
        <v>466</v>
      </c>
      <c r="S21" s="202">
        <f>SUMIFS(Scoreboard_15[Assists],Scoreboard_15[Role],"Melee DPS",Scoreboard_15[Team],"Yellow")</f>
        <v>613</v>
      </c>
      <c r="T21" s="203">
        <f>SUMIFS(Scoreboard_15[Assists],Scoreboard_15[Role],"Melee DPS",Scoreboard_15[Team],"Red")</f>
        <v>328</v>
      </c>
      <c r="V21" s="204" t="str">
        <f ca="1">IFERROR(__xludf.DUMMYFUNCTION("""COMPUTED_VALUE"""),"Blee")</f>
        <v>Blee</v>
      </c>
      <c r="W21" s="116">
        <f ca="1">IFERROR(__xludf.DUMMYFUNCTION("""COMPUTED_VALUE"""),1345141)</f>
        <v>1345141</v>
      </c>
      <c r="Y21" s="204" t="str">
        <f ca="1">IFERROR(__xludf.DUMMYFUNCTION("""COMPUTED_VALUE"""),"Spicyparrot")</f>
        <v>Spicyparrot</v>
      </c>
      <c r="Z21" s="116">
        <f ca="1">IFERROR(__xludf.DUMMYFUNCTION("""COMPUTED_VALUE"""),2097517)</f>
        <v>2097517</v>
      </c>
    </row>
    <row r="22" spans="1:26" ht="22.5" customHeight="1">
      <c r="A22" s="115">
        <v>63</v>
      </c>
      <c r="B22" s="115" t="s">
        <v>11</v>
      </c>
      <c r="C22" s="115" t="s">
        <v>10</v>
      </c>
      <c r="D22" s="115" t="s">
        <v>7</v>
      </c>
      <c r="E22" s="98" t="s">
        <v>105</v>
      </c>
      <c r="F22" s="115" t="s">
        <v>476</v>
      </c>
      <c r="G22" s="115">
        <v>0</v>
      </c>
      <c r="H22" s="115">
        <v>66</v>
      </c>
      <c r="I22" s="194">
        <v>66</v>
      </c>
      <c r="J22" s="116">
        <v>26218</v>
      </c>
      <c r="K22" s="116">
        <v>800855</v>
      </c>
      <c r="L22" s="116">
        <v>1352770</v>
      </c>
      <c r="M22" s="195">
        <v>2.2996515679442508E-2</v>
      </c>
      <c r="N22" s="195">
        <v>6.773332312347396E-4</v>
      </c>
      <c r="O22" s="195">
        <v>2.0380162668742544E-2</v>
      </c>
      <c r="P22" s="195">
        <v>5.2540790800714471E-2</v>
      </c>
      <c r="R22" s="201" t="s">
        <v>24</v>
      </c>
      <c r="S22" s="202">
        <f t="shared" ref="S22:S25" si="0">COUNTIFS(C:C,R22,F:F,"Yellow")</f>
        <v>1</v>
      </c>
      <c r="T22" s="203">
        <f t="shared" ref="T22:T25" si="1">COUNTIFS(C:C,R22,F:F,"Red")</f>
        <v>3</v>
      </c>
      <c r="V22" s="204" t="str">
        <f ca="1">IFERROR(__xludf.DUMMYFUNCTION("""COMPUTED_VALUE"""),"SunnyDriver")</f>
        <v>SunnyDriver</v>
      </c>
      <c r="W22" s="116">
        <f ca="1">IFERROR(__xludf.DUMMYFUNCTION("""COMPUTED_VALUE"""),1339713)</f>
        <v>1339713</v>
      </c>
      <c r="Y22" s="204" t="str">
        <f ca="1">IFERROR(__xludf.DUMMYFUNCTION("""COMPUTED_VALUE"""),"AnastheTHICCEST")</f>
        <v>AnastheTHICCEST</v>
      </c>
      <c r="Z22" s="116">
        <f ca="1">IFERROR(__xludf.DUMMYFUNCTION("""COMPUTED_VALUE"""),2051767)</f>
        <v>2051767</v>
      </c>
    </row>
    <row r="23" spans="1:26" ht="22.5" customHeight="1">
      <c r="A23" s="115">
        <v>64</v>
      </c>
      <c r="B23" s="115" t="s">
        <v>11</v>
      </c>
      <c r="C23" s="115" t="s">
        <v>9</v>
      </c>
      <c r="D23" s="115" t="s">
        <v>7</v>
      </c>
      <c r="E23" s="98" t="s">
        <v>59</v>
      </c>
      <c r="F23" s="115" t="s">
        <v>476</v>
      </c>
      <c r="G23" s="115">
        <v>0</v>
      </c>
      <c r="H23" s="115">
        <v>63</v>
      </c>
      <c r="I23" s="194">
        <v>63</v>
      </c>
      <c r="J23" s="116">
        <v>11317</v>
      </c>
      <c r="K23" s="116">
        <v>431884</v>
      </c>
      <c r="L23" s="116">
        <v>635937</v>
      </c>
      <c r="M23" s="195">
        <v>2.1951219512195121E-2</v>
      </c>
      <c r="N23" s="195">
        <v>2.923708970128747E-4</v>
      </c>
      <c r="O23" s="195">
        <v>1.0990586528182012E-2</v>
      </c>
      <c r="P23" s="195">
        <v>2.4699418880840027E-2</v>
      </c>
      <c r="R23" s="201" t="s">
        <v>69</v>
      </c>
      <c r="S23" s="202">
        <f t="shared" si="0"/>
        <v>4</v>
      </c>
      <c r="T23" s="203">
        <f t="shared" si="1"/>
        <v>3</v>
      </c>
      <c r="V23" s="204" t="str">
        <f ca="1">IFERROR(__xludf.DUMMYFUNCTION("""COMPUTED_VALUE"""),"Darkseid✗")</f>
        <v>Darkseid✗</v>
      </c>
      <c r="W23" s="116">
        <f ca="1">IFERROR(__xludf.DUMMYFUNCTION("""COMPUTED_VALUE"""),1284407)</f>
        <v>1284407</v>
      </c>
      <c r="Y23" s="204" t="str">
        <f ca="1">IFERROR(__xludf.DUMMYFUNCTION("""COMPUTED_VALUE"""),"soju·")</f>
        <v>soju·</v>
      </c>
      <c r="Z23" s="116">
        <f ca="1">IFERROR(__xludf.DUMMYFUNCTION("""COMPUTED_VALUE"""),1979167)</f>
        <v>1979167</v>
      </c>
    </row>
    <row r="24" spans="1:26" ht="22.5" customHeight="1">
      <c r="A24" s="115">
        <v>65</v>
      </c>
      <c r="B24" s="115" t="s">
        <v>11</v>
      </c>
      <c r="C24" s="115" t="s">
        <v>10</v>
      </c>
      <c r="D24" s="115" t="s">
        <v>7</v>
      </c>
      <c r="E24" s="98" t="s">
        <v>49</v>
      </c>
      <c r="F24" s="115" t="s">
        <v>476</v>
      </c>
      <c r="G24" s="115">
        <v>0</v>
      </c>
      <c r="H24" s="115">
        <v>62</v>
      </c>
      <c r="I24" s="194">
        <v>62</v>
      </c>
      <c r="J24" s="116">
        <v>38926</v>
      </c>
      <c r="K24" s="116">
        <v>679364</v>
      </c>
      <c r="L24" s="116">
        <v>1457416</v>
      </c>
      <c r="M24" s="195">
        <v>2.1602787456445994E-2</v>
      </c>
      <c r="N24" s="195">
        <v>1.0056401464277776E-3</v>
      </c>
      <c r="O24" s="195">
        <v>1.7288458998554808E-2</v>
      </c>
      <c r="P24" s="195">
        <v>5.660517986473243E-2</v>
      </c>
      <c r="R24" s="201" t="s">
        <v>23</v>
      </c>
      <c r="S24" s="202">
        <f t="shared" si="0"/>
        <v>4</v>
      </c>
      <c r="T24" s="203">
        <f t="shared" si="1"/>
        <v>1</v>
      </c>
      <c r="V24" s="204" t="str">
        <f ca="1">IFERROR(__xludf.DUMMYFUNCTION("""COMPUTED_VALUE"""),"monkeymo")</f>
        <v>monkeymo</v>
      </c>
      <c r="W24" s="116">
        <f ca="1">IFERROR(__xludf.DUMMYFUNCTION("""COMPUTED_VALUE"""),1280309)</f>
        <v>1280309</v>
      </c>
      <c r="Y24" s="204" t="str">
        <f ca="1">IFERROR(__xludf.DUMMYFUNCTION("""COMPUTED_VALUE"""),"Tagato")</f>
        <v>Tagato</v>
      </c>
      <c r="Z24" s="116">
        <f ca="1">IFERROR(__xludf.DUMMYFUNCTION("""COMPUTED_VALUE"""),1898099)</f>
        <v>1898099</v>
      </c>
    </row>
    <row r="25" spans="1:26" ht="22.5" customHeight="1">
      <c r="A25" s="115">
        <v>47</v>
      </c>
      <c r="B25" s="115" t="s">
        <v>11</v>
      </c>
      <c r="C25" s="115" t="s">
        <v>9</v>
      </c>
      <c r="D25" s="115" t="s">
        <v>7</v>
      </c>
      <c r="E25" s="98" t="s">
        <v>695</v>
      </c>
      <c r="F25" s="115" t="s">
        <v>476</v>
      </c>
      <c r="G25" s="115">
        <v>1</v>
      </c>
      <c r="H25" s="115">
        <v>59</v>
      </c>
      <c r="I25" s="194">
        <v>60</v>
      </c>
      <c r="J25" s="116">
        <v>101921</v>
      </c>
      <c r="K25" s="116">
        <v>202418</v>
      </c>
      <c r="L25" s="116">
        <v>775101</v>
      </c>
      <c r="M25" s="195">
        <v>2.0905923344947737E-2</v>
      </c>
      <c r="N25" s="195">
        <v>2.6330948302950605E-3</v>
      </c>
      <c r="O25" s="195">
        <v>5.1511344339256523E-3</v>
      </c>
      <c r="P25" s="195">
        <v>3.0104466753716145E-2</v>
      </c>
      <c r="R25" s="201" t="s">
        <v>33</v>
      </c>
      <c r="S25" s="202">
        <f t="shared" si="0"/>
        <v>0</v>
      </c>
      <c r="T25" s="203">
        <f t="shared" si="1"/>
        <v>0</v>
      </c>
      <c r="V25" s="204" t="str">
        <f ca="1">IFERROR(__xludf.DUMMYFUNCTION("""COMPUTED_VALUE"""),"Jawz")</f>
        <v>Jawz</v>
      </c>
      <c r="W25" s="116">
        <f ca="1">IFERROR(__xludf.DUMMYFUNCTION("""COMPUTED_VALUE"""),1257017)</f>
        <v>1257017</v>
      </c>
      <c r="Y25" s="204" t="str">
        <f ca="1">IFERROR(__xludf.DUMMYFUNCTION("""COMPUTED_VALUE"""),"DrLiaraTsoni")</f>
        <v>DrLiaraTsoni</v>
      </c>
      <c r="Z25" s="116">
        <f ca="1">IFERROR(__xludf.DUMMYFUNCTION("""COMPUTED_VALUE"""),1890674)</f>
        <v>1890674</v>
      </c>
    </row>
    <row r="26" spans="1:26" ht="22.5" customHeight="1">
      <c r="A26" s="115">
        <v>68</v>
      </c>
      <c r="B26" s="115" t="s">
        <v>11</v>
      </c>
      <c r="C26" s="115" t="s">
        <v>9</v>
      </c>
      <c r="D26" s="115" t="s">
        <v>7</v>
      </c>
      <c r="E26" s="98" t="s">
        <v>72</v>
      </c>
      <c r="F26" s="115" t="s">
        <v>476</v>
      </c>
      <c r="G26" s="115">
        <v>0</v>
      </c>
      <c r="H26" s="115">
        <v>50</v>
      </c>
      <c r="I26" s="194">
        <v>50</v>
      </c>
      <c r="J26" s="116">
        <v>70819</v>
      </c>
      <c r="K26" s="116">
        <v>379441</v>
      </c>
      <c r="L26" s="116">
        <v>476034</v>
      </c>
      <c r="M26" s="195">
        <v>1.7421602787456445E-2</v>
      </c>
      <c r="N26" s="195">
        <v>1.8295850981315518E-3</v>
      </c>
      <c r="O26" s="195">
        <v>9.6560167610745262E-3</v>
      </c>
      <c r="P26" s="195">
        <v>1.8488880451242497E-2</v>
      </c>
      <c r="R26" s="204"/>
      <c r="S26" s="208"/>
      <c r="T26" s="208"/>
      <c r="V26" s="204" t="str">
        <f ca="1">IFERROR(__xludf.DUMMYFUNCTION("""COMPUTED_VALUE"""),"Batman")</f>
        <v>Batman</v>
      </c>
      <c r="W26" s="116">
        <f ca="1">IFERROR(__xludf.DUMMYFUNCTION("""COMPUTED_VALUE"""),1246384)</f>
        <v>1246384</v>
      </c>
      <c r="Y26" s="204" t="str">
        <f ca="1">IFERROR(__xludf.DUMMYFUNCTION("""COMPUTED_VALUE"""),"Boharding")</f>
        <v>Boharding</v>
      </c>
      <c r="Z26" s="116">
        <f ca="1">IFERROR(__xludf.DUMMYFUNCTION("""COMPUTED_VALUE"""),1860646)</f>
        <v>1860646</v>
      </c>
    </row>
    <row r="27" spans="1:26" ht="22.5" customHeight="1">
      <c r="A27" s="115">
        <v>70</v>
      </c>
      <c r="B27" s="115" t="s">
        <v>11</v>
      </c>
      <c r="C27" s="115" t="s">
        <v>9</v>
      </c>
      <c r="D27" s="115" t="s">
        <v>7</v>
      </c>
      <c r="E27" s="98" t="s">
        <v>91</v>
      </c>
      <c r="F27" s="115" t="s">
        <v>476</v>
      </c>
      <c r="G27" s="115">
        <v>0</v>
      </c>
      <c r="H27" s="115">
        <v>45</v>
      </c>
      <c r="I27" s="194">
        <v>45</v>
      </c>
      <c r="J27" s="116">
        <v>26787</v>
      </c>
      <c r="K27" s="116">
        <v>599871</v>
      </c>
      <c r="L27" s="116">
        <v>2137883</v>
      </c>
      <c r="M27" s="195">
        <v>1.5679442508710801E-2</v>
      </c>
      <c r="N27" s="195">
        <v>6.9203315527824284E-4</v>
      </c>
      <c r="O27" s="195">
        <v>1.5265520675105056E-2</v>
      </c>
      <c r="P27" s="195">
        <v>8.30341177431521E-2</v>
      </c>
      <c r="R27" s="6"/>
      <c r="S27" s="209"/>
      <c r="T27" s="209"/>
    </row>
    <row r="28" spans="1:26" ht="22.5" customHeight="1">
      <c r="A28" s="115">
        <v>71</v>
      </c>
      <c r="B28" s="115" t="s">
        <v>11</v>
      </c>
      <c r="C28" s="115" t="s">
        <v>10</v>
      </c>
      <c r="D28" s="115" t="s">
        <v>7</v>
      </c>
      <c r="E28" s="98" t="s">
        <v>29</v>
      </c>
      <c r="F28" s="115" t="s">
        <v>476</v>
      </c>
      <c r="G28" s="115">
        <v>0</v>
      </c>
      <c r="H28" s="115">
        <v>44</v>
      </c>
      <c r="I28" s="194">
        <v>44</v>
      </c>
      <c r="J28" s="116">
        <v>67831</v>
      </c>
      <c r="K28" s="116">
        <v>407254</v>
      </c>
      <c r="L28" s="116">
        <v>1860646</v>
      </c>
      <c r="M28" s="195">
        <v>1.5331010452961672E-2</v>
      </c>
      <c r="N28" s="195">
        <v>1.7523911209048602E-3</v>
      </c>
      <c r="O28" s="195">
        <v>1.0363802145826743E-2</v>
      </c>
      <c r="P28" s="195">
        <v>7.2266395795431732E-2</v>
      </c>
      <c r="R28" s="232" t="s">
        <v>39</v>
      </c>
      <c r="S28" s="228"/>
      <c r="T28" s="228"/>
    </row>
    <row r="29" spans="1:26" ht="22.5" customHeight="1">
      <c r="A29" s="115">
        <v>72</v>
      </c>
      <c r="B29" s="115" t="s">
        <v>67</v>
      </c>
      <c r="C29" s="115" t="s">
        <v>14</v>
      </c>
      <c r="D29" s="115" t="s">
        <v>7</v>
      </c>
      <c r="E29" s="98" t="s">
        <v>773</v>
      </c>
      <c r="F29" s="115" t="s">
        <v>476</v>
      </c>
      <c r="G29" s="115">
        <v>0</v>
      </c>
      <c r="H29" s="115">
        <v>43</v>
      </c>
      <c r="I29" s="194">
        <v>43</v>
      </c>
      <c r="J29" s="116">
        <v>70515</v>
      </c>
      <c r="K29" s="116">
        <v>770069</v>
      </c>
      <c r="L29" s="116">
        <v>15142</v>
      </c>
      <c r="M29" s="195">
        <v>1.4982578397212544E-2</v>
      </c>
      <c r="N29" s="195">
        <v>1.8217313601540035E-3</v>
      </c>
      <c r="O29" s="195">
        <v>1.959672036280713E-2</v>
      </c>
      <c r="P29" s="195">
        <v>5.8810637011791995E-4</v>
      </c>
      <c r="R29" s="197" t="s">
        <v>482</v>
      </c>
      <c r="S29" s="198" t="s">
        <v>476</v>
      </c>
      <c r="T29" s="198" t="s">
        <v>483</v>
      </c>
    </row>
    <row r="30" spans="1:26" ht="22.5" customHeight="1">
      <c r="A30" s="115">
        <v>51</v>
      </c>
      <c r="B30" s="115" t="s">
        <v>11</v>
      </c>
      <c r="C30" s="115" t="s">
        <v>10</v>
      </c>
      <c r="D30" s="115" t="s">
        <v>7</v>
      </c>
      <c r="E30" s="98" t="s">
        <v>102</v>
      </c>
      <c r="F30" s="115" t="s">
        <v>476</v>
      </c>
      <c r="G30" s="115">
        <v>1</v>
      </c>
      <c r="H30" s="115">
        <v>40</v>
      </c>
      <c r="I30" s="194">
        <v>41</v>
      </c>
      <c r="J30" s="116">
        <v>59055</v>
      </c>
      <c r="K30" s="116">
        <v>818512</v>
      </c>
      <c r="L30" s="116">
        <v>2097517</v>
      </c>
      <c r="M30" s="195">
        <v>1.4285714285714285E-2</v>
      </c>
      <c r="N30" s="195">
        <v>1.5256661061319532E-3</v>
      </c>
      <c r="O30" s="195">
        <v>2.0829498106795609E-2</v>
      </c>
      <c r="P30" s="195">
        <v>8.14663260553843E-2</v>
      </c>
      <c r="R30" s="201" t="s">
        <v>468</v>
      </c>
      <c r="S30" s="202">
        <f>SUMIFS(Scoreboard_15[Damage Dealt],Scoreboard_15[Role],"Ranged DPS",Scoreboard_15[Team],"Yellow")</f>
        <v>19482549</v>
      </c>
      <c r="T30" s="203">
        <f>SUMIFS(Scoreboard_15[Damage Dealt],Scoreboard_15[Role],"Ranged DPS",Scoreboard_15[Team],"Red")</f>
        <v>27386609</v>
      </c>
    </row>
    <row r="31" spans="1:26" ht="22.5" customHeight="1">
      <c r="A31" s="115">
        <v>76</v>
      </c>
      <c r="B31" s="115" t="s">
        <v>11</v>
      </c>
      <c r="C31" s="115" t="s">
        <v>9</v>
      </c>
      <c r="D31" s="115" t="s">
        <v>7</v>
      </c>
      <c r="E31" s="98" t="s">
        <v>41</v>
      </c>
      <c r="F31" s="115" t="s">
        <v>476</v>
      </c>
      <c r="G31" s="115">
        <v>0</v>
      </c>
      <c r="H31" s="115">
        <v>40</v>
      </c>
      <c r="I31" s="194">
        <v>40</v>
      </c>
      <c r="J31" s="116">
        <v>11588</v>
      </c>
      <c r="K31" s="116">
        <v>482660</v>
      </c>
      <c r="L31" s="116">
        <v>899583</v>
      </c>
      <c r="M31" s="195">
        <v>1.3937282229965157E-2</v>
      </c>
      <c r="N31" s="195">
        <v>2.9937209106522855E-4</v>
      </c>
      <c r="O31" s="195">
        <v>1.2282734469654652E-2</v>
      </c>
      <c r="P31" s="195">
        <v>3.4939274385800342E-2</v>
      </c>
      <c r="R31" s="201" t="s">
        <v>469</v>
      </c>
      <c r="S31" s="202">
        <f>SUMIFS(Scoreboard_15[Damage Taken],Scoreboard_15[Role],"Ranged DPS",Scoreboard_15[Team],"Yellow")</f>
        <v>5315049</v>
      </c>
      <c r="T31" s="203">
        <f>SUMIFS(Scoreboard_15[Damage Taken],Scoreboard_15[Role],"Ranged DPS",Scoreboard_15[Team],"Red")</f>
        <v>9121320</v>
      </c>
    </row>
    <row r="32" spans="1:26" ht="22.5" customHeight="1">
      <c r="A32" s="115">
        <v>52</v>
      </c>
      <c r="B32" s="115" t="s">
        <v>67</v>
      </c>
      <c r="C32" s="115" t="s">
        <v>62</v>
      </c>
      <c r="D32" s="115" t="s">
        <v>7</v>
      </c>
      <c r="E32" s="98" t="s">
        <v>61</v>
      </c>
      <c r="F32" s="115" t="s">
        <v>476</v>
      </c>
      <c r="G32" s="115">
        <v>1</v>
      </c>
      <c r="H32" s="115">
        <v>38</v>
      </c>
      <c r="I32" s="194">
        <v>39</v>
      </c>
      <c r="J32" s="116">
        <v>341124</v>
      </c>
      <c r="K32" s="116">
        <v>735935</v>
      </c>
      <c r="L32" s="116">
        <v>60490</v>
      </c>
      <c r="M32" s="195">
        <v>1.3588850174216028E-2</v>
      </c>
      <c r="N32" s="195">
        <v>8.8128240587275666E-3</v>
      </c>
      <c r="O32" s="195">
        <v>1.8728078133521106E-2</v>
      </c>
      <c r="P32" s="195">
        <v>2.3493960063685759E-3</v>
      </c>
      <c r="R32" s="201" t="s">
        <v>470</v>
      </c>
      <c r="S32" s="202">
        <f>SUMIFS(Scoreboard_15[Amount Healed],Scoreboard_15[Role],"Ranged DPS",Scoreboard_15[Team],"Yellow")</f>
        <v>50398</v>
      </c>
      <c r="T32" s="203">
        <f>SUMIFS(Scoreboard_15[Amount Healed],Scoreboard_15[Role],"Ranged DPS",Scoreboard_15[Team],"Red")</f>
        <v>190918</v>
      </c>
    </row>
    <row r="33" spans="1:20" ht="22.5" customHeight="1">
      <c r="A33" s="115">
        <v>78</v>
      </c>
      <c r="B33" s="115" t="s">
        <v>11</v>
      </c>
      <c r="C33" s="115" t="s">
        <v>10</v>
      </c>
      <c r="D33" s="115" t="s">
        <v>7</v>
      </c>
      <c r="E33" s="98" t="s">
        <v>108</v>
      </c>
      <c r="F33" s="115" t="s">
        <v>476</v>
      </c>
      <c r="G33" s="115">
        <v>0</v>
      </c>
      <c r="H33" s="115">
        <v>38</v>
      </c>
      <c r="I33" s="194">
        <v>38</v>
      </c>
      <c r="J33" s="116">
        <v>46460</v>
      </c>
      <c r="K33" s="116">
        <v>801106</v>
      </c>
      <c r="L33" s="116">
        <v>1185130</v>
      </c>
      <c r="M33" s="195">
        <v>1.32404181184669E-2</v>
      </c>
      <c r="N33" s="195">
        <v>1.2002785080160959E-3</v>
      </c>
      <c r="O33" s="195">
        <v>2.0386550118193264E-2</v>
      </c>
      <c r="P33" s="195">
        <v>4.6029751843735998E-2</v>
      </c>
      <c r="R33" s="201" t="s">
        <v>465</v>
      </c>
      <c r="S33" s="202">
        <f>SUMIFS(Scoreboard_15[Kills],Scoreboard_15[Role],"Ranged DPS",Scoreboard_15[Team],"Yellow")</f>
        <v>266</v>
      </c>
      <c r="T33" s="203">
        <f>SUMIFS(Scoreboard_15[Kills],Scoreboard_15[Role],"Ranged DPS",Scoreboard_15[Team],"Red")</f>
        <v>373</v>
      </c>
    </row>
    <row r="34" spans="1:20" ht="22.5" customHeight="1">
      <c r="A34" s="115">
        <v>79</v>
      </c>
      <c r="B34" s="115" t="s">
        <v>11</v>
      </c>
      <c r="C34" s="115" t="s">
        <v>10</v>
      </c>
      <c r="D34" s="115" t="s">
        <v>7</v>
      </c>
      <c r="E34" s="98" t="s">
        <v>44</v>
      </c>
      <c r="F34" s="115" t="s">
        <v>476</v>
      </c>
      <c r="G34" s="115">
        <v>0</v>
      </c>
      <c r="H34" s="115">
        <v>37</v>
      </c>
      <c r="I34" s="194">
        <v>37</v>
      </c>
      <c r="J34" s="116">
        <v>42448</v>
      </c>
      <c r="K34" s="116">
        <v>736154</v>
      </c>
      <c r="L34" s="116">
        <v>860741</v>
      </c>
      <c r="M34" s="195">
        <v>1.289198606271777E-2</v>
      </c>
      <c r="N34" s="195">
        <v>1.0966298344439785E-3</v>
      </c>
      <c r="O34" s="195">
        <v>1.8733651246786873E-2</v>
      </c>
      <c r="P34" s="195">
        <v>3.3430673961277808E-2</v>
      </c>
      <c r="R34" s="201" t="s">
        <v>466</v>
      </c>
      <c r="S34" s="202">
        <f>SUMIFS(Scoreboard_15[Assists],Scoreboard_15[Role],"Ranged DPS",Scoreboard_15[Team],"Yellow")</f>
        <v>508</v>
      </c>
      <c r="T34" s="203">
        <f>SUMIFS(Scoreboard_15[Assists],Scoreboard_15[Role],"Ranged DPS",Scoreboard_15[Team],"Red")</f>
        <v>863</v>
      </c>
    </row>
    <row r="35" spans="1:20" ht="22.5" customHeight="1">
      <c r="A35" s="115">
        <v>40</v>
      </c>
      <c r="B35" s="115" t="s">
        <v>67</v>
      </c>
      <c r="C35" s="115" t="s">
        <v>14</v>
      </c>
      <c r="D35" s="115" t="s">
        <v>7</v>
      </c>
      <c r="E35" s="98" t="s">
        <v>37</v>
      </c>
      <c r="F35" s="115" t="s">
        <v>476</v>
      </c>
      <c r="G35" s="115">
        <v>3</v>
      </c>
      <c r="H35" s="115">
        <v>33</v>
      </c>
      <c r="I35" s="194">
        <v>36</v>
      </c>
      <c r="J35" s="116">
        <v>321828</v>
      </c>
      <c r="K35" s="116">
        <v>1086984</v>
      </c>
      <c r="L35" s="116">
        <v>34150</v>
      </c>
      <c r="M35" s="195">
        <v>1.2543554006968641E-2</v>
      </c>
      <c r="N35" s="195">
        <v>8.3143183744684487E-3</v>
      </c>
      <c r="O35" s="195">
        <v>2.766157511449694E-2</v>
      </c>
      <c r="P35" s="195">
        <v>1.3263659053973694E-3</v>
      </c>
      <c r="R35" s="201" t="s">
        <v>54</v>
      </c>
      <c r="S35" s="202">
        <f t="shared" ref="S35:S46" si="2">COUNTIFS(C:C,R35,F:F,"Yellow")</f>
        <v>2</v>
      </c>
      <c r="T35" s="203">
        <f t="shared" ref="T35:T46" si="3">COUNTIFS(C:C,R35,F:F,"Red")</f>
        <v>1</v>
      </c>
    </row>
    <row r="36" spans="1:20" ht="22.5" customHeight="1">
      <c r="A36" s="115">
        <v>80</v>
      </c>
      <c r="B36" s="115" t="s">
        <v>11</v>
      </c>
      <c r="C36" s="115" t="s">
        <v>10</v>
      </c>
      <c r="D36" s="115" t="s">
        <v>7</v>
      </c>
      <c r="E36" s="98" t="s">
        <v>96</v>
      </c>
      <c r="F36" s="115" t="s">
        <v>476</v>
      </c>
      <c r="G36" s="115">
        <v>0</v>
      </c>
      <c r="H36" s="115">
        <v>36</v>
      </c>
      <c r="I36" s="194">
        <v>36</v>
      </c>
      <c r="J36" s="116">
        <v>21704</v>
      </c>
      <c r="K36" s="116">
        <v>387739</v>
      </c>
      <c r="L36" s="116">
        <v>992432</v>
      </c>
      <c r="M36" s="195">
        <v>1.2543554006968641E-2</v>
      </c>
      <c r="N36" s="195">
        <v>5.6071555613390752E-4</v>
      </c>
      <c r="O36" s="195">
        <v>9.8671843130349011E-3</v>
      </c>
      <c r="P36" s="195">
        <v>3.8545474911429636E-2</v>
      </c>
      <c r="R36" s="201" t="s">
        <v>43</v>
      </c>
      <c r="S36" s="202">
        <f t="shared" si="2"/>
        <v>0</v>
      </c>
      <c r="T36" s="203">
        <f t="shared" si="3"/>
        <v>0</v>
      </c>
    </row>
    <row r="37" spans="1:20" ht="22.5" customHeight="1">
      <c r="A37" s="115">
        <v>82</v>
      </c>
      <c r="B37" s="115" t="s">
        <v>11</v>
      </c>
      <c r="C37" s="115" t="s">
        <v>9</v>
      </c>
      <c r="D37" s="115" t="s">
        <v>7</v>
      </c>
      <c r="E37" s="98" t="s">
        <v>100</v>
      </c>
      <c r="F37" s="115" t="s">
        <v>476</v>
      </c>
      <c r="G37" s="115">
        <v>0</v>
      </c>
      <c r="H37" s="115">
        <v>35</v>
      </c>
      <c r="I37" s="194">
        <v>35</v>
      </c>
      <c r="J37" s="116">
        <v>0</v>
      </c>
      <c r="K37" s="116">
        <v>592721</v>
      </c>
      <c r="L37" s="116">
        <v>1360763</v>
      </c>
      <c r="M37" s="195">
        <v>1.2195121951219513E-2</v>
      </c>
      <c r="N37" s="195">
        <v>0</v>
      </c>
      <c r="O37" s="195">
        <v>1.5083567433779836E-2</v>
      </c>
      <c r="P37" s="195">
        <v>5.2851234217459457E-2</v>
      </c>
      <c r="R37" s="201" t="s">
        <v>45</v>
      </c>
      <c r="S37" s="202">
        <f t="shared" si="2"/>
        <v>2</v>
      </c>
      <c r="T37" s="203">
        <f t="shared" si="3"/>
        <v>2</v>
      </c>
    </row>
    <row r="38" spans="1:20" ht="22.5" customHeight="1">
      <c r="A38" s="115">
        <v>54</v>
      </c>
      <c r="B38" s="115" t="s">
        <v>67</v>
      </c>
      <c r="C38" s="115" t="s">
        <v>14</v>
      </c>
      <c r="D38" s="115" t="s">
        <v>7</v>
      </c>
      <c r="E38" s="98" t="s">
        <v>64</v>
      </c>
      <c r="F38" s="115" t="s">
        <v>476</v>
      </c>
      <c r="G38" s="115">
        <v>1</v>
      </c>
      <c r="H38" s="115">
        <v>27</v>
      </c>
      <c r="I38" s="194">
        <v>28</v>
      </c>
      <c r="J38" s="116">
        <v>366043</v>
      </c>
      <c r="K38" s="116">
        <v>948367</v>
      </c>
      <c r="L38" s="116">
        <v>84289</v>
      </c>
      <c r="M38" s="195">
        <v>9.7560975609756097E-3</v>
      </c>
      <c r="N38" s="195">
        <v>9.4565980609069272E-3</v>
      </c>
      <c r="O38" s="195">
        <v>2.4134048897325185E-2</v>
      </c>
      <c r="P38" s="195">
        <v>3.2737351625194396E-3</v>
      </c>
      <c r="R38" s="201" t="s">
        <v>81</v>
      </c>
      <c r="S38" s="202">
        <f t="shared" si="2"/>
        <v>0</v>
      </c>
      <c r="T38" s="203">
        <f t="shared" si="3"/>
        <v>0</v>
      </c>
    </row>
    <row r="39" spans="1:20" ht="22.5" customHeight="1">
      <c r="A39" s="115">
        <v>84</v>
      </c>
      <c r="B39" s="115" t="s">
        <v>67</v>
      </c>
      <c r="C39" s="115" t="s">
        <v>14</v>
      </c>
      <c r="D39" s="115" t="s">
        <v>7</v>
      </c>
      <c r="E39" s="98" t="s">
        <v>93</v>
      </c>
      <c r="F39" s="115" t="s">
        <v>476</v>
      </c>
      <c r="G39" s="115">
        <v>0</v>
      </c>
      <c r="H39" s="115">
        <v>27</v>
      </c>
      <c r="I39" s="194">
        <v>27</v>
      </c>
      <c r="J39" s="116">
        <v>10838</v>
      </c>
      <c r="K39" s="116">
        <v>1159470</v>
      </c>
      <c r="L39" s="116">
        <v>27820</v>
      </c>
      <c r="M39" s="195">
        <v>9.4076655052264813E-3</v>
      </c>
      <c r="N39" s="195">
        <v>2.7999609276535618E-4</v>
      </c>
      <c r="O39" s="195">
        <v>2.9506199261447975E-2</v>
      </c>
      <c r="P39" s="195">
        <v>1.0805124301070223E-3</v>
      </c>
      <c r="R39" s="201" t="s">
        <v>48</v>
      </c>
      <c r="S39" s="202">
        <f t="shared" si="2"/>
        <v>0</v>
      </c>
      <c r="T39" s="203">
        <f t="shared" si="3"/>
        <v>0</v>
      </c>
    </row>
    <row r="40" spans="1:20" ht="22.5" customHeight="1">
      <c r="A40" s="115">
        <v>55</v>
      </c>
      <c r="B40" s="115" t="s">
        <v>67</v>
      </c>
      <c r="C40" s="115" t="s">
        <v>14</v>
      </c>
      <c r="D40" s="115" t="s">
        <v>7</v>
      </c>
      <c r="E40" s="98" t="s">
        <v>85</v>
      </c>
      <c r="F40" s="115" t="s">
        <v>476</v>
      </c>
      <c r="G40" s="115">
        <v>1</v>
      </c>
      <c r="H40" s="115">
        <v>18</v>
      </c>
      <c r="I40" s="194">
        <v>19</v>
      </c>
      <c r="J40" s="116">
        <v>173692</v>
      </c>
      <c r="K40" s="116">
        <v>1053765</v>
      </c>
      <c r="L40" s="116">
        <v>90312</v>
      </c>
      <c r="M40" s="195">
        <v>6.6202090592334499E-3</v>
      </c>
      <c r="N40" s="195">
        <v>4.4872745289352501E-3</v>
      </c>
      <c r="O40" s="195">
        <v>2.681621781049939E-2</v>
      </c>
      <c r="P40" s="195">
        <v>3.5076649384552625E-3</v>
      </c>
      <c r="R40" s="201" t="s">
        <v>50</v>
      </c>
      <c r="S40" s="202">
        <f t="shared" si="2"/>
        <v>0</v>
      </c>
      <c r="T40" s="203">
        <f t="shared" si="3"/>
        <v>1</v>
      </c>
    </row>
    <row r="41" spans="1:20" ht="22.5" customHeight="1">
      <c r="A41" s="115">
        <v>56</v>
      </c>
      <c r="B41" s="115" t="s">
        <v>67</v>
      </c>
      <c r="C41" s="115" t="s">
        <v>14</v>
      </c>
      <c r="D41" s="115" t="s">
        <v>7</v>
      </c>
      <c r="E41" s="98" t="s">
        <v>109</v>
      </c>
      <c r="F41" s="115" t="s">
        <v>476</v>
      </c>
      <c r="G41" s="115">
        <v>1</v>
      </c>
      <c r="H41" s="115">
        <v>18</v>
      </c>
      <c r="I41" s="194">
        <v>19</v>
      </c>
      <c r="J41" s="116">
        <v>63926</v>
      </c>
      <c r="K41" s="116">
        <v>894704</v>
      </c>
      <c r="L41" s="116">
        <v>33812</v>
      </c>
      <c r="M41" s="195">
        <v>6.6202090592334499E-3</v>
      </c>
      <c r="N41" s="195">
        <v>1.6515067564235246E-3</v>
      </c>
      <c r="O41" s="195">
        <v>2.2768432563166404E-2</v>
      </c>
      <c r="P41" s="195">
        <v>1.3132381842839195E-3</v>
      </c>
      <c r="R41" s="201" t="s">
        <v>52</v>
      </c>
      <c r="S41" s="202">
        <f t="shared" si="2"/>
        <v>0</v>
      </c>
      <c r="T41" s="203">
        <f t="shared" si="3"/>
        <v>0</v>
      </c>
    </row>
    <row r="42" spans="1:20" ht="22.5" customHeight="1">
      <c r="A42" s="115">
        <v>44</v>
      </c>
      <c r="B42" s="115" t="s">
        <v>67</v>
      </c>
      <c r="C42" s="115" t="s">
        <v>14</v>
      </c>
      <c r="D42" s="115" t="s">
        <v>7</v>
      </c>
      <c r="E42" s="98" t="s">
        <v>80</v>
      </c>
      <c r="F42" s="115" t="s">
        <v>476</v>
      </c>
      <c r="G42" s="115">
        <v>2</v>
      </c>
      <c r="H42" s="115">
        <v>12</v>
      </c>
      <c r="I42" s="194">
        <v>14</v>
      </c>
      <c r="J42" s="116">
        <v>91910</v>
      </c>
      <c r="K42" s="116">
        <v>872272</v>
      </c>
      <c r="L42" s="116">
        <v>48921</v>
      </c>
      <c r="M42" s="195">
        <v>4.8780487804878049E-3</v>
      </c>
      <c r="N42" s="195">
        <v>2.3744640049883636E-3</v>
      </c>
      <c r="O42" s="195">
        <v>2.2197582897515028E-2</v>
      </c>
      <c r="P42" s="195">
        <v>1.9000628538197572E-3</v>
      </c>
      <c r="R42" s="201" t="s">
        <v>32</v>
      </c>
      <c r="S42" s="202">
        <f t="shared" si="2"/>
        <v>0</v>
      </c>
      <c r="T42" s="203">
        <f t="shared" si="3"/>
        <v>0</v>
      </c>
    </row>
    <row r="43" spans="1:20" ht="22.5" customHeight="1">
      <c r="A43" s="115">
        <v>59</v>
      </c>
      <c r="B43" s="115" t="s">
        <v>67</v>
      </c>
      <c r="C43" s="115" t="s">
        <v>14</v>
      </c>
      <c r="D43" s="115" t="s">
        <v>7</v>
      </c>
      <c r="E43" s="98" t="s">
        <v>82</v>
      </c>
      <c r="F43" s="115" t="s">
        <v>476</v>
      </c>
      <c r="G43" s="115">
        <v>1</v>
      </c>
      <c r="H43" s="115">
        <v>11</v>
      </c>
      <c r="I43" s="194">
        <v>12</v>
      </c>
      <c r="J43" s="116">
        <v>29020</v>
      </c>
      <c r="K43" s="116">
        <v>1280309</v>
      </c>
      <c r="L43" s="116">
        <v>31915</v>
      </c>
      <c r="M43" s="195">
        <v>4.181184668989547E-3</v>
      </c>
      <c r="N43" s="195">
        <v>7.4972196088306296E-4</v>
      </c>
      <c r="O43" s="195">
        <v>3.2581310831867313E-2</v>
      </c>
      <c r="P43" s="195">
        <v>1.2395598205199719E-3</v>
      </c>
      <c r="R43" s="201" t="s">
        <v>56</v>
      </c>
      <c r="S43" s="202">
        <f t="shared" si="2"/>
        <v>0</v>
      </c>
      <c r="T43" s="203">
        <f t="shared" si="3"/>
        <v>0</v>
      </c>
    </row>
    <row r="44" spans="1:20" ht="22.5" customHeight="1">
      <c r="A44" s="115">
        <v>90</v>
      </c>
      <c r="B44" s="115" t="s">
        <v>67</v>
      </c>
      <c r="C44" s="115" t="s">
        <v>62</v>
      </c>
      <c r="D44" s="115" t="s">
        <v>7</v>
      </c>
      <c r="E44" s="98" t="s">
        <v>79</v>
      </c>
      <c r="F44" s="115" t="s">
        <v>476</v>
      </c>
      <c r="G44" s="115">
        <v>0</v>
      </c>
      <c r="H44" s="115">
        <v>12</v>
      </c>
      <c r="I44" s="194">
        <v>12</v>
      </c>
      <c r="J44" s="116">
        <v>158288</v>
      </c>
      <c r="K44" s="116">
        <v>1406734</v>
      </c>
      <c r="L44" s="116">
        <v>111799</v>
      </c>
      <c r="M44" s="195">
        <v>4.181184668989547E-3</v>
      </c>
      <c r="N44" s="195">
        <v>4.0893173585202711E-3</v>
      </c>
      <c r="O44" s="195">
        <v>3.5798574962572348E-2</v>
      </c>
      <c r="P44" s="195">
        <v>4.3422073750372034E-3</v>
      </c>
      <c r="R44" s="201" t="s">
        <v>58</v>
      </c>
      <c r="S44" s="202">
        <f t="shared" si="2"/>
        <v>3</v>
      </c>
      <c r="T44" s="203">
        <f t="shared" si="3"/>
        <v>7</v>
      </c>
    </row>
    <row r="45" spans="1:20" ht="22.5" customHeight="1">
      <c r="A45" s="115">
        <v>91</v>
      </c>
      <c r="B45" s="115" t="s">
        <v>67</v>
      </c>
      <c r="C45" s="115" t="s">
        <v>14</v>
      </c>
      <c r="D45" s="115" t="s">
        <v>7</v>
      </c>
      <c r="E45" s="98" t="s">
        <v>35</v>
      </c>
      <c r="F45" s="115" t="s">
        <v>476</v>
      </c>
      <c r="G45" s="115">
        <v>0</v>
      </c>
      <c r="H45" s="115">
        <v>10</v>
      </c>
      <c r="I45" s="194">
        <v>10</v>
      </c>
      <c r="J45" s="116">
        <v>44223</v>
      </c>
      <c r="K45" s="116">
        <v>770065</v>
      </c>
      <c r="L45" s="116">
        <v>34919</v>
      </c>
      <c r="M45" s="195">
        <v>3.4843205574912892E-3</v>
      </c>
      <c r="N45" s="195">
        <v>1.1424863637536766E-3</v>
      </c>
      <c r="O45" s="195">
        <v>1.959661857078401E-2</v>
      </c>
      <c r="P45" s="195">
        <v>1.3562334129010466E-3</v>
      </c>
      <c r="R45" s="201" t="s">
        <v>60</v>
      </c>
      <c r="S45" s="202">
        <f t="shared" si="2"/>
        <v>0</v>
      </c>
      <c r="T45" s="203">
        <f t="shared" si="3"/>
        <v>0</v>
      </c>
    </row>
    <row r="46" spans="1:20" ht="22.5" customHeight="1">
      <c r="A46" s="115">
        <v>92</v>
      </c>
      <c r="B46" s="115" t="s">
        <v>67</v>
      </c>
      <c r="C46" s="115" t="s">
        <v>14</v>
      </c>
      <c r="D46" s="115" t="s">
        <v>7</v>
      </c>
      <c r="E46" s="98" t="s">
        <v>13</v>
      </c>
      <c r="F46" s="115" t="s">
        <v>476</v>
      </c>
      <c r="G46" s="115">
        <v>0</v>
      </c>
      <c r="H46" s="115">
        <v>9</v>
      </c>
      <c r="I46" s="194">
        <v>9</v>
      </c>
      <c r="J46" s="116">
        <v>71666</v>
      </c>
      <c r="K46" s="116">
        <v>1130827</v>
      </c>
      <c r="L46" s="116">
        <v>86480</v>
      </c>
      <c r="M46" s="195">
        <v>3.1358885017421603E-3</v>
      </c>
      <c r="N46" s="195">
        <v>1.8514670588782077E-3</v>
      </c>
      <c r="O46" s="195">
        <v>2.8777292031898567E-2</v>
      </c>
      <c r="P46" s="195">
        <v>3.3588323132873938E-3</v>
      </c>
      <c r="R46" s="201" t="s">
        <v>63</v>
      </c>
      <c r="S46" s="202">
        <f t="shared" si="2"/>
        <v>0</v>
      </c>
      <c r="T46" s="203">
        <f t="shared" si="3"/>
        <v>0</v>
      </c>
    </row>
    <row r="47" spans="1:20" ht="22.5" customHeight="1">
      <c r="A47" s="115">
        <v>93</v>
      </c>
      <c r="B47" s="115" t="s">
        <v>67</v>
      </c>
      <c r="C47" s="115" t="s">
        <v>62</v>
      </c>
      <c r="D47" s="115" t="s">
        <v>7</v>
      </c>
      <c r="E47" s="98" t="s">
        <v>114</v>
      </c>
      <c r="F47" s="115" t="s">
        <v>476</v>
      </c>
      <c r="G47" s="115">
        <v>0</v>
      </c>
      <c r="H47" s="115">
        <v>7</v>
      </c>
      <c r="I47" s="194">
        <v>7</v>
      </c>
      <c r="J47" s="116">
        <v>68336</v>
      </c>
      <c r="K47" s="116">
        <v>876827</v>
      </c>
      <c r="L47" s="116">
        <v>600899</v>
      </c>
      <c r="M47" s="195">
        <v>2.4390243902439024E-3</v>
      </c>
      <c r="N47" s="195">
        <v>1.7654376264267743E-3</v>
      </c>
      <c r="O47" s="195">
        <v>2.2313498563841794E-2</v>
      </c>
      <c r="P47" s="195">
        <v>2.3338563577961165E-2</v>
      </c>
      <c r="R47" s="204"/>
      <c r="S47" s="208"/>
      <c r="T47" s="208"/>
    </row>
    <row r="48" spans="1:20" ht="22.5" customHeight="1">
      <c r="A48" s="115">
        <v>94</v>
      </c>
      <c r="B48" s="115" t="s">
        <v>11</v>
      </c>
      <c r="C48" s="115" t="s">
        <v>10</v>
      </c>
      <c r="D48" s="115" t="s">
        <v>7</v>
      </c>
      <c r="E48" s="98" t="s">
        <v>106</v>
      </c>
      <c r="F48" s="115" t="s">
        <v>476</v>
      </c>
      <c r="G48" s="115">
        <v>0</v>
      </c>
      <c r="H48" s="115">
        <v>6</v>
      </c>
      <c r="I48" s="194">
        <v>6</v>
      </c>
      <c r="J48" s="116">
        <v>55606</v>
      </c>
      <c r="K48" s="116">
        <v>851883</v>
      </c>
      <c r="L48" s="116">
        <v>1898099</v>
      </c>
      <c r="M48" s="195">
        <v>2.0905923344947735E-3</v>
      </c>
      <c r="N48" s="195">
        <v>1.43656234861694E-3</v>
      </c>
      <c r="O48" s="195">
        <v>2.1678723507671683E-2</v>
      </c>
      <c r="P48" s="195">
        <v>7.3721048277272078E-2</v>
      </c>
      <c r="R48" s="6"/>
      <c r="S48" s="209"/>
      <c r="T48" s="209"/>
    </row>
    <row r="49" spans="1:20" ht="22.5" customHeight="1">
      <c r="A49" s="115">
        <v>96</v>
      </c>
      <c r="B49" s="115" t="s">
        <v>11</v>
      </c>
      <c r="C49" s="115" t="s">
        <v>9</v>
      </c>
      <c r="D49" s="115" t="s">
        <v>7</v>
      </c>
      <c r="E49" s="98" t="s">
        <v>99</v>
      </c>
      <c r="F49" s="115" t="s">
        <v>476</v>
      </c>
      <c r="G49" s="115">
        <v>0</v>
      </c>
      <c r="H49" s="115">
        <v>3</v>
      </c>
      <c r="I49" s="194">
        <v>3</v>
      </c>
      <c r="J49" s="116">
        <v>39250</v>
      </c>
      <c r="K49" s="116">
        <v>406940</v>
      </c>
      <c r="L49" s="116">
        <v>843468</v>
      </c>
      <c r="M49" s="195">
        <v>1.0452961672473868E-3</v>
      </c>
      <c r="N49" s="195">
        <v>1.0140105776933225E-3</v>
      </c>
      <c r="O49" s="195">
        <v>1.0355811472011901E-2</v>
      </c>
      <c r="P49" s="195">
        <v>3.2759800805086628E-2</v>
      </c>
      <c r="R49" s="232" t="s">
        <v>67</v>
      </c>
      <c r="S49" s="228"/>
      <c r="T49" s="228"/>
    </row>
    <row r="50" spans="1:20" ht="22.5" customHeight="1">
      <c r="A50" s="115">
        <v>2</v>
      </c>
      <c r="B50" s="115" t="s">
        <v>39</v>
      </c>
      <c r="C50" s="115" t="s">
        <v>58</v>
      </c>
      <c r="D50" s="115" t="s">
        <v>667</v>
      </c>
      <c r="E50" s="98" t="s">
        <v>633</v>
      </c>
      <c r="F50" s="115" t="s">
        <v>483</v>
      </c>
      <c r="G50" s="115">
        <v>65</v>
      </c>
      <c r="H50" s="115">
        <v>121</v>
      </c>
      <c r="I50" s="194">
        <v>186</v>
      </c>
      <c r="J50" s="116">
        <v>4716858</v>
      </c>
      <c r="K50" s="116">
        <v>476259</v>
      </c>
      <c r="L50" s="116">
        <v>0</v>
      </c>
      <c r="M50" s="195">
        <v>6.458333333333334E-2</v>
      </c>
      <c r="N50" s="195">
        <v>0.12056647038304254</v>
      </c>
      <c r="O50" s="195">
        <v>1.2310842471704726E-2</v>
      </c>
      <c r="P50" s="195">
        <v>0</v>
      </c>
      <c r="R50" s="197" t="s">
        <v>482</v>
      </c>
      <c r="S50" s="198" t="s">
        <v>476</v>
      </c>
      <c r="T50" s="198" t="s">
        <v>483</v>
      </c>
    </row>
    <row r="51" spans="1:20" ht="22.5" customHeight="1">
      <c r="A51" s="115">
        <v>3</v>
      </c>
      <c r="B51" s="115" t="s">
        <v>39</v>
      </c>
      <c r="C51" s="115" t="s">
        <v>58</v>
      </c>
      <c r="D51" s="115" t="s">
        <v>667</v>
      </c>
      <c r="E51" s="98" t="s">
        <v>632</v>
      </c>
      <c r="F51" s="115" t="s">
        <v>483</v>
      </c>
      <c r="G51" s="115">
        <v>65</v>
      </c>
      <c r="H51" s="115">
        <v>104</v>
      </c>
      <c r="I51" s="194">
        <v>169</v>
      </c>
      <c r="J51" s="116">
        <v>4167699</v>
      </c>
      <c r="K51" s="116">
        <v>875561</v>
      </c>
      <c r="L51" s="116">
        <v>10144</v>
      </c>
      <c r="M51" s="195">
        <v>5.8680555555555555E-2</v>
      </c>
      <c r="N51" s="195">
        <v>0.10652954955373599</v>
      </c>
      <c r="O51" s="195">
        <v>2.263241964008714E-2</v>
      </c>
      <c r="P51" s="195">
        <v>4.0301347925938643E-4</v>
      </c>
      <c r="R51" s="201" t="s">
        <v>468</v>
      </c>
      <c r="S51" s="202">
        <f>SUMIFS(Scoreboard_15[Damage Dealt],Scoreboard_15[Role],"Tank",Scoreboard_15[Team],"Yellow")</f>
        <v>1811409</v>
      </c>
      <c r="T51" s="203">
        <f>SUMIFS(Scoreboard_15[Damage Dealt],Scoreboard_15[Role],"Tank",Scoreboard_15[Team],"Red")</f>
        <v>3021958</v>
      </c>
    </row>
    <row r="52" spans="1:20" ht="22.5" customHeight="1">
      <c r="A52" s="115">
        <v>5</v>
      </c>
      <c r="B52" s="115" t="s">
        <v>39</v>
      </c>
      <c r="C52" s="115" t="s">
        <v>58</v>
      </c>
      <c r="D52" s="115" t="s">
        <v>667</v>
      </c>
      <c r="E52" s="98" t="s">
        <v>774</v>
      </c>
      <c r="F52" s="115" t="s">
        <v>483</v>
      </c>
      <c r="G52" s="115">
        <v>43</v>
      </c>
      <c r="H52" s="115">
        <v>94</v>
      </c>
      <c r="I52" s="194">
        <v>137</v>
      </c>
      <c r="J52" s="116">
        <v>3168338</v>
      </c>
      <c r="K52" s="116">
        <v>1020138</v>
      </c>
      <c r="L52" s="116">
        <v>6936</v>
      </c>
      <c r="M52" s="195">
        <v>4.7569444444444442E-2</v>
      </c>
      <c r="N52" s="195">
        <v>8.0985123919454061E-2</v>
      </c>
      <c r="O52" s="195">
        <v>2.6369597671434902E-2</v>
      </c>
      <c r="P52" s="195">
        <v>2.7556205561347636E-4</v>
      </c>
      <c r="R52" s="201" t="s">
        <v>469</v>
      </c>
      <c r="S52" s="202">
        <f>SUMIFS(Scoreboard_15[Damage Taken],Scoreboard_15[Role],"Tank",Scoreboard_15[Team],"Yellow")</f>
        <v>12986328</v>
      </c>
      <c r="T52" s="203">
        <f>SUMIFS(Scoreboard_15[Damage Taken],Scoreboard_15[Role],"Tank",Scoreboard_15[Team],"Red")</f>
        <v>10068514</v>
      </c>
    </row>
    <row r="53" spans="1:20" ht="22.5" customHeight="1">
      <c r="A53" s="115">
        <v>10</v>
      </c>
      <c r="B53" s="115" t="s">
        <v>39</v>
      </c>
      <c r="C53" s="115" t="s">
        <v>58</v>
      </c>
      <c r="D53" s="115" t="s">
        <v>667</v>
      </c>
      <c r="E53" s="98" t="s">
        <v>775</v>
      </c>
      <c r="F53" s="115" t="s">
        <v>483</v>
      </c>
      <c r="G53" s="115">
        <v>32</v>
      </c>
      <c r="H53" s="115">
        <v>78</v>
      </c>
      <c r="I53" s="194">
        <v>110</v>
      </c>
      <c r="J53" s="116">
        <v>2174986</v>
      </c>
      <c r="K53" s="116">
        <v>892506</v>
      </c>
      <c r="L53" s="116">
        <v>34780</v>
      </c>
      <c r="M53" s="195">
        <v>3.8194444444444448E-2</v>
      </c>
      <c r="N53" s="195">
        <v>5.559429288575831E-2</v>
      </c>
      <c r="O53" s="195">
        <v>2.3070431784073999E-2</v>
      </c>
      <c r="P53" s="195">
        <v>1.3817832027446235E-3</v>
      </c>
      <c r="R53" s="201" t="s">
        <v>470</v>
      </c>
      <c r="S53" s="202">
        <f>SUMIFS(Scoreboard_15[Amount Healed],Scoreboard_15[Role],"Tank",Scoreboard_15[Team],"Yellow")</f>
        <v>1260948</v>
      </c>
      <c r="T53" s="203">
        <f>SUMIFS(Scoreboard_15[Amount Healed],Scoreboard_15[Role],"Tank",Scoreboard_15[Team],"Red")</f>
        <v>843165</v>
      </c>
    </row>
    <row r="54" spans="1:20" ht="22.5" customHeight="1">
      <c r="A54" s="115">
        <v>15</v>
      </c>
      <c r="B54" s="115" t="s">
        <v>39</v>
      </c>
      <c r="C54" s="115" t="s">
        <v>45</v>
      </c>
      <c r="D54" s="115" t="s">
        <v>667</v>
      </c>
      <c r="E54" s="98" t="s">
        <v>670</v>
      </c>
      <c r="F54" s="115" t="s">
        <v>483</v>
      </c>
      <c r="G54" s="115">
        <v>27</v>
      </c>
      <c r="H54" s="115">
        <v>77</v>
      </c>
      <c r="I54" s="194">
        <v>104</v>
      </c>
      <c r="J54" s="116">
        <v>2018131</v>
      </c>
      <c r="K54" s="116">
        <v>560225</v>
      </c>
      <c r="L54" s="116">
        <v>19783</v>
      </c>
      <c r="M54" s="195">
        <v>3.6111111111111108E-2</v>
      </c>
      <c r="N54" s="195">
        <v>5.158496003920407E-2</v>
      </c>
      <c r="O54" s="195">
        <v>1.4481283763059134E-2</v>
      </c>
      <c r="P54" s="195">
        <v>7.8596368889870293E-4</v>
      </c>
      <c r="R54" s="201" t="s">
        <v>465</v>
      </c>
      <c r="S54" s="202">
        <f>SUMIFS(Scoreboard_15[Kills],Scoreboard_15[Role],"Tank",Scoreboard_15[Team],"Yellow")</f>
        <v>10</v>
      </c>
      <c r="T54" s="203">
        <f>SUMIFS(Scoreboard_15[Kills],Scoreboard_15[Role],"Tank",Scoreboard_15[Team],"Red")</f>
        <v>36</v>
      </c>
    </row>
    <row r="55" spans="1:20" ht="22.5" customHeight="1">
      <c r="A55" s="115">
        <v>28</v>
      </c>
      <c r="B55" s="115" t="s">
        <v>39</v>
      </c>
      <c r="C55" s="115" t="s">
        <v>58</v>
      </c>
      <c r="D55" s="115" t="s">
        <v>667</v>
      </c>
      <c r="E55" s="98" t="s">
        <v>672</v>
      </c>
      <c r="F55" s="115" t="s">
        <v>483</v>
      </c>
      <c r="G55" s="115">
        <v>19</v>
      </c>
      <c r="H55" s="115">
        <v>83</v>
      </c>
      <c r="I55" s="194">
        <v>102</v>
      </c>
      <c r="J55" s="116">
        <v>1534955</v>
      </c>
      <c r="K55" s="116">
        <v>788547</v>
      </c>
      <c r="L55" s="116">
        <v>26047</v>
      </c>
      <c r="M55" s="195">
        <v>3.5416666666666666E-2</v>
      </c>
      <c r="N55" s="195">
        <v>3.9234614768306163E-2</v>
      </c>
      <c r="O55" s="195">
        <v>2.0383190445819075E-2</v>
      </c>
      <c r="P55" s="195">
        <v>1.0348276906811159E-3</v>
      </c>
      <c r="R55" s="201" t="s">
        <v>466</v>
      </c>
      <c r="S55" s="202">
        <f>SUMIFS(Scoreboard_15[Assists],Scoreboard_15[Role],"Tank",Scoreboard_15[Team],"Yellow")</f>
        <v>265</v>
      </c>
      <c r="T55" s="203">
        <f>SUMIFS(Scoreboard_15[Assists],Scoreboard_15[Role],"Tank",Scoreboard_15[Team],"Red")</f>
        <v>311</v>
      </c>
    </row>
    <row r="56" spans="1:20" ht="22.5" customHeight="1">
      <c r="A56" s="115">
        <v>19</v>
      </c>
      <c r="B56" s="115" t="s">
        <v>25</v>
      </c>
      <c r="C56" s="115" t="s">
        <v>23</v>
      </c>
      <c r="D56" s="115" t="s">
        <v>667</v>
      </c>
      <c r="E56" s="98" t="s">
        <v>669</v>
      </c>
      <c r="F56" s="115" t="s">
        <v>483</v>
      </c>
      <c r="G56" s="115">
        <v>26</v>
      </c>
      <c r="H56" s="115">
        <v>75</v>
      </c>
      <c r="I56" s="194">
        <v>101</v>
      </c>
      <c r="J56" s="116">
        <v>2006191</v>
      </c>
      <c r="K56" s="116">
        <v>1072638</v>
      </c>
      <c r="L56" s="116">
        <v>34378</v>
      </c>
      <c r="M56" s="195">
        <v>3.5069444444444445E-2</v>
      </c>
      <c r="N56" s="195">
        <v>5.127976457723054E-2</v>
      </c>
      <c r="O56" s="195">
        <v>2.7726672770833547E-2</v>
      </c>
      <c r="P56" s="195">
        <v>1.3658120455421123E-3</v>
      </c>
      <c r="R56" s="201" t="s">
        <v>62</v>
      </c>
      <c r="S56" s="202">
        <f t="shared" ref="S56:S60" si="4">COUNTIFS(C:C,R56,F:F,"Yellow")</f>
        <v>3</v>
      </c>
      <c r="T56" s="203">
        <f t="shared" ref="T56:T60" si="5">COUNTIFS(C:C,R56,F:F,"Red")</f>
        <v>0</v>
      </c>
    </row>
    <row r="57" spans="1:20" ht="22.5" customHeight="1">
      <c r="A57" s="115">
        <v>26</v>
      </c>
      <c r="B57" s="115" t="s">
        <v>39</v>
      </c>
      <c r="C57" s="115" t="s">
        <v>45</v>
      </c>
      <c r="D57" s="115" t="s">
        <v>667</v>
      </c>
      <c r="E57" s="98" t="s">
        <v>673</v>
      </c>
      <c r="F57" s="115" t="s">
        <v>483</v>
      </c>
      <c r="G57" s="115">
        <v>21</v>
      </c>
      <c r="H57" s="115">
        <v>78</v>
      </c>
      <c r="I57" s="194">
        <v>99</v>
      </c>
      <c r="J57" s="116">
        <v>1683880</v>
      </c>
      <c r="K57" s="116">
        <v>834461</v>
      </c>
      <c r="L57" s="116">
        <v>47289</v>
      </c>
      <c r="M57" s="195">
        <v>3.4375000000000003E-2</v>
      </c>
      <c r="N57" s="195">
        <v>4.3041250796313497E-2</v>
      </c>
      <c r="O57" s="195">
        <v>2.1570023705129344E-2</v>
      </c>
      <c r="P57" s="195">
        <v>1.8787563506207734E-3</v>
      </c>
      <c r="R57" s="201" t="s">
        <v>70</v>
      </c>
      <c r="S57" s="202">
        <f t="shared" si="4"/>
        <v>0</v>
      </c>
      <c r="T57" s="203">
        <f t="shared" si="5"/>
        <v>0</v>
      </c>
    </row>
    <row r="58" spans="1:20" ht="22.5" customHeight="1">
      <c r="A58" s="115">
        <v>13</v>
      </c>
      <c r="B58" s="115" t="s">
        <v>39</v>
      </c>
      <c r="C58" s="115" t="s">
        <v>50</v>
      </c>
      <c r="D58" s="115" t="s">
        <v>667</v>
      </c>
      <c r="E58" s="98" t="s">
        <v>700</v>
      </c>
      <c r="F58" s="115" t="s">
        <v>483</v>
      </c>
      <c r="G58" s="115">
        <v>31</v>
      </c>
      <c r="H58" s="115">
        <v>63</v>
      </c>
      <c r="I58" s="194">
        <v>94</v>
      </c>
      <c r="J58" s="116">
        <v>2466947</v>
      </c>
      <c r="K58" s="116">
        <v>828455</v>
      </c>
      <c r="L58" s="116">
        <v>25496</v>
      </c>
      <c r="M58" s="195">
        <v>3.2638888888888891E-2</v>
      </c>
      <c r="N58" s="195">
        <v>6.3057037632261906E-2</v>
      </c>
      <c r="O58" s="195">
        <v>2.1414774313758142E-2</v>
      </c>
      <c r="P58" s="195">
        <v>1.0129368757095148E-3</v>
      </c>
      <c r="R58" s="201" t="s">
        <v>14</v>
      </c>
      <c r="S58" s="202">
        <f t="shared" si="4"/>
        <v>10</v>
      </c>
      <c r="T58" s="203">
        <f t="shared" si="5"/>
        <v>13</v>
      </c>
    </row>
    <row r="59" spans="1:20" ht="22.5" customHeight="1">
      <c r="A59" s="115">
        <v>20</v>
      </c>
      <c r="B59" s="115" t="s">
        <v>39</v>
      </c>
      <c r="C59" s="115" t="s">
        <v>58</v>
      </c>
      <c r="D59" s="115" t="s">
        <v>667</v>
      </c>
      <c r="E59" s="98" t="s">
        <v>701</v>
      </c>
      <c r="F59" s="115" t="s">
        <v>483</v>
      </c>
      <c r="G59" s="115">
        <v>26</v>
      </c>
      <c r="H59" s="115">
        <v>68</v>
      </c>
      <c r="I59" s="194">
        <v>94</v>
      </c>
      <c r="J59" s="116">
        <v>2380744</v>
      </c>
      <c r="K59" s="116">
        <v>979960</v>
      </c>
      <c r="L59" s="116">
        <v>0</v>
      </c>
      <c r="M59" s="195">
        <v>3.2638888888888891E-2</v>
      </c>
      <c r="N59" s="195">
        <v>6.085362352769709E-2</v>
      </c>
      <c r="O59" s="195">
        <v>2.5331034560127499E-2</v>
      </c>
      <c r="P59" s="195">
        <v>0</v>
      </c>
      <c r="R59" s="201" t="s">
        <v>73</v>
      </c>
      <c r="S59" s="202">
        <f t="shared" si="4"/>
        <v>0</v>
      </c>
      <c r="T59" s="203">
        <f t="shared" si="5"/>
        <v>0</v>
      </c>
    </row>
    <row r="60" spans="1:20" ht="22.5" customHeight="1">
      <c r="A60" s="115">
        <v>45</v>
      </c>
      <c r="B60" s="115" t="s">
        <v>11</v>
      </c>
      <c r="C60" s="115" t="s">
        <v>9</v>
      </c>
      <c r="D60" s="115" t="s">
        <v>667</v>
      </c>
      <c r="E60" s="98" t="s">
        <v>602</v>
      </c>
      <c r="F60" s="115" t="s">
        <v>483</v>
      </c>
      <c r="G60" s="115">
        <v>1</v>
      </c>
      <c r="H60" s="115">
        <v>83</v>
      </c>
      <c r="I60" s="194">
        <v>84</v>
      </c>
      <c r="J60" s="116">
        <v>37016</v>
      </c>
      <c r="K60" s="116">
        <v>318870</v>
      </c>
      <c r="L60" s="116">
        <v>407869</v>
      </c>
      <c r="M60" s="195">
        <v>2.9166666666666667E-2</v>
      </c>
      <c r="N60" s="195">
        <v>9.4615705363585312E-4</v>
      </c>
      <c r="O60" s="195">
        <v>8.2424864180046693E-3</v>
      </c>
      <c r="P60" s="195">
        <v>1.6204328151818482E-2</v>
      </c>
      <c r="R60" s="201" t="s">
        <v>75</v>
      </c>
      <c r="S60" s="202">
        <f t="shared" si="4"/>
        <v>0</v>
      </c>
      <c r="T60" s="203">
        <f t="shared" si="5"/>
        <v>0</v>
      </c>
    </row>
    <row r="61" spans="1:20" ht="22.5" customHeight="1">
      <c r="A61" s="115">
        <v>60</v>
      </c>
      <c r="B61" s="115" t="s">
        <v>11</v>
      </c>
      <c r="C61" s="115" t="s">
        <v>9</v>
      </c>
      <c r="D61" s="115" t="s">
        <v>667</v>
      </c>
      <c r="E61" s="98" t="s">
        <v>639</v>
      </c>
      <c r="F61" s="115" t="s">
        <v>483</v>
      </c>
      <c r="G61" s="115">
        <v>0</v>
      </c>
      <c r="H61" s="115">
        <v>83</v>
      </c>
      <c r="I61" s="194">
        <v>83</v>
      </c>
      <c r="J61" s="116">
        <v>4682</v>
      </c>
      <c r="K61" s="116">
        <v>296693</v>
      </c>
      <c r="L61" s="116">
        <v>382765</v>
      </c>
      <c r="M61" s="195">
        <v>2.8819444444444446E-2</v>
      </c>
      <c r="N61" s="195">
        <v>1.1967547344724077E-4</v>
      </c>
      <c r="O61" s="195">
        <v>7.6692320469691705E-3</v>
      </c>
      <c r="P61" s="195">
        <v>1.5206965140843756E-2</v>
      </c>
      <c r="R61" s="204"/>
      <c r="S61" s="208"/>
      <c r="T61" s="208"/>
    </row>
    <row r="62" spans="1:20" ht="22.5" customHeight="1">
      <c r="A62" s="115">
        <v>42</v>
      </c>
      <c r="B62" s="115" t="s">
        <v>11</v>
      </c>
      <c r="C62" s="115" t="s">
        <v>10</v>
      </c>
      <c r="D62" s="115" t="s">
        <v>667</v>
      </c>
      <c r="E62" s="98" t="s">
        <v>366</v>
      </c>
      <c r="F62" s="115" t="s">
        <v>483</v>
      </c>
      <c r="G62" s="115">
        <v>2</v>
      </c>
      <c r="H62" s="115">
        <v>75</v>
      </c>
      <c r="I62" s="194">
        <v>77</v>
      </c>
      <c r="J62" s="116">
        <v>55893</v>
      </c>
      <c r="K62" s="116">
        <v>631456</v>
      </c>
      <c r="L62" s="116">
        <v>1059971</v>
      </c>
      <c r="M62" s="195">
        <v>2.673611111111111E-2</v>
      </c>
      <c r="N62" s="195">
        <v>1.4286675005097454E-3</v>
      </c>
      <c r="O62" s="195">
        <v>1.63225374088737E-2</v>
      </c>
      <c r="P62" s="195">
        <v>4.2111849430604406E-2</v>
      </c>
      <c r="R62" s="6"/>
      <c r="S62" s="209"/>
      <c r="T62" s="209"/>
    </row>
    <row r="63" spans="1:20" ht="22.5" customHeight="1">
      <c r="A63" s="115">
        <v>31</v>
      </c>
      <c r="B63" s="115" t="s">
        <v>25</v>
      </c>
      <c r="C63" s="115" t="s">
        <v>24</v>
      </c>
      <c r="D63" s="115" t="s">
        <v>7</v>
      </c>
      <c r="E63" s="98" t="s">
        <v>705</v>
      </c>
      <c r="F63" s="115" t="s">
        <v>483</v>
      </c>
      <c r="G63" s="115">
        <v>18</v>
      </c>
      <c r="H63" s="115">
        <v>57</v>
      </c>
      <c r="I63" s="194">
        <v>75</v>
      </c>
      <c r="J63" s="116">
        <v>1534021</v>
      </c>
      <c r="K63" s="116">
        <v>810455</v>
      </c>
      <c r="L63" s="116">
        <v>25255</v>
      </c>
      <c r="M63" s="195">
        <v>2.6041666666666668E-2</v>
      </c>
      <c r="N63" s="195">
        <v>3.9210741019438215E-2</v>
      </c>
      <c r="O63" s="195">
        <v>2.094949142253575E-2</v>
      </c>
      <c r="P63" s="195">
        <v>1.0033621272373624E-3</v>
      </c>
      <c r="R63" s="232" t="s">
        <v>11</v>
      </c>
      <c r="S63" s="228"/>
      <c r="T63" s="228"/>
    </row>
    <row r="64" spans="1:20" ht="22.5" customHeight="1">
      <c r="A64" s="115">
        <v>24</v>
      </c>
      <c r="B64" s="115" t="s">
        <v>39</v>
      </c>
      <c r="C64" s="115" t="s">
        <v>58</v>
      </c>
      <c r="D64" s="115" t="s">
        <v>667</v>
      </c>
      <c r="E64" s="98" t="s">
        <v>674</v>
      </c>
      <c r="F64" s="115" t="s">
        <v>483</v>
      </c>
      <c r="G64" s="115">
        <v>22</v>
      </c>
      <c r="H64" s="115">
        <v>52</v>
      </c>
      <c r="I64" s="194">
        <v>74</v>
      </c>
      <c r="J64" s="116">
        <v>1779930</v>
      </c>
      <c r="K64" s="116">
        <v>1010470</v>
      </c>
      <c r="L64" s="116">
        <v>0</v>
      </c>
      <c r="M64" s="195">
        <v>2.5694444444444443E-2</v>
      </c>
      <c r="N64" s="195">
        <v>4.5496361694350118E-2</v>
      </c>
      <c r="O64" s="195">
        <v>2.6119689060749456E-2</v>
      </c>
      <c r="P64" s="195">
        <v>0</v>
      </c>
      <c r="R64" s="197" t="s">
        <v>482</v>
      </c>
      <c r="S64" s="198" t="s">
        <v>476</v>
      </c>
      <c r="T64" s="198" t="s">
        <v>483</v>
      </c>
    </row>
    <row r="65" spans="1:20" ht="22.5" customHeight="1">
      <c r="A65" s="115">
        <v>25</v>
      </c>
      <c r="B65" s="115" t="s">
        <v>39</v>
      </c>
      <c r="C65" s="115" t="s">
        <v>54</v>
      </c>
      <c r="D65" s="115" t="s">
        <v>667</v>
      </c>
      <c r="E65" s="98" t="s">
        <v>671</v>
      </c>
      <c r="F65" s="115" t="s">
        <v>483</v>
      </c>
      <c r="G65" s="115">
        <v>22</v>
      </c>
      <c r="H65" s="115">
        <v>45</v>
      </c>
      <c r="I65" s="194">
        <v>67</v>
      </c>
      <c r="J65" s="116">
        <v>1294141</v>
      </c>
      <c r="K65" s="116">
        <v>854738</v>
      </c>
      <c r="L65" s="116">
        <v>20443</v>
      </c>
      <c r="M65" s="195">
        <v>2.326388888888889E-2</v>
      </c>
      <c r="N65" s="195">
        <v>3.3079226160291672E-2</v>
      </c>
      <c r="O65" s="195">
        <v>2.2094164882091372E-2</v>
      </c>
      <c r="P65" s="195">
        <v>8.1218499176849738E-4</v>
      </c>
      <c r="R65" s="201" t="s">
        <v>468</v>
      </c>
      <c r="S65" s="202">
        <f>SUMIFS(Scoreboard_15[Damage Dealt],Scoreboard_15[Role],"Healer",Scoreboard_15[Team],"Yellow")</f>
        <v>825911</v>
      </c>
      <c r="T65" s="203">
        <f>SUMIFS(Scoreboard_15[Damage Dealt],Scoreboard_15[Role],"Healer",Scoreboard_15[Team],"Red")</f>
        <v>581149</v>
      </c>
    </row>
    <row r="66" spans="1:20" ht="22.5" customHeight="1">
      <c r="A66" s="115">
        <v>34</v>
      </c>
      <c r="B66" s="115" t="s">
        <v>25</v>
      </c>
      <c r="C66" s="115" t="s">
        <v>24</v>
      </c>
      <c r="D66" s="115" t="s">
        <v>667</v>
      </c>
      <c r="E66" s="98" t="s">
        <v>681</v>
      </c>
      <c r="F66" s="115" t="s">
        <v>483</v>
      </c>
      <c r="G66" s="115">
        <v>13</v>
      </c>
      <c r="H66" s="115">
        <v>54</v>
      </c>
      <c r="I66" s="194">
        <v>67</v>
      </c>
      <c r="J66" s="116">
        <v>1039999</v>
      </c>
      <c r="K66" s="116">
        <v>1061647</v>
      </c>
      <c r="L66" s="116">
        <v>25671</v>
      </c>
      <c r="M66" s="195">
        <v>2.326388888888889E-2</v>
      </c>
      <c r="N66" s="195">
        <v>2.6583163756868207E-2</v>
      </c>
      <c r="O66" s="195">
        <v>2.7442565867643251E-2</v>
      </c>
      <c r="P66" s="195">
        <v>1.0198894938946875E-3</v>
      </c>
      <c r="R66" s="201" t="s">
        <v>469</v>
      </c>
      <c r="S66" s="202">
        <f>SUMIFS(Scoreboard_15[Damage Taken],Scoreboard_15[Role],"Healer",Scoreboard_15[Team],"Yellow")</f>
        <v>10675651</v>
      </c>
      <c r="T66" s="203">
        <f>SUMIFS(Scoreboard_15[Damage Taken],Scoreboard_15[Role],"Healer",Scoreboard_15[Team],"Red")</f>
        <v>11039315</v>
      </c>
    </row>
    <row r="67" spans="1:20" ht="22.5" customHeight="1">
      <c r="A67" s="115">
        <v>33</v>
      </c>
      <c r="B67" s="115" t="s">
        <v>67</v>
      </c>
      <c r="C67" s="115" t="s">
        <v>14</v>
      </c>
      <c r="D67" s="115" t="s">
        <v>667</v>
      </c>
      <c r="E67" s="98" t="s">
        <v>686</v>
      </c>
      <c r="F67" s="115" t="s">
        <v>483</v>
      </c>
      <c r="G67" s="115">
        <v>14</v>
      </c>
      <c r="H67" s="115">
        <v>51</v>
      </c>
      <c r="I67" s="194">
        <v>65</v>
      </c>
      <c r="J67" s="116">
        <v>983601</v>
      </c>
      <c r="K67" s="116">
        <v>1246384</v>
      </c>
      <c r="L67" s="116">
        <v>76565</v>
      </c>
      <c r="M67" s="195">
        <v>2.2569444444444444E-2</v>
      </c>
      <c r="N67" s="195">
        <v>2.5141588073084038E-2</v>
      </c>
      <c r="O67" s="195">
        <v>3.2217841727407194E-2</v>
      </c>
      <c r="P67" s="195">
        <v>3.04186977913002E-3</v>
      </c>
      <c r="R67" s="201" t="s">
        <v>470</v>
      </c>
      <c r="S67" s="202">
        <f>SUMIFS(Scoreboard_15[Amount Healed],Scoreboard_15[Role],"Healer",Scoreboard_15[Team],"Yellow")</f>
        <v>23929002</v>
      </c>
      <c r="T67" s="203">
        <f>SUMIFS(Scoreboard_15[Amount Healed],Scoreboard_15[Role],"Healer",Scoreboard_15[Team],"Red")</f>
        <v>23890787</v>
      </c>
    </row>
    <row r="68" spans="1:20" ht="22.5" customHeight="1">
      <c r="A68" s="115">
        <v>21</v>
      </c>
      <c r="B68" s="115" t="s">
        <v>25</v>
      </c>
      <c r="C68" s="115" t="s">
        <v>69</v>
      </c>
      <c r="D68" s="115" t="s">
        <v>667</v>
      </c>
      <c r="E68" s="98" t="s">
        <v>776</v>
      </c>
      <c r="F68" s="115" t="s">
        <v>483</v>
      </c>
      <c r="G68" s="115">
        <v>23</v>
      </c>
      <c r="H68" s="115">
        <v>37</v>
      </c>
      <c r="I68" s="194">
        <v>60</v>
      </c>
      <c r="J68" s="116">
        <v>1148339</v>
      </c>
      <c r="K68" s="116">
        <v>1234731</v>
      </c>
      <c r="L68" s="116">
        <v>31956</v>
      </c>
      <c r="M68" s="195">
        <v>2.0833333333333332E-2</v>
      </c>
      <c r="N68" s="195">
        <v>2.9352416382514099E-2</v>
      </c>
      <c r="O68" s="195">
        <v>3.1916622753439719E-2</v>
      </c>
      <c r="P68" s="195">
        <v>1.2695878098593211E-3</v>
      </c>
      <c r="R68" s="201" t="s">
        <v>465</v>
      </c>
      <c r="S68" s="202">
        <f>SUMIFS(Scoreboard_15[Kills],Scoreboard_15[Role],"Healer",Scoreboard_15[Team],"Yellow")</f>
        <v>5</v>
      </c>
      <c r="T68" s="203">
        <f>SUMIFS(Scoreboard_15[Kills],Scoreboard_15[Role],"Healer",Scoreboard_15[Team],"Red")</f>
        <v>6</v>
      </c>
    </row>
    <row r="69" spans="1:20" ht="22.5" customHeight="1">
      <c r="A69" s="115">
        <v>22</v>
      </c>
      <c r="B69" s="115" t="s">
        <v>25</v>
      </c>
      <c r="C69" s="115" t="s">
        <v>69</v>
      </c>
      <c r="D69" s="115" t="s">
        <v>667</v>
      </c>
      <c r="E69" s="98" t="s">
        <v>777</v>
      </c>
      <c r="F69" s="115" t="s">
        <v>483</v>
      </c>
      <c r="G69" s="115">
        <v>23</v>
      </c>
      <c r="H69" s="115">
        <v>37</v>
      </c>
      <c r="I69" s="194">
        <v>60</v>
      </c>
      <c r="J69" s="116">
        <v>1145607</v>
      </c>
      <c r="K69" s="116">
        <v>1819259</v>
      </c>
      <c r="L69" s="116">
        <v>41687</v>
      </c>
      <c r="M69" s="195">
        <v>2.0833333333333332E-2</v>
      </c>
      <c r="N69" s="195">
        <v>2.928258438903741E-2</v>
      </c>
      <c r="O69" s="195">
        <v>4.7026115966797621E-2</v>
      </c>
      <c r="P69" s="195">
        <v>1.6561931102016998E-3</v>
      </c>
      <c r="R69" s="201" t="s">
        <v>466</v>
      </c>
      <c r="S69" s="202">
        <f>SUMIFS(Scoreboard_15[Assists],Scoreboard_15[Role],"Healer",Scoreboard_15[Team],"Yellow")</f>
        <v>931</v>
      </c>
      <c r="T69" s="203">
        <f>SUMIFS(Scoreboard_15[Assists],Scoreboard_15[Role],"Healer",Scoreboard_15[Team],"Red")</f>
        <v>831</v>
      </c>
    </row>
    <row r="70" spans="1:20" ht="22.5" customHeight="1">
      <c r="A70" s="115">
        <v>48</v>
      </c>
      <c r="B70" s="115" t="s">
        <v>11</v>
      </c>
      <c r="C70" s="115" t="s">
        <v>10</v>
      </c>
      <c r="D70" s="115" t="s">
        <v>667</v>
      </c>
      <c r="E70" s="98" t="s">
        <v>645</v>
      </c>
      <c r="F70" s="115" t="s">
        <v>483</v>
      </c>
      <c r="G70" s="115">
        <v>1</v>
      </c>
      <c r="H70" s="115">
        <v>59</v>
      </c>
      <c r="I70" s="194">
        <v>60</v>
      </c>
      <c r="J70" s="116">
        <v>36934</v>
      </c>
      <c r="K70" s="116">
        <v>1096321</v>
      </c>
      <c r="L70" s="116">
        <v>2473712</v>
      </c>
      <c r="M70" s="195">
        <v>2.0833333333333332E-2</v>
      </c>
      <c r="N70" s="195">
        <v>9.4406107140119404E-4</v>
      </c>
      <c r="O70" s="195">
        <v>2.833885581043465E-2</v>
      </c>
      <c r="P70" s="195">
        <v>9.8278714491886368E-2</v>
      </c>
      <c r="R70" s="201" t="s">
        <v>10</v>
      </c>
      <c r="S70" s="202">
        <f t="shared" ref="S70:S72" si="6">COUNTIFS(C:C,R70,F:F,"Yellow")</f>
        <v>9</v>
      </c>
      <c r="T70" s="203">
        <f t="shared" ref="T70:T72" si="7">COUNTIFS(C:C,R70,F:F,"Red")</f>
        <v>8</v>
      </c>
    </row>
    <row r="71" spans="1:20" ht="22.5" customHeight="1">
      <c r="A71" s="115">
        <v>66</v>
      </c>
      <c r="B71" s="115" t="s">
        <v>11</v>
      </c>
      <c r="C71" s="115" t="s">
        <v>9</v>
      </c>
      <c r="D71" s="115" t="s">
        <v>667</v>
      </c>
      <c r="E71" s="98" t="s">
        <v>641</v>
      </c>
      <c r="F71" s="115" t="s">
        <v>483</v>
      </c>
      <c r="G71" s="115">
        <v>0</v>
      </c>
      <c r="H71" s="115">
        <v>57</v>
      </c>
      <c r="I71" s="194">
        <v>57</v>
      </c>
      <c r="J71" s="116">
        <v>28132</v>
      </c>
      <c r="K71" s="116">
        <v>460420</v>
      </c>
      <c r="L71" s="116">
        <v>1275490</v>
      </c>
      <c r="M71" s="195">
        <v>1.9791666666666666E-2</v>
      </c>
      <c r="N71" s="195">
        <v>7.1907527104181487E-4</v>
      </c>
      <c r="O71" s="195">
        <v>1.1901419376478534E-2</v>
      </c>
      <c r="P71" s="195">
        <v>5.0674256965748704E-2</v>
      </c>
      <c r="R71" s="201" t="s">
        <v>9</v>
      </c>
      <c r="S71" s="202">
        <f t="shared" si="6"/>
        <v>10</v>
      </c>
      <c r="T71" s="203">
        <f t="shared" si="7"/>
        <v>9</v>
      </c>
    </row>
    <row r="72" spans="1:20" ht="22.5" customHeight="1">
      <c r="A72" s="115">
        <v>67</v>
      </c>
      <c r="B72" s="115" t="s">
        <v>11</v>
      </c>
      <c r="C72" s="115" t="s">
        <v>9</v>
      </c>
      <c r="D72" s="115" t="s">
        <v>667</v>
      </c>
      <c r="E72" s="98" t="s">
        <v>688</v>
      </c>
      <c r="F72" s="115" t="s">
        <v>483</v>
      </c>
      <c r="G72" s="115">
        <v>0</v>
      </c>
      <c r="H72" s="115">
        <v>57</v>
      </c>
      <c r="I72" s="194">
        <v>57</v>
      </c>
      <c r="J72" s="116">
        <v>22427</v>
      </c>
      <c r="K72" s="116">
        <v>655925</v>
      </c>
      <c r="L72" s="116">
        <v>1693697</v>
      </c>
      <c r="M72" s="195">
        <v>1.9791666666666666E-2</v>
      </c>
      <c r="N72" s="195">
        <v>5.7325114117925426E-4</v>
      </c>
      <c r="O72" s="195">
        <v>1.6955037801391515E-2</v>
      </c>
      <c r="P72" s="195">
        <v>6.7289306070700425E-2</v>
      </c>
      <c r="R72" s="201" t="s">
        <v>18</v>
      </c>
      <c r="S72" s="202">
        <f t="shared" si="6"/>
        <v>0</v>
      </c>
      <c r="T72" s="203">
        <f t="shared" si="7"/>
        <v>0</v>
      </c>
    </row>
    <row r="73" spans="1:20" ht="22.5" customHeight="1">
      <c r="A73" s="115">
        <v>35</v>
      </c>
      <c r="B73" s="115" t="s">
        <v>25</v>
      </c>
      <c r="C73" s="115" t="s">
        <v>24</v>
      </c>
      <c r="D73" s="115" t="s">
        <v>667</v>
      </c>
      <c r="E73" s="98" t="s">
        <v>778</v>
      </c>
      <c r="F73" s="115" t="s">
        <v>483</v>
      </c>
      <c r="G73" s="115">
        <v>10</v>
      </c>
      <c r="H73" s="115">
        <v>44</v>
      </c>
      <c r="I73" s="194">
        <v>54</v>
      </c>
      <c r="J73" s="116">
        <v>635831</v>
      </c>
      <c r="K73" s="116">
        <v>1118550</v>
      </c>
      <c r="L73" s="116">
        <v>35214</v>
      </c>
      <c r="M73" s="195">
        <v>1.8749999999999999E-2</v>
      </c>
      <c r="N73" s="195">
        <v>1.625232292982327E-2</v>
      </c>
      <c r="O73" s="195">
        <v>2.8913454332044793E-2</v>
      </c>
      <c r="P73" s="195">
        <v>1.3990256958438521E-3</v>
      </c>
    </row>
    <row r="74" spans="1:20" ht="22.5" customHeight="1">
      <c r="A74" s="115">
        <v>69</v>
      </c>
      <c r="B74" s="115" t="s">
        <v>11</v>
      </c>
      <c r="C74" s="115" t="s">
        <v>9</v>
      </c>
      <c r="D74" s="115" t="s">
        <v>667</v>
      </c>
      <c r="E74" s="98" t="s">
        <v>779</v>
      </c>
      <c r="F74" s="115" t="s">
        <v>483</v>
      </c>
      <c r="G74" s="115">
        <v>0</v>
      </c>
      <c r="H74" s="115">
        <v>47</v>
      </c>
      <c r="I74" s="194">
        <v>47</v>
      </c>
      <c r="J74" s="116">
        <v>15599</v>
      </c>
      <c r="K74" s="116">
        <v>467757</v>
      </c>
      <c r="L74" s="116">
        <v>772682</v>
      </c>
      <c r="M74" s="195">
        <v>1.6319444444444445E-2</v>
      </c>
      <c r="N74" s="195">
        <v>3.9872227900544826E-4</v>
      </c>
      <c r="O74" s="195">
        <v>1.2091073852750683E-2</v>
      </c>
      <c r="P74" s="195">
        <v>3.0698073854603828E-2</v>
      </c>
    </row>
    <row r="75" spans="1:20" ht="22.5" customHeight="1">
      <c r="A75" s="115">
        <v>49</v>
      </c>
      <c r="B75" s="115" t="s">
        <v>11</v>
      </c>
      <c r="C75" s="115" t="s">
        <v>10</v>
      </c>
      <c r="D75" s="115" t="s">
        <v>667</v>
      </c>
      <c r="E75" s="98" t="s">
        <v>780</v>
      </c>
      <c r="F75" s="115" t="s">
        <v>483</v>
      </c>
      <c r="G75" s="115">
        <v>1</v>
      </c>
      <c r="H75" s="115">
        <v>45</v>
      </c>
      <c r="I75" s="194">
        <v>46</v>
      </c>
      <c r="J75" s="116">
        <v>17097</v>
      </c>
      <c r="K75" s="116">
        <v>827445</v>
      </c>
      <c r="L75" s="116">
        <v>2203959</v>
      </c>
      <c r="M75" s="195">
        <v>1.5972222222222221E-2</v>
      </c>
      <c r="N75" s="195">
        <v>4.3701229592641507E-4</v>
      </c>
      <c r="O75" s="195">
        <v>2.1388666773750661E-2</v>
      </c>
      <c r="P75" s="195">
        <v>8.7561630987286879E-2</v>
      </c>
    </row>
    <row r="76" spans="1:20" ht="22.5" customHeight="1">
      <c r="A76" s="115">
        <v>37</v>
      </c>
      <c r="B76" s="115" t="s">
        <v>67</v>
      </c>
      <c r="C76" s="115" t="s">
        <v>14</v>
      </c>
      <c r="D76" s="115" t="s">
        <v>667</v>
      </c>
      <c r="E76" s="98" t="s">
        <v>781</v>
      </c>
      <c r="F76" s="115" t="s">
        <v>483</v>
      </c>
      <c r="G76" s="115">
        <v>4</v>
      </c>
      <c r="H76" s="115">
        <v>41</v>
      </c>
      <c r="I76" s="194">
        <v>45</v>
      </c>
      <c r="J76" s="116">
        <v>280829</v>
      </c>
      <c r="K76" s="116">
        <v>539023</v>
      </c>
      <c r="L76" s="116">
        <v>71632</v>
      </c>
      <c r="M76" s="195">
        <v>1.5625E-2</v>
      </c>
      <c r="N76" s="195">
        <v>7.1782023777691535E-3</v>
      </c>
      <c r="O76" s="195">
        <v>1.3933232215298181E-2</v>
      </c>
      <c r="P76" s="195">
        <v>2.8458854048016929E-3</v>
      </c>
    </row>
    <row r="77" spans="1:20" ht="22.5" customHeight="1">
      <c r="A77" s="115">
        <v>29</v>
      </c>
      <c r="B77" s="115" t="s">
        <v>25</v>
      </c>
      <c r="C77" s="115" t="s">
        <v>69</v>
      </c>
      <c r="D77" s="115" t="s">
        <v>667</v>
      </c>
      <c r="E77" s="98" t="s">
        <v>125</v>
      </c>
      <c r="F77" s="115" t="s">
        <v>483</v>
      </c>
      <c r="G77" s="115">
        <v>19</v>
      </c>
      <c r="H77" s="115">
        <v>24</v>
      </c>
      <c r="I77" s="194">
        <v>43</v>
      </c>
      <c r="J77" s="116">
        <v>622765</v>
      </c>
      <c r="K77" s="116">
        <v>1339713</v>
      </c>
      <c r="L77" s="116">
        <v>51343</v>
      </c>
      <c r="M77" s="195">
        <v>1.4930555555555556E-2</v>
      </c>
      <c r="N77" s="195">
        <v>1.5918346053261617E-2</v>
      </c>
      <c r="O77" s="195">
        <v>3.4630307669345786E-2</v>
      </c>
      <c r="P77" s="195">
        <v>2.0398187170361471E-3</v>
      </c>
    </row>
    <row r="78" spans="1:20" ht="22.5" customHeight="1">
      <c r="A78" s="115">
        <v>73</v>
      </c>
      <c r="B78" s="115" t="s">
        <v>11</v>
      </c>
      <c r="C78" s="115" t="s">
        <v>10</v>
      </c>
      <c r="D78" s="115" t="s">
        <v>667</v>
      </c>
      <c r="E78" s="98" t="s">
        <v>782</v>
      </c>
      <c r="F78" s="115" t="s">
        <v>483</v>
      </c>
      <c r="G78" s="115">
        <v>0</v>
      </c>
      <c r="H78" s="115">
        <v>43</v>
      </c>
      <c r="I78" s="194">
        <v>43</v>
      </c>
      <c r="J78" s="116">
        <v>58638</v>
      </c>
      <c r="K78" s="116">
        <v>1016619</v>
      </c>
      <c r="L78" s="116">
        <v>1890674</v>
      </c>
      <c r="M78" s="195">
        <v>1.4930555555555556E-2</v>
      </c>
      <c r="N78" s="195">
        <v>1.4988317838529057E-3</v>
      </c>
      <c r="O78" s="195">
        <v>2.6278634866200926E-2</v>
      </c>
      <c r="P78" s="195">
        <v>7.5115053912190574E-2</v>
      </c>
    </row>
    <row r="79" spans="1:20" ht="22.5" customHeight="1">
      <c r="A79" s="115">
        <v>74</v>
      </c>
      <c r="B79" s="115" t="s">
        <v>11</v>
      </c>
      <c r="C79" s="115" t="s">
        <v>9</v>
      </c>
      <c r="D79" s="115" t="s">
        <v>667</v>
      </c>
      <c r="E79" s="98" t="s">
        <v>121</v>
      </c>
      <c r="F79" s="115" t="s">
        <v>483</v>
      </c>
      <c r="G79" s="115">
        <v>0</v>
      </c>
      <c r="H79" s="115">
        <v>43</v>
      </c>
      <c r="I79" s="194">
        <v>43</v>
      </c>
      <c r="J79" s="116">
        <v>31625</v>
      </c>
      <c r="K79" s="116">
        <v>535429</v>
      </c>
      <c r="L79" s="116">
        <v>1567866</v>
      </c>
      <c r="M79" s="195">
        <v>1.4930555555555556E-2</v>
      </c>
      <c r="N79" s="195">
        <v>8.0835900208649919E-4</v>
      </c>
      <c r="O79" s="195">
        <v>1.3840330731350776E-2</v>
      </c>
      <c r="P79" s="195">
        <v>6.2290135220080561E-2</v>
      </c>
    </row>
    <row r="80" spans="1:20" ht="22.5" customHeight="1">
      <c r="A80" s="115">
        <v>50</v>
      </c>
      <c r="B80" s="115" t="s">
        <v>11</v>
      </c>
      <c r="C80" s="115" t="s">
        <v>10</v>
      </c>
      <c r="D80" s="115" t="s">
        <v>667</v>
      </c>
      <c r="E80" s="98" t="s">
        <v>783</v>
      </c>
      <c r="F80" s="115" t="s">
        <v>483</v>
      </c>
      <c r="G80" s="115">
        <v>1</v>
      </c>
      <c r="H80" s="115">
        <v>41</v>
      </c>
      <c r="I80" s="194">
        <v>42</v>
      </c>
      <c r="J80" s="116">
        <v>41356</v>
      </c>
      <c r="K80" s="116">
        <v>1041178</v>
      </c>
      <c r="L80" s="116">
        <v>2274146</v>
      </c>
      <c r="M80" s="195">
        <v>1.4583333333333334E-2</v>
      </c>
      <c r="N80" s="195">
        <v>1.0570907475190279E-3</v>
      </c>
      <c r="O80" s="195">
        <v>2.6913461673174856E-2</v>
      </c>
      <c r="P80" s="195">
        <v>9.0350107630502427E-2</v>
      </c>
    </row>
    <row r="81" spans="1:16" ht="22.5" customHeight="1">
      <c r="A81" s="115">
        <v>75</v>
      </c>
      <c r="B81" s="115" t="s">
        <v>11</v>
      </c>
      <c r="C81" s="115" t="s">
        <v>9</v>
      </c>
      <c r="D81" s="115" t="s">
        <v>667</v>
      </c>
      <c r="E81" s="98" t="s">
        <v>197</v>
      </c>
      <c r="F81" s="115" t="s">
        <v>483</v>
      </c>
      <c r="G81" s="115">
        <v>0</v>
      </c>
      <c r="H81" s="115">
        <v>40</v>
      </c>
      <c r="I81" s="194">
        <v>40</v>
      </c>
      <c r="J81" s="116">
        <v>18966</v>
      </c>
      <c r="K81" s="116">
        <v>450502</v>
      </c>
      <c r="L81" s="116">
        <v>995499</v>
      </c>
      <c r="M81" s="195">
        <v>1.3888888888888888E-2</v>
      </c>
      <c r="N81" s="195">
        <v>4.8478535442126621E-4</v>
      </c>
      <c r="O81" s="195">
        <v>1.1645048503414995E-2</v>
      </c>
      <c r="P81" s="195">
        <v>3.9550425432693215E-2</v>
      </c>
    </row>
    <row r="82" spans="1:16" ht="22.5" customHeight="1">
      <c r="A82" s="115">
        <v>77</v>
      </c>
      <c r="B82" s="115" t="s">
        <v>11</v>
      </c>
      <c r="C82" s="115" t="s">
        <v>9</v>
      </c>
      <c r="D82" s="115" t="s">
        <v>667</v>
      </c>
      <c r="E82" s="98" t="s">
        <v>679</v>
      </c>
      <c r="F82" s="115" t="s">
        <v>483</v>
      </c>
      <c r="G82" s="115">
        <v>0</v>
      </c>
      <c r="H82" s="115">
        <v>39</v>
      </c>
      <c r="I82" s="194">
        <v>39</v>
      </c>
      <c r="J82" s="116">
        <v>44139</v>
      </c>
      <c r="K82" s="116">
        <v>589768</v>
      </c>
      <c r="L82" s="116">
        <v>845005</v>
      </c>
      <c r="M82" s="195">
        <v>1.3541666666666667E-2</v>
      </c>
      <c r="N82" s="195">
        <v>1.1282263397026399E-3</v>
      </c>
      <c r="O82" s="195">
        <v>1.5244942232802641E-2</v>
      </c>
      <c r="P82" s="195">
        <v>3.3571412168925265E-2</v>
      </c>
    </row>
    <row r="83" spans="1:16" ht="22.5" customHeight="1">
      <c r="A83" s="115">
        <v>38</v>
      </c>
      <c r="B83" s="115" t="s">
        <v>67</v>
      </c>
      <c r="C83" s="115" t="s">
        <v>14</v>
      </c>
      <c r="D83" s="115" t="s">
        <v>667</v>
      </c>
      <c r="E83" s="98" t="s">
        <v>408</v>
      </c>
      <c r="F83" s="115" t="s">
        <v>483</v>
      </c>
      <c r="G83" s="115">
        <v>4</v>
      </c>
      <c r="H83" s="115">
        <v>31</v>
      </c>
      <c r="I83" s="194">
        <v>35</v>
      </c>
      <c r="J83" s="116">
        <v>419756</v>
      </c>
      <c r="K83" s="116">
        <v>767309</v>
      </c>
      <c r="L83" s="116">
        <v>44567</v>
      </c>
      <c r="M83" s="195">
        <v>1.2152777777777778E-2</v>
      </c>
      <c r="N83" s="195">
        <v>1.0729281937701837E-2</v>
      </c>
      <c r="O83" s="195">
        <v>1.9834208332275675E-2</v>
      </c>
      <c r="P83" s="195">
        <v>1.7706133409062575E-3</v>
      </c>
    </row>
    <row r="84" spans="1:16" ht="22.5" customHeight="1">
      <c r="A84" s="115">
        <v>81</v>
      </c>
      <c r="B84" s="115" t="s">
        <v>11</v>
      </c>
      <c r="C84" s="115" t="s">
        <v>10</v>
      </c>
      <c r="D84" s="115" t="s">
        <v>667</v>
      </c>
      <c r="E84" s="98" t="s">
        <v>677</v>
      </c>
      <c r="F84" s="115" t="s">
        <v>483</v>
      </c>
      <c r="G84" s="115">
        <v>0</v>
      </c>
      <c r="H84" s="115">
        <v>35</v>
      </c>
      <c r="I84" s="194">
        <v>35</v>
      </c>
      <c r="J84" s="116">
        <v>61251</v>
      </c>
      <c r="K84" s="116">
        <v>532379</v>
      </c>
      <c r="L84" s="116">
        <v>2051767</v>
      </c>
      <c r="M84" s="195">
        <v>1.2152777777777778E-2</v>
      </c>
      <c r="N84" s="195">
        <v>1.5656220470134439E-3</v>
      </c>
      <c r="O84" s="195">
        <v>1.3761491130338093E-2</v>
      </c>
      <c r="P84" s="195">
        <v>8.1515157462499363E-2</v>
      </c>
    </row>
    <row r="85" spans="1:16" ht="22.5" customHeight="1">
      <c r="A85" s="115">
        <v>83</v>
      </c>
      <c r="B85" s="115" t="s">
        <v>11</v>
      </c>
      <c r="C85" s="115" t="s">
        <v>10</v>
      </c>
      <c r="D85" s="115" t="s">
        <v>667</v>
      </c>
      <c r="E85" s="98" t="s">
        <v>687</v>
      </c>
      <c r="F85" s="115" t="s">
        <v>483</v>
      </c>
      <c r="G85" s="115">
        <v>0</v>
      </c>
      <c r="H85" s="115">
        <v>34</v>
      </c>
      <c r="I85" s="194">
        <v>34</v>
      </c>
      <c r="J85" s="116">
        <v>23919</v>
      </c>
      <c r="K85" s="116">
        <v>740187</v>
      </c>
      <c r="L85" s="116">
        <v>1096879</v>
      </c>
      <c r="M85" s="195">
        <v>1.1805555555555555E-2</v>
      </c>
      <c r="N85" s="195">
        <v>6.1138779354646554E-4</v>
      </c>
      <c r="O85" s="195">
        <v>1.9133130411401581E-2</v>
      </c>
      <c r="P85" s="195">
        <v>4.3578176470480734E-2</v>
      </c>
    </row>
    <row r="86" spans="1:16" ht="22.5" customHeight="1">
      <c r="A86" s="115">
        <v>36</v>
      </c>
      <c r="B86" s="115" t="s">
        <v>67</v>
      </c>
      <c r="C86" s="115" t="s">
        <v>14</v>
      </c>
      <c r="D86" s="115" t="s">
        <v>667</v>
      </c>
      <c r="E86" s="98" t="s">
        <v>296</v>
      </c>
      <c r="F86" s="115" t="s">
        <v>483</v>
      </c>
      <c r="G86" s="115">
        <v>5</v>
      </c>
      <c r="H86" s="115">
        <v>28</v>
      </c>
      <c r="I86" s="194">
        <v>33</v>
      </c>
      <c r="J86" s="116">
        <v>298992</v>
      </c>
      <c r="K86" s="116">
        <v>876355</v>
      </c>
      <c r="L86" s="116">
        <v>100969</v>
      </c>
      <c r="M86" s="195">
        <v>1.1458333333333333E-2</v>
      </c>
      <c r="N86" s="195">
        <v>7.6424624427461367E-3</v>
      </c>
      <c r="O86" s="195">
        <v>2.2652943785399952E-2</v>
      </c>
      <c r="P86" s="195">
        <v>4.0114223173640566E-3</v>
      </c>
    </row>
    <row r="87" spans="1:16" ht="22.5" customHeight="1">
      <c r="A87" s="115">
        <v>53</v>
      </c>
      <c r="B87" s="115" t="s">
        <v>67</v>
      </c>
      <c r="C87" s="115" t="s">
        <v>14</v>
      </c>
      <c r="D87" s="115" t="s">
        <v>667</v>
      </c>
      <c r="E87" s="98" t="s">
        <v>784</v>
      </c>
      <c r="F87" s="115" t="s">
        <v>483</v>
      </c>
      <c r="G87" s="115">
        <v>1</v>
      </c>
      <c r="H87" s="115">
        <v>28</v>
      </c>
      <c r="I87" s="194">
        <v>29</v>
      </c>
      <c r="J87" s="116">
        <v>177249</v>
      </c>
      <c r="K87" s="116">
        <v>721967</v>
      </c>
      <c r="L87" s="116">
        <v>106946</v>
      </c>
      <c r="M87" s="195">
        <v>1.0069444444444445E-2</v>
      </c>
      <c r="N87" s="195">
        <v>4.5306189647693245E-3</v>
      </c>
      <c r="O87" s="195">
        <v>1.8662160729286472E-2</v>
      </c>
      <c r="P87" s="195">
        <v>4.248884025322786E-3</v>
      </c>
    </row>
    <row r="88" spans="1:16" ht="22.5" customHeight="1">
      <c r="A88" s="115">
        <v>85</v>
      </c>
      <c r="B88" s="115" t="s">
        <v>11</v>
      </c>
      <c r="C88" s="115" t="s">
        <v>9</v>
      </c>
      <c r="D88" s="115" t="s">
        <v>667</v>
      </c>
      <c r="E88" s="98" t="s">
        <v>785</v>
      </c>
      <c r="F88" s="115" t="s">
        <v>483</v>
      </c>
      <c r="G88" s="115">
        <v>0</v>
      </c>
      <c r="H88" s="115">
        <v>26</v>
      </c>
      <c r="I88" s="194">
        <v>26</v>
      </c>
      <c r="J88" s="116">
        <v>45905</v>
      </c>
      <c r="K88" s="116">
        <v>359121</v>
      </c>
      <c r="L88" s="116">
        <v>1282188</v>
      </c>
      <c r="M88" s="195">
        <v>9.0277777777777769E-3</v>
      </c>
      <c r="N88" s="195">
        <v>1.1733666400246877E-3</v>
      </c>
      <c r="O88" s="195">
        <v>9.2829365099264746E-3</v>
      </c>
      <c r="P88" s="195">
        <v>5.0940363460630342E-2</v>
      </c>
    </row>
    <row r="89" spans="1:16" ht="22.5" customHeight="1">
      <c r="A89" s="115">
        <v>39</v>
      </c>
      <c r="B89" s="115" t="s">
        <v>67</v>
      </c>
      <c r="C89" s="115" t="s">
        <v>14</v>
      </c>
      <c r="D89" s="115" t="s">
        <v>667</v>
      </c>
      <c r="E89" s="98" t="s">
        <v>786</v>
      </c>
      <c r="F89" s="115" t="s">
        <v>483</v>
      </c>
      <c r="G89" s="115">
        <v>4</v>
      </c>
      <c r="H89" s="115">
        <v>20</v>
      </c>
      <c r="I89" s="194">
        <v>24</v>
      </c>
      <c r="J89" s="116">
        <v>316610</v>
      </c>
      <c r="K89" s="116">
        <v>855235</v>
      </c>
      <c r="L89" s="116">
        <v>61621</v>
      </c>
      <c r="M89" s="195">
        <v>8.3333333333333332E-3</v>
      </c>
      <c r="N89" s="195">
        <v>8.0927918940903246E-3</v>
      </c>
      <c r="O89" s="195">
        <v>2.2107011859699009E-2</v>
      </c>
      <c r="P89" s="195">
        <v>2.4481559153630376E-3</v>
      </c>
    </row>
    <row r="90" spans="1:16" ht="22.5" customHeight="1">
      <c r="A90" s="115">
        <v>86</v>
      </c>
      <c r="B90" s="115" t="s">
        <v>11</v>
      </c>
      <c r="C90" s="115" t="s">
        <v>10</v>
      </c>
      <c r="D90" s="115" t="s">
        <v>667</v>
      </c>
      <c r="E90" s="98" t="s">
        <v>683</v>
      </c>
      <c r="F90" s="115" t="s">
        <v>483</v>
      </c>
      <c r="G90" s="115">
        <v>0</v>
      </c>
      <c r="H90" s="115">
        <v>24</v>
      </c>
      <c r="I90" s="194">
        <v>24</v>
      </c>
      <c r="J90" s="116">
        <v>37570</v>
      </c>
      <c r="K90" s="116">
        <v>1019245</v>
      </c>
      <c r="L90" s="116">
        <v>1616618</v>
      </c>
      <c r="M90" s="195">
        <v>8.3333333333333332E-3</v>
      </c>
      <c r="N90" s="195">
        <v>9.6031771409928136E-4</v>
      </c>
      <c r="O90" s="195">
        <v>2.6346514470220371E-2</v>
      </c>
      <c r="P90" s="195">
        <v>6.4227015458729372E-2</v>
      </c>
    </row>
    <row r="91" spans="1:16" ht="22.5" customHeight="1">
      <c r="A91" s="115">
        <v>43</v>
      </c>
      <c r="B91" s="115" t="s">
        <v>67</v>
      </c>
      <c r="C91" s="115" t="s">
        <v>14</v>
      </c>
      <c r="D91" s="115" t="s">
        <v>667</v>
      </c>
      <c r="E91" s="98" t="s">
        <v>690</v>
      </c>
      <c r="F91" s="115" t="s">
        <v>483</v>
      </c>
      <c r="G91" s="115">
        <v>2</v>
      </c>
      <c r="H91" s="115">
        <v>19</v>
      </c>
      <c r="I91" s="194">
        <v>21</v>
      </c>
      <c r="J91" s="116">
        <v>25358</v>
      </c>
      <c r="K91" s="116">
        <v>568448</v>
      </c>
      <c r="L91" s="116">
        <v>93942</v>
      </c>
      <c r="M91" s="195">
        <v>7.2916666666666668E-3</v>
      </c>
      <c r="N91" s="195">
        <v>6.4816972568883626E-4</v>
      </c>
      <c r="O91" s="195">
        <v>1.4693840497199229E-2</v>
      </c>
      <c r="P91" s="195">
        <v>3.7322449002942905E-3</v>
      </c>
    </row>
    <row r="92" spans="1:16" ht="22.5" customHeight="1">
      <c r="A92" s="115">
        <v>87</v>
      </c>
      <c r="B92" s="115" t="s">
        <v>67</v>
      </c>
      <c r="C92" s="115" t="s">
        <v>14</v>
      </c>
      <c r="D92" s="115" t="s">
        <v>667</v>
      </c>
      <c r="E92" s="98" t="s">
        <v>691</v>
      </c>
      <c r="F92" s="115" t="s">
        <v>483</v>
      </c>
      <c r="G92" s="115">
        <v>0</v>
      </c>
      <c r="H92" s="115">
        <v>20</v>
      </c>
      <c r="I92" s="194">
        <v>20</v>
      </c>
      <c r="J92" s="116">
        <v>57514</v>
      </c>
      <c r="K92" s="116">
        <v>757130</v>
      </c>
      <c r="L92" s="116">
        <v>104269</v>
      </c>
      <c r="M92" s="195">
        <v>6.9444444444444441E-3</v>
      </c>
      <c r="N92" s="195">
        <v>1.4701014907827009E-3</v>
      </c>
      <c r="O92" s="195">
        <v>1.9571090857289412E-2</v>
      </c>
      <c r="P92" s="195">
        <v>4.1425288317130287E-3</v>
      </c>
    </row>
    <row r="93" spans="1:16" ht="22.5" customHeight="1">
      <c r="A93" s="115">
        <v>88</v>
      </c>
      <c r="B93" s="115" t="s">
        <v>67</v>
      </c>
      <c r="C93" s="115" t="s">
        <v>14</v>
      </c>
      <c r="D93" s="115" t="s">
        <v>667</v>
      </c>
      <c r="E93" s="98" t="s">
        <v>712</v>
      </c>
      <c r="F93" s="115" t="s">
        <v>483</v>
      </c>
      <c r="G93" s="115">
        <v>0</v>
      </c>
      <c r="H93" s="115">
        <v>19</v>
      </c>
      <c r="I93" s="194">
        <v>19</v>
      </c>
      <c r="J93" s="116">
        <v>42801</v>
      </c>
      <c r="K93" s="116">
        <v>520050</v>
      </c>
      <c r="L93" s="116">
        <v>37170</v>
      </c>
      <c r="M93" s="195">
        <v>6.5972222222222222E-3</v>
      </c>
      <c r="N93" s="195">
        <v>1.0940260442151542E-3</v>
      </c>
      <c r="O93" s="195">
        <v>1.3442798198900268E-2</v>
      </c>
      <c r="P93" s="195">
        <v>1.4767361025306975E-3</v>
      </c>
    </row>
    <row r="94" spans="1:16" ht="22.5" customHeight="1">
      <c r="A94" s="115">
        <v>57</v>
      </c>
      <c r="B94" s="115" t="s">
        <v>67</v>
      </c>
      <c r="C94" s="115" t="s">
        <v>14</v>
      </c>
      <c r="D94" s="115" t="s">
        <v>667</v>
      </c>
      <c r="E94" s="98" t="s">
        <v>685</v>
      </c>
      <c r="F94" s="115" t="s">
        <v>483</v>
      </c>
      <c r="G94" s="115">
        <v>1</v>
      </c>
      <c r="H94" s="115">
        <v>17</v>
      </c>
      <c r="I94" s="194">
        <v>18</v>
      </c>
      <c r="J94" s="116">
        <v>173437</v>
      </c>
      <c r="K94" s="116">
        <v>330084</v>
      </c>
      <c r="L94" s="116">
        <v>25272</v>
      </c>
      <c r="M94" s="195">
        <v>6.2500000000000003E-3</v>
      </c>
      <c r="N94" s="195">
        <v>4.4331813516166373E-3</v>
      </c>
      <c r="O94" s="195">
        <v>8.5323576592362203E-3</v>
      </c>
      <c r="P94" s="195">
        <v>1.0040375244324935E-3</v>
      </c>
    </row>
    <row r="95" spans="1:16" ht="22.5" customHeight="1">
      <c r="A95" s="115">
        <v>58</v>
      </c>
      <c r="B95" s="115" t="s">
        <v>67</v>
      </c>
      <c r="C95" s="115" t="s">
        <v>14</v>
      </c>
      <c r="D95" s="115" t="s">
        <v>667</v>
      </c>
      <c r="E95" s="98" t="s">
        <v>123</v>
      </c>
      <c r="F95" s="115" t="s">
        <v>483</v>
      </c>
      <c r="G95" s="115">
        <v>1</v>
      </c>
      <c r="H95" s="115">
        <v>16</v>
      </c>
      <c r="I95" s="194">
        <v>17</v>
      </c>
      <c r="J95" s="116">
        <v>151994</v>
      </c>
      <c r="K95" s="116">
        <v>952832</v>
      </c>
      <c r="L95" s="116">
        <v>63079</v>
      </c>
      <c r="M95" s="195">
        <v>5.9027777777777776E-3</v>
      </c>
      <c r="N95" s="195">
        <v>3.885081997253292E-3</v>
      </c>
      <c r="O95" s="195">
        <v>2.462980154495633E-2</v>
      </c>
      <c r="P95" s="195">
        <v>2.5060811571572198E-3</v>
      </c>
    </row>
    <row r="96" spans="1:16" ht="22.5" customHeight="1">
      <c r="A96" s="115">
        <v>89</v>
      </c>
      <c r="B96" s="115" t="s">
        <v>67</v>
      </c>
      <c r="C96" s="115" t="s">
        <v>14</v>
      </c>
      <c r="D96" s="115" t="s">
        <v>667</v>
      </c>
      <c r="E96" s="98" t="s">
        <v>696</v>
      </c>
      <c r="F96" s="115" t="s">
        <v>483</v>
      </c>
      <c r="G96" s="115">
        <v>0</v>
      </c>
      <c r="H96" s="115">
        <v>15</v>
      </c>
      <c r="I96" s="194">
        <v>15</v>
      </c>
      <c r="J96" s="116">
        <v>61280</v>
      </c>
      <c r="K96" s="116">
        <v>1284407</v>
      </c>
      <c r="L96" s="116">
        <v>42257</v>
      </c>
      <c r="M96" s="195">
        <v>5.208333333333333E-3</v>
      </c>
      <c r="N96" s="195">
        <v>1.5663633090232624E-3</v>
      </c>
      <c r="O96" s="195">
        <v>3.3200700137015475E-2</v>
      </c>
      <c r="P96" s="195">
        <v>1.6788387808619768E-3</v>
      </c>
    </row>
    <row r="97" spans="1:16" ht="22.5" customHeight="1">
      <c r="A97" s="115">
        <v>95</v>
      </c>
      <c r="B97" s="115" t="s">
        <v>67</v>
      </c>
      <c r="C97" s="115" t="s">
        <v>14</v>
      </c>
      <c r="D97" s="115" t="s">
        <v>667</v>
      </c>
      <c r="E97" s="98" t="s">
        <v>698</v>
      </c>
      <c r="F97" s="115" t="s">
        <v>483</v>
      </c>
      <c r="G97" s="115">
        <v>0</v>
      </c>
      <c r="H97" s="115">
        <v>6</v>
      </c>
      <c r="I97" s="194">
        <v>6</v>
      </c>
      <c r="J97" s="116">
        <v>32537</v>
      </c>
      <c r="K97" s="116">
        <v>649290</v>
      </c>
      <c r="L97" s="116">
        <v>14876</v>
      </c>
      <c r="M97" s="195">
        <v>2.0833333333333333E-3</v>
      </c>
      <c r="N97" s="195">
        <v>8.3167041425734149E-4</v>
      </c>
      <c r="O97" s="195">
        <v>1.6783529357877039E-2</v>
      </c>
      <c r="P97" s="195">
        <v>5.9101227498645833E-4</v>
      </c>
    </row>
    <row r="98" spans="1:16" ht="22.5" hidden="1" customHeight="1">
      <c r="A98" s="115"/>
      <c r="B98" s="115" t="e">
        <f>VLOOKUP(C98,Lists!I:J,2,FALSE)</f>
        <v>#N/A</v>
      </c>
      <c r="C98" s="115" t="e">
        <f>VLOOKUP(E98,Lists!D:E,2,FALSE)</f>
        <v>#N/A</v>
      </c>
      <c r="D98" s="115"/>
      <c r="E98" s="98"/>
      <c r="F98" s="115"/>
      <c r="G98" s="115"/>
      <c r="H98" s="115"/>
      <c r="I98" s="194">
        <f t="shared" ref="I98:I103" si="8">SUM(G98:H98)</f>
        <v>0</v>
      </c>
      <c r="J98" s="116"/>
      <c r="K98" s="116"/>
      <c r="L98" s="116"/>
      <c r="M98" s="195" t="e">
        <f>I98/(HLOOKUP(F98,Team_Composition_15[[#All],[Yellow]:[Red]],10,FALSE)+HLOOKUP(F98,Team_Composition_15[[#All],[Yellow]:[Red]],11,FALSE))</f>
        <v>#N/A</v>
      </c>
      <c r="N98" s="195" t="e">
        <f>J98/HLOOKUP(F98,Team_Composition_15[[#All],[Yellow]:[Red]],6,FALSE)</f>
        <v>#N/A</v>
      </c>
      <c r="O98" s="195" t="e">
        <f>K98/HLOOKUP(F98,Team_Composition_15[[#All],[Yellow]:[Red]],8,FALSE)</f>
        <v>#N/A</v>
      </c>
      <c r="P98" s="195" t="e">
        <f>L98/HLOOKUP(F98,Team_Composition_15[[#All],[Yellow]:[Red]],7,FALSE)</f>
        <v>#N/A</v>
      </c>
    </row>
    <row r="99" spans="1:16" ht="22.5" hidden="1" customHeight="1">
      <c r="A99" s="115"/>
      <c r="B99" s="115" t="e">
        <f>VLOOKUP(C99,Lists!I:J,2,FALSE)</f>
        <v>#N/A</v>
      </c>
      <c r="C99" s="115" t="e">
        <f>VLOOKUP(E99,Lists!D:E,2,FALSE)</f>
        <v>#N/A</v>
      </c>
      <c r="D99" s="115"/>
      <c r="E99" s="98"/>
      <c r="F99" s="115"/>
      <c r="G99" s="115"/>
      <c r="H99" s="115"/>
      <c r="I99" s="194">
        <f t="shared" si="8"/>
        <v>0</v>
      </c>
      <c r="J99" s="116"/>
      <c r="K99" s="116"/>
      <c r="L99" s="116"/>
      <c r="M99" s="195" t="e">
        <f>I99/(HLOOKUP(F99,Team_Composition_15[[#All],[Yellow]:[Red]],10,FALSE)+HLOOKUP(F99,Team_Composition_15[[#All],[Yellow]:[Red]],11,FALSE))</f>
        <v>#N/A</v>
      </c>
      <c r="N99" s="195" t="e">
        <f>J99/HLOOKUP(F99,Team_Composition_15[[#All],[Yellow]:[Red]],6,FALSE)</f>
        <v>#N/A</v>
      </c>
      <c r="O99" s="195" t="e">
        <f>K99/HLOOKUP(F99,Team_Composition_15[[#All],[Yellow]:[Red]],8,FALSE)</f>
        <v>#N/A</v>
      </c>
      <c r="P99" s="195" t="e">
        <f>L99/HLOOKUP(F99,Team_Composition_15[[#All],[Yellow]:[Red]],7,FALSE)</f>
        <v>#N/A</v>
      </c>
    </row>
    <row r="100" spans="1:16" ht="22.5" hidden="1" customHeight="1">
      <c r="A100" s="115"/>
      <c r="B100" s="115" t="e">
        <f>VLOOKUP(C100,Lists!I:J,2,FALSE)</f>
        <v>#N/A</v>
      </c>
      <c r="C100" s="115" t="e">
        <f>VLOOKUP(E100,Lists!D:E,2,FALSE)</f>
        <v>#N/A</v>
      </c>
      <c r="D100" s="115"/>
      <c r="E100" s="98"/>
      <c r="F100" s="115"/>
      <c r="G100" s="115"/>
      <c r="H100" s="115"/>
      <c r="I100" s="194">
        <f t="shared" si="8"/>
        <v>0</v>
      </c>
      <c r="J100" s="116"/>
      <c r="K100" s="116"/>
      <c r="L100" s="116"/>
      <c r="M100" s="195" t="e">
        <f>I100/(HLOOKUP(F100,Team_Composition_15[[#All],[Yellow]:[Red]],10,FALSE)+HLOOKUP(F100,Team_Composition_15[[#All],[Yellow]:[Red]],11,FALSE))</f>
        <v>#N/A</v>
      </c>
      <c r="N100" s="195" t="e">
        <f>J100/HLOOKUP(F100,Team_Composition_15[[#All],[Yellow]:[Red]],6,FALSE)</f>
        <v>#N/A</v>
      </c>
      <c r="O100" s="195" t="e">
        <f>K100/HLOOKUP(F100,Team_Composition_15[[#All],[Yellow]:[Red]],8,FALSE)</f>
        <v>#N/A</v>
      </c>
      <c r="P100" s="195" t="e">
        <f>L100/HLOOKUP(F100,Team_Composition_15[[#All],[Yellow]:[Red]],7,FALSE)</f>
        <v>#N/A</v>
      </c>
    </row>
    <row r="101" spans="1:16" ht="22.5" hidden="1" customHeight="1">
      <c r="A101" s="115"/>
      <c r="B101" s="115" t="e">
        <f>VLOOKUP(C101,Lists!I:J,2,FALSE)</f>
        <v>#N/A</v>
      </c>
      <c r="C101" s="115" t="e">
        <f>VLOOKUP(E101,Lists!D:E,2,FALSE)</f>
        <v>#N/A</v>
      </c>
      <c r="D101" s="115"/>
      <c r="E101" s="98"/>
      <c r="F101" s="115"/>
      <c r="G101" s="115"/>
      <c r="H101" s="115"/>
      <c r="I101" s="194">
        <f t="shared" si="8"/>
        <v>0</v>
      </c>
      <c r="J101" s="116"/>
      <c r="K101" s="116"/>
      <c r="L101" s="116"/>
      <c r="M101" s="195" t="e">
        <f>I101/(HLOOKUP(F101,Team_Composition_15[[#All],[Yellow]:[Red]],10,FALSE)+HLOOKUP(F101,Team_Composition_15[[#All],[Yellow]:[Red]],11,FALSE))</f>
        <v>#N/A</v>
      </c>
      <c r="N101" s="195" t="e">
        <f>J101/HLOOKUP(F101,Team_Composition_15[[#All],[Yellow]:[Red]],6,FALSE)</f>
        <v>#N/A</v>
      </c>
      <c r="O101" s="195" t="e">
        <f>K101/HLOOKUP(F101,Team_Composition_15[[#All],[Yellow]:[Red]],8,FALSE)</f>
        <v>#N/A</v>
      </c>
      <c r="P101" s="195" t="e">
        <f>L101/HLOOKUP(F101,Team_Composition_15[[#All],[Yellow]:[Red]],7,FALSE)</f>
        <v>#N/A</v>
      </c>
    </row>
    <row r="102" spans="1:16" ht="22.5" hidden="1" customHeight="1">
      <c r="A102" s="115"/>
      <c r="B102" s="115" t="e">
        <f>VLOOKUP(C102,Lists!I:J,2,FALSE)</f>
        <v>#N/A</v>
      </c>
      <c r="C102" s="115" t="e">
        <f>VLOOKUP(E102,Lists!D:E,2,FALSE)</f>
        <v>#N/A</v>
      </c>
      <c r="D102" s="115"/>
      <c r="E102" s="98"/>
      <c r="F102" s="115"/>
      <c r="G102" s="115"/>
      <c r="H102" s="115"/>
      <c r="I102" s="194">
        <f t="shared" si="8"/>
        <v>0</v>
      </c>
      <c r="J102" s="116"/>
      <c r="K102" s="116"/>
      <c r="L102" s="116"/>
      <c r="M102" s="195" t="e">
        <f>I102/(HLOOKUP(F102,Team_Composition_15[[#All],[Yellow]:[Red]],10,FALSE)+HLOOKUP(F102,Team_Composition_15[[#All],[Yellow]:[Red]],11,FALSE))</f>
        <v>#N/A</v>
      </c>
      <c r="N102" s="195" t="e">
        <f>J102/HLOOKUP(F102,Team_Composition_15[[#All],[Yellow]:[Red]],6,FALSE)</f>
        <v>#N/A</v>
      </c>
      <c r="O102" s="195" t="e">
        <f>K102/HLOOKUP(F102,Team_Composition_15[[#All],[Yellow]:[Red]],8,FALSE)</f>
        <v>#N/A</v>
      </c>
      <c r="P102" s="195" t="e">
        <f>L102/HLOOKUP(F102,Team_Composition_15[[#All],[Yellow]:[Red]],7,FALSE)</f>
        <v>#N/A</v>
      </c>
    </row>
    <row r="103" spans="1:16" ht="22.5" hidden="1" customHeight="1">
      <c r="A103" s="115"/>
      <c r="B103" s="115" t="e">
        <f>VLOOKUP(C103,Lists!I:J,2,FALSE)</f>
        <v>#N/A</v>
      </c>
      <c r="C103" s="115" t="e">
        <f>VLOOKUP(E103,Lists!D:E,2,FALSE)</f>
        <v>#N/A</v>
      </c>
      <c r="D103" s="115"/>
      <c r="E103" s="98"/>
      <c r="F103" s="115"/>
      <c r="G103" s="115"/>
      <c r="H103" s="115"/>
      <c r="I103" s="194">
        <f t="shared" si="8"/>
        <v>0</v>
      </c>
      <c r="J103" s="116"/>
      <c r="K103" s="116"/>
      <c r="L103" s="116"/>
      <c r="M103" s="195" t="e">
        <f>I103/(HLOOKUP(F103,Team_Composition_15[[#All],[Yellow]:[Red]],10,FALSE)+HLOOKUP(F103,Team_Composition_15[[#All],[Yellow]:[Red]],11,FALSE))</f>
        <v>#N/A</v>
      </c>
      <c r="N103" s="195" t="e">
        <f>J103/HLOOKUP(F103,Team_Composition_15[[#All],[Yellow]:[Red]],6,FALSE)</f>
        <v>#N/A</v>
      </c>
      <c r="O103" s="195" t="e">
        <f>K103/HLOOKUP(F103,Team_Composition_15[[#All],[Yellow]:[Red]],8,FALSE)</f>
        <v>#N/A</v>
      </c>
      <c r="P103" s="195" t="e">
        <f>L103/HLOOKUP(F103,Team_Composition_15[[#All],[Yellow]:[Red]],7,FALSE)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E00-000000000000}">
      <formula1>#REF!</formula1>
    </dataValidation>
    <dataValidation type="list" allowBlank="1" sqref="F2:F103" xr:uid="{00000000-0002-0000-1E00-000002000000}">
      <formula1>"Yellow,Red"</formula1>
    </dataValidation>
    <dataValidation type="custom" allowBlank="1" showDropDown="1" sqref="S4:T13 S17:T25 S30:T46 S51:T60 S65:T72 A2:A103 G2:L103" xr:uid="{00000000-0002-0000-1E00-000003000000}">
      <formula1>AND(ISNUMBER(A2),(NOT(OR(NOT(ISERROR(DATEVALUE(A2))), AND(ISNUMBER(A2), LEFT(CELL("format", A2))="D")))))</formula1>
    </dataValidation>
    <dataValidation allowBlank="1" showDropDown="1" sqref="E2:E103" xr:uid="{00000000-0002-0000-1E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17</v>
      </c>
      <c r="B2" s="115" t="s">
        <v>25</v>
      </c>
      <c r="C2" s="115" t="s">
        <v>23</v>
      </c>
      <c r="D2" s="115" t="s">
        <v>7</v>
      </c>
      <c r="E2" s="98" t="s">
        <v>27</v>
      </c>
      <c r="F2" s="115" t="s">
        <v>483</v>
      </c>
      <c r="G2" s="115">
        <v>26</v>
      </c>
      <c r="H2" s="115">
        <v>66</v>
      </c>
      <c r="I2" s="194">
        <v>92</v>
      </c>
      <c r="J2" s="116">
        <v>1918853</v>
      </c>
      <c r="K2" s="116">
        <v>1580720</v>
      </c>
      <c r="L2" s="116">
        <v>45816</v>
      </c>
      <c r="M2" s="195">
        <v>4.6747967479674794E-2</v>
      </c>
      <c r="N2" s="195">
        <v>6.2626044978801462E-2</v>
      </c>
      <c r="O2" s="195">
        <v>3.1596265007736157E-2</v>
      </c>
      <c r="P2" s="195">
        <v>1.3876621521205553E-3</v>
      </c>
      <c r="R2" s="232" t="s">
        <v>477</v>
      </c>
      <c r="S2" s="228"/>
      <c r="T2" s="228"/>
      <c r="V2" s="233" t="s">
        <v>478</v>
      </c>
      <c r="W2" s="228"/>
      <c r="X2" s="196"/>
      <c r="Y2" s="233" t="s">
        <v>479</v>
      </c>
      <c r="Z2" s="228"/>
    </row>
    <row r="3" spans="1:26" ht="22.5" customHeight="1">
      <c r="A3" s="115">
        <v>5</v>
      </c>
      <c r="B3" s="115" t="s">
        <v>39</v>
      </c>
      <c r="C3" s="115" t="s">
        <v>58</v>
      </c>
      <c r="D3" s="115" t="s">
        <v>7</v>
      </c>
      <c r="E3" s="98" t="s">
        <v>86</v>
      </c>
      <c r="F3" s="115" t="s">
        <v>483</v>
      </c>
      <c r="G3" s="115">
        <v>51</v>
      </c>
      <c r="H3" s="115">
        <v>40</v>
      </c>
      <c r="I3" s="194">
        <v>91</v>
      </c>
      <c r="J3" s="116">
        <v>3281923</v>
      </c>
      <c r="K3" s="116">
        <v>1753698</v>
      </c>
      <c r="L3" s="116">
        <v>0</v>
      </c>
      <c r="M3" s="195">
        <v>4.6239837398373985E-2</v>
      </c>
      <c r="N3" s="195">
        <v>0.10711287285423274</v>
      </c>
      <c r="O3" s="195">
        <v>3.5053840497707933E-2</v>
      </c>
      <c r="P3" s="195">
        <v>0</v>
      </c>
      <c r="R3" s="197" t="s">
        <v>482</v>
      </c>
      <c r="S3" s="198" t="s">
        <v>476</v>
      </c>
      <c r="T3" s="198" t="s">
        <v>483</v>
      </c>
      <c r="V3" s="199" t="s">
        <v>1</v>
      </c>
      <c r="W3" s="200" t="s">
        <v>467</v>
      </c>
      <c r="Y3" s="199" t="s">
        <v>1</v>
      </c>
      <c r="Z3" s="200" t="s">
        <v>484</v>
      </c>
    </row>
    <row r="4" spans="1:26" ht="22.5" customHeight="1">
      <c r="A4" s="115">
        <v>19</v>
      </c>
      <c r="B4" s="115" t="s">
        <v>39</v>
      </c>
      <c r="C4" s="115" t="s">
        <v>58</v>
      </c>
      <c r="D4" s="115" t="s">
        <v>7</v>
      </c>
      <c r="E4" s="98" t="s">
        <v>107</v>
      </c>
      <c r="F4" s="115" t="s">
        <v>483</v>
      </c>
      <c r="G4" s="115">
        <v>25</v>
      </c>
      <c r="H4" s="115">
        <v>59</v>
      </c>
      <c r="I4" s="194">
        <v>84</v>
      </c>
      <c r="J4" s="116">
        <v>2416140</v>
      </c>
      <c r="K4" s="116">
        <v>1345683</v>
      </c>
      <c r="L4" s="116">
        <v>31968</v>
      </c>
      <c r="M4" s="195">
        <v>4.2682926829268296E-2</v>
      </c>
      <c r="N4" s="195">
        <v>7.8856114728476534E-2</v>
      </c>
      <c r="O4" s="195">
        <v>2.6898221496789703E-2</v>
      </c>
      <c r="P4" s="195">
        <v>9.6823781384210562E-4</v>
      </c>
      <c r="R4" s="201" t="s">
        <v>25</v>
      </c>
      <c r="S4" s="202">
        <f>COUNTIFS(Scoreboard_14[Role],R4,Scoreboard_14[Team],"Yellow")</f>
        <v>7</v>
      </c>
      <c r="T4" s="203">
        <f>COUNTIFS(Scoreboard_14[Role],R4,Scoreboard_14[Team],"Red")</f>
        <v>8</v>
      </c>
      <c r="V4" s="204" t="str">
        <f ca="1">IFERROR(__xludf.DUMMYFUNCTION("query(A1:P239, ""Select E,I where B!='Healer' Order by I Desc Limit 10"", 0)"),"BBlast")</f>
        <v>BBlast</v>
      </c>
      <c r="W4" s="116">
        <f ca="1">IFERROR(__xludf.DUMMYFUNCTION("""COMPUTED_VALUE"""),194)</f>
        <v>194</v>
      </c>
      <c r="Y4" s="204" t="str">
        <f ca="1">IFERROR(__xludf.DUMMYFUNCTION("query(A1:P239, ""Select E,J Order by J Desc Limit 10"", 0)"),"BBlast")</f>
        <v>BBlast</v>
      </c>
      <c r="Z4" s="116">
        <f ca="1">IFERROR(__xludf.DUMMYFUNCTION("""COMPUTED_VALUE"""),5245055)</f>
        <v>5245055</v>
      </c>
    </row>
    <row r="5" spans="1:26" ht="22.5" customHeight="1">
      <c r="A5" s="115">
        <v>25</v>
      </c>
      <c r="B5" s="115" t="s">
        <v>25</v>
      </c>
      <c r="C5" s="115" t="s">
        <v>23</v>
      </c>
      <c r="D5" s="115" t="s">
        <v>7</v>
      </c>
      <c r="E5" s="98" t="s">
        <v>113</v>
      </c>
      <c r="F5" s="115" t="s">
        <v>483</v>
      </c>
      <c r="G5" s="115">
        <v>20</v>
      </c>
      <c r="H5" s="115">
        <v>62</v>
      </c>
      <c r="I5" s="194">
        <v>82</v>
      </c>
      <c r="J5" s="116">
        <v>1709334</v>
      </c>
      <c r="K5" s="116">
        <v>1197918</v>
      </c>
      <c r="L5" s="116">
        <v>16738</v>
      </c>
      <c r="M5" s="195">
        <v>4.1666666666666664E-2</v>
      </c>
      <c r="N5" s="195">
        <v>5.5787925374061811E-2</v>
      </c>
      <c r="O5" s="195">
        <v>2.3944616747771451E-2</v>
      </c>
      <c r="P5" s="195">
        <v>5.0695584735013647E-4</v>
      </c>
      <c r="R5" s="201" t="s">
        <v>39</v>
      </c>
      <c r="S5" s="202">
        <f>COUNTIFS(Scoreboard_14[Role],R5,Scoreboard_14[Team],"Yellow")</f>
        <v>11</v>
      </c>
      <c r="T5" s="203">
        <f>COUNTIFS(Scoreboard_14[Role],R5,Scoreboard_14[Team],"Red")</f>
        <v>9</v>
      </c>
      <c r="V5" s="204" t="str">
        <f ca="1">IFERROR(__xludf.DUMMYFUNCTION("""COMPUTED_VALUE"""),"Artemis°")</f>
        <v>Artemis°</v>
      </c>
      <c r="W5" s="116">
        <f ca="1">IFERROR(__xludf.DUMMYFUNCTION("""COMPUTED_VALUE"""),194)</f>
        <v>194</v>
      </c>
      <c r="Y5" s="204" t="str">
        <f ca="1">IFERROR(__xludf.DUMMYFUNCTION("""COMPUTED_VALUE"""),"Artemis°")</f>
        <v>Artemis°</v>
      </c>
      <c r="Z5" s="116">
        <f ca="1">IFERROR(__xludf.DUMMYFUNCTION("""COMPUTED_VALUE"""),4282831)</f>
        <v>4282831</v>
      </c>
    </row>
    <row r="6" spans="1:26" ht="22.5" customHeight="1">
      <c r="A6" s="115">
        <v>21</v>
      </c>
      <c r="B6" s="115" t="s">
        <v>25</v>
      </c>
      <c r="C6" s="115" t="s">
        <v>23</v>
      </c>
      <c r="D6" s="115" t="s">
        <v>7</v>
      </c>
      <c r="E6" s="98" t="s">
        <v>22</v>
      </c>
      <c r="F6" s="115" t="s">
        <v>483</v>
      </c>
      <c r="G6" s="115">
        <v>23</v>
      </c>
      <c r="H6" s="115">
        <v>56</v>
      </c>
      <c r="I6" s="194">
        <v>79</v>
      </c>
      <c r="J6" s="116">
        <v>1727302</v>
      </c>
      <c r="K6" s="116">
        <v>1953483</v>
      </c>
      <c r="L6" s="116">
        <v>50520</v>
      </c>
      <c r="M6" s="195">
        <v>4.0142276422764231E-2</v>
      </c>
      <c r="N6" s="195">
        <v>5.6374351106610945E-2</v>
      </c>
      <c r="O6" s="195">
        <v>3.904724844128464E-2</v>
      </c>
      <c r="P6" s="195">
        <v>1.5301355841874117E-3</v>
      </c>
      <c r="R6" s="201" t="s">
        <v>67</v>
      </c>
      <c r="S6" s="202">
        <f>COUNTIFS(Scoreboard_14[Role],R6,Scoreboard_14[Team],"Yellow")</f>
        <v>13</v>
      </c>
      <c r="T6" s="203">
        <f>COUNTIFS(Scoreboard_14[Role],R6,Scoreboard_14[Team],"Red")</f>
        <v>13</v>
      </c>
      <c r="V6" s="204" t="str">
        <f ca="1">IFERROR(__xludf.DUMMYFUNCTION("""COMPUTED_VALUE"""),"Robin一btwツ")</f>
        <v>Robin一btwツ</v>
      </c>
      <c r="W6" s="116">
        <f ca="1">IFERROR(__xludf.DUMMYFUNCTION("""COMPUTED_VALUE"""),186)</f>
        <v>186</v>
      </c>
      <c r="Y6" s="204" t="str">
        <f ca="1">IFERROR(__xludf.DUMMYFUNCTION("""COMPUTED_VALUE"""),"Robin一btwツ")</f>
        <v>Robin一btwツ</v>
      </c>
      <c r="Z6" s="116">
        <f ca="1">IFERROR(__xludf.DUMMYFUNCTION("""COMPUTED_VALUE"""),4065148)</f>
        <v>4065148</v>
      </c>
    </row>
    <row r="7" spans="1:26" ht="22.5" customHeight="1">
      <c r="A7" s="115">
        <v>28</v>
      </c>
      <c r="B7" s="115" t="s">
        <v>39</v>
      </c>
      <c r="C7" s="115" t="s">
        <v>45</v>
      </c>
      <c r="D7" s="115" t="s">
        <v>7</v>
      </c>
      <c r="E7" s="98" t="s">
        <v>88</v>
      </c>
      <c r="F7" s="115" t="s">
        <v>483</v>
      </c>
      <c r="G7" s="115">
        <v>19</v>
      </c>
      <c r="H7" s="115">
        <v>60</v>
      </c>
      <c r="I7" s="194">
        <v>79</v>
      </c>
      <c r="J7" s="116">
        <v>2206482</v>
      </c>
      <c r="K7" s="116">
        <v>452270</v>
      </c>
      <c r="L7" s="116">
        <v>18002</v>
      </c>
      <c r="M7" s="195">
        <v>4.0142276422764231E-2</v>
      </c>
      <c r="N7" s="195">
        <v>7.2013458548891351E-2</v>
      </c>
      <c r="O7" s="195">
        <v>9.0402112803335405E-3</v>
      </c>
      <c r="P7" s="195">
        <v>5.4523952467422376E-4</v>
      </c>
      <c r="R7" s="201" t="s">
        <v>11</v>
      </c>
      <c r="S7" s="202">
        <f>COUNTIFS(Scoreboard_14[Role],R7,Scoreboard_14[Team],"Yellow")</f>
        <v>17</v>
      </c>
      <c r="T7" s="203">
        <f>COUNTIFS(Scoreboard_14[Role],R7,Scoreboard_14[Team],"Red")</f>
        <v>18</v>
      </c>
      <c r="V7" s="204" t="str">
        <f ca="1">IFERROR(__xludf.DUMMYFUNCTION("""COMPUTED_VALUE"""),"Crypticx")</f>
        <v>Crypticx</v>
      </c>
      <c r="W7" s="116">
        <f ca="1">IFERROR(__xludf.DUMMYFUNCTION("""COMPUTED_VALUE"""),165)</f>
        <v>165</v>
      </c>
      <c r="Y7" s="204" t="str">
        <f ca="1">IFERROR(__xludf.DUMMYFUNCTION("""COMPUTED_VALUE"""),"Nsin")</f>
        <v>Nsin</v>
      </c>
      <c r="Z7" s="116">
        <f ca="1">IFERROR(__xludf.DUMMYFUNCTION("""COMPUTED_VALUE"""),3281923)</f>
        <v>3281923</v>
      </c>
    </row>
    <row r="8" spans="1:26" ht="22.5" customHeight="1">
      <c r="A8" s="115">
        <v>20</v>
      </c>
      <c r="B8" s="115" t="s">
        <v>39</v>
      </c>
      <c r="C8" s="115" t="s">
        <v>58</v>
      </c>
      <c r="D8" s="115" t="s">
        <v>7</v>
      </c>
      <c r="E8" s="98" t="s">
        <v>112</v>
      </c>
      <c r="F8" s="115" t="s">
        <v>483</v>
      </c>
      <c r="G8" s="115">
        <v>25</v>
      </c>
      <c r="H8" s="115">
        <v>52</v>
      </c>
      <c r="I8" s="194">
        <v>77</v>
      </c>
      <c r="J8" s="116">
        <v>2364533</v>
      </c>
      <c r="K8" s="116">
        <v>1549413</v>
      </c>
      <c r="L8" s="116">
        <v>21835</v>
      </c>
      <c r="M8" s="195">
        <v>3.9126016260162599E-2</v>
      </c>
      <c r="N8" s="195">
        <v>7.7171805246082095E-2</v>
      </c>
      <c r="O8" s="195">
        <v>3.0970484180899531E-2</v>
      </c>
      <c r="P8" s="195">
        <v>6.6133235314196623E-4</v>
      </c>
      <c r="R8" s="201" t="s">
        <v>468</v>
      </c>
      <c r="S8" s="202">
        <f>SUMIFS(Scoreboard_14[Damage Dealt],Scoreboard_14[Team],"Yellow")</f>
        <v>50409019</v>
      </c>
      <c r="T8" s="203">
        <f>SUMIFS(Scoreboard_14[Damage Dealt],Scoreboard_14[Team],"Red")</f>
        <v>30639856</v>
      </c>
      <c r="V8" s="204" t="str">
        <f ca="1">IFERROR(__xludf.DUMMYFUNCTION("""COMPUTED_VALUE"""),"Dhakoツ")</f>
        <v>Dhakoツ</v>
      </c>
      <c r="W8" s="116">
        <f ca="1">IFERROR(__xludf.DUMMYFUNCTION("""COMPUTED_VALUE"""),147)</f>
        <v>147</v>
      </c>
      <c r="Y8" s="204" t="str">
        <f ca="1">IFERROR(__xludf.DUMMYFUNCTION("""COMPUTED_VALUE"""),"Dhakoツ")</f>
        <v>Dhakoツ</v>
      </c>
      <c r="Z8" s="116">
        <f ca="1">IFERROR(__xludf.DUMMYFUNCTION("""COMPUTED_VALUE"""),3187465)</f>
        <v>3187465</v>
      </c>
    </row>
    <row r="9" spans="1:26" ht="22.5" customHeight="1">
      <c r="A9" s="115">
        <v>30</v>
      </c>
      <c r="B9" s="115" t="s">
        <v>39</v>
      </c>
      <c r="C9" s="115" t="s">
        <v>45</v>
      </c>
      <c r="D9" s="115" t="s">
        <v>7</v>
      </c>
      <c r="E9" s="98" t="s">
        <v>83</v>
      </c>
      <c r="F9" s="115" t="s">
        <v>483</v>
      </c>
      <c r="G9" s="115">
        <v>19</v>
      </c>
      <c r="H9" s="115">
        <v>47</v>
      </c>
      <c r="I9" s="194">
        <v>66</v>
      </c>
      <c r="J9" s="116">
        <v>1596601</v>
      </c>
      <c r="K9" s="116">
        <v>528863</v>
      </c>
      <c r="L9" s="116">
        <v>16972</v>
      </c>
      <c r="M9" s="195">
        <v>3.3536585365853661E-2</v>
      </c>
      <c r="N9" s="195">
        <v>5.2108632625427483E-2</v>
      </c>
      <c r="O9" s="195">
        <v>1.0571192558319228E-2</v>
      </c>
      <c r="P9" s="195">
        <v>5.1404317369019693E-4</v>
      </c>
      <c r="R9" s="201" t="s">
        <v>470</v>
      </c>
      <c r="S9" s="202">
        <f>SUMIFS(Scoreboard_14[Amount Healed],Scoreboard_14[Team],"Yellow")</f>
        <v>21323475</v>
      </c>
      <c r="T9" s="203">
        <f>SUMIFS(Scoreboard_14[Amount Healed],Scoreboard_14[Team],"Red")</f>
        <v>33016682</v>
      </c>
      <c r="V9" s="204" t="str">
        <f ca="1">IFERROR(__xludf.DUMMYFUNCTION("""COMPUTED_VALUE"""),"Cygg")</f>
        <v>Cygg</v>
      </c>
      <c r="W9" s="116">
        <f ca="1">IFERROR(__xludf.DUMMYFUNCTION("""COMPUTED_VALUE"""),138)</f>
        <v>138</v>
      </c>
      <c r="Y9" s="204" t="str">
        <f ca="1">IFERROR(__xludf.DUMMYFUNCTION("""COMPUTED_VALUE"""),"Leyv1ng")</f>
        <v>Leyv1ng</v>
      </c>
      <c r="Z9" s="116">
        <f ca="1">IFERROR(__xludf.DUMMYFUNCTION("""COMPUTED_VALUE"""),3001770)</f>
        <v>3001770</v>
      </c>
    </row>
    <row r="10" spans="1:26" ht="22.5" customHeight="1">
      <c r="A10" s="115">
        <v>31</v>
      </c>
      <c r="B10" s="115" t="s">
        <v>25</v>
      </c>
      <c r="C10" s="115" t="s">
        <v>23</v>
      </c>
      <c r="D10" s="115" t="s">
        <v>7</v>
      </c>
      <c r="E10" s="98" t="s">
        <v>77</v>
      </c>
      <c r="F10" s="115" t="s">
        <v>483</v>
      </c>
      <c r="G10" s="115">
        <v>17</v>
      </c>
      <c r="H10" s="115">
        <v>48</v>
      </c>
      <c r="I10" s="194">
        <v>65</v>
      </c>
      <c r="J10" s="116">
        <v>1216590</v>
      </c>
      <c r="K10" s="116">
        <v>1626493</v>
      </c>
      <c r="L10" s="116">
        <v>24515</v>
      </c>
      <c r="M10" s="195">
        <v>3.3028455284552845E-2</v>
      </c>
      <c r="N10" s="195">
        <v>3.9706126556208358E-2</v>
      </c>
      <c r="O10" s="195">
        <v>3.251119987172163E-2</v>
      </c>
      <c r="P10" s="195">
        <v>7.4250344113923987E-4</v>
      </c>
      <c r="R10" s="201" t="s">
        <v>469</v>
      </c>
      <c r="S10" s="202">
        <f>SUMIFS(Scoreboard_14[Damage Taken],Scoreboard_14[Team],"Yellow")</f>
        <v>30574177</v>
      </c>
      <c r="T10" s="203">
        <f>SUMIFS(Scoreboard_14[Damage Taken],Scoreboard_14[Team],"Red")</f>
        <v>50028698</v>
      </c>
      <c r="V10" s="204" t="str">
        <f ca="1">IFERROR(__xludf.DUMMYFUNCTION("""COMPUTED_VALUE"""),"TechnoDroid")</f>
        <v>TechnoDroid</v>
      </c>
      <c r="W10" s="116">
        <f ca="1">IFERROR(__xludf.DUMMYFUNCTION("""COMPUTED_VALUE"""),137)</f>
        <v>137</v>
      </c>
      <c r="Y10" s="204" t="str">
        <f ca="1">IFERROR(__xludf.DUMMYFUNCTION("""COMPUTED_VALUE"""),"Crypticx")</f>
        <v>Crypticx</v>
      </c>
      <c r="Z10" s="116">
        <f ca="1">IFERROR(__xludf.DUMMYFUNCTION("""COMPUTED_VALUE"""),2950177)</f>
        <v>2950177</v>
      </c>
    </row>
    <row r="11" spans="1:26" ht="22.5" customHeight="1">
      <c r="A11" s="115">
        <v>27</v>
      </c>
      <c r="B11" s="115" t="s">
        <v>25</v>
      </c>
      <c r="C11" s="115" t="s">
        <v>69</v>
      </c>
      <c r="D11" s="115" t="s">
        <v>7</v>
      </c>
      <c r="E11" s="98" t="s">
        <v>90</v>
      </c>
      <c r="F11" s="115" t="s">
        <v>483</v>
      </c>
      <c r="G11" s="115">
        <v>20</v>
      </c>
      <c r="H11" s="115">
        <v>38</v>
      </c>
      <c r="I11" s="194">
        <v>58</v>
      </c>
      <c r="J11" s="116">
        <v>920743</v>
      </c>
      <c r="K11" s="116">
        <v>1386045</v>
      </c>
      <c r="L11" s="116">
        <v>90318</v>
      </c>
      <c r="M11" s="195">
        <v>2.9471544715447155E-2</v>
      </c>
      <c r="N11" s="195">
        <v>3.0050500237337931E-2</v>
      </c>
      <c r="O11" s="195">
        <v>2.7704998439095897E-2</v>
      </c>
      <c r="P11" s="195">
        <v>2.735526240946925E-3</v>
      </c>
      <c r="R11" s="201" t="s">
        <v>495</v>
      </c>
      <c r="S11" s="202">
        <f ca="1">IFERROR(DIVIDE(SUMIFS(Scoreboard_14[Amount Healed],Scoreboard_14[Team],"Yellow"), SUMIFS(Scoreboard_14[Damage Taken],Scoreboard_14[Team],"Yellow"))*(100),0)</f>
        <v>0</v>
      </c>
      <c r="T11" s="203">
        <f ca="1">IFERROR(DIVIDE(SUMIFS(Scoreboard_14[Amount Healed],Scoreboard_14[Team],"Red"), SUMIFS(Scoreboard_14[Damage Taken],Scoreboard_14[Team],"Red"))*(100),0)</f>
        <v>0</v>
      </c>
      <c r="V11" s="204" t="str">
        <f ca="1">IFERROR(__xludf.DUMMYFUNCTION("""COMPUTED_VALUE"""),"Gods")</f>
        <v>Gods</v>
      </c>
      <c r="W11" s="116">
        <f ca="1">IFERROR(__xludf.DUMMYFUNCTION("""COMPUTED_VALUE"""),136)</f>
        <v>136</v>
      </c>
      <c r="Y11" s="204" t="str">
        <f ca="1">IFERROR(__xludf.DUMMYFUNCTION("""COMPUTED_VALUE"""),"Gods")</f>
        <v>Gods</v>
      </c>
      <c r="Z11" s="116">
        <f ca="1">IFERROR(__xludf.DUMMYFUNCTION("""COMPUTED_VALUE"""),2873619)</f>
        <v>2873619</v>
      </c>
    </row>
    <row r="12" spans="1:26" ht="22.5" customHeight="1">
      <c r="A12" s="115">
        <v>11</v>
      </c>
      <c r="B12" s="115" t="s">
        <v>39</v>
      </c>
      <c r="C12" s="115" t="s">
        <v>54</v>
      </c>
      <c r="D12" s="115" t="s">
        <v>7</v>
      </c>
      <c r="E12" s="98" t="s">
        <v>53</v>
      </c>
      <c r="F12" s="115" t="s">
        <v>483</v>
      </c>
      <c r="G12" s="115">
        <v>30</v>
      </c>
      <c r="H12" s="115">
        <v>26</v>
      </c>
      <c r="I12" s="194">
        <v>56</v>
      </c>
      <c r="J12" s="116">
        <v>1563640</v>
      </c>
      <c r="K12" s="116">
        <v>1090338</v>
      </c>
      <c r="L12" s="116">
        <v>25500</v>
      </c>
      <c r="M12" s="195">
        <v>2.8455284552845527E-2</v>
      </c>
      <c r="N12" s="195">
        <v>5.1032876916915014E-2</v>
      </c>
      <c r="O12" s="195">
        <v>2.1794250971712278E-2</v>
      </c>
      <c r="P12" s="195">
        <v>7.7233684475017811E-4</v>
      </c>
      <c r="R12" s="201" t="s">
        <v>465</v>
      </c>
      <c r="S12" s="202">
        <f>SUMIFS(Scoreboard_14[Kills],Scoreboard_14[Team],"Yellow")</f>
        <v>713</v>
      </c>
      <c r="T12" s="203">
        <f>SUMIFS(Scoreboard_14[Kills],Scoreboard_14[Team],"Red")</f>
        <v>365</v>
      </c>
      <c r="V12" s="204" t="str">
        <f ca="1">IFERROR(__xludf.DUMMYFUNCTION("""COMPUTED_VALUE"""),"Leyv1ng")</f>
        <v>Leyv1ng</v>
      </c>
      <c r="W12" s="116">
        <f ca="1">IFERROR(__xludf.DUMMYFUNCTION("""COMPUTED_VALUE"""),126)</f>
        <v>126</v>
      </c>
      <c r="Y12" s="204" t="str">
        <f ca="1">IFERROR(__xludf.DUMMYFUNCTION("""COMPUTED_VALUE"""),"TechnoDroid")</f>
        <v>TechnoDroid</v>
      </c>
      <c r="Z12" s="116">
        <f ca="1">IFERROR(__xludf.DUMMYFUNCTION("""COMPUTED_VALUE"""),2559128)</f>
        <v>2559128</v>
      </c>
    </row>
    <row r="13" spans="1:26" ht="22.5" customHeight="1">
      <c r="A13" s="115">
        <v>63</v>
      </c>
      <c r="B13" s="115" t="s">
        <v>11</v>
      </c>
      <c r="C13" s="115" t="s">
        <v>9</v>
      </c>
      <c r="D13" s="115" t="s">
        <v>7</v>
      </c>
      <c r="E13" s="98" t="s">
        <v>87</v>
      </c>
      <c r="F13" s="115" t="s">
        <v>483</v>
      </c>
      <c r="G13" s="115">
        <v>0</v>
      </c>
      <c r="H13" s="115">
        <v>56</v>
      </c>
      <c r="I13" s="194">
        <v>56</v>
      </c>
      <c r="J13" s="116">
        <v>88165</v>
      </c>
      <c r="K13" s="116">
        <v>548619</v>
      </c>
      <c r="L13" s="116">
        <v>1405606</v>
      </c>
      <c r="M13" s="195">
        <v>2.8455284552845527E-2</v>
      </c>
      <c r="N13" s="195">
        <v>2.8774613039956845E-3</v>
      </c>
      <c r="O13" s="195">
        <v>1.0966085905333775E-2</v>
      </c>
      <c r="P13" s="195">
        <v>4.2572600117722306E-2</v>
      </c>
      <c r="R13" s="201" t="s">
        <v>466</v>
      </c>
      <c r="S13" s="202">
        <f>SUMIFS(Scoreboard_14[Assists],Scoreboard_14[Team],"Yellow")</f>
        <v>3023</v>
      </c>
      <c r="T13" s="203">
        <f>SUMIFS(Scoreboard_14[Assists],Scoreboard_14[Team],"Red")</f>
        <v>1603</v>
      </c>
      <c r="V13" s="204" t="str">
        <f ca="1">IFERROR(__xludf.DUMMYFUNCTION("""COMPUTED_VALUE"""),"Cooterメ")</f>
        <v>Cooterメ</v>
      </c>
      <c r="W13" s="116">
        <f ca="1">IFERROR(__xludf.DUMMYFUNCTION("""COMPUTED_VALUE"""),110)</f>
        <v>110</v>
      </c>
      <c r="Y13" s="204" t="str">
        <f ca="1">IFERROR(__xludf.DUMMYFUNCTION("""COMPUTED_VALUE"""),"Cygg")</f>
        <v>Cygg</v>
      </c>
      <c r="Z13" s="116">
        <f ca="1">IFERROR(__xludf.DUMMYFUNCTION("""COMPUTED_VALUE"""),2540377)</f>
        <v>2540377</v>
      </c>
    </row>
    <row r="14" spans="1:26" ht="22.5" customHeight="1">
      <c r="A14" s="115">
        <v>64</v>
      </c>
      <c r="B14" s="115" t="s">
        <v>11</v>
      </c>
      <c r="C14" s="115" t="s">
        <v>9</v>
      </c>
      <c r="D14" s="115" t="s">
        <v>7</v>
      </c>
      <c r="E14" s="98" t="s">
        <v>72</v>
      </c>
      <c r="F14" s="115" t="s">
        <v>483</v>
      </c>
      <c r="G14" s="115">
        <v>0</v>
      </c>
      <c r="H14" s="115">
        <v>56</v>
      </c>
      <c r="I14" s="194">
        <v>56</v>
      </c>
      <c r="J14" s="116">
        <v>41761</v>
      </c>
      <c r="K14" s="116">
        <v>620129</v>
      </c>
      <c r="L14" s="116">
        <v>950418</v>
      </c>
      <c r="M14" s="195">
        <v>2.8455284552845527E-2</v>
      </c>
      <c r="N14" s="195">
        <v>1.362963324631813E-3</v>
      </c>
      <c r="O14" s="195">
        <v>1.239546549862241E-2</v>
      </c>
      <c r="P14" s="195">
        <v>2.8785993698579402E-2</v>
      </c>
    </row>
    <row r="15" spans="1:26" ht="22.5" customHeight="1">
      <c r="A15" s="115">
        <v>22</v>
      </c>
      <c r="B15" s="115" t="s">
        <v>25</v>
      </c>
      <c r="C15" s="115" t="s">
        <v>69</v>
      </c>
      <c r="D15" s="115" t="s">
        <v>7</v>
      </c>
      <c r="E15" s="98" t="s">
        <v>98</v>
      </c>
      <c r="F15" s="115" t="s">
        <v>483</v>
      </c>
      <c r="G15" s="115">
        <v>23</v>
      </c>
      <c r="H15" s="115">
        <v>31</v>
      </c>
      <c r="I15" s="194">
        <v>54</v>
      </c>
      <c r="J15" s="116">
        <v>1429027</v>
      </c>
      <c r="K15" s="116">
        <v>1538588</v>
      </c>
      <c r="L15" s="116">
        <v>39597</v>
      </c>
      <c r="M15" s="195">
        <v>2.7439024390243903E-2</v>
      </c>
      <c r="N15" s="195">
        <v>4.663948159547486E-2</v>
      </c>
      <c r="O15" s="195">
        <v>3.0754108371958831E-2</v>
      </c>
      <c r="P15" s="195">
        <v>1.1993028251597176E-3</v>
      </c>
      <c r="R15" s="232" t="s">
        <v>25</v>
      </c>
      <c r="S15" s="228"/>
      <c r="T15" s="228"/>
      <c r="V15" s="233" t="s">
        <v>496</v>
      </c>
      <c r="W15" s="228"/>
      <c r="Y15" s="233" t="s">
        <v>497</v>
      </c>
      <c r="Z15" s="228"/>
    </row>
    <row r="16" spans="1:26" ht="22.5" customHeight="1">
      <c r="A16" s="115">
        <v>23</v>
      </c>
      <c r="B16" s="115" t="s">
        <v>39</v>
      </c>
      <c r="C16" s="115" t="s">
        <v>54</v>
      </c>
      <c r="D16" s="115" t="s">
        <v>7</v>
      </c>
      <c r="E16" s="98" t="s">
        <v>103</v>
      </c>
      <c r="F16" s="115" t="s">
        <v>483</v>
      </c>
      <c r="G16" s="115">
        <v>23</v>
      </c>
      <c r="H16" s="115">
        <v>30</v>
      </c>
      <c r="I16" s="194">
        <v>53</v>
      </c>
      <c r="J16" s="116">
        <v>1407144</v>
      </c>
      <c r="K16" s="116">
        <v>835619</v>
      </c>
      <c r="L16" s="116">
        <v>21138</v>
      </c>
      <c r="M16" s="195">
        <v>2.693089430894309E-2</v>
      </c>
      <c r="N16" s="195">
        <v>4.5925281110981722E-2</v>
      </c>
      <c r="O16" s="195">
        <v>1.6702793264777749E-2</v>
      </c>
      <c r="P16" s="195">
        <v>6.4022181271879467E-4</v>
      </c>
      <c r="R16" s="197" t="s">
        <v>482</v>
      </c>
      <c r="S16" s="198" t="s">
        <v>476</v>
      </c>
      <c r="T16" s="198" t="s">
        <v>483</v>
      </c>
      <c r="V16" s="199" t="s">
        <v>1</v>
      </c>
      <c r="W16" s="200" t="s">
        <v>498</v>
      </c>
      <c r="Y16" s="199" t="s">
        <v>1</v>
      </c>
      <c r="Z16" s="200" t="s">
        <v>499</v>
      </c>
    </row>
    <row r="17" spans="1:26" ht="22.5" customHeight="1">
      <c r="A17" s="115">
        <v>65</v>
      </c>
      <c r="B17" s="115" t="s">
        <v>11</v>
      </c>
      <c r="C17" s="115" t="s">
        <v>10</v>
      </c>
      <c r="D17" s="115" t="s">
        <v>7</v>
      </c>
      <c r="E17" s="98" t="s">
        <v>101</v>
      </c>
      <c r="F17" s="115" t="s">
        <v>483</v>
      </c>
      <c r="G17" s="115">
        <v>0</v>
      </c>
      <c r="H17" s="115">
        <v>53</v>
      </c>
      <c r="I17" s="194">
        <v>53</v>
      </c>
      <c r="J17" s="116">
        <v>37134</v>
      </c>
      <c r="K17" s="116">
        <v>989006</v>
      </c>
      <c r="L17" s="116">
        <v>2736229</v>
      </c>
      <c r="M17" s="195">
        <v>2.693089430894309E-2</v>
      </c>
      <c r="N17" s="195">
        <v>1.2119508655654256E-3</v>
      </c>
      <c r="O17" s="195">
        <v>1.9768773514753472E-2</v>
      </c>
      <c r="P17" s="195">
        <v>8.2874136171526863E-2</v>
      </c>
      <c r="R17" s="201" t="s">
        <v>468</v>
      </c>
      <c r="S17" s="202">
        <f>SUMIFS(Scoreboard_14[Damage Dealt],Scoreboard_14[Role],"Melee DPS",Scoreboard_14[Team],"Yellow")</f>
        <v>10945429</v>
      </c>
      <c r="T17" s="203">
        <f>SUMIFS(Scoreboard_14[Damage Dealt],Scoreboard_14[Role],"Melee DPS",Scoreboard_14[Team],"Red")</f>
        <v>10325017</v>
      </c>
      <c r="V17" s="204" t="str">
        <f ca="1">IFERROR(__xludf.DUMMYFUNCTION("query(A1:P239, ""Select E,K Order by K Desc Limit 10"", 0)"),"Jawz")</f>
        <v>Jawz</v>
      </c>
      <c r="W17" s="116">
        <f ca="1">IFERROR(__xludf.DUMMYFUNCTION("""COMPUTED_VALUE"""),2056510)</f>
        <v>2056510</v>
      </c>
      <c r="Y17" s="204" t="str">
        <f ca="1">IFERROR(__xludf.DUMMYFUNCTION("query(A1:P239, ""Select E,L Order by L Desc Limit 10"", 0)"),"Boharding")</f>
        <v>Boharding</v>
      </c>
      <c r="Z17" s="116">
        <f ca="1">IFERROR(__xludf.DUMMYFUNCTION("""COMPUTED_VALUE"""),3461096)</f>
        <v>3461096</v>
      </c>
    </row>
    <row r="18" spans="1:26" ht="22.5" customHeight="1">
      <c r="A18" s="115">
        <v>66</v>
      </c>
      <c r="B18" s="115" t="s">
        <v>11</v>
      </c>
      <c r="C18" s="115" t="s">
        <v>9</v>
      </c>
      <c r="D18" s="115" t="s">
        <v>7</v>
      </c>
      <c r="E18" s="98" t="s">
        <v>8</v>
      </c>
      <c r="F18" s="115" t="s">
        <v>483</v>
      </c>
      <c r="G18" s="115">
        <v>0</v>
      </c>
      <c r="H18" s="115">
        <v>53</v>
      </c>
      <c r="I18" s="194">
        <v>53</v>
      </c>
      <c r="J18" s="116">
        <v>11065</v>
      </c>
      <c r="K18" s="116">
        <v>337664</v>
      </c>
      <c r="L18" s="116">
        <v>1508851</v>
      </c>
      <c r="M18" s="195">
        <v>2.693089430894309E-2</v>
      </c>
      <c r="N18" s="195">
        <v>3.6113094004097148E-4</v>
      </c>
      <c r="O18" s="195">
        <v>6.7494061108686054E-3</v>
      </c>
      <c r="P18" s="195">
        <v>4.5699655707378467E-2</v>
      </c>
      <c r="R18" s="201" t="s">
        <v>469</v>
      </c>
      <c r="S18" s="202">
        <f>SUMIFS(Scoreboard_14[Damage Taken],Scoreboard_14[Role],"Melee DPS",Scoreboard_14[Team],"Yellow")</f>
        <v>4431169</v>
      </c>
      <c r="T18" s="203">
        <f>SUMIFS(Scoreboard_14[Damage Taken],Scoreboard_14[Role],"Melee DPS",Scoreboard_14[Team],"Red")</f>
        <v>12682752</v>
      </c>
      <c r="V18" s="204" t="str">
        <f ca="1">IFERROR(__xludf.DUMMYFUNCTION("""COMPUTED_VALUE"""),"Baozer")</f>
        <v>Baozer</v>
      </c>
      <c r="W18" s="116">
        <f ca="1">IFERROR(__xludf.DUMMYFUNCTION("""COMPUTED_VALUE"""),1953483)</f>
        <v>1953483</v>
      </c>
      <c r="Y18" s="204" t="str">
        <f ca="1">IFERROR(__xludf.DUMMYFUNCTION("""COMPUTED_VALUE"""),"AnastheTHICCEST")</f>
        <v>AnastheTHICCEST</v>
      </c>
      <c r="Z18" s="116">
        <f ca="1">IFERROR(__xludf.DUMMYFUNCTION("""COMPUTED_VALUE"""),2818051)</f>
        <v>2818051</v>
      </c>
    </row>
    <row r="19" spans="1:26" ht="22.5" customHeight="1">
      <c r="A19" s="115">
        <v>32</v>
      </c>
      <c r="B19" s="115" t="s">
        <v>25</v>
      </c>
      <c r="C19" s="115" t="s">
        <v>69</v>
      </c>
      <c r="D19" s="115" t="s">
        <v>7</v>
      </c>
      <c r="E19" s="98" t="s">
        <v>68</v>
      </c>
      <c r="F19" s="115" t="s">
        <v>483</v>
      </c>
      <c r="G19" s="115">
        <v>15</v>
      </c>
      <c r="H19" s="115">
        <v>37</v>
      </c>
      <c r="I19" s="194">
        <v>52</v>
      </c>
      <c r="J19" s="116">
        <v>764343</v>
      </c>
      <c r="K19" s="116">
        <v>2056510</v>
      </c>
      <c r="L19" s="116">
        <v>126539</v>
      </c>
      <c r="M19" s="195">
        <v>2.6422764227642278E-2</v>
      </c>
      <c r="N19" s="195">
        <v>2.4946037605398666E-2</v>
      </c>
      <c r="O19" s="195">
        <v>4.1106606452160716E-2</v>
      </c>
      <c r="P19" s="195">
        <v>3.8325777254055995E-3</v>
      </c>
      <c r="R19" s="201" t="s">
        <v>470</v>
      </c>
      <c r="S19" s="202">
        <f>SUMIFS(Scoreboard_14[Amount Healed],Scoreboard_14[Role],"Melee DPS",Scoreboard_14[Team],"Yellow")</f>
        <v>187228</v>
      </c>
      <c r="T19" s="203">
        <f>SUMIFS(Scoreboard_14[Amount Healed],Scoreboard_14[Role],"Melee DPS",Scoreboard_14[Team],"Red")</f>
        <v>523155</v>
      </c>
      <c r="V19" s="204" t="str">
        <f ca="1">IFERROR(__xludf.DUMMYFUNCTION("""COMPUTED_VALUE"""),"JCBoi")</f>
        <v>JCBoi</v>
      </c>
      <c r="W19" s="116">
        <f ca="1">IFERROR(__xludf.DUMMYFUNCTION("""COMPUTED_VALUE"""),1889175)</f>
        <v>1889175</v>
      </c>
      <c r="Y19" s="204" t="str">
        <f ca="1">IFERROR(__xludf.DUMMYFUNCTION("""COMPUTED_VALUE"""),"soju·")</f>
        <v>soju·</v>
      </c>
      <c r="Z19" s="116">
        <f ca="1">IFERROR(__xludf.DUMMYFUNCTION("""COMPUTED_VALUE"""),2736229)</f>
        <v>2736229</v>
      </c>
    </row>
    <row r="20" spans="1:26" ht="22.5" customHeight="1">
      <c r="A20" s="115">
        <v>67</v>
      </c>
      <c r="B20" s="115" t="s">
        <v>11</v>
      </c>
      <c r="C20" s="115" t="s">
        <v>10</v>
      </c>
      <c r="D20" s="115" t="s">
        <v>7</v>
      </c>
      <c r="E20" s="98" t="s">
        <v>17</v>
      </c>
      <c r="F20" s="115" t="s">
        <v>483</v>
      </c>
      <c r="G20" s="115">
        <v>0</v>
      </c>
      <c r="H20" s="115">
        <v>51</v>
      </c>
      <c r="I20" s="194">
        <v>51</v>
      </c>
      <c r="J20" s="116">
        <v>32519</v>
      </c>
      <c r="K20" s="116">
        <v>875134</v>
      </c>
      <c r="L20" s="116">
        <v>2566036</v>
      </c>
      <c r="M20" s="195">
        <v>2.5914634146341462E-2</v>
      </c>
      <c r="N20" s="195">
        <v>1.0613300532482919E-3</v>
      </c>
      <c r="O20" s="195">
        <v>1.7492639924388997E-2</v>
      </c>
      <c r="P20" s="195">
        <v>7.7719378343347773E-2</v>
      </c>
      <c r="R20" s="201" t="s">
        <v>465</v>
      </c>
      <c r="S20" s="202">
        <f>SUMIFS(Scoreboard_14[Kills],Scoreboard_14[Role],"Melee DPS",Scoreboard_14[Team],"Yellow")</f>
        <v>170</v>
      </c>
      <c r="T20" s="203">
        <f>SUMIFS(Scoreboard_14[Kills],Scoreboard_14[Role],"Melee DPS",Scoreboard_14[Team],"Red")</f>
        <v>153</v>
      </c>
      <c r="V20" s="204" t="str">
        <f ca="1">IFERROR(__xludf.DUMMYFUNCTION("""COMPUTED_VALUE"""),"Nsin")</f>
        <v>Nsin</v>
      </c>
      <c r="W20" s="116">
        <f ca="1">IFERROR(__xludf.DUMMYFUNCTION("""COMPUTED_VALUE"""),1753698)</f>
        <v>1753698</v>
      </c>
      <c r="Y20" s="204" t="str">
        <f ca="1">IFERROR(__xludf.DUMMYFUNCTION("""COMPUTED_VALUE"""),"Purple")</f>
        <v>Purple</v>
      </c>
      <c r="Z20" s="116">
        <f ca="1">IFERROR(__xludf.DUMMYFUNCTION("""COMPUTED_VALUE"""),2567571)</f>
        <v>2567571</v>
      </c>
    </row>
    <row r="21" spans="1:26" ht="22.5" customHeight="1">
      <c r="A21" s="115">
        <v>68</v>
      </c>
      <c r="B21" s="115" t="s">
        <v>11</v>
      </c>
      <c r="C21" s="115" t="s">
        <v>10</v>
      </c>
      <c r="D21" s="115" t="s">
        <v>7</v>
      </c>
      <c r="E21" s="98" t="s">
        <v>49</v>
      </c>
      <c r="F21" s="115" t="s">
        <v>483</v>
      </c>
      <c r="G21" s="115">
        <v>0</v>
      </c>
      <c r="H21" s="115">
        <v>49</v>
      </c>
      <c r="I21" s="194">
        <v>49</v>
      </c>
      <c r="J21" s="116">
        <v>25808</v>
      </c>
      <c r="K21" s="116">
        <v>677544</v>
      </c>
      <c r="L21" s="116">
        <v>1599614</v>
      </c>
      <c r="M21" s="195">
        <v>2.4898373983739838E-2</v>
      </c>
      <c r="N21" s="195">
        <v>8.4230160872818727E-4</v>
      </c>
      <c r="O21" s="195">
        <v>1.3543106798421977E-2</v>
      </c>
      <c r="P21" s="195">
        <v>4.844865998345927E-2</v>
      </c>
      <c r="R21" s="201" t="s">
        <v>466</v>
      </c>
      <c r="S21" s="202">
        <f>SUMIFS(Scoreboard_14[Assists],Scoreboard_14[Role],"Melee DPS",Scoreboard_14[Team],"Yellow")</f>
        <v>493</v>
      </c>
      <c r="T21" s="203">
        <f>SUMIFS(Scoreboard_14[Assists],Scoreboard_14[Role],"Melee DPS",Scoreboard_14[Team],"Red")</f>
        <v>373</v>
      </c>
      <c r="V21" s="204" t="str">
        <f ca="1">IFERROR(__xludf.DUMMYFUNCTION("""COMPUTED_VALUE"""),"Kyu")</f>
        <v>Kyu</v>
      </c>
      <c r="W21" s="116">
        <f ca="1">IFERROR(__xludf.DUMMYFUNCTION("""COMPUTED_VALUE"""),1626493)</f>
        <v>1626493</v>
      </c>
      <c r="Y21" s="204" t="str">
        <f ca="1">IFERROR(__xludf.DUMMYFUNCTION("""COMPUTED_VALUE"""),"apgonzo")</f>
        <v>apgonzo</v>
      </c>
      <c r="Z21" s="116">
        <f ca="1">IFERROR(__xludf.DUMMYFUNCTION("""COMPUTED_VALUE"""),2566036)</f>
        <v>2566036</v>
      </c>
    </row>
    <row r="22" spans="1:26" ht="22.5" customHeight="1">
      <c r="A22" s="115">
        <v>38</v>
      </c>
      <c r="B22" s="115" t="s">
        <v>39</v>
      </c>
      <c r="C22" s="115" t="s">
        <v>50</v>
      </c>
      <c r="D22" s="115" t="s">
        <v>7</v>
      </c>
      <c r="E22" s="98" t="s">
        <v>94</v>
      </c>
      <c r="F22" s="115" t="s">
        <v>483</v>
      </c>
      <c r="G22" s="115">
        <v>3</v>
      </c>
      <c r="H22" s="115">
        <v>43</v>
      </c>
      <c r="I22" s="194">
        <v>46</v>
      </c>
      <c r="J22" s="116">
        <v>1722905</v>
      </c>
      <c r="K22" s="116">
        <v>1417030</v>
      </c>
      <c r="L22" s="116">
        <v>589070</v>
      </c>
      <c r="M22" s="195">
        <v>2.3373983739837397E-2</v>
      </c>
      <c r="N22" s="195">
        <v>5.6230845210238585E-2</v>
      </c>
      <c r="O22" s="195">
        <v>2.8324342960114612E-2</v>
      </c>
      <c r="P22" s="195">
        <v>1.7841586868117154E-2</v>
      </c>
      <c r="R22" s="201" t="s">
        <v>24</v>
      </c>
      <c r="S22" s="202">
        <f t="shared" ref="S22:S25" si="0">COUNTIFS(C:C,R22,F:F,"Yellow")</f>
        <v>2</v>
      </c>
      <c r="T22" s="203">
        <f t="shared" ref="T22:T25" si="1">COUNTIFS(C:C,R22,F:F,"Red")</f>
        <v>0</v>
      </c>
      <c r="V22" s="204" t="str">
        <f ca="1">IFERROR(__xludf.DUMMYFUNCTION("""COMPUTED_VALUE"""),"Blee")</f>
        <v>Blee</v>
      </c>
      <c r="W22" s="116">
        <f ca="1">IFERROR(__xludf.DUMMYFUNCTION("""COMPUTED_VALUE"""),1580720)</f>
        <v>1580720</v>
      </c>
      <c r="Y22" s="204" t="str">
        <f ca="1">IFERROR(__xludf.DUMMYFUNCTION("""COMPUTED_VALUE"""),"EgirlWaifu")</f>
        <v>EgirlWaifu</v>
      </c>
      <c r="Z22" s="116">
        <f ca="1">IFERROR(__xludf.DUMMYFUNCTION("""COMPUTED_VALUE"""),2287274)</f>
        <v>2287274</v>
      </c>
    </row>
    <row r="23" spans="1:26" ht="22.5" customHeight="1">
      <c r="A23" s="115">
        <v>34</v>
      </c>
      <c r="B23" s="115" t="s">
        <v>25</v>
      </c>
      <c r="C23" s="115" t="s">
        <v>69</v>
      </c>
      <c r="D23" s="115" t="s">
        <v>7</v>
      </c>
      <c r="E23" s="98" t="s">
        <v>110</v>
      </c>
      <c r="F23" s="115" t="s">
        <v>483</v>
      </c>
      <c r="G23" s="115">
        <v>9</v>
      </c>
      <c r="H23" s="115">
        <v>35</v>
      </c>
      <c r="I23" s="194">
        <v>44</v>
      </c>
      <c r="J23" s="116">
        <v>638825</v>
      </c>
      <c r="K23" s="116">
        <v>1342995</v>
      </c>
      <c r="L23" s="116">
        <v>129112</v>
      </c>
      <c r="M23" s="195">
        <v>2.2357723577235773E-2</v>
      </c>
      <c r="N23" s="195">
        <v>2.084947788266368E-2</v>
      </c>
      <c r="O23" s="195">
        <v>2.6844492335179302E-2</v>
      </c>
      <c r="P23" s="195">
        <v>3.9105080274268629E-3</v>
      </c>
      <c r="R23" s="201" t="s">
        <v>69</v>
      </c>
      <c r="S23" s="202">
        <f t="shared" si="0"/>
        <v>4</v>
      </c>
      <c r="T23" s="203">
        <f t="shared" si="1"/>
        <v>4</v>
      </c>
      <c r="V23" s="204" t="str">
        <f ca="1">IFERROR(__xludf.DUMMYFUNCTION("""COMPUTED_VALUE"""),"TOKUL")</f>
        <v>TOKUL</v>
      </c>
      <c r="W23" s="116">
        <f ca="1">IFERROR(__xludf.DUMMYFUNCTION("""COMPUTED_VALUE"""),1549413)</f>
        <v>1549413</v>
      </c>
      <c r="Y23" s="204" t="str">
        <f ca="1">IFERROR(__xludf.DUMMYFUNCTION("""COMPUTED_VALUE"""),"Spicyparrot")</f>
        <v>Spicyparrot</v>
      </c>
      <c r="Z23" s="116">
        <f ca="1">IFERROR(__xludf.DUMMYFUNCTION("""COMPUTED_VALUE"""),2075087)</f>
        <v>2075087</v>
      </c>
    </row>
    <row r="24" spans="1:26" ht="22.5" customHeight="1">
      <c r="A24" s="115">
        <v>36</v>
      </c>
      <c r="B24" s="115" t="s">
        <v>39</v>
      </c>
      <c r="C24" s="115" t="s">
        <v>58</v>
      </c>
      <c r="D24" s="115" t="s">
        <v>7</v>
      </c>
      <c r="E24" s="98" t="s">
        <v>661</v>
      </c>
      <c r="F24" s="115" t="s">
        <v>483</v>
      </c>
      <c r="G24" s="115">
        <v>7</v>
      </c>
      <c r="H24" s="115">
        <v>36</v>
      </c>
      <c r="I24" s="194">
        <v>43</v>
      </c>
      <c r="J24" s="116">
        <v>1374578</v>
      </c>
      <c r="K24" s="116">
        <v>1309245</v>
      </c>
      <c r="L24" s="116">
        <v>8478</v>
      </c>
      <c r="M24" s="195">
        <v>2.184959349593496E-2</v>
      </c>
      <c r="N24" s="195">
        <v>4.486241710796552E-2</v>
      </c>
      <c r="O24" s="195">
        <v>2.6169879535941552E-2</v>
      </c>
      <c r="P24" s="195">
        <v>2.5677928508988275E-4</v>
      </c>
      <c r="R24" s="201" t="s">
        <v>23</v>
      </c>
      <c r="S24" s="202">
        <f t="shared" si="0"/>
        <v>1</v>
      </c>
      <c r="T24" s="203">
        <f t="shared" si="1"/>
        <v>4</v>
      </c>
      <c r="V24" s="204" t="str">
        <f ca="1">IFERROR(__xludf.DUMMYFUNCTION("""COMPUTED_VALUE"""),"ShawarmaShuffle")</f>
        <v>ShawarmaShuffle</v>
      </c>
      <c r="W24" s="116">
        <f ca="1">IFERROR(__xludf.DUMMYFUNCTION("""COMPUTED_VALUE"""),1538588)</f>
        <v>1538588</v>
      </c>
      <c r="Y24" s="204" t="str">
        <f ca="1">IFERROR(__xludf.DUMMYFUNCTION("""COMPUTED_VALUE"""),"Tagato")</f>
        <v>Tagato</v>
      </c>
      <c r="Z24" s="116">
        <f ca="1">IFERROR(__xludf.DUMMYFUNCTION("""COMPUTED_VALUE"""),2062320)</f>
        <v>2062320</v>
      </c>
    </row>
    <row r="25" spans="1:26" ht="22.5" customHeight="1">
      <c r="A25" s="115">
        <v>71</v>
      </c>
      <c r="B25" s="115" t="s">
        <v>11</v>
      </c>
      <c r="C25" s="115" t="s">
        <v>9</v>
      </c>
      <c r="D25" s="115" t="s">
        <v>7</v>
      </c>
      <c r="E25" s="98" t="s">
        <v>91</v>
      </c>
      <c r="F25" s="115" t="s">
        <v>483</v>
      </c>
      <c r="G25" s="115">
        <v>0</v>
      </c>
      <c r="H25" s="115">
        <v>43</v>
      </c>
      <c r="I25" s="194">
        <v>43</v>
      </c>
      <c r="J25" s="116">
        <v>223</v>
      </c>
      <c r="K25" s="116">
        <v>551842</v>
      </c>
      <c r="L25" s="116">
        <v>2567571</v>
      </c>
      <c r="M25" s="195">
        <v>2.184959349593496E-2</v>
      </c>
      <c r="N25" s="195">
        <v>7.2781020902970303E-6</v>
      </c>
      <c r="O25" s="195">
        <v>1.1030508929095057E-2</v>
      </c>
      <c r="P25" s="195">
        <v>7.7765869992629785E-2</v>
      </c>
      <c r="R25" s="201" t="s">
        <v>33</v>
      </c>
      <c r="S25" s="202">
        <f t="shared" si="0"/>
        <v>0</v>
      </c>
      <c r="T25" s="203">
        <f t="shared" si="1"/>
        <v>0</v>
      </c>
      <c r="V25" s="204" t="str">
        <f ca="1">IFERROR(__xludf.DUMMYFUNCTION("""COMPUTED_VALUE"""),"Loudpack")</f>
        <v>Loudpack</v>
      </c>
      <c r="W25" s="116">
        <f ca="1">IFERROR(__xludf.DUMMYFUNCTION("""COMPUTED_VALUE"""),1516209)</f>
        <v>1516209</v>
      </c>
      <c r="Y25" s="204" t="str">
        <f ca="1">IFERROR(__xludf.DUMMYFUNCTION("""COMPUTED_VALUE"""),"DrLiaraTsoni")</f>
        <v>DrLiaraTsoni</v>
      </c>
      <c r="Z25" s="116">
        <f ca="1">IFERROR(__xludf.DUMMYFUNCTION("""COMPUTED_VALUE"""),1825423)</f>
        <v>1825423</v>
      </c>
    </row>
    <row r="26" spans="1:26" ht="22.5" customHeight="1">
      <c r="A26" s="115">
        <v>43</v>
      </c>
      <c r="B26" s="115" t="s">
        <v>11</v>
      </c>
      <c r="C26" s="115" t="s">
        <v>9</v>
      </c>
      <c r="D26" s="115" t="s">
        <v>7</v>
      </c>
      <c r="E26" s="98" t="s">
        <v>695</v>
      </c>
      <c r="F26" s="115" t="s">
        <v>483</v>
      </c>
      <c r="G26" s="115">
        <v>2</v>
      </c>
      <c r="H26" s="115">
        <v>39</v>
      </c>
      <c r="I26" s="194">
        <v>41</v>
      </c>
      <c r="J26" s="116">
        <v>66236</v>
      </c>
      <c r="K26" s="116">
        <v>166281</v>
      </c>
      <c r="L26" s="116">
        <v>1245162</v>
      </c>
      <c r="M26" s="195">
        <v>2.0833333333333332E-2</v>
      </c>
      <c r="N26" s="195">
        <v>2.1617595069637402E-3</v>
      </c>
      <c r="O26" s="195">
        <v>3.3237123220756213E-3</v>
      </c>
      <c r="P26" s="195">
        <v>3.7713117265992989E-2</v>
      </c>
      <c r="R26" s="204"/>
      <c r="S26" s="208"/>
      <c r="T26" s="208"/>
      <c r="V26" s="204" t="str">
        <f ca="1">IFERROR(__xludf.DUMMYFUNCTION("""COMPUTED_VALUE"""),"Regalians")</f>
        <v>Regalians</v>
      </c>
      <c r="W26" s="116">
        <f ca="1">IFERROR(__xludf.DUMMYFUNCTION("""COMPUTED_VALUE"""),1417030)</f>
        <v>1417030</v>
      </c>
      <c r="Y26" s="204" t="str">
        <f ca="1">IFERROR(__xludf.DUMMYFUNCTION("""COMPUTED_VALUE"""),"Poor")</f>
        <v>Poor</v>
      </c>
      <c r="Z26" s="116">
        <f ca="1">IFERROR(__xludf.DUMMYFUNCTION("""COMPUTED_VALUE"""),1667195)</f>
        <v>1667195</v>
      </c>
    </row>
    <row r="27" spans="1:26" ht="22.5" customHeight="1">
      <c r="A27" s="115">
        <v>72</v>
      </c>
      <c r="B27" s="115" t="s">
        <v>11</v>
      </c>
      <c r="C27" s="115" t="s">
        <v>10</v>
      </c>
      <c r="D27" s="115" t="s">
        <v>7</v>
      </c>
      <c r="E27" s="98" t="s">
        <v>102</v>
      </c>
      <c r="F27" s="115" t="s">
        <v>483</v>
      </c>
      <c r="G27" s="115">
        <v>0</v>
      </c>
      <c r="H27" s="115">
        <v>41</v>
      </c>
      <c r="I27" s="194">
        <v>41</v>
      </c>
      <c r="J27" s="116">
        <v>45404</v>
      </c>
      <c r="K27" s="116">
        <v>675348</v>
      </c>
      <c r="L27" s="116">
        <v>2075087</v>
      </c>
      <c r="M27" s="195">
        <v>2.0833333333333332E-2</v>
      </c>
      <c r="N27" s="195">
        <v>1.4818607502594006E-3</v>
      </c>
      <c r="O27" s="195">
        <v>1.3499211992284908E-2</v>
      </c>
      <c r="P27" s="195">
        <v>6.284965279067109E-2</v>
      </c>
      <c r="R27" s="6"/>
      <c r="S27" s="209"/>
      <c r="T27" s="209"/>
    </row>
    <row r="28" spans="1:26" ht="22.5" customHeight="1">
      <c r="A28" s="115">
        <v>51</v>
      </c>
      <c r="B28" s="115" t="s">
        <v>11</v>
      </c>
      <c r="C28" s="115" t="s">
        <v>9</v>
      </c>
      <c r="D28" s="115" t="s">
        <v>7</v>
      </c>
      <c r="E28" s="98" t="s">
        <v>51</v>
      </c>
      <c r="F28" s="115" t="s">
        <v>483</v>
      </c>
      <c r="G28" s="115">
        <v>1</v>
      </c>
      <c r="H28" s="115">
        <v>39</v>
      </c>
      <c r="I28" s="194">
        <v>40</v>
      </c>
      <c r="J28" s="116">
        <v>58657</v>
      </c>
      <c r="K28" s="116">
        <v>704272</v>
      </c>
      <c r="L28" s="116">
        <v>1051889</v>
      </c>
      <c r="M28" s="195">
        <v>2.032520325203252E-2</v>
      </c>
      <c r="N28" s="195">
        <v>1.9144019475809547E-3</v>
      </c>
      <c r="O28" s="195">
        <v>1.4077360158363505E-2</v>
      </c>
      <c r="P28" s="195">
        <v>3.1859318874016475E-2</v>
      </c>
      <c r="R28" s="232" t="s">
        <v>39</v>
      </c>
      <c r="S28" s="228"/>
      <c r="T28" s="228"/>
    </row>
    <row r="29" spans="1:26" ht="22.5" customHeight="1">
      <c r="A29" s="115">
        <v>74</v>
      </c>
      <c r="B29" s="115" t="s">
        <v>11</v>
      </c>
      <c r="C29" s="115" t="s">
        <v>9</v>
      </c>
      <c r="D29" s="115" t="s">
        <v>7</v>
      </c>
      <c r="E29" s="98" t="s">
        <v>59</v>
      </c>
      <c r="F29" s="115" t="s">
        <v>483</v>
      </c>
      <c r="G29" s="115">
        <v>0</v>
      </c>
      <c r="H29" s="115">
        <v>35</v>
      </c>
      <c r="I29" s="194">
        <v>35</v>
      </c>
      <c r="J29" s="116">
        <v>7097</v>
      </c>
      <c r="K29" s="116">
        <v>644640</v>
      </c>
      <c r="L29" s="116">
        <v>696375</v>
      </c>
      <c r="M29" s="195">
        <v>1.7784552845528455E-2</v>
      </c>
      <c r="N29" s="195">
        <v>2.3162641495443059E-4</v>
      </c>
      <c r="O29" s="195">
        <v>1.2885404293351789E-2</v>
      </c>
      <c r="P29" s="195">
        <v>2.1091610598545304E-2</v>
      </c>
      <c r="R29" s="197" t="s">
        <v>482</v>
      </c>
      <c r="S29" s="198" t="s">
        <v>476</v>
      </c>
      <c r="T29" s="198" t="s">
        <v>483</v>
      </c>
    </row>
    <row r="30" spans="1:26" ht="22.5" customHeight="1">
      <c r="A30" s="115">
        <v>75</v>
      </c>
      <c r="B30" s="115" t="s">
        <v>11</v>
      </c>
      <c r="C30" s="115" t="s">
        <v>10</v>
      </c>
      <c r="D30" s="115" t="s">
        <v>7</v>
      </c>
      <c r="E30" s="98" t="s">
        <v>44</v>
      </c>
      <c r="F30" s="115" t="s">
        <v>483</v>
      </c>
      <c r="G30" s="115">
        <v>0</v>
      </c>
      <c r="H30" s="115">
        <v>33</v>
      </c>
      <c r="I30" s="194">
        <v>33</v>
      </c>
      <c r="J30" s="116">
        <v>61696</v>
      </c>
      <c r="K30" s="116">
        <v>911619</v>
      </c>
      <c r="L30" s="116">
        <v>2287274</v>
      </c>
      <c r="M30" s="195">
        <v>1.676829268292683E-2</v>
      </c>
      <c r="N30" s="195">
        <v>2.0135864868294421E-3</v>
      </c>
      <c r="O30" s="195">
        <v>1.8221921346024236E-2</v>
      </c>
      <c r="P30" s="195">
        <v>6.9276313107416429E-2</v>
      </c>
      <c r="R30" s="201" t="s">
        <v>468</v>
      </c>
      <c r="S30" s="202">
        <f>SUMIFS(Scoreboard_14[Damage Dealt],Scoreboard_14[Role],"Ranged DPS",Scoreboard_14[Team],"Yellow")</f>
        <v>34653567</v>
      </c>
      <c r="T30" s="203">
        <f>SUMIFS(Scoreboard_14[Damage Dealt],Scoreboard_14[Role],"Ranged DPS",Scoreboard_14[Team],"Red")</f>
        <v>17933946</v>
      </c>
    </row>
    <row r="31" spans="1:26" ht="22.5" customHeight="1">
      <c r="A31" s="115">
        <v>76</v>
      </c>
      <c r="B31" s="115" t="s">
        <v>11</v>
      </c>
      <c r="C31" s="115" t="s">
        <v>10</v>
      </c>
      <c r="D31" s="115" t="s">
        <v>7</v>
      </c>
      <c r="E31" s="98" t="s">
        <v>29</v>
      </c>
      <c r="F31" s="115" t="s">
        <v>483</v>
      </c>
      <c r="G31" s="115">
        <v>0</v>
      </c>
      <c r="H31" s="115">
        <v>32</v>
      </c>
      <c r="I31" s="194">
        <v>32</v>
      </c>
      <c r="J31" s="116">
        <v>65696</v>
      </c>
      <c r="K31" s="116">
        <v>735496</v>
      </c>
      <c r="L31" s="116">
        <v>3461096</v>
      </c>
      <c r="M31" s="195">
        <v>1.6260162601626018E-2</v>
      </c>
      <c r="N31" s="195">
        <v>2.1441354032473259E-3</v>
      </c>
      <c r="O31" s="195">
        <v>1.4701481937427194E-2</v>
      </c>
      <c r="P31" s="195">
        <v>0.10482870447127304</v>
      </c>
      <c r="R31" s="201" t="s">
        <v>469</v>
      </c>
      <c r="S31" s="202">
        <f>SUMIFS(Scoreboard_14[Damage Taken],Scoreboard_14[Role],"Ranged DPS",Scoreboard_14[Team],"Yellow")</f>
        <v>9364098</v>
      </c>
      <c r="T31" s="203">
        <f>SUMIFS(Scoreboard_14[Damage Taken],Scoreboard_14[Role],"Ranged DPS",Scoreboard_14[Team],"Red")</f>
        <v>10282159</v>
      </c>
    </row>
    <row r="32" spans="1:26" ht="22.5" customHeight="1">
      <c r="A32" s="115">
        <v>45</v>
      </c>
      <c r="B32" s="115" t="s">
        <v>67</v>
      </c>
      <c r="C32" s="115" t="s">
        <v>14</v>
      </c>
      <c r="D32" s="115" t="s">
        <v>7</v>
      </c>
      <c r="E32" s="98" t="s">
        <v>37</v>
      </c>
      <c r="F32" s="115" t="s">
        <v>483</v>
      </c>
      <c r="G32" s="115">
        <v>2</v>
      </c>
      <c r="H32" s="115">
        <v>27</v>
      </c>
      <c r="I32" s="194">
        <v>29</v>
      </c>
      <c r="J32" s="116">
        <v>240699</v>
      </c>
      <c r="K32" s="116">
        <v>1323239</v>
      </c>
      <c r="L32" s="116">
        <v>65768</v>
      </c>
      <c r="M32" s="195">
        <v>1.4735772357723578E-2</v>
      </c>
      <c r="N32" s="195">
        <v>7.8557484082170618E-3</v>
      </c>
      <c r="O32" s="195">
        <v>2.6449598988164753E-2</v>
      </c>
      <c r="P32" s="195">
        <v>1.9919627296286161E-3</v>
      </c>
      <c r="R32" s="201" t="s">
        <v>470</v>
      </c>
      <c r="S32" s="202">
        <f>SUMIFS(Scoreboard_14[Amount Healed],Scoreboard_14[Role],"Ranged DPS",Scoreboard_14[Team],"Yellow")</f>
        <v>213658</v>
      </c>
      <c r="T32" s="203">
        <f>SUMIFS(Scoreboard_14[Amount Healed],Scoreboard_14[Role],"Ranged DPS",Scoreboard_14[Team],"Red")</f>
        <v>732963</v>
      </c>
    </row>
    <row r="33" spans="1:20" ht="22.5" customHeight="1">
      <c r="A33" s="115">
        <v>39</v>
      </c>
      <c r="B33" s="115" t="s">
        <v>67</v>
      </c>
      <c r="C33" s="115" t="s">
        <v>14</v>
      </c>
      <c r="D33" s="115" t="s">
        <v>7</v>
      </c>
      <c r="E33" s="98" t="s">
        <v>55</v>
      </c>
      <c r="F33" s="115" t="s">
        <v>483</v>
      </c>
      <c r="G33" s="115">
        <v>3</v>
      </c>
      <c r="H33" s="115">
        <v>24</v>
      </c>
      <c r="I33" s="194">
        <v>27</v>
      </c>
      <c r="J33" s="116">
        <v>398939</v>
      </c>
      <c r="K33" s="116">
        <v>1310197</v>
      </c>
      <c r="L33" s="116">
        <v>98593</v>
      </c>
      <c r="M33" s="195">
        <v>1.3719512195121951E-2</v>
      </c>
      <c r="N33" s="195">
        <v>1.3020263541708552E-2</v>
      </c>
      <c r="O33" s="195">
        <v>2.6188908614011901E-2</v>
      </c>
      <c r="P33" s="195">
        <v>2.9861571189982081E-3</v>
      </c>
      <c r="R33" s="201" t="s">
        <v>465</v>
      </c>
      <c r="S33" s="202">
        <f>SUMIFS(Scoreboard_14[Kills],Scoreboard_14[Role],"Ranged DPS",Scoreboard_14[Team],"Yellow")</f>
        <v>502</v>
      </c>
      <c r="T33" s="203">
        <f>SUMIFS(Scoreboard_14[Kills],Scoreboard_14[Role],"Ranged DPS",Scoreboard_14[Team],"Red")</f>
        <v>202</v>
      </c>
    </row>
    <row r="34" spans="1:20" ht="22.5" customHeight="1">
      <c r="A34" s="115">
        <v>78</v>
      </c>
      <c r="B34" s="115" t="s">
        <v>67</v>
      </c>
      <c r="C34" s="115" t="s">
        <v>14</v>
      </c>
      <c r="D34" s="115" t="s">
        <v>7</v>
      </c>
      <c r="E34" s="98" t="s">
        <v>64</v>
      </c>
      <c r="F34" s="115" t="s">
        <v>483</v>
      </c>
      <c r="G34" s="115">
        <v>0</v>
      </c>
      <c r="H34" s="115">
        <v>24</v>
      </c>
      <c r="I34" s="194">
        <v>24</v>
      </c>
      <c r="J34" s="116">
        <v>198852</v>
      </c>
      <c r="K34" s="116">
        <v>1041271</v>
      </c>
      <c r="L34" s="116">
        <v>93106</v>
      </c>
      <c r="M34" s="195">
        <v>1.2195121951219513E-2</v>
      </c>
      <c r="N34" s="195">
        <v>6.4899782818822645E-3</v>
      </c>
      <c r="O34" s="195">
        <v>2.0813473898521204E-2</v>
      </c>
      <c r="P34" s="195">
        <v>2.8199684026396113E-3</v>
      </c>
      <c r="R34" s="201" t="s">
        <v>466</v>
      </c>
      <c r="S34" s="202">
        <f>SUMIFS(Scoreboard_14[Assists],Scoreboard_14[Role],"Ranged DPS",Scoreboard_14[Team],"Yellow")</f>
        <v>1095</v>
      </c>
      <c r="T34" s="203">
        <f>SUMIFS(Scoreboard_14[Assists],Scoreboard_14[Role],"Ranged DPS",Scoreboard_14[Team],"Red")</f>
        <v>393</v>
      </c>
    </row>
    <row r="35" spans="1:20" ht="22.5" customHeight="1">
      <c r="A35" s="115">
        <v>79</v>
      </c>
      <c r="B35" s="115" t="s">
        <v>11</v>
      </c>
      <c r="C35" s="115" t="s">
        <v>10</v>
      </c>
      <c r="D35" s="115" t="s">
        <v>7</v>
      </c>
      <c r="E35" s="98" t="s">
        <v>96</v>
      </c>
      <c r="F35" s="115" t="s">
        <v>483</v>
      </c>
      <c r="G35" s="115">
        <v>0</v>
      </c>
      <c r="H35" s="115">
        <v>24</v>
      </c>
      <c r="I35" s="194">
        <v>24</v>
      </c>
      <c r="J35" s="116">
        <v>21367</v>
      </c>
      <c r="K35" s="116">
        <v>496385</v>
      </c>
      <c r="L35" s="116">
        <v>1012804</v>
      </c>
      <c r="M35" s="195">
        <v>1.2195121951219513E-2</v>
      </c>
      <c r="N35" s="195">
        <v>6.9735967427523161E-4</v>
      </c>
      <c r="O35" s="195">
        <v>9.9220051659149721E-3</v>
      </c>
      <c r="P35" s="195">
        <v>3.0675523361190563E-2</v>
      </c>
      <c r="R35" s="201" t="s">
        <v>54</v>
      </c>
      <c r="S35" s="202">
        <f t="shared" ref="S35:S46" si="2">COUNTIFS(C:C,R35,F:F,"Yellow")</f>
        <v>2</v>
      </c>
      <c r="T35" s="203">
        <f t="shared" ref="T35:T46" si="3">COUNTIFS(C:C,R35,F:F,"Red")</f>
        <v>2</v>
      </c>
    </row>
    <row r="36" spans="1:20" ht="22.5" customHeight="1">
      <c r="A36" s="115">
        <v>80</v>
      </c>
      <c r="B36" s="115" t="s">
        <v>11</v>
      </c>
      <c r="C36" s="115" t="s">
        <v>9</v>
      </c>
      <c r="D36" s="115" t="s">
        <v>7</v>
      </c>
      <c r="E36" s="98" t="s">
        <v>100</v>
      </c>
      <c r="F36" s="115" t="s">
        <v>483</v>
      </c>
      <c r="G36" s="115">
        <v>0</v>
      </c>
      <c r="H36" s="115">
        <v>22</v>
      </c>
      <c r="I36" s="194">
        <v>22</v>
      </c>
      <c r="J36" s="116">
        <v>213</v>
      </c>
      <c r="K36" s="116">
        <v>572812</v>
      </c>
      <c r="L36" s="116">
        <v>1317207</v>
      </c>
      <c r="M36" s="195">
        <v>1.1178861788617886E-2</v>
      </c>
      <c r="N36" s="195">
        <v>6.9517297992523202E-6</v>
      </c>
      <c r="O36" s="195">
        <v>1.1449668348354779E-2</v>
      </c>
      <c r="P36" s="195">
        <v>3.9895196010307762E-2</v>
      </c>
      <c r="R36" s="201" t="s">
        <v>43</v>
      </c>
      <c r="S36" s="202">
        <f t="shared" si="2"/>
        <v>0</v>
      </c>
      <c r="T36" s="203">
        <f t="shared" si="3"/>
        <v>0</v>
      </c>
    </row>
    <row r="37" spans="1:20" ht="22.5" customHeight="1">
      <c r="A37" s="115">
        <v>81</v>
      </c>
      <c r="B37" s="115" t="s">
        <v>11</v>
      </c>
      <c r="C37" s="115" t="s">
        <v>9</v>
      </c>
      <c r="D37" s="115" t="s">
        <v>7</v>
      </c>
      <c r="E37" s="98" t="s">
        <v>787</v>
      </c>
      <c r="F37" s="115" t="s">
        <v>483</v>
      </c>
      <c r="G37" s="115">
        <v>0</v>
      </c>
      <c r="H37" s="115">
        <v>22</v>
      </c>
      <c r="I37" s="194">
        <v>22</v>
      </c>
      <c r="J37" s="116">
        <v>150</v>
      </c>
      <c r="K37" s="116">
        <v>1316821</v>
      </c>
      <c r="L37" s="116">
        <v>846854</v>
      </c>
      <c r="M37" s="195">
        <v>1.1178861788617886E-2</v>
      </c>
      <c r="N37" s="195">
        <v>4.8955843656706478E-6</v>
      </c>
      <c r="O37" s="195">
        <v>2.6321312619408965E-2</v>
      </c>
      <c r="P37" s="195">
        <v>2.5649276326434014E-2</v>
      </c>
      <c r="R37" s="201" t="s">
        <v>45</v>
      </c>
      <c r="S37" s="202">
        <f t="shared" si="2"/>
        <v>2</v>
      </c>
      <c r="T37" s="203">
        <f t="shared" si="3"/>
        <v>2</v>
      </c>
    </row>
    <row r="38" spans="1:20" ht="22.5" customHeight="1">
      <c r="A38" s="115">
        <v>53</v>
      </c>
      <c r="B38" s="115" t="s">
        <v>67</v>
      </c>
      <c r="C38" s="115" t="s">
        <v>62</v>
      </c>
      <c r="D38" s="115" t="s">
        <v>7</v>
      </c>
      <c r="E38" s="98" t="s">
        <v>61</v>
      </c>
      <c r="F38" s="115" t="s">
        <v>483</v>
      </c>
      <c r="G38" s="115">
        <v>1</v>
      </c>
      <c r="H38" s="115">
        <v>19</v>
      </c>
      <c r="I38" s="194">
        <v>20</v>
      </c>
      <c r="J38" s="116">
        <v>374681</v>
      </c>
      <c r="K38" s="116">
        <v>630576</v>
      </c>
      <c r="L38" s="116">
        <v>26866</v>
      </c>
      <c r="M38" s="195">
        <v>1.016260162601626E-2</v>
      </c>
      <c r="N38" s="195">
        <v>1.2228549638092294E-2</v>
      </c>
      <c r="O38" s="195">
        <v>1.2604285644211649E-2</v>
      </c>
      <c r="P38" s="195">
        <v>8.1370986945326603E-4</v>
      </c>
      <c r="R38" s="201" t="s">
        <v>81</v>
      </c>
      <c r="S38" s="202">
        <f t="shared" si="2"/>
        <v>0</v>
      </c>
      <c r="T38" s="203">
        <f t="shared" si="3"/>
        <v>0</v>
      </c>
    </row>
    <row r="39" spans="1:20" ht="22.5" customHeight="1">
      <c r="A39" s="115">
        <v>85</v>
      </c>
      <c r="B39" s="115" t="s">
        <v>67</v>
      </c>
      <c r="C39" s="115" t="s">
        <v>14</v>
      </c>
      <c r="D39" s="115" t="s">
        <v>7</v>
      </c>
      <c r="E39" s="98" t="s">
        <v>13</v>
      </c>
      <c r="F39" s="115" t="s">
        <v>483</v>
      </c>
      <c r="G39" s="115">
        <v>0</v>
      </c>
      <c r="H39" s="115">
        <v>14</v>
      </c>
      <c r="I39" s="194">
        <v>14</v>
      </c>
      <c r="J39" s="116">
        <v>101554</v>
      </c>
      <c r="K39" s="116">
        <v>829277</v>
      </c>
      <c r="L39" s="116">
        <v>57416</v>
      </c>
      <c r="M39" s="195">
        <v>7.1138211382113818E-3</v>
      </c>
      <c r="N39" s="195">
        <v>3.3144411644754467E-3</v>
      </c>
      <c r="O39" s="195">
        <v>1.6576026024103206E-2</v>
      </c>
      <c r="P39" s="195">
        <v>1.7389996971833815E-3</v>
      </c>
      <c r="R39" s="201" t="s">
        <v>48</v>
      </c>
      <c r="S39" s="202">
        <f t="shared" si="2"/>
        <v>0</v>
      </c>
      <c r="T39" s="203">
        <f t="shared" si="3"/>
        <v>0</v>
      </c>
    </row>
    <row r="40" spans="1:20" ht="22.5" customHeight="1">
      <c r="A40" s="115">
        <v>86</v>
      </c>
      <c r="B40" s="115" t="s">
        <v>67</v>
      </c>
      <c r="C40" s="115" t="s">
        <v>14</v>
      </c>
      <c r="D40" s="115" t="s">
        <v>7</v>
      </c>
      <c r="E40" s="98" t="s">
        <v>773</v>
      </c>
      <c r="F40" s="115" t="s">
        <v>483</v>
      </c>
      <c r="G40" s="115">
        <v>0</v>
      </c>
      <c r="H40" s="115">
        <v>13</v>
      </c>
      <c r="I40" s="194">
        <v>13</v>
      </c>
      <c r="J40" s="116">
        <v>44062</v>
      </c>
      <c r="K40" s="116">
        <v>1415330</v>
      </c>
      <c r="L40" s="116">
        <v>68608</v>
      </c>
      <c r="M40" s="195">
        <v>6.6056910569105695E-3</v>
      </c>
      <c r="N40" s="195">
        <v>1.4380615888012005E-3</v>
      </c>
      <c r="O40" s="195">
        <v>2.8290362463560415E-2</v>
      </c>
      <c r="P40" s="195">
        <v>2.0779798527302048E-3</v>
      </c>
      <c r="R40" s="201" t="s">
        <v>50</v>
      </c>
      <c r="S40" s="202">
        <f t="shared" si="2"/>
        <v>0</v>
      </c>
      <c r="T40" s="203">
        <f t="shared" si="3"/>
        <v>1</v>
      </c>
    </row>
    <row r="41" spans="1:20" ht="22.5" customHeight="1">
      <c r="A41" s="115">
        <v>55</v>
      </c>
      <c r="B41" s="115" t="s">
        <v>67</v>
      </c>
      <c r="C41" s="115" t="s">
        <v>14</v>
      </c>
      <c r="D41" s="115" t="s">
        <v>7</v>
      </c>
      <c r="E41" s="98" t="s">
        <v>35</v>
      </c>
      <c r="F41" s="115" t="s">
        <v>483</v>
      </c>
      <c r="G41" s="115">
        <v>1</v>
      </c>
      <c r="H41" s="115">
        <v>9</v>
      </c>
      <c r="I41" s="194">
        <v>10</v>
      </c>
      <c r="J41" s="116">
        <v>25000</v>
      </c>
      <c r="K41" s="116">
        <v>614415</v>
      </c>
      <c r="L41" s="116">
        <v>21151</v>
      </c>
      <c r="M41" s="195">
        <v>5.08130081300813E-3</v>
      </c>
      <c r="N41" s="195">
        <v>8.1593072761177463E-4</v>
      </c>
      <c r="O41" s="195">
        <v>1.2281251053145537E-2</v>
      </c>
      <c r="P41" s="195">
        <v>6.4061555307102027E-4</v>
      </c>
      <c r="R41" s="201" t="s">
        <v>52</v>
      </c>
      <c r="S41" s="202">
        <f t="shared" si="2"/>
        <v>0</v>
      </c>
      <c r="T41" s="203">
        <f t="shared" si="3"/>
        <v>0</v>
      </c>
    </row>
    <row r="42" spans="1:20" ht="22.5" customHeight="1">
      <c r="A42" s="115">
        <v>89</v>
      </c>
      <c r="B42" s="115" t="s">
        <v>67</v>
      </c>
      <c r="C42" s="115" t="s">
        <v>14</v>
      </c>
      <c r="D42" s="115" t="s">
        <v>7</v>
      </c>
      <c r="E42" s="98" t="s">
        <v>93</v>
      </c>
      <c r="F42" s="115" t="s">
        <v>483</v>
      </c>
      <c r="G42" s="115">
        <v>0</v>
      </c>
      <c r="H42" s="115">
        <v>10</v>
      </c>
      <c r="I42" s="194">
        <v>10</v>
      </c>
      <c r="J42" s="116">
        <v>82279</v>
      </c>
      <c r="K42" s="116">
        <v>972082</v>
      </c>
      <c r="L42" s="116">
        <v>57586</v>
      </c>
      <c r="M42" s="195">
        <v>5.08130081300813E-3</v>
      </c>
      <c r="N42" s="195">
        <v>2.6853585734867682E-3</v>
      </c>
      <c r="O42" s="195">
        <v>1.9430487677292742E-2</v>
      </c>
      <c r="P42" s="195">
        <v>1.744148609481716E-3</v>
      </c>
      <c r="R42" s="201" t="s">
        <v>32</v>
      </c>
      <c r="S42" s="202">
        <f t="shared" si="2"/>
        <v>0</v>
      </c>
      <c r="T42" s="203">
        <f t="shared" si="3"/>
        <v>0</v>
      </c>
    </row>
    <row r="43" spans="1:20" ht="22.5" customHeight="1">
      <c r="A43" s="115">
        <v>90</v>
      </c>
      <c r="B43" s="115" t="s">
        <v>67</v>
      </c>
      <c r="C43" s="115" t="s">
        <v>62</v>
      </c>
      <c r="D43" s="115" t="s">
        <v>7</v>
      </c>
      <c r="E43" s="98" t="s">
        <v>114</v>
      </c>
      <c r="F43" s="115" t="s">
        <v>483</v>
      </c>
      <c r="G43" s="115">
        <v>0</v>
      </c>
      <c r="H43" s="115">
        <v>10</v>
      </c>
      <c r="I43" s="194">
        <v>10</v>
      </c>
      <c r="J43" s="116">
        <v>70912</v>
      </c>
      <c r="K43" s="116">
        <v>687848</v>
      </c>
      <c r="L43" s="116">
        <v>535756</v>
      </c>
      <c r="M43" s="195">
        <v>5.08130081300813E-3</v>
      </c>
      <c r="N43" s="195">
        <v>2.3143711902562465E-3</v>
      </c>
      <c r="O43" s="195">
        <v>1.3749068584595186E-2</v>
      </c>
      <c r="P43" s="195">
        <v>1.6226827395920643E-2</v>
      </c>
      <c r="R43" s="201" t="s">
        <v>56</v>
      </c>
      <c r="S43" s="202">
        <f t="shared" si="2"/>
        <v>0</v>
      </c>
      <c r="T43" s="203">
        <f t="shared" si="3"/>
        <v>0</v>
      </c>
    </row>
    <row r="44" spans="1:20" ht="22.5" customHeight="1">
      <c r="A44" s="115">
        <v>91</v>
      </c>
      <c r="B44" s="115" t="s">
        <v>67</v>
      </c>
      <c r="C44" s="115" t="s">
        <v>14</v>
      </c>
      <c r="D44" s="115" t="s">
        <v>7</v>
      </c>
      <c r="E44" s="98" t="s">
        <v>71</v>
      </c>
      <c r="F44" s="115" t="s">
        <v>483</v>
      </c>
      <c r="G44" s="115">
        <v>0</v>
      </c>
      <c r="H44" s="115">
        <v>10</v>
      </c>
      <c r="I44" s="194">
        <v>10</v>
      </c>
      <c r="J44" s="116">
        <v>33794</v>
      </c>
      <c r="K44" s="116">
        <v>1889175</v>
      </c>
      <c r="L44" s="116">
        <v>72169</v>
      </c>
      <c r="M44" s="195">
        <v>5.08130081300813E-3</v>
      </c>
      <c r="N44" s="195">
        <v>1.1029425203564925E-3</v>
      </c>
      <c r="O44" s="195">
        <v>3.7761826222221496E-2</v>
      </c>
      <c r="P44" s="195">
        <v>2.185834421520612E-3</v>
      </c>
      <c r="R44" s="201" t="s">
        <v>58</v>
      </c>
      <c r="S44" s="202">
        <f t="shared" si="2"/>
        <v>7</v>
      </c>
      <c r="T44" s="203">
        <f t="shared" si="3"/>
        <v>4</v>
      </c>
    </row>
    <row r="45" spans="1:20" ht="22.5" customHeight="1">
      <c r="A45" s="115">
        <v>92</v>
      </c>
      <c r="B45" s="115" t="s">
        <v>67</v>
      </c>
      <c r="C45" s="115" t="s">
        <v>62</v>
      </c>
      <c r="D45" s="115" t="s">
        <v>7</v>
      </c>
      <c r="E45" s="98" t="s">
        <v>79</v>
      </c>
      <c r="F45" s="115" t="s">
        <v>483</v>
      </c>
      <c r="G45" s="115">
        <v>0</v>
      </c>
      <c r="H45" s="115">
        <v>9</v>
      </c>
      <c r="I45" s="194">
        <v>9</v>
      </c>
      <c r="J45" s="116">
        <v>89335</v>
      </c>
      <c r="K45" s="116">
        <v>1516209</v>
      </c>
      <c r="L45" s="116">
        <v>109490</v>
      </c>
      <c r="M45" s="195">
        <v>4.5731707317073168E-3</v>
      </c>
      <c r="N45" s="195">
        <v>2.9156468620479157E-3</v>
      </c>
      <c r="O45" s="195">
        <v>3.0306785117613894E-2</v>
      </c>
      <c r="P45" s="195">
        <v>3.3162023973214512E-3</v>
      </c>
      <c r="R45" s="201" t="s">
        <v>60</v>
      </c>
      <c r="S45" s="202">
        <f t="shared" si="2"/>
        <v>0</v>
      </c>
      <c r="T45" s="203">
        <f t="shared" si="3"/>
        <v>0</v>
      </c>
    </row>
    <row r="46" spans="1:20" ht="22.5" customHeight="1">
      <c r="A46" s="115">
        <v>93</v>
      </c>
      <c r="B46" s="115" t="s">
        <v>67</v>
      </c>
      <c r="C46" s="115" t="s">
        <v>14</v>
      </c>
      <c r="D46" s="115" t="s">
        <v>7</v>
      </c>
      <c r="E46" s="98" t="s">
        <v>82</v>
      </c>
      <c r="F46" s="115" t="s">
        <v>483</v>
      </c>
      <c r="G46" s="115">
        <v>0</v>
      </c>
      <c r="H46" s="115">
        <v>7</v>
      </c>
      <c r="I46" s="194">
        <v>7</v>
      </c>
      <c r="J46" s="116">
        <v>13611</v>
      </c>
      <c r="K46" s="116">
        <v>1026638</v>
      </c>
      <c r="L46" s="116">
        <v>62841</v>
      </c>
      <c r="M46" s="195">
        <v>3.5569105691056909E-3</v>
      </c>
      <c r="N46" s="195">
        <v>4.4422532534095461E-4</v>
      </c>
      <c r="O46" s="195">
        <v>2.0520981777299101E-2</v>
      </c>
      <c r="P46" s="195">
        <v>1.9033105749390565E-3</v>
      </c>
      <c r="R46" s="201" t="s">
        <v>63</v>
      </c>
      <c r="S46" s="202">
        <f t="shared" si="2"/>
        <v>0</v>
      </c>
      <c r="T46" s="203">
        <f t="shared" si="3"/>
        <v>0</v>
      </c>
    </row>
    <row r="47" spans="1:20" ht="22.5" customHeight="1">
      <c r="A47" s="115">
        <v>94</v>
      </c>
      <c r="B47" s="115" t="s">
        <v>11</v>
      </c>
      <c r="C47" s="115" t="s">
        <v>10</v>
      </c>
      <c r="D47" s="115" t="s">
        <v>7</v>
      </c>
      <c r="E47" s="98" t="s">
        <v>106</v>
      </c>
      <c r="F47" s="115" t="s">
        <v>483</v>
      </c>
      <c r="G47" s="115">
        <v>0</v>
      </c>
      <c r="H47" s="115">
        <v>6</v>
      </c>
      <c r="I47" s="194">
        <v>6</v>
      </c>
      <c r="J47" s="116">
        <v>81793</v>
      </c>
      <c r="K47" s="116">
        <v>1042904</v>
      </c>
      <c r="L47" s="116">
        <v>2062320</v>
      </c>
      <c r="M47" s="195">
        <v>3.0487804878048782E-3</v>
      </c>
      <c r="N47" s="195">
        <v>2.6694968801419952E-3</v>
      </c>
      <c r="O47" s="195">
        <v>2.084611516374062E-2</v>
      </c>
      <c r="P47" s="195">
        <v>6.2462969477066171E-2</v>
      </c>
      <c r="R47" s="204"/>
      <c r="S47" s="208"/>
      <c r="T47" s="208"/>
    </row>
    <row r="48" spans="1:20" ht="22.5" customHeight="1">
      <c r="A48" s="115">
        <v>95</v>
      </c>
      <c r="B48" s="115" t="s">
        <v>67</v>
      </c>
      <c r="C48" s="115" t="s">
        <v>14</v>
      </c>
      <c r="D48" s="115" t="s">
        <v>7</v>
      </c>
      <c r="E48" s="98" t="s">
        <v>109</v>
      </c>
      <c r="F48" s="115" t="s">
        <v>483</v>
      </c>
      <c r="G48" s="115">
        <v>0</v>
      </c>
      <c r="H48" s="115">
        <v>6</v>
      </c>
      <c r="I48" s="194">
        <v>6</v>
      </c>
      <c r="J48" s="116">
        <v>50962</v>
      </c>
      <c r="K48" s="116">
        <v>1250508</v>
      </c>
      <c r="L48" s="116">
        <v>36259</v>
      </c>
      <c r="M48" s="195">
        <v>3.0487804878048782E-3</v>
      </c>
      <c r="N48" s="195">
        <v>1.6632584696220504E-3</v>
      </c>
      <c r="O48" s="195">
        <v>2.499581340293925E-2</v>
      </c>
      <c r="P48" s="195">
        <v>1.0982024177959493E-3</v>
      </c>
      <c r="R48" s="6"/>
      <c r="S48" s="209"/>
      <c r="T48" s="209"/>
    </row>
    <row r="49" spans="1:20" ht="22.5" customHeight="1">
      <c r="A49" s="115">
        <v>96</v>
      </c>
      <c r="B49" s="115" t="s">
        <v>11</v>
      </c>
      <c r="C49" s="115" t="s">
        <v>9</v>
      </c>
      <c r="D49" s="115" t="s">
        <v>7</v>
      </c>
      <c r="E49" s="98" t="s">
        <v>99</v>
      </c>
      <c r="F49" s="115" t="s">
        <v>483</v>
      </c>
      <c r="G49" s="115">
        <v>0</v>
      </c>
      <c r="H49" s="115">
        <v>1</v>
      </c>
      <c r="I49" s="194">
        <v>1</v>
      </c>
      <c r="J49" s="116">
        <v>11229</v>
      </c>
      <c r="K49" s="116">
        <v>690506</v>
      </c>
      <c r="L49" s="116">
        <v>1064562</v>
      </c>
      <c r="M49" s="195">
        <v>5.0813008130081306E-4</v>
      </c>
      <c r="N49" s="195">
        <v>3.6648344561410472E-4</v>
      </c>
      <c r="O49" s="195">
        <v>1.3802198090384044E-2</v>
      </c>
      <c r="P49" s="195">
        <v>3.2243155141997611E-2</v>
      </c>
      <c r="R49" s="232" t="s">
        <v>67</v>
      </c>
      <c r="S49" s="228"/>
      <c r="T49" s="228"/>
    </row>
    <row r="50" spans="1:20" ht="22.5" customHeight="1">
      <c r="A50" s="115">
        <v>1</v>
      </c>
      <c r="B50" s="115" t="s">
        <v>39</v>
      </c>
      <c r="C50" s="115" t="s">
        <v>58</v>
      </c>
      <c r="D50" s="115" t="s">
        <v>667</v>
      </c>
      <c r="E50" s="98" t="s">
        <v>632</v>
      </c>
      <c r="F50" s="115" t="s">
        <v>476</v>
      </c>
      <c r="G50" s="115">
        <v>72</v>
      </c>
      <c r="H50" s="115">
        <v>122</v>
      </c>
      <c r="I50" s="194">
        <v>194</v>
      </c>
      <c r="J50" s="116">
        <v>5245055</v>
      </c>
      <c r="K50" s="116">
        <v>1290058</v>
      </c>
      <c r="L50" s="116">
        <v>9776</v>
      </c>
      <c r="M50" s="195">
        <v>5.1927194860813708E-2</v>
      </c>
      <c r="N50" s="195">
        <v>0.10404993201712574</v>
      </c>
      <c r="O50" s="195">
        <v>4.2194365526175899E-2</v>
      </c>
      <c r="P50" s="195">
        <v>4.5846185952336569E-4</v>
      </c>
      <c r="R50" s="197" t="s">
        <v>482</v>
      </c>
      <c r="S50" s="198" t="s">
        <v>476</v>
      </c>
      <c r="T50" s="198" t="s">
        <v>483</v>
      </c>
    </row>
    <row r="51" spans="1:20" ht="22.5" customHeight="1">
      <c r="A51" s="115">
        <v>2</v>
      </c>
      <c r="B51" s="115" t="s">
        <v>39</v>
      </c>
      <c r="C51" s="115" t="s">
        <v>58</v>
      </c>
      <c r="D51" s="115" t="s">
        <v>667</v>
      </c>
      <c r="E51" s="98" t="s">
        <v>775</v>
      </c>
      <c r="F51" s="115" t="s">
        <v>476</v>
      </c>
      <c r="G51" s="115">
        <v>64</v>
      </c>
      <c r="H51" s="115">
        <v>130</v>
      </c>
      <c r="I51" s="194">
        <v>194</v>
      </c>
      <c r="J51" s="116">
        <v>4282831</v>
      </c>
      <c r="K51" s="116">
        <v>477353</v>
      </c>
      <c r="L51" s="116">
        <v>7558</v>
      </c>
      <c r="M51" s="195">
        <v>5.1927194860813708E-2</v>
      </c>
      <c r="N51" s="195">
        <v>8.4961601811771023E-2</v>
      </c>
      <c r="O51" s="195">
        <v>1.5612946834186249E-2</v>
      </c>
      <c r="P51" s="195">
        <v>3.5444504237700468E-4</v>
      </c>
      <c r="R51" s="201" t="s">
        <v>468</v>
      </c>
      <c r="S51" s="202">
        <f>SUMIFS(Scoreboard_14[Damage Dealt],Scoreboard_14[Role],"Tank",Scoreboard_14[Team],"Yellow")</f>
        <v>3754694</v>
      </c>
      <c r="T51" s="203">
        <f>SUMIFS(Scoreboard_14[Damage Dealt],Scoreboard_14[Role],"Tank",Scoreboard_14[Team],"Red")</f>
        <v>1724680</v>
      </c>
    </row>
    <row r="52" spans="1:20" ht="22.5" customHeight="1">
      <c r="A52" s="115">
        <v>3</v>
      </c>
      <c r="B52" s="115" t="s">
        <v>39</v>
      </c>
      <c r="C52" s="115" t="s">
        <v>58</v>
      </c>
      <c r="D52" s="115" t="s">
        <v>667</v>
      </c>
      <c r="E52" s="98" t="s">
        <v>675</v>
      </c>
      <c r="F52" s="115" t="s">
        <v>476</v>
      </c>
      <c r="G52" s="115">
        <v>63</v>
      </c>
      <c r="H52" s="115">
        <v>123</v>
      </c>
      <c r="I52" s="194">
        <v>186</v>
      </c>
      <c r="J52" s="116">
        <v>4065148</v>
      </c>
      <c r="K52" s="116">
        <v>884222</v>
      </c>
      <c r="L52" s="116">
        <v>0</v>
      </c>
      <c r="M52" s="195">
        <v>4.9785867237687367E-2</v>
      </c>
      <c r="N52" s="195">
        <v>8.0643267427997364E-2</v>
      </c>
      <c r="O52" s="195">
        <v>2.892054952125122E-2</v>
      </c>
      <c r="P52" s="195">
        <v>0</v>
      </c>
      <c r="R52" s="201" t="s">
        <v>469</v>
      </c>
      <c r="S52" s="202">
        <f>SUMIFS(Scoreboard_14[Damage Taken],Scoreboard_14[Role],"Tank",Scoreboard_14[Team],"Yellow")</f>
        <v>8985867</v>
      </c>
      <c r="T52" s="203">
        <f>SUMIFS(Scoreboard_14[Damage Taken],Scoreboard_14[Role],"Tank",Scoreboard_14[Team],"Red")</f>
        <v>14506765</v>
      </c>
    </row>
    <row r="53" spans="1:20" ht="22.5" customHeight="1">
      <c r="A53" s="115">
        <v>6</v>
      </c>
      <c r="B53" s="115" t="s">
        <v>39</v>
      </c>
      <c r="C53" s="115" t="s">
        <v>58</v>
      </c>
      <c r="D53" s="115" t="s">
        <v>667</v>
      </c>
      <c r="E53" s="98" t="s">
        <v>672</v>
      </c>
      <c r="F53" s="115" t="s">
        <v>476</v>
      </c>
      <c r="G53" s="115">
        <v>46</v>
      </c>
      <c r="H53" s="115">
        <v>119</v>
      </c>
      <c r="I53" s="194">
        <v>165</v>
      </c>
      <c r="J53" s="116">
        <v>2950177</v>
      </c>
      <c r="K53" s="116">
        <v>956591</v>
      </c>
      <c r="L53" s="116">
        <v>5310</v>
      </c>
      <c r="M53" s="195">
        <v>4.4164882226980728E-2</v>
      </c>
      <c r="N53" s="195">
        <v>5.8524785019125246E-2</v>
      </c>
      <c r="O53" s="195">
        <v>3.1287547004127045E-2</v>
      </c>
      <c r="P53" s="195">
        <v>2.490213250888985E-4</v>
      </c>
      <c r="R53" s="201" t="s">
        <v>470</v>
      </c>
      <c r="S53" s="202">
        <f>SUMIFS(Scoreboard_14[Amount Healed],Scoreboard_14[Role],"Tank",Scoreboard_14[Team],"Yellow")</f>
        <v>518089</v>
      </c>
      <c r="T53" s="203">
        <f>SUMIFS(Scoreboard_14[Amount Healed],Scoreboard_14[Role],"Tank",Scoreboard_14[Team],"Red")</f>
        <v>1305609</v>
      </c>
    </row>
    <row r="54" spans="1:20" ht="22.5" customHeight="1">
      <c r="A54" s="115">
        <v>7</v>
      </c>
      <c r="B54" s="115" t="s">
        <v>39</v>
      </c>
      <c r="C54" s="115" t="s">
        <v>58</v>
      </c>
      <c r="D54" s="115" t="s">
        <v>667</v>
      </c>
      <c r="E54" s="98" t="s">
        <v>674</v>
      </c>
      <c r="F54" s="115" t="s">
        <v>476</v>
      </c>
      <c r="G54" s="115">
        <v>41</v>
      </c>
      <c r="H54" s="115">
        <v>106</v>
      </c>
      <c r="I54" s="194">
        <v>147</v>
      </c>
      <c r="J54" s="116">
        <v>3187465</v>
      </c>
      <c r="K54" s="116">
        <v>935834</v>
      </c>
      <c r="L54" s="116">
        <v>0</v>
      </c>
      <c r="M54" s="195">
        <v>3.9346895074946465E-2</v>
      </c>
      <c r="N54" s="195">
        <v>6.3232037901788968E-2</v>
      </c>
      <c r="O54" s="195">
        <v>3.0608640749348708E-2</v>
      </c>
      <c r="P54" s="195">
        <v>0</v>
      </c>
      <c r="R54" s="201" t="s">
        <v>465</v>
      </c>
      <c r="S54" s="202">
        <f>SUMIFS(Scoreboard_14[Kills],Scoreboard_14[Role],"Tank",Scoreboard_14[Team],"Yellow")</f>
        <v>30</v>
      </c>
      <c r="T54" s="203">
        <f>SUMIFS(Scoreboard_14[Kills],Scoreboard_14[Role],"Tank",Scoreboard_14[Team],"Red")</f>
        <v>7</v>
      </c>
    </row>
    <row r="55" spans="1:20" ht="22.5" customHeight="1">
      <c r="A55" s="115">
        <v>12</v>
      </c>
      <c r="B55" s="115" t="s">
        <v>25</v>
      </c>
      <c r="C55" s="115" t="s">
        <v>23</v>
      </c>
      <c r="D55" s="115" t="s">
        <v>667</v>
      </c>
      <c r="E55" s="98" t="s">
        <v>669</v>
      </c>
      <c r="F55" s="115" t="s">
        <v>476</v>
      </c>
      <c r="G55" s="115">
        <v>28</v>
      </c>
      <c r="H55" s="115">
        <v>110</v>
      </c>
      <c r="I55" s="194">
        <v>138</v>
      </c>
      <c r="J55" s="116">
        <v>2540377</v>
      </c>
      <c r="K55" s="116">
        <v>844533</v>
      </c>
      <c r="L55" s="116">
        <v>29548</v>
      </c>
      <c r="M55" s="195">
        <v>3.6937901498929337E-2</v>
      </c>
      <c r="N55" s="195">
        <v>5.0395287398868047E-2</v>
      </c>
      <c r="O55" s="195">
        <v>2.7622427907053722E-2</v>
      </c>
      <c r="P55" s="195">
        <v>1.3857028462762285E-3</v>
      </c>
      <c r="R55" s="201" t="s">
        <v>466</v>
      </c>
      <c r="S55" s="202">
        <f>SUMIFS(Scoreboard_14[Assists],Scoreboard_14[Role],"Tank",Scoreboard_14[Team],"Yellow")</f>
        <v>333</v>
      </c>
      <c r="T55" s="203">
        <f>SUMIFS(Scoreboard_14[Assists],Scoreboard_14[Role],"Tank",Scoreboard_14[Team],"Red")</f>
        <v>182</v>
      </c>
    </row>
    <row r="56" spans="1:20" ht="22.5" customHeight="1">
      <c r="A56" s="115">
        <v>13</v>
      </c>
      <c r="B56" s="115" t="s">
        <v>39</v>
      </c>
      <c r="C56" s="115" t="s">
        <v>45</v>
      </c>
      <c r="D56" s="115" t="s">
        <v>667</v>
      </c>
      <c r="E56" s="98" t="s">
        <v>670</v>
      </c>
      <c r="F56" s="115" t="s">
        <v>476</v>
      </c>
      <c r="G56" s="115">
        <v>28</v>
      </c>
      <c r="H56" s="115">
        <v>109</v>
      </c>
      <c r="I56" s="194">
        <v>137</v>
      </c>
      <c r="J56" s="116">
        <v>2559128</v>
      </c>
      <c r="K56" s="116">
        <v>577418</v>
      </c>
      <c r="L56" s="116">
        <v>34877</v>
      </c>
      <c r="M56" s="195">
        <v>3.6670235546038543E-2</v>
      </c>
      <c r="N56" s="195">
        <v>5.0767264484952584E-2</v>
      </c>
      <c r="O56" s="195">
        <v>1.8885806803564983E-2</v>
      </c>
      <c r="P56" s="195">
        <v>1.6356152081215655E-3</v>
      </c>
      <c r="R56" s="201" t="s">
        <v>62</v>
      </c>
      <c r="S56" s="202">
        <f t="shared" ref="S56:S60" si="4">COUNTIFS(C:C,R56,F:F,"Yellow")</f>
        <v>0</v>
      </c>
      <c r="T56" s="203">
        <f t="shared" ref="T56:T60" si="5">COUNTIFS(C:C,R56,F:F,"Red")</f>
        <v>3</v>
      </c>
    </row>
    <row r="57" spans="1:20" ht="22.5" customHeight="1">
      <c r="A57" s="115">
        <v>10</v>
      </c>
      <c r="B57" s="115" t="s">
        <v>39</v>
      </c>
      <c r="C57" s="115" t="s">
        <v>58</v>
      </c>
      <c r="D57" s="115" t="s">
        <v>667</v>
      </c>
      <c r="E57" s="98" t="s">
        <v>701</v>
      </c>
      <c r="F57" s="115" t="s">
        <v>476</v>
      </c>
      <c r="G57" s="115">
        <v>35</v>
      </c>
      <c r="H57" s="115">
        <v>101</v>
      </c>
      <c r="I57" s="194">
        <v>136</v>
      </c>
      <c r="J57" s="116">
        <v>2873619</v>
      </c>
      <c r="K57" s="116">
        <v>925418</v>
      </c>
      <c r="L57" s="116">
        <v>37867</v>
      </c>
      <c r="M57" s="195">
        <v>3.6402569593147749E-2</v>
      </c>
      <c r="N57" s="195">
        <v>5.7006048858042647E-2</v>
      </c>
      <c r="O57" s="195">
        <v>3.0267961096712433E-2</v>
      </c>
      <c r="P57" s="195">
        <v>1.7758362555821694E-3</v>
      </c>
      <c r="R57" s="201" t="s">
        <v>70</v>
      </c>
      <c r="S57" s="202">
        <f t="shared" si="4"/>
        <v>0</v>
      </c>
      <c r="T57" s="203">
        <f t="shared" si="5"/>
        <v>0</v>
      </c>
    </row>
    <row r="58" spans="1:20" ht="22.5" customHeight="1">
      <c r="A58" s="115">
        <v>9</v>
      </c>
      <c r="B58" s="115" t="s">
        <v>39</v>
      </c>
      <c r="C58" s="115" t="s">
        <v>58</v>
      </c>
      <c r="D58" s="115" t="s">
        <v>667</v>
      </c>
      <c r="E58" s="98" t="s">
        <v>668</v>
      </c>
      <c r="F58" s="115" t="s">
        <v>476</v>
      </c>
      <c r="G58" s="115">
        <v>38</v>
      </c>
      <c r="H58" s="115">
        <v>88</v>
      </c>
      <c r="I58" s="194">
        <v>126</v>
      </c>
      <c r="J58" s="116">
        <v>3001770</v>
      </c>
      <c r="K58" s="116">
        <v>938344</v>
      </c>
      <c r="L58" s="116">
        <v>10998</v>
      </c>
      <c r="M58" s="195">
        <v>3.3725910064239827E-2</v>
      </c>
      <c r="N58" s="195">
        <v>5.9548272502585299E-2</v>
      </c>
      <c r="O58" s="195">
        <v>3.0690736172555029E-2</v>
      </c>
      <c r="P58" s="195">
        <v>5.1576959196378638E-4</v>
      </c>
      <c r="R58" s="201" t="s">
        <v>14</v>
      </c>
      <c r="S58" s="202">
        <f t="shared" si="4"/>
        <v>13</v>
      </c>
      <c r="T58" s="203">
        <f t="shared" si="5"/>
        <v>10</v>
      </c>
    </row>
    <row r="59" spans="1:20" ht="22.5" customHeight="1">
      <c r="A59" s="115">
        <v>14</v>
      </c>
      <c r="B59" s="115" t="s">
        <v>25</v>
      </c>
      <c r="C59" s="115" t="s">
        <v>24</v>
      </c>
      <c r="D59" s="115" t="s">
        <v>667</v>
      </c>
      <c r="E59" s="98" t="s">
        <v>681</v>
      </c>
      <c r="F59" s="115" t="s">
        <v>476</v>
      </c>
      <c r="G59" s="115">
        <v>28</v>
      </c>
      <c r="H59" s="115">
        <v>82</v>
      </c>
      <c r="I59" s="194">
        <v>110</v>
      </c>
      <c r="J59" s="116">
        <v>2014565</v>
      </c>
      <c r="K59" s="116">
        <v>628347</v>
      </c>
      <c r="L59" s="116">
        <v>13874</v>
      </c>
      <c r="M59" s="195">
        <v>2.9443254817987152E-2</v>
      </c>
      <c r="N59" s="195">
        <v>3.9964376216089427E-2</v>
      </c>
      <c r="O59" s="195">
        <v>2.0551558918495173E-2</v>
      </c>
      <c r="P59" s="195">
        <v>6.5064441888575857E-4</v>
      </c>
      <c r="R59" s="201" t="s">
        <v>73</v>
      </c>
      <c r="S59" s="202">
        <f t="shared" si="4"/>
        <v>0</v>
      </c>
      <c r="T59" s="203">
        <f t="shared" si="5"/>
        <v>0</v>
      </c>
    </row>
    <row r="60" spans="1:20" ht="22.5" customHeight="1">
      <c r="A60" s="115">
        <v>8</v>
      </c>
      <c r="B60" s="115" t="s">
        <v>39</v>
      </c>
      <c r="C60" s="115" t="s">
        <v>54</v>
      </c>
      <c r="D60" s="115" t="s">
        <v>667</v>
      </c>
      <c r="E60" s="98" t="s">
        <v>671</v>
      </c>
      <c r="F60" s="115" t="s">
        <v>476</v>
      </c>
      <c r="G60" s="115">
        <v>39</v>
      </c>
      <c r="H60" s="115">
        <v>68</v>
      </c>
      <c r="I60" s="194">
        <v>107</v>
      </c>
      <c r="J60" s="116">
        <v>2051443</v>
      </c>
      <c r="K60" s="116">
        <v>555409</v>
      </c>
      <c r="L60" s="116">
        <v>7622</v>
      </c>
      <c r="M60" s="195">
        <v>2.8640256959314776E-2</v>
      </c>
      <c r="N60" s="195">
        <v>4.0695951651032923E-2</v>
      </c>
      <c r="O60" s="195">
        <v>1.8165950959203252E-2</v>
      </c>
      <c r="P60" s="195">
        <v>3.5744642934606107E-4</v>
      </c>
      <c r="R60" s="201" t="s">
        <v>75</v>
      </c>
      <c r="S60" s="202">
        <f t="shared" si="4"/>
        <v>0</v>
      </c>
      <c r="T60" s="203">
        <f t="shared" si="5"/>
        <v>0</v>
      </c>
    </row>
    <row r="61" spans="1:20" ht="22.5" customHeight="1">
      <c r="A61" s="115">
        <v>24</v>
      </c>
      <c r="B61" s="115" t="s">
        <v>25</v>
      </c>
      <c r="C61" s="115" t="s">
        <v>24</v>
      </c>
      <c r="D61" s="115" t="s">
        <v>667</v>
      </c>
      <c r="E61" s="98" t="s">
        <v>788</v>
      </c>
      <c r="F61" s="115" t="s">
        <v>476</v>
      </c>
      <c r="G61" s="115">
        <v>20</v>
      </c>
      <c r="H61" s="115">
        <v>86</v>
      </c>
      <c r="I61" s="194">
        <v>106</v>
      </c>
      <c r="J61" s="116">
        <v>1937213</v>
      </c>
      <c r="K61" s="116">
        <v>641270</v>
      </c>
      <c r="L61" s="116">
        <v>15885</v>
      </c>
      <c r="M61" s="195">
        <v>2.8372591006423982E-2</v>
      </c>
      <c r="N61" s="195">
        <v>3.8429888905396073E-2</v>
      </c>
      <c r="O61" s="195">
        <v>2.0974235872318003E-2</v>
      </c>
      <c r="P61" s="195">
        <v>7.4495362505407775E-4</v>
      </c>
      <c r="R61" s="204"/>
      <c r="S61" s="208"/>
      <c r="T61" s="208"/>
    </row>
    <row r="62" spans="1:20" ht="22.5" customHeight="1">
      <c r="A62" s="115">
        <v>18</v>
      </c>
      <c r="B62" s="115" t="s">
        <v>39</v>
      </c>
      <c r="C62" s="115" t="s">
        <v>45</v>
      </c>
      <c r="D62" s="115" t="s">
        <v>667</v>
      </c>
      <c r="E62" s="98" t="s">
        <v>673</v>
      </c>
      <c r="F62" s="115" t="s">
        <v>476</v>
      </c>
      <c r="G62" s="115">
        <v>25</v>
      </c>
      <c r="H62" s="115">
        <v>79</v>
      </c>
      <c r="I62" s="194">
        <v>104</v>
      </c>
      <c r="J62" s="116">
        <v>2034402</v>
      </c>
      <c r="K62" s="116">
        <v>1187251</v>
      </c>
      <c r="L62" s="116">
        <v>75601</v>
      </c>
      <c r="M62" s="195">
        <v>2.7837259100642397E-2</v>
      </c>
      <c r="N62" s="195">
        <v>4.0357897065999244E-2</v>
      </c>
      <c r="O62" s="195">
        <v>3.8831822030728741E-2</v>
      </c>
      <c r="P62" s="195">
        <v>3.5454352538692685E-3</v>
      </c>
      <c r="R62" s="6"/>
      <c r="S62" s="209"/>
      <c r="T62" s="209"/>
    </row>
    <row r="63" spans="1:20" ht="22.5" customHeight="1">
      <c r="A63" s="115">
        <v>4</v>
      </c>
      <c r="B63" s="115" t="s">
        <v>39</v>
      </c>
      <c r="C63" s="115" t="s">
        <v>54</v>
      </c>
      <c r="D63" s="115" t="s">
        <v>667</v>
      </c>
      <c r="E63" s="98" t="s">
        <v>227</v>
      </c>
      <c r="F63" s="115" t="s">
        <v>476</v>
      </c>
      <c r="G63" s="115">
        <v>51</v>
      </c>
      <c r="H63" s="115">
        <v>50</v>
      </c>
      <c r="I63" s="194">
        <v>101</v>
      </c>
      <c r="J63" s="116">
        <v>2402529</v>
      </c>
      <c r="K63" s="116">
        <v>636200</v>
      </c>
      <c r="L63" s="116">
        <v>24049</v>
      </c>
      <c r="M63" s="195">
        <v>2.7034261241970021E-2</v>
      </c>
      <c r="N63" s="195">
        <v>4.7660697384331166E-2</v>
      </c>
      <c r="O63" s="195">
        <v>2.0808409658909215E-2</v>
      </c>
      <c r="P63" s="195">
        <v>1.1278180502943352E-3</v>
      </c>
      <c r="R63" s="232" t="s">
        <v>11</v>
      </c>
      <c r="S63" s="228"/>
      <c r="T63" s="228"/>
    </row>
    <row r="64" spans="1:20" ht="22.5" customHeight="1">
      <c r="A64" s="115">
        <v>57</v>
      </c>
      <c r="B64" s="115" t="s">
        <v>11</v>
      </c>
      <c r="C64" s="115" t="s">
        <v>9</v>
      </c>
      <c r="D64" s="115" t="s">
        <v>667</v>
      </c>
      <c r="E64" s="98" t="s">
        <v>197</v>
      </c>
      <c r="F64" s="115" t="s">
        <v>476</v>
      </c>
      <c r="G64" s="115">
        <v>0</v>
      </c>
      <c r="H64" s="115">
        <v>99</v>
      </c>
      <c r="I64" s="194">
        <v>99</v>
      </c>
      <c r="J64" s="116">
        <v>0</v>
      </c>
      <c r="K64" s="116">
        <v>141717</v>
      </c>
      <c r="L64" s="116">
        <v>572984</v>
      </c>
      <c r="M64" s="195">
        <v>2.6498929336188436E-2</v>
      </c>
      <c r="N64" s="195">
        <v>0</v>
      </c>
      <c r="O64" s="195">
        <v>4.6351860918447613E-3</v>
      </c>
      <c r="P64" s="195">
        <v>2.687104236059085E-2</v>
      </c>
      <c r="R64" s="197" t="s">
        <v>482</v>
      </c>
      <c r="S64" s="198" t="s">
        <v>476</v>
      </c>
      <c r="T64" s="198" t="s">
        <v>483</v>
      </c>
    </row>
    <row r="65" spans="1:20" ht="22.5" customHeight="1">
      <c r="A65" s="115">
        <v>33</v>
      </c>
      <c r="B65" s="115" t="s">
        <v>67</v>
      </c>
      <c r="C65" s="115" t="s">
        <v>14</v>
      </c>
      <c r="D65" s="115" t="s">
        <v>667</v>
      </c>
      <c r="E65" s="98" t="s">
        <v>216</v>
      </c>
      <c r="F65" s="115" t="s">
        <v>476</v>
      </c>
      <c r="G65" s="115">
        <v>13</v>
      </c>
      <c r="H65" s="115">
        <v>85</v>
      </c>
      <c r="I65" s="194">
        <v>98</v>
      </c>
      <c r="J65" s="116">
        <v>1025420</v>
      </c>
      <c r="K65" s="116">
        <v>322965</v>
      </c>
      <c r="L65" s="116">
        <v>38802</v>
      </c>
      <c r="M65" s="195">
        <v>2.6231263383297645E-2</v>
      </c>
      <c r="N65" s="195">
        <v>2.0341994752962757E-2</v>
      </c>
      <c r="O65" s="195">
        <v>1.0563326038179213E-2</v>
      </c>
      <c r="P65" s="195">
        <v>1.8196846433332279E-3</v>
      </c>
      <c r="R65" s="201" t="s">
        <v>468</v>
      </c>
      <c r="S65" s="202">
        <f>SUMIFS(Scoreboard_14[Damage Dealt],Scoreboard_14[Role],"Healer",Scoreboard_14[Team],"Yellow")</f>
        <v>1055329</v>
      </c>
      <c r="T65" s="203">
        <f>SUMIFS(Scoreboard_14[Damage Dealt],Scoreboard_14[Role],"Healer",Scoreboard_14[Team],"Red")</f>
        <v>656213</v>
      </c>
    </row>
    <row r="66" spans="1:20" ht="22.5" customHeight="1">
      <c r="A66" s="115">
        <v>47</v>
      </c>
      <c r="B66" s="115" t="s">
        <v>11</v>
      </c>
      <c r="C66" s="115" t="s">
        <v>10</v>
      </c>
      <c r="D66" s="115" t="s">
        <v>667</v>
      </c>
      <c r="E66" s="98" t="s">
        <v>676</v>
      </c>
      <c r="F66" s="115" t="s">
        <v>476</v>
      </c>
      <c r="G66" s="115">
        <v>1</v>
      </c>
      <c r="H66" s="115">
        <v>93</v>
      </c>
      <c r="I66" s="194">
        <v>94</v>
      </c>
      <c r="J66" s="116">
        <v>56988</v>
      </c>
      <c r="K66" s="116">
        <v>224585</v>
      </c>
      <c r="L66" s="116">
        <v>1041014</v>
      </c>
      <c r="M66" s="195">
        <v>2.5160599571734475E-2</v>
      </c>
      <c r="N66" s="195">
        <v>1.1305119823895005E-3</v>
      </c>
      <c r="O66" s="195">
        <v>7.345577936570459E-3</v>
      </c>
      <c r="P66" s="195">
        <v>4.8820091471957552E-2</v>
      </c>
      <c r="R66" s="201" t="s">
        <v>469</v>
      </c>
      <c r="S66" s="202">
        <f>SUMIFS(Scoreboard_14[Damage Taken],Scoreboard_14[Role],"Healer",Scoreboard_14[Team],"Yellow")</f>
        <v>7793043</v>
      </c>
      <c r="T66" s="203">
        <f>SUMIFS(Scoreboard_14[Damage Taken],Scoreboard_14[Role],"Healer",Scoreboard_14[Team],"Red")</f>
        <v>12557022</v>
      </c>
    </row>
    <row r="67" spans="1:20" ht="22.5" customHeight="1">
      <c r="A67" s="115">
        <v>58</v>
      </c>
      <c r="B67" s="115" t="s">
        <v>11</v>
      </c>
      <c r="C67" s="115" t="s">
        <v>9</v>
      </c>
      <c r="D67" s="115" t="s">
        <v>667</v>
      </c>
      <c r="E67" s="98" t="s">
        <v>688</v>
      </c>
      <c r="F67" s="115" t="s">
        <v>476</v>
      </c>
      <c r="G67" s="115">
        <v>0</v>
      </c>
      <c r="H67" s="115">
        <v>93</v>
      </c>
      <c r="I67" s="194">
        <v>93</v>
      </c>
      <c r="J67" s="116">
        <v>894</v>
      </c>
      <c r="K67" s="116">
        <v>358623</v>
      </c>
      <c r="L67" s="116">
        <v>1454154</v>
      </c>
      <c r="M67" s="195">
        <v>2.4892933618843684E-2</v>
      </c>
      <c r="N67" s="195">
        <v>1.7734921602025224E-5</v>
      </c>
      <c r="O67" s="195">
        <v>1.1729604365147752E-2</v>
      </c>
      <c r="P67" s="195">
        <v>6.8194982290644468E-2</v>
      </c>
      <c r="R67" s="201" t="s">
        <v>470</v>
      </c>
      <c r="S67" s="202">
        <f>SUMIFS(Scoreboard_14[Amount Healed],Scoreboard_14[Role],"Healer",Scoreboard_14[Team],"Yellow")</f>
        <v>20404500</v>
      </c>
      <c r="T67" s="203">
        <f>SUMIFS(Scoreboard_14[Amount Healed],Scoreboard_14[Role],"Healer",Scoreboard_14[Team],"Red")</f>
        <v>30454955</v>
      </c>
    </row>
    <row r="68" spans="1:20" ht="22.5" customHeight="1">
      <c r="A68" s="115">
        <v>16</v>
      </c>
      <c r="B68" s="115" t="s">
        <v>25</v>
      </c>
      <c r="C68" s="115" t="s">
        <v>69</v>
      </c>
      <c r="D68" s="115" t="s">
        <v>667</v>
      </c>
      <c r="E68" s="98" t="s">
        <v>680</v>
      </c>
      <c r="F68" s="115" t="s">
        <v>476</v>
      </c>
      <c r="G68" s="115">
        <v>27</v>
      </c>
      <c r="H68" s="115">
        <v>65</v>
      </c>
      <c r="I68" s="194">
        <v>92</v>
      </c>
      <c r="J68" s="116">
        <v>1267453</v>
      </c>
      <c r="K68" s="116">
        <v>558076</v>
      </c>
      <c r="L68" s="116">
        <v>35241</v>
      </c>
      <c r="M68" s="195">
        <v>2.4625267665952889E-2</v>
      </c>
      <c r="N68" s="195">
        <v>2.5143377616612613E-2</v>
      </c>
      <c r="O68" s="195">
        <v>1.8253181434777461E-2</v>
      </c>
      <c r="P68" s="195">
        <v>1.6526855965080739E-3</v>
      </c>
      <c r="R68" s="201" t="s">
        <v>465</v>
      </c>
      <c r="S68" s="202">
        <f>SUMIFS(Scoreboard_14[Kills],Scoreboard_14[Role],"Healer",Scoreboard_14[Team],"Yellow")</f>
        <v>11</v>
      </c>
      <c r="T68" s="203">
        <f>SUMIFS(Scoreboard_14[Kills],Scoreboard_14[Role],"Healer",Scoreboard_14[Team],"Red")</f>
        <v>3</v>
      </c>
    </row>
    <row r="69" spans="1:20" ht="22.5" customHeight="1">
      <c r="A69" s="115">
        <v>15</v>
      </c>
      <c r="B69" s="115" t="s">
        <v>25</v>
      </c>
      <c r="C69" s="115" t="s">
        <v>69</v>
      </c>
      <c r="D69" s="115" t="s">
        <v>667</v>
      </c>
      <c r="E69" s="98" t="s">
        <v>789</v>
      </c>
      <c r="F69" s="115" t="s">
        <v>476</v>
      </c>
      <c r="G69" s="115">
        <v>28</v>
      </c>
      <c r="H69" s="115">
        <v>60</v>
      </c>
      <c r="I69" s="194">
        <v>88</v>
      </c>
      <c r="J69" s="116">
        <v>1271286</v>
      </c>
      <c r="K69" s="116">
        <v>577019</v>
      </c>
      <c r="L69" s="116">
        <v>28823</v>
      </c>
      <c r="M69" s="195">
        <v>2.3554603854389723E-2</v>
      </c>
      <c r="N69" s="195">
        <v>2.5219415597038299E-2</v>
      </c>
      <c r="O69" s="195">
        <v>1.887275657493577E-2</v>
      </c>
      <c r="P69" s="195">
        <v>1.3517027595173862E-3</v>
      </c>
      <c r="R69" s="201" t="s">
        <v>466</v>
      </c>
      <c r="S69" s="202">
        <f>SUMIFS(Scoreboard_14[Assists],Scoreboard_14[Role],"Healer",Scoreboard_14[Team],"Yellow")</f>
        <v>1102</v>
      </c>
      <c r="T69" s="203">
        <f>SUMIFS(Scoreboard_14[Assists],Scoreboard_14[Role],"Healer",Scoreboard_14[Team],"Red")</f>
        <v>655</v>
      </c>
    </row>
    <row r="70" spans="1:20" ht="22.5" customHeight="1">
      <c r="A70" s="115">
        <v>48</v>
      </c>
      <c r="B70" s="115" t="s">
        <v>11</v>
      </c>
      <c r="C70" s="115" t="s">
        <v>10</v>
      </c>
      <c r="D70" s="115" t="s">
        <v>667</v>
      </c>
      <c r="E70" s="98" t="s">
        <v>790</v>
      </c>
      <c r="F70" s="115" t="s">
        <v>476</v>
      </c>
      <c r="G70" s="115">
        <v>1</v>
      </c>
      <c r="H70" s="115">
        <v>80</v>
      </c>
      <c r="I70" s="194">
        <v>81</v>
      </c>
      <c r="J70" s="116">
        <v>98260</v>
      </c>
      <c r="K70" s="116">
        <v>555448</v>
      </c>
      <c r="L70" s="116">
        <v>1667195</v>
      </c>
      <c r="M70" s="195">
        <v>2.1680942184154176E-2</v>
      </c>
      <c r="N70" s="195">
        <v>1.9492543586297523E-3</v>
      </c>
      <c r="O70" s="195">
        <v>1.8167226545460241E-2</v>
      </c>
      <c r="P70" s="195">
        <v>7.8185896060562365E-2</v>
      </c>
      <c r="R70" s="201" t="s">
        <v>10</v>
      </c>
      <c r="S70" s="202">
        <f t="shared" ref="S70:S72" si="6">COUNTIFS(C:C,R70,F:F,"Yellow")</f>
        <v>8</v>
      </c>
      <c r="T70" s="203">
        <f t="shared" ref="T70:T72" si="7">COUNTIFS(C:C,R70,F:F,"Red")</f>
        <v>8</v>
      </c>
    </row>
    <row r="71" spans="1:20" ht="22.5" customHeight="1">
      <c r="A71" s="115">
        <v>40</v>
      </c>
      <c r="B71" s="115" t="s">
        <v>11</v>
      </c>
      <c r="C71" s="115" t="s">
        <v>10</v>
      </c>
      <c r="D71" s="115" t="s">
        <v>667</v>
      </c>
      <c r="E71" s="98" t="s">
        <v>645</v>
      </c>
      <c r="F71" s="115" t="s">
        <v>476</v>
      </c>
      <c r="G71" s="115">
        <v>2</v>
      </c>
      <c r="H71" s="115">
        <v>72</v>
      </c>
      <c r="I71" s="194">
        <v>74</v>
      </c>
      <c r="J71" s="116">
        <v>53479</v>
      </c>
      <c r="K71" s="116">
        <v>542077</v>
      </c>
      <c r="L71" s="116">
        <v>1166872</v>
      </c>
      <c r="M71" s="195">
        <v>1.980728051391863E-2</v>
      </c>
      <c r="N71" s="195">
        <v>1.0609014232155559E-3</v>
      </c>
      <c r="O71" s="195">
        <v>1.7729896703351983E-2</v>
      </c>
      <c r="P71" s="195">
        <v>5.4722412739949752E-2</v>
      </c>
      <c r="R71" s="201" t="s">
        <v>9</v>
      </c>
      <c r="S71" s="202">
        <f t="shared" si="6"/>
        <v>9</v>
      </c>
      <c r="T71" s="203">
        <f t="shared" si="7"/>
        <v>10</v>
      </c>
    </row>
    <row r="72" spans="1:20" ht="22.5" customHeight="1">
      <c r="A72" s="115">
        <v>49</v>
      </c>
      <c r="B72" s="115" t="s">
        <v>11</v>
      </c>
      <c r="C72" s="115" t="s">
        <v>9</v>
      </c>
      <c r="D72" s="115" t="s">
        <v>667</v>
      </c>
      <c r="E72" s="98" t="s">
        <v>602</v>
      </c>
      <c r="F72" s="115" t="s">
        <v>476</v>
      </c>
      <c r="G72" s="115">
        <v>1</v>
      </c>
      <c r="H72" s="115">
        <v>73</v>
      </c>
      <c r="I72" s="194">
        <v>74</v>
      </c>
      <c r="J72" s="116">
        <v>39276</v>
      </c>
      <c r="K72" s="116">
        <v>525490</v>
      </c>
      <c r="L72" s="116">
        <v>431870</v>
      </c>
      <c r="M72" s="195">
        <v>1.980728051391863E-2</v>
      </c>
      <c r="N72" s="195">
        <v>7.7914628729434314E-4</v>
      </c>
      <c r="O72" s="195">
        <v>1.7187380056051877E-2</v>
      </c>
      <c r="P72" s="195">
        <v>2.025326547384983E-2</v>
      </c>
      <c r="R72" s="201" t="s">
        <v>18</v>
      </c>
      <c r="S72" s="202">
        <f t="shared" si="6"/>
        <v>0</v>
      </c>
      <c r="T72" s="203">
        <f t="shared" si="7"/>
        <v>0</v>
      </c>
    </row>
    <row r="73" spans="1:20" ht="22.5" customHeight="1">
      <c r="A73" s="115">
        <v>59</v>
      </c>
      <c r="B73" s="115" t="s">
        <v>11</v>
      </c>
      <c r="C73" s="115" t="s">
        <v>9</v>
      </c>
      <c r="D73" s="115" t="s">
        <v>667</v>
      </c>
      <c r="E73" s="98" t="s">
        <v>639</v>
      </c>
      <c r="F73" s="115" t="s">
        <v>476</v>
      </c>
      <c r="G73" s="115">
        <v>0</v>
      </c>
      <c r="H73" s="115">
        <v>69</v>
      </c>
      <c r="I73" s="194">
        <v>69</v>
      </c>
      <c r="J73" s="116">
        <v>25954</v>
      </c>
      <c r="K73" s="116">
        <v>208769</v>
      </c>
      <c r="L73" s="116">
        <v>522978</v>
      </c>
      <c r="M73" s="195">
        <v>1.8468950749464669E-2</v>
      </c>
      <c r="N73" s="195">
        <v>5.1486818261628931E-4</v>
      </c>
      <c r="O73" s="195">
        <v>6.8282786483508618E-3</v>
      </c>
      <c r="P73" s="195">
        <v>2.4525927410987188E-2</v>
      </c>
    </row>
    <row r="74" spans="1:20" ht="22.5" customHeight="1">
      <c r="A74" s="115">
        <v>29</v>
      </c>
      <c r="B74" s="115" t="s">
        <v>25</v>
      </c>
      <c r="C74" s="115" t="s">
        <v>69</v>
      </c>
      <c r="D74" s="115" t="s">
        <v>667</v>
      </c>
      <c r="E74" s="98" t="s">
        <v>776</v>
      </c>
      <c r="F74" s="115" t="s">
        <v>476</v>
      </c>
      <c r="G74" s="115">
        <v>19</v>
      </c>
      <c r="H74" s="115">
        <v>49</v>
      </c>
      <c r="I74" s="194">
        <v>68</v>
      </c>
      <c r="J74" s="116">
        <v>1067014</v>
      </c>
      <c r="K74" s="116">
        <v>481925</v>
      </c>
      <c r="L74" s="116">
        <v>19167</v>
      </c>
      <c r="M74" s="195">
        <v>1.8201284796573874E-2</v>
      </c>
      <c r="N74" s="195">
        <v>2.1167124875014924E-2</v>
      </c>
      <c r="O74" s="195">
        <v>1.5762484792313462E-2</v>
      </c>
      <c r="P74" s="195">
        <v>8.9886850056100144E-4</v>
      </c>
    </row>
    <row r="75" spans="1:20" ht="22.5" customHeight="1">
      <c r="A75" s="115">
        <v>60</v>
      </c>
      <c r="B75" s="115" t="s">
        <v>11</v>
      </c>
      <c r="C75" s="115" t="s">
        <v>10</v>
      </c>
      <c r="D75" s="115" t="s">
        <v>667</v>
      </c>
      <c r="E75" s="98" t="s">
        <v>366</v>
      </c>
      <c r="F75" s="115" t="s">
        <v>476</v>
      </c>
      <c r="G75" s="115">
        <v>0</v>
      </c>
      <c r="H75" s="115">
        <v>68</v>
      </c>
      <c r="I75" s="194">
        <v>68</v>
      </c>
      <c r="J75" s="116">
        <v>72899</v>
      </c>
      <c r="K75" s="116">
        <v>470996</v>
      </c>
      <c r="L75" s="116">
        <v>1441136</v>
      </c>
      <c r="M75" s="195">
        <v>1.8201284796573874E-2</v>
      </c>
      <c r="N75" s="195">
        <v>1.4461499439217414E-3</v>
      </c>
      <c r="O75" s="195">
        <v>1.540502627429677E-2</v>
      </c>
      <c r="P75" s="195">
        <v>6.7584481422469839E-2</v>
      </c>
    </row>
    <row r="76" spans="1:20" ht="22.5" customHeight="1">
      <c r="A76" s="115">
        <v>61</v>
      </c>
      <c r="B76" s="115" t="s">
        <v>11</v>
      </c>
      <c r="C76" s="115" t="s">
        <v>9</v>
      </c>
      <c r="D76" s="115" t="s">
        <v>667</v>
      </c>
      <c r="E76" s="98" t="s">
        <v>791</v>
      </c>
      <c r="F76" s="115" t="s">
        <v>476</v>
      </c>
      <c r="G76" s="115">
        <v>0</v>
      </c>
      <c r="H76" s="115">
        <v>68</v>
      </c>
      <c r="I76" s="194">
        <v>68</v>
      </c>
      <c r="J76" s="116">
        <v>14971</v>
      </c>
      <c r="K76" s="116">
        <v>577679</v>
      </c>
      <c r="L76" s="116">
        <v>931960</v>
      </c>
      <c r="M76" s="195">
        <v>1.8201284796573874E-2</v>
      </c>
      <c r="N76" s="195">
        <v>2.9699050481422776E-4</v>
      </c>
      <c r="O76" s="195">
        <v>1.8894343419284844E-2</v>
      </c>
      <c r="P76" s="195">
        <v>4.3705821870028222E-2</v>
      </c>
    </row>
    <row r="77" spans="1:20" ht="22.5" customHeight="1">
      <c r="A77" s="115">
        <v>62</v>
      </c>
      <c r="B77" s="115" t="s">
        <v>11</v>
      </c>
      <c r="C77" s="115" t="s">
        <v>9</v>
      </c>
      <c r="D77" s="115" t="s">
        <v>667</v>
      </c>
      <c r="E77" s="98" t="s">
        <v>641</v>
      </c>
      <c r="F77" s="115" t="s">
        <v>476</v>
      </c>
      <c r="G77" s="115">
        <v>0</v>
      </c>
      <c r="H77" s="115">
        <v>66</v>
      </c>
      <c r="I77" s="194">
        <v>66</v>
      </c>
      <c r="J77" s="116">
        <v>11735</v>
      </c>
      <c r="K77" s="116">
        <v>117018</v>
      </c>
      <c r="L77" s="116">
        <v>746586</v>
      </c>
      <c r="M77" s="195">
        <v>1.7665952890792293E-2</v>
      </c>
      <c r="N77" s="195">
        <v>2.3279564317647204E-4</v>
      </c>
      <c r="O77" s="195">
        <v>3.8273475030905983E-3</v>
      </c>
      <c r="P77" s="195">
        <v>3.501239830749913E-2</v>
      </c>
    </row>
    <row r="78" spans="1:20" ht="22.5" customHeight="1">
      <c r="A78" s="115">
        <v>26</v>
      </c>
      <c r="B78" s="115" t="s">
        <v>25</v>
      </c>
      <c r="C78" s="115" t="s">
        <v>69</v>
      </c>
      <c r="D78" s="115" t="s">
        <v>667</v>
      </c>
      <c r="E78" s="98" t="s">
        <v>125</v>
      </c>
      <c r="F78" s="115" t="s">
        <v>476</v>
      </c>
      <c r="G78" s="115">
        <v>20</v>
      </c>
      <c r="H78" s="115">
        <v>41</v>
      </c>
      <c r="I78" s="194">
        <v>61</v>
      </c>
      <c r="J78" s="116">
        <v>847521</v>
      </c>
      <c r="K78" s="116">
        <v>699999</v>
      </c>
      <c r="L78" s="116">
        <v>44690</v>
      </c>
      <c r="M78" s="195">
        <v>1.6327623126338328E-2</v>
      </c>
      <c r="N78" s="195">
        <v>1.6812884218199129E-2</v>
      </c>
      <c r="O78" s="195">
        <v>2.2895105238646327E-2</v>
      </c>
      <c r="P78" s="195">
        <v>2.0958122444864171E-3</v>
      </c>
    </row>
    <row r="79" spans="1:20" ht="22.5" customHeight="1">
      <c r="A79" s="115">
        <v>41</v>
      </c>
      <c r="B79" s="115" t="s">
        <v>11</v>
      </c>
      <c r="C79" s="115" t="s">
        <v>10</v>
      </c>
      <c r="D79" s="115" t="s">
        <v>667</v>
      </c>
      <c r="E79" s="98" t="s">
        <v>782</v>
      </c>
      <c r="F79" s="115" t="s">
        <v>476</v>
      </c>
      <c r="G79" s="115">
        <v>2</v>
      </c>
      <c r="H79" s="115">
        <v>58</v>
      </c>
      <c r="I79" s="194">
        <v>60</v>
      </c>
      <c r="J79" s="116">
        <v>406608</v>
      </c>
      <c r="K79" s="116">
        <v>742106</v>
      </c>
      <c r="L79" s="116">
        <v>1825423</v>
      </c>
      <c r="M79" s="195">
        <v>1.6059957173447537E-2</v>
      </c>
      <c r="N79" s="195">
        <v>8.0661756182956075E-3</v>
      </c>
      <c r="O79" s="195">
        <v>2.4272313200777246E-2</v>
      </c>
      <c r="P79" s="195">
        <v>8.5606262581497616E-2</v>
      </c>
    </row>
    <row r="80" spans="1:20" ht="22.5" customHeight="1">
      <c r="A80" s="115">
        <v>50</v>
      </c>
      <c r="B80" s="115" t="s">
        <v>11</v>
      </c>
      <c r="C80" s="115" t="s">
        <v>9</v>
      </c>
      <c r="D80" s="115" t="s">
        <v>667</v>
      </c>
      <c r="E80" s="98" t="s">
        <v>121</v>
      </c>
      <c r="F80" s="115" t="s">
        <v>476</v>
      </c>
      <c r="G80" s="115">
        <v>1</v>
      </c>
      <c r="H80" s="115">
        <v>49</v>
      </c>
      <c r="I80" s="194">
        <v>50</v>
      </c>
      <c r="J80" s="116">
        <v>34585</v>
      </c>
      <c r="K80" s="116">
        <v>509621</v>
      </c>
      <c r="L80" s="116">
        <v>1436174</v>
      </c>
      <c r="M80" s="195">
        <v>1.3383297644539615E-2</v>
      </c>
      <c r="N80" s="195">
        <v>6.8608754318349259E-4</v>
      </c>
      <c r="O80" s="195">
        <v>1.6668347278816369E-2</v>
      </c>
      <c r="P80" s="195">
        <v>6.735178013902518E-2</v>
      </c>
    </row>
    <row r="81" spans="1:16" ht="22.5" customHeight="1">
      <c r="A81" s="115">
        <v>42</v>
      </c>
      <c r="B81" s="115" t="s">
        <v>11</v>
      </c>
      <c r="C81" s="115" t="s">
        <v>10</v>
      </c>
      <c r="D81" s="115" t="s">
        <v>667</v>
      </c>
      <c r="E81" s="98" t="s">
        <v>677</v>
      </c>
      <c r="F81" s="115" t="s">
        <v>476</v>
      </c>
      <c r="G81" s="115">
        <v>2</v>
      </c>
      <c r="H81" s="115">
        <v>46</v>
      </c>
      <c r="I81" s="194">
        <v>48</v>
      </c>
      <c r="J81" s="116">
        <v>96126</v>
      </c>
      <c r="K81" s="116">
        <v>505743</v>
      </c>
      <c r="L81" s="116">
        <v>2818051</v>
      </c>
      <c r="M81" s="195">
        <v>1.284796573875803E-2</v>
      </c>
      <c r="N81" s="195">
        <v>1.90692066433588E-3</v>
      </c>
      <c r="O81" s="195">
        <v>1.6541508214595605E-2</v>
      </c>
      <c r="P81" s="195">
        <v>0.13215721171150574</v>
      </c>
    </row>
    <row r="82" spans="1:16" ht="22.5" customHeight="1">
      <c r="A82" s="115">
        <v>35</v>
      </c>
      <c r="B82" s="115" t="s">
        <v>67</v>
      </c>
      <c r="C82" s="115" t="s">
        <v>14</v>
      </c>
      <c r="D82" s="115" t="s">
        <v>667</v>
      </c>
      <c r="E82" s="98" t="s">
        <v>686</v>
      </c>
      <c r="F82" s="115" t="s">
        <v>476</v>
      </c>
      <c r="G82" s="115">
        <v>7</v>
      </c>
      <c r="H82" s="115">
        <v>40</v>
      </c>
      <c r="I82" s="194">
        <v>47</v>
      </c>
      <c r="J82" s="116">
        <v>653152</v>
      </c>
      <c r="K82" s="116">
        <v>1228370</v>
      </c>
      <c r="L82" s="116">
        <v>53528</v>
      </c>
      <c r="M82" s="195">
        <v>1.2580299785867237E-2</v>
      </c>
      <c r="N82" s="195">
        <v>1.2957046436472013E-2</v>
      </c>
      <c r="O82" s="195">
        <v>4.0176715141015895E-2</v>
      </c>
      <c r="P82" s="195">
        <v>2.5102850262445496E-3</v>
      </c>
    </row>
    <row r="83" spans="1:16" ht="22.5" customHeight="1">
      <c r="A83" s="115">
        <v>69</v>
      </c>
      <c r="B83" s="115" t="s">
        <v>11</v>
      </c>
      <c r="C83" s="115" t="s">
        <v>10</v>
      </c>
      <c r="D83" s="115" t="s">
        <v>667</v>
      </c>
      <c r="E83" s="98" t="s">
        <v>687</v>
      </c>
      <c r="F83" s="115" t="s">
        <v>476</v>
      </c>
      <c r="G83" s="115">
        <v>0</v>
      </c>
      <c r="H83" s="115">
        <v>45</v>
      </c>
      <c r="I83" s="194">
        <v>45</v>
      </c>
      <c r="J83" s="116">
        <v>41612</v>
      </c>
      <c r="K83" s="116">
        <v>792054</v>
      </c>
      <c r="L83" s="116">
        <v>1204556</v>
      </c>
      <c r="M83" s="195">
        <v>1.2044967880085654E-2</v>
      </c>
      <c r="N83" s="195">
        <v>8.2548720101059691E-4</v>
      </c>
      <c r="O83" s="195">
        <v>2.5905979415243131E-2</v>
      </c>
      <c r="P83" s="195">
        <v>5.6489666904667273E-2</v>
      </c>
    </row>
    <row r="84" spans="1:16" ht="22.5" customHeight="1">
      <c r="A84" s="115">
        <v>70</v>
      </c>
      <c r="B84" s="115" t="s">
        <v>11</v>
      </c>
      <c r="C84" s="115" t="s">
        <v>9</v>
      </c>
      <c r="D84" s="115" t="s">
        <v>667</v>
      </c>
      <c r="E84" s="98" t="s">
        <v>785</v>
      </c>
      <c r="F84" s="115" t="s">
        <v>476</v>
      </c>
      <c r="G84" s="115">
        <v>0</v>
      </c>
      <c r="H84" s="115">
        <v>44</v>
      </c>
      <c r="I84" s="194">
        <v>44</v>
      </c>
      <c r="J84" s="116">
        <v>45296</v>
      </c>
      <c r="K84" s="116">
        <v>142553</v>
      </c>
      <c r="L84" s="116">
        <v>774257</v>
      </c>
      <c r="M84" s="195">
        <v>1.1777301927194861E-2</v>
      </c>
      <c r="N84" s="195">
        <v>8.9856936116927807E-4</v>
      </c>
      <c r="O84" s="195">
        <v>4.6625294280202541E-3</v>
      </c>
      <c r="P84" s="195">
        <v>3.6310076101573503E-2</v>
      </c>
    </row>
    <row r="85" spans="1:16" ht="22.5" customHeight="1">
      <c r="A85" s="115">
        <v>37</v>
      </c>
      <c r="B85" s="115" t="s">
        <v>67</v>
      </c>
      <c r="C85" s="115" t="s">
        <v>14</v>
      </c>
      <c r="D85" s="115" t="s">
        <v>667</v>
      </c>
      <c r="E85" s="98" t="s">
        <v>408</v>
      </c>
      <c r="F85" s="115" t="s">
        <v>476</v>
      </c>
      <c r="G85" s="115">
        <v>4</v>
      </c>
      <c r="H85" s="115">
        <v>39</v>
      </c>
      <c r="I85" s="194">
        <v>43</v>
      </c>
      <c r="J85" s="116">
        <v>528145</v>
      </c>
      <c r="K85" s="116">
        <v>691403</v>
      </c>
      <c r="L85" s="116">
        <v>3104</v>
      </c>
      <c r="M85" s="195">
        <v>1.1509635974304069E-2</v>
      </c>
      <c r="N85" s="195">
        <v>1.0477192583335137E-2</v>
      </c>
      <c r="O85" s="195">
        <v>2.2613952944669613E-2</v>
      </c>
      <c r="P85" s="195">
        <v>1.4556726799923558E-4</v>
      </c>
    </row>
    <row r="86" spans="1:16" ht="22.5" customHeight="1">
      <c r="A86" s="115">
        <v>73</v>
      </c>
      <c r="B86" s="115" t="s">
        <v>11</v>
      </c>
      <c r="C86" s="115" t="s">
        <v>9</v>
      </c>
      <c r="D86" s="115" t="s">
        <v>667</v>
      </c>
      <c r="E86" s="98" t="s">
        <v>679</v>
      </c>
      <c r="F86" s="115" t="s">
        <v>476</v>
      </c>
      <c r="G86" s="115">
        <v>0</v>
      </c>
      <c r="H86" s="115">
        <v>41</v>
      </c>
      <c r="I86" s="194">
        <v>41</v>
      </c>
      <c r="J86" s="116">
        <v>1102</v>
      </c>
      <c r="K86" s="116">
        <v>666718</v>
      </c>
      <c r="L86" s="116">
        <v>1004356</v>
      </c>
      <c r="M86" s="195">
        <v>1.0974304068522484E-2</v>
      </c>
      <c r="N86" s="195">
        <v>2.1861167343883443E-5</v>
      </c>
      <c r="O86" s="195">
        <v>2.180657225867437E-2</v>
      </c>
      <c r="P86" s="195">
        <v>4.7100953292087709E-2</v>
      </c>
    </row>
    <row r="87" spans="1:16" ht="22.5" customHeight="1">
      <c r="A87" s="115">
        <v>52</v>
      </c>
      <c r="B87" s="115" t="s">
        <v>11</v>
      </c>
      <c r="C87" s="115" t="s">
        <v>10</v>
      </c>
      <c r="D87" s="115" t="s">
        <v>667</v>
      </c>
      <c r="E87" s="98" t="s">
        <v>683</v>
      </c>
      <c r="F87" s="115" t="s">
        <v>476</v>
      </c>
      <c r="G87" s="115">
        <v>1</v>
      </c>
      <c r="H87" s="115">
        <v>38</v>
      </c>
      <c r="I87" s="194">
        <v>39</v>
      </c>
      <c r="J87" s="116">
        <v>55544</v>
      </c>
      <c r="K87" s="116">
        <v>711846</v>
      </c>
      <c r="L87" s="116">
        <v>1364934</v>
      </c>
      <c r="M87" s="195">
        <v>1.04389721627409E-2</v>
      </c>
      <c r="N87" s="195">
        <v>1.1018663148354465E-3</v>
      </c>
      <c r="O87" s="195">
        <v>2.3282589094712182E-2</v>
      </c>
      <c r="P87" s="195">
        <v>6.4010861269094277E-2</v>
      </c>
    </row>
    <row r="88" spans="1:16" ht="22.5" customHeight="1">
      <c r="A88" s="115">
        <v>44</v>
      </c>
      <c r="B88" s="115" t="s">
        <v>67</v>
      </c>
      <c r="C88" s="115" t="s">
        <v>14</v>
      </c>
      <c r="D88" s="115" t="s">
        <v>667</v>
      </c>
      <c r="E88" s="98" t="s">
        <v>781</v>
      </c>
      <c r="F88" s="115" t="s">
        <v>476</v>
      </c>
      <c r="G88" s="115">
        <v>2</v>
      </c>
      <c r="H88" s="115">
        <v>27</v>
      </c>
      <c r="I88" s="194">
        <v>29</v>
      </c>
      <c r="J88" s="116">
        <v>332578</v>
      </c>
      <c r="K88" s="116">
        <v>532837</v>
      </c>
      <c r="L88" s="116">
        <v>53281</v>
      </c>
      <c r="M88" s="195">
        <v>7.7623126338329761E-3</v>
      </c>
      <c r="N88" s="195">
        <v>6.5975892131525113E-3</v>
      </c>
      <c r="O88" s="195">
        <v>1.7427680882464963E-2</v>
      </c>
      <c r="P88" s="195">
        <v>2.4987015484108479E-3</v>
      </c>
    </row>
    <row r="89" spans="1:16" ht="22.5" customHeight="1">
      <c r="A89" s="115">
        <v>77</v>
      </c>
      <c r="B89" s="115" t="s">
        <v>67</v>
      </c>
      <c r="C89" s="115" t="s">
        <v>14</v>
      </c>
      <c r="D89" s="115" t="s">
        <v>667</v>
      </c>
      <c r="E89" s="98" t="s">
        <v>786</v>
      </c>
      <c r="F89" s="115" t="s">
        <v>476</v>
      </c>
      <c r="G89" s="115">
        <v>0</v>
      </c>
      <c r="H89" s="115">
        <v>28</v>
      </c>
      <c r="I89" s="194">
        <v>28</v>
      </c>
      <c r="J89" s="116">
        <v>215994</v>
      </c>
      <c r="K89" s="116">
        <v>795072</v>
      </c>
      <c r="L89" s="116">
        <v>55791</v>
      </c>
      <c r="M89" s="195">
        <v>7.4946466809421844E-3</v>
      </c>
      <c r="N89" s="195">
        <v>4.28482847484098E-3</v>
      </c>
      <c r="O89" s="195">
        <v>2.6004690167130255E-2</v>
      </c>
      <c r="P89" s="195">
        <v>2.6164121936035284E-3</v>
      </c>
    </row>
    <row r="90" spans="1:16" ht="22.5" customHeight="1">
      <c r="A90" s="115">
        <v>46</v>
      </c>
      <c r="B90" s="115" t="s">
        <v>67</v>
      </c>
      <c r="C90" s="115" t="s">
        <v>14</v>
      </c>
      <c r="D90" s="115" t="s">
        <v>667</v>
      </c>
      <c r="E90" s="98" t="s">
        <v>692</v>
      </c>
      <c r="F90" s="115" t="s">
        <v>476</v>
      </c>
      <c r="G90" s="115">
        <v>2</v>
      </c>
      <c r="H90" s="115">
        <v>19</v>
      </c>
      <c r="I90" s="194">
        <v>21</v>
      </c>
      <c r="J90" s="116">
        <v>296118</v>
      </c>
      <c r="K90" s="116">
        <v>1017102</v>
      </c>
      <c r="L90" s="116">
        <v>34757</v>
      </c>
      <c r="M90" s="195">
        <v>5.6209850107066381E-3</v>
      </c>
      <c r="N90" s="195">
        <v>5.8743059451325562E-3</v>
      </c>
      <c r="O90" s="195">
        <v>3.3266700850197867E-2</v>
      </c>
      <c r="P90" s="195">
        <v>1.6299876075545848E-3</v>
      </c>
    </row>
    <row r="91" spans="1:16" ht="22.5" customHeight="1">
      <c r="A91" s="115">
        <v>82</v>
      </c>
      <c r="B91" s="115" t="s">
        <v>67</v>
      </c>
      <c r="C91" s="115" t="s">
        <v>14</v>
      </c>
      <c r="D91" s="115" t="s">
        <v>667</v>
      </c>
      <c r="E91" s="98" t="s">
        <v>690</v>
      </c>
      <c r="F91" s="115" t="s">
        <v>476</v>
      </c>
      <c r="G91" s="115">
        <v>0</v>
      </c>
      <c r="H91" s="115">
        <v>20</v>
      </c>
      <c r="I91" s="194">
        <v>20</v>
      </c>
      <c r="J91" s="116">
        <v>88486</v>
      </c>
      <c r="K91" s="116">
        <v>537975</v>
      </c>
      <c r="L91" s="116">
        <v>82295</v>
      </c>
      <c r="M91" s="195">
        <v>5.3533190578158455E-3</v>
      </c>
      <c r="N91" s="195">
        <v>1.7553604842022417E-3</v>
      </c>
      <c r="O91" s="195">
        <v>1.7595731194988504E-2</v>
      </c>
      <c r="P91" s="195">
        <v>3.8593615721640119E-3</v>
      </c>
    </row>
    <row r="92" spans="1:16" ht="22.5" customHeight="1">
      <c r="A92" s="115">
        <v>83</v>
      </c>
      <c r="B92" s="115" t="s">
        <v>67</v>
      </c>
      <c r="C92" s="115" t="s">
        <v>14</v>
      </c>
      <c r="D92" s="115" t="s">
        <v>667</v>
      </c>
      <c r="E92" s="98" t="s">
        <v>685</v>
      </c>
      <c r="F92" s="115" t="s">
        <v>476</v>
      </c>
      <c r="G92" s="115">
        <v>0</v>
      </c>
      <c r="H92" s="115">
        <v>18</v>
      </c>
      <c r="I92" s="194">
        <v>18</v>
      </c>
      <c r="J92" s="116">
        <v>307340</v>
      </c>
      <c r="K92" s="116">
        <v>466399</v>
      </c>
      <c r="L92" s="116">
        <v>34025</v>
      </c>
      <c r="M92" s="195">
        <v>4.8179871520342612E-3</v>
      </c>
      <c r="N92" s="195">
        <v>6.0969248379937726E-3</v>
      </c>
      <c r="O92" s="195">
        <v>1.5254670632671486E-2</v>
      </c>
      <c r="P92" s="195">
        <v>1.5956592440960022E-3</v>
      </c>
    </row>
    <row r="93" spans="1:16" ht="22.5" customHeight="1">
      <c r="A93" s="115">
        <v>54</v>
      </c>
      <c r="B93" s="115" t="s">
        <v>67</v>
      </c>
      <c r="C93" s="115" t="s">
        <v>14</v>
      </c>
      <c r="D93" s="115" t="s">
        <v>667</v>
      </c>
      <c r="E93" s="98" t="s">
        <v>691</v>
      </c>
      <c r="F93" s="115" t="s">
        <v>476</v>
      </c>
      <c r="G93" s="115">
        <v>1</v>
      </c>
      <c r="H93" s="115">
        <v>14</v>
      </c>
      <c r="I93" s="194">
        <v>15</v>
      </c>
      <c r="J93" s="116">
        <v>52336</v>
      </c>
      <c r="K93" s="116">
        <v>1038002</v>
      </c>
      <c r="L93" s="116">
        <v>90014</v>
      </c>
      <c r="M93" s="195">
        <v>4.0149892933618843E-3</v>
      </c>
      <c r="N93" s="195">
        <v>1.0382269093552486E-3</v>
      </c>
      <c r="O93" s="195">
        <v>3.395028425458517E-2</v>
      </c>
      <c r="P93" s="195">
        <v>4.2213569786350488E-3</v>
      </c>
    </row>
    <row r="94" spans="1:16" ht="22.5" customHeight="1">
      <c r="A94" s="115">
        <v>84</v>
      </c>
      <c r="B94" s="115" t="s">
        <v>67</v>
      </c>
      <c r="C94" s="115" t="s">
        <v>14</v>
      </c>
      <c r="D94" s="115" t="s">
        <v>667</v>
      </c>
      <c r="E94" s="98" t="s">
        <v>123</v>
      </c>
      <c r="F94" s="115" t="s">
        <v>476</v>
      </c>
      <c r="G94" s="115">
        <v>0</v>
      </c>
      <c r="H94" s="115">
        <v>15</v>
      </c>
      <c r="I94" s="194">
        <v>15</v>
      </c>
      <c r="J94" s="116">
        <v>138373</v>
      </c>
      <c r="K94" s="116">
        <v>516693</v>
      </c>
      <c r="L94" s="116">
        <v>43122</v>
      </c>
      <c r="M94" s="195">
        <v>4.0149892933618843E-3</v>
      </c>
      <c r="N94" s="195">
        <v>2.7450048174910923E-3</v>
      </c>
      <c r="O94" s="195">
        <v>1.6899653586750676E-2</v>
      </c>
      <c r="P94" s="195">
        <v>2.0222782637445351E-3</v>
      </c>
    </row>
    <row r="95" spans="1:16" ht="22.5" customHeight="1">
      <c r="A95" s="115">
        <v>87</v>
      </c>
      <c r="B95" s="115" t="s">
        <v>67</v>
      </c>
      <c r="C95" s="115" t="s">
        <v>14</v>
      </c>
      <c r="D95" s="115" t="s">
        <v>667</v>
      </c>
      <c r="E95" s="98" t="s">
        <v>712</v>
      </c>
      <c r="F95" s="115" t="s">
        <v>476</v>
      </c>
      <c r="G95" s="115">
        <v>0</v>
      </c>
      <c r="H95" s="115">
        <v>12</v>
      </c>
      <c r="I95" s="194">
        <v>12</v>
      </c>
      <c r="J95" s="116">
        <v>33809</v>
      </c>
      <c r="K95" s="116">
        <v>196212</v>
      </c>
      <c r="L95" s="116">
        <v>4333</v>
      </c>
      <c r="M95" s="195">
        <v>3.2119914346895075E-3</v>
      </c>
      <c r="N95" s="195">
        <v>6.7069347253117541E-4</v>
      </c>
      <c r="O95" s="195">
        <v>6.4175725809397909E-3</v>
      </c>
      <c r="P95" s="195">
        <v>2.0320327713939683E-4</v>
      </c>
    </row>
    <row r="96" spans="1:16" ht="22.5" customHeight="1">
      <c r="A96" s="115">
        <v>88</v>
      </c>
      <c r="B96" s="115" t="s">
        <v>67</v>
      </c>
      <c r="C96" s="115" t="s">
        <v>14</v>
      </c>
      <c r="D96" s="115" t="s">
        <v>667</v>
      </c>
      <c r="E96" s="98" t="s">
        <v>698</v>
      </c>
      <c r="F96" s="115" t="s">
        <v>476</v>
      </c>
      <c r="G96" s="115">
        <v>0</v>
      </c>
      <c r="H96" s="115">
        <v>12</v>
      </c>
      <c r="I96" s="194">
        <v>12</v>
      </c>
      <c r="J96" s="116">
        <v>30383</v>
      </c>
      <c r="K96" s="116">
        <v>619486</v>
      </c>
      <c r="L96" s="116">
        <v>7797</v>
      </c>
      <c r="M96" s="195">
        <v>3.2119914346895075E-3</v>
      </c>
      <c r="N96" s="195">
        <v>6.0272944410999149E-4</v>
      </c>
      <c r="O96" s="195">
        <v>2.0261739179438909E-2</v>
      </c>
      <c r="P96" s="195">
        <v>3.6565334683957471E-4</v>
      </c>
    </row>
    <row r="97" spans="1:16" ht="22.5" customHeight="1">
      <c r="A97" s="115">
        <v>56</v>
      </c>
      <c r="B97" s="115" t="s">
        <v>67</v>
      </c>
      <c r="C97" s="115" t="s">
        <v>14</v>
      </c>
      <c r="D97" s="115" t="s">
        <v>667</v>
      </c>
      <c r="E97" s="98" t="s">
        <v>792</v>
      </c>
      <c r="F97" s="115" t="s">
        <v>476</v>
      </c>
      <c r="G97" s="115">
        <v>1</v>
      </c>
      <c r="H97" s="115">
        <v>4</v>
      </c>
      <c r="I97" s="194">
        <v>5</v>
      </c>
      <c r="J97" s="116">
        <v>52560</v>
      </c>
      <c r="K97" s="116">
        <v>1023351</v>
      </c>
      <c r="L97" s="116">
        <v>17240</v>
      </c>
      <c r="M97" s="195">
        <v>1.3383297644539614E-3</v>
      </c>
      <c r="N97" s="195">
        <v>1.0426705586157113E-3</v>
      </c>
      <c r="O97" s="195">
        <v>3.3471089017375673E-2</v>
      </c>
      <c r="P97" s="195">
        <v>8.0849861478956881E-4</v>
      </c>
    </row>
    <row r="98" spans="1:16" ht="22.5" hidden="1" customHeight="1">
      <c r="A98" s="115"/>
      <c r="B98" s="115" t="e">
        <f>VLOOKUP(C98,Lists!I:J,2,FALSE)</f>
        <v>#N/A</v>
      </c>
      <c r="C98" s="115" t="e">
        <f>VLOOKUP(E98,Lists!D:E,2,FALSE)</f>
        <v>#N/A</v>
      </c>
      <c r="D98" s="115"/>
      <c r="E98" s="98"/>
      <c r="F98" s="115"/>
      <c r="G98" s="115"/>
      <c r="H98" s="115"/>
      <c r="I98" s="194">
        <f t="shared" ref="I98:I103" si="8">SUM(G98:H98)</f>
        <v>0</v>
      </c>
      <c r="J98" s="116"/>
      <c r="K98" s="116"/>
      <c r="L98" s="116"/>
      <c r="M98" s="195" t="e">
        <f>I98/(HLOOKUP(F98,Team_Composition_14[[#All],[Yellow]:[Red]],10,FALSE)+HLOOKUP(F98,Team_Composition_14[[#All],[Yellow]:[Red]],11,FALSE))</f>
        <v>#N/A</v>
      </c>
      <c r="N98" s="195" t="e">
        <f>J98/HLOOKUP(F98,Team_Composition_14[[#All],[Yellow]:[Red]],6,FALSE)</f>
        <v>#N/A</v>
      </c>
      <c r="O98" s="195" t="e">
        <f>K98/HLOOKUP(F98,Team_Composition_14[[#All],[Yellow]:[Red]],8,FALSE)</f>
        <v>#N/A</v>
      </c>
      <c r="P98" s="195" t="e">
        <f>L98/HLOOKUP(F98,Team_Composition_14[[#All],[Yellow]:[Red]],7,FALSE)</f>
        <v>#N/A</v>
      </c>
    </row>
    <row r="99" spans="1:16" ht="22.5" hidden="1" customHeight="1">
      <c r="A99" s="115"/>
      <c r="B99" s="115" t="e">
        <f>VLOOKUP(C99,Lists!I:J,2,FALSE)</f>
        <v>#N/A</v>
      </c>
      <c r="C99" s="115" t="e">
        <f>VLOOKUP(E99,Lists!D:E,2,FALSE)</f>
        <v>#N/A</v>
      </c>
      <c r="D99" s="115"/>
      <c r="E99" s="98"/>
      <c r="F99" s="115"/>
      <c r="G99" s="115"/>
      <c r="H99" s="115"/>
      <c r="I99" s="194">
        <f t="shared" si="8"/>
        <v>0</v>
      </c>
      <c r="J99" s="116"/>
      <c r="K99" s="116"/>
      <c r="L99" s="116"/>
      <c r="M99" s="195" t="e">
        <f>I99/(HLOOKUP(F99,Team_Composition_14[[#All],[Yellow]:[Red]],10,FALSE)+HLOOKUP(F99,Team_Composition_14[[#All],[Yellow]:[Red]],11,FALSE))</f>
        <v>#N/A</v>
      </c>
      <c r="N99" s="195" t="e">
        <f>J99/HLOOKUP(F99,Team_Composition_14[[#All],[Yellow]:[Red]],6,FALSE)</f>
        <v>#N/A</v>
      </c>
      <c r="O99" s="195" t="e">
        <f>K99/HLOOKUP(F99,Team_Composition_14[[#All],[Yellow]:[Red]],8,FALSE)</f>
        <v>#N/A</v>
      </c>
      <c r="P99" s="195" t="e">
        <f>L99/HLOOKUP(F99,Team_Composition_14[[#All],[Yellow]:[Red]],7,FALSE)</f>
        <v>#N/A</v>
      </c>
    </row>
    <row r="100" spans="1:16" ht="22.5" hidden="1" customHeight="1">
      <c r="A100" s="115"/>
      <c r="B100" s="115" t="e">
        <f>VLOOKUP(C100,Lists!I:J,2,FALSE)</f>
        <v>#N/A</v>
      </c>
      <c r="C100" s="115" t="e">
        <f>VLOOKUP(E100,Lists!D:E,2,FALSE)</f>
        <v>#N/A</v>
      </c>
      <c r="D100" s="115"/>
      <c r="E100" s="98"/>
      <c r="F100" s="115"/>
      <c r="G100" s="115"/>
      <c r="H100" s="115"/>
      <c r="I100" s="194">
        <f t="shared" si="8"/>
        <v>0</v>
      </c>
      <c r="J100" s="116"/>
      <c r="K100" s="116"/>
      <c r="L100" s="116"/>
      <c r="M100" s="195" t="e">
        <f>I100/(HLOOKUP(F100,Team_Composition_14[[#All],[Yellow]:[Red]],10,FALSE)+HLOOKUP(F100,Team_Composition_14[[#All],[Yellow]:[Red]],11,FALSE))</f>
        <v>#N/A</v>
      </c>
      <c r="N100" s="195" t="e">
        <f>J100/HLOOKUP(F100,Team_Composition_14[[#All],[Yellow]:[Red]],6,FALSE)</f>
        <v>#N/A</v>
      </c>
      <c r="O100" s="195" t="e">
        <f>K100/HLOOKUP(F100,Team_Composition_14[[#All],[Yellow]:[Red]],8,FALSE)</f>
        <v>#N/A</v>
      </c>
      <c r="P100" s="195" t="e">
        <f>L100/HLOOKUP(F100,Team_Composition_14[[#All],[Yellow]:[Red]],7,FALSE)</f>
        <v>#N/A</v>
      </c>
    </row>
    <row r="101" spans="1:16" ht="22.5" hidden="1" customHeight="1">
      <c r="A101" s="115"/>
      <c r="B101" s="115" t="e">
        <f>VLOOKUP(C101,Lists!I:J,2,FALSE)</f>
        <v>#N/A</v>
      </c>
      <c r="C101" s="115" t="e">
        <f>VLOOKUP(E101,Lists!D:E,2,FALSE)</f>
        <v>#N/A</v>
      </c>
      <c r="D101" s="115"/>
      <c r="E101" s="98"/>
      <c r="F101" s="115"/>
      <c r="G101" s="115"/>
      <c r="H101" s="115"/>
      <c r="I101" s="194">
        <f t="shared" si="8"/>
        <v>0</v>
      </c>
      <c r="J101" s="116"/>
      <c r="K101" s="116"/>
      <c r="L101" s="116"/>
      <c r="M101" s="195" t="e">
        <f>I101/(HLOOKUP(F101,Team_Composition_14[[#All],[Yellow]:[Red]],10,FALSE)+HLOOKUP(F101,Team_Composition_14[[#All],[Yellow]:[Red]],11,FALSE))</f>
        <v>#N/A</v>
      </c>
      <c r="N101" s="195" t="e">
        <f>J101/HLOOKUP(F101,Team_Composition_14[[#All],[Yellow]:[Red]],6,FALSE)</f>
        <v>#N/A</v>
      </c>
      <c r="O101" s="195" t="e">
        <f>K101/HLOOKUP(F101,Team_Composition_14[[#All],[Yellow]:[Red]],8,FALSE)</f>
        <v>#N/A</v>
      </c>
      <c r="P101" s="195" t="e">
        <f>L101/HLOOKUP(F101,Team_Composition_14[[#All],[Yellow]:[Red]],7,FALSE)</f>
        <v>#N/A</v>
      </c>
    </row>
    <row r="102" spans="1:16" ht="22.5" hidden="1" customHeight="1">
      <c r="A102" s="115"/>
      <c r="B102" s="115" t="e">
        <f>VLOOKUP(C102,Lists!I:J,2,FALSE)</f>
        <v>#N/A</v>
      </c>
      <c r="C102" s="115" t="e">
        <f>VLOOKUP(E102,Lists!D:E,2,FALSE)</f>
        <v>#N/A</v>
      </c>
      <c r="D102" s="115"/>
      <c r="E102" s="98"/>
      <c r="F102" s="115"/>
      <c r="G102" s="115"/>
      <c r="H102" s="115"/>
      <c r="I102" s="194">
        <f t="shared" si="8"/>
        <v>0</v>
      </c>
      <c r="J102" s="116"/>
      <c r="K102" s="116"/>
      <c r="L102" s="116"/>
      <c r="M102" s="195" t="e">
        <f>I102/(HLOOKUP(F102,Team_Composition_14[[#All],[Yellow]:[Red]],10,FALSE)+HLOOKUP(F102,Team_Composition_14[[#All],[Yellow]:[Red]],11,FALSE))</f>
        <v>#N/A</v>
      </c>
      <c r="N102" s="195" t="e">
        <f>J102/HLOOKUP(F102,Team_Composition_14[[#All],[Yellow]:[Red]],6,FALSE)</f>
        <v>#N/A</v>
      </c>
      <c r="O102" s="195" t="e">
        <f>K102/HLOOKUP(F102,Team_Composition_14[[#All],[Yellow]:[Red]],8,FALSE)</f>
        <v>#N/A</v>
      </c>
      <c r="P102" s="195" t="e">
        <f>L102/HLOOKUP(F102,Team_Composition_14[[#All],[Yellow]:[Red]],7,FALSE)</f>
        <v>#N/A</v>
      </c>
    </row>
    <row r="103" spans="1:16" ht="22.5" hidden="1" customHeight="1">
      <c r="A103" s="115"/>
      <c r="B103" s="115" t="e">
        <f>VLOOKUP(C103,Lists!I:J,2,FALSE)</f>
        <v>#N/A</v>
      </c>
      <c r="C103" s="115" t="e">
        <f>VLOOKUP(E103,Lists!D:E,2,FALSE)</f>
        <v>#N/A</v>
      </c>
      <c r="D103" s="115"/>
      <c r="E103" s="98"/>
      <c r="F103" s="115"/>
      <c r="G103" s="115"/>
      <c r="H103" s="115"/>
      <c r="I103" s="194">
        <f t="shared" si="8"/>
        <v>0</v>
      </c>
      <c r="J103" s="116"/>
      <c r="K103" s="116"/>
      <c r="L103" s="116"/>
      <c r="M103" s="195" t="e">
        <f>I103/(HLOOKUP(F103,Team_Composition_14[[#All],[Yellow]:[Red]],10,FALSE)+HLOOKUP(F103,Team_Composition_14[[#All],[Yellow]:[Red]],11,FALSE))</f>
        <v>#N/A</v>
      </c>
      <c r="N103" s="195" t="e">
        <f>J103/HLOOKUP(F103,Team_Composition_14[[#All],[Yellow]:[Red]],6,FALSE)</f>
        <v>#N/A</v>
      </c>
      <c r="O103" s="195" t="e">
        <f>K103/HLOOKUP(F103,Team_Composition_14[[#All],[Yellow]:[Red]],8,FALSE)</f>
        <v>#N/A</v>
      </c>
      <c r="P103" s="195" t="e">
        <f>L103/HLOOKUP(F103,Team_Composition_14[[#All],[Yellow]:[Red]],7,FALSE)</f>
        <v>#N/A</v>
      </c>
    </row>
  </sheetData>
  <mergeCells count="9">
    <mergeCell ref="R49:T49"/>
    <mergeCell ref="R63:T63"/>
    <mergeCell ref="R2:T2"/>
    <mergeCell ref="V2:W2"/>
    <mergeCell ref="Y2:Z2"/>
    <mergeCell ref="R15:T15"/>
    <mergeCell ref="V15:W15"/>
    <mergeCell ref="Y15:Z15"/>
    <mergeCell ref="R28:T28"/>
  </mergeCells>
  <dataValidations count="4">
    <dataValidation type="list" allowBlank="1" sqref="B2:D103" xr:uid="{00000000-0002-0000-1F00-000000000000}">
      <formula1>#REF!</formula1>
    </dataValidation>
    <dataValidation type="list" allowBlank="1" sqref="F2:F103" xr:uid="{00000000-0002-0000-1F00-000002000000}">
      <formula1>"Yellow,Red"</formula1>
    </dataValidation>
    <dataValidation type="custom" allowBlank="1" showDropDown="1" sqref="S4:T13 S17:T25 S30:T46 S51:T60 S65:T72 A2:A103 G2:L103" xr:uid="{00000000-0002-0000-1F00-000003000000}">
      <formula1>AND(ISNUMBER(A2),(NOT(OR(NOT(ISERROR(DATEVALUE(A2))), AND(ISNUMBER(A2), LEFT(CELL("format", A2))="D")))))</formula1>
    </dataValidation>
    <dataValidation allowBlank="1" showDropDown="1" sqref="E2:E103" xr:uid="{00000000-0002-0000-1F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3</v>
      </c>
      <c r="B2" s="115" t="s">
        <v>39</v>
      </c>
      <c r="C2" s="115" t="s">
        <v>58</v>
      </c>
      <c r="D2" s="115" t="s">
        <v>7</v>
      </c>
      <c r="E2" s="98" t="s">
        <v>42</v>
      </c>
      <c r="F2" s="115" t="s">
        <v>476</v>
      </c>
      <c r="G2" s="115">
        <v>26</v>
      </c>
      <c r="H2" s="115">
        <v>31</v>
      </c>
      <c r="I2" s="194">
        <v>57</v>
      </c>
      <c r="J2" s="116">
        <v>1596474</v>
      </c>
      <c r="K2" s="116">
        <v>367088</v>
      </c>
      <c r="L2" s="116">
        <v>15730</v>
      </c>
      <c r="M2" s="195">
        <v>6.1422413793103446E-2</v>
      </c>
      <c r="N2" s="195">
        <v>0.12390429450043015</v>
      </c>
      <c r="O2" s="195">
        <v>1.8634660637320135E-2</v>
      </c>
      <c r="P2" s="195">
        <v>1.204269160971206E-3</v>
      </c>
      <c r="R2" s="232" t="s">
        <v>477</v>
      </c>
      <c r="S2" s="228"/>
      <c r="T2" s="228"/>
      <c r="V2" s="233" t="s">
        <v>478</v>
      </c>
      <c r="W2" s="228"/>
      <c r="X2" s="196"/>
      <c r="Y2" s="233" t="s">
        <v>479</v>
      </c>
      <c r="Z2" s="228"/>
    </row>
    <row r="3" spans="1:26" ht="22.5" customHeight="1">
      <c r="A3" s="115">
        <v>11</v>
      </c>
      <c r="B3" s="115" t="s">
        <v>39</v>
      </c>
      <c r="C3" s="115" t="s">
        <v>58</v>
      </c>
      <c r="D3" s="115" t="s">
        <v>7</v>
      </c>
      <c r="E3" s="98" t="s">
        <v>86</v>
      </c>
      <c r="F3" s="115" t="s">
        <v>476</v>
      </c>
      <c r="G3" s="115">
        <v>16</v>
      </c>
      <c r="H3" s="115">
        <v>26</v>
      </c>
      <c r="I3" s="194">
        <v>42</v>
      </c>
      <c r="J3" s="116">
        <v>1070814</v>
      </c>
      <c r="K3" s="116">
        <v>532391</v>
      </c>
      <c r="L3" s="116">
        <v>0</v>
      </c>
      <c r="M3" s="195">
        <v>4.5258620689655173E-2</v>
      </c>
      <c r="N3" s="195">
        <v>8.3107180706471648E-2</v>
      </c>
      <c r="O3" s="195">
        <v>2.7026014501600446E-2</v>
      </c>
      <c r="P3" s="195">
        <v>0</v>
      </c>
      <c r="R3" s="190" t="s">
        <v>482</v>
      </c>
      <c r="S3" s="222" t="s">
        <v>476</v>
      </c>
      <c r="T3" s="222" t="s">
        <v>483</v>
      </c>
      <c r="V3" s="199" t="s">
        <v>1</v>
      </c>
      <c r="W3" s="200" t="s">
        <v>467</v>
      </c>
      <c r="Y3" s="199" t="s">
        <v>1</v>
      </c>
      <c r="Z3" s="200" t="s">
        <v>484</v>
      </c>
    </row>
    <row r="4" spans="1:26" ht="22.5" customHeight="1">
      <c r="A4" s="115">
        <v>5</v>
      </c>
      <c r="B4" s="115" t="s">
        <v>39</v>
      </c>
      <c r="C4" s="115" t="s">
        <v>54</v>
      </c>
      <c r="D4" s="115" t="s">
        <v>7</v>
      </c>
      <c r="E4" s="98" t="s">
        <v>103</v>
      </c>
      <c r="F4" s="115" t="s">
        <v>476</v>
      </c>
      <c r="G4" s="115">
        <v>23</v>
      </c>
      <c r="H4" s="115">
        <v>15</v>
      </c>
      <c r="I4" s="194">
        <v>38</v>
      </c>
      <c r="J4" s="116">
        <v>1130323</v>
      </c>
      <c r="K4" s="116">
        <v>617991</v>
      </c>
      <c r="L4" s="116">
        <v>30948</v>
      </c>
      <c r="M4" s="195">
        <v>4.0948275862068964E-2</v>
      </c>
      <c r="N4" s="195">
        <v>8.77257467848582E-2</v>
      </c>
      <c r="O4" s="195">
        <v>3.1371367524730062E-2</v>
      </c>
      <c r="P4" s="195">
        <v>2.3693402411784411E-3</v>
      </c>
      <c r="R4" s="223" t="s">
        <v>25</v>
      </c>
      <c r="S4" s="207">
        <f>COUNTIFS(Scoreboard[Role],R4,Scoreboard[Team],"Yellow")</f>
        <v>8</v>
      </c>
      <c r="T4" s="219">
        <f>COUNTIFS(Scoreboard[Role],R4,Scoreboard[Team],"Red")</f>
        <v>7</v>
      </c>
      <c r="V4" s="204" t="str">
        <f ca="1">IFERROR(__xludf.DUMMYFUNCTION("query(A1:P239, ""Select E,I where B!='Healer' Order by I Desc Limit 10"", 0)"),"ミGiga")</f>
        <v>ミGiga</v>
      </c>
      <c r="W4" s="116">
        <f ca="1">IFERROR(__xludf.DUMMYFUNCTION("""COMPUTED_VALUE"""),67)</f>
        <v>67</v>
      </c>
      <c r="Y4" s="204" t="str">
        <f ca="1">IFERROR(__xludf.DUMMYFUNCTION("query(A1:P239, ""Select E,J Order by J Desc Limit 10"", 0)"),"be")</f>
        <v>be</v>
      </c>
      <c r="Z4" s="116">
        <f ca="1">IFERROR(__xludf.DUMMYFUNCTION("""COMPUTED_VALUE"""),1609271)</f>
        <v>1609271</v>
      </c>
    </row>
    <row r="5" spans="1:26" ht="22.5" customHeight="1">
      <c r="A5" s="115">
        <v>20</v>
      </c>
      <c r="B5" s="115" t="s">
        <v>39</v>
      </c>
      <c r="C5" s="115" t="s">
        <v>58</v>
      </c>
      <c r="D5" s="115" t="s">
        <v>7</v>
      </c>
      <c r="E5" s="98" t="s">
        <v>107</v>
      </c>
      <c r="F5" s="115" t="s">
        <v>476</v>
      </c>
      <c r="G5" s="115">
        <v>12</v>
      </c>
      <c r="H5" s="115">
        <v>26</v>
      </c>
      <c r="I5" s="194">
        <v>38</v>
      </c>
      <c r="J5" s="116">
        <v>878400</v>
      </c>
      <c r="K5" s="116">
        <v>474208</v>
      </c>
      <c r="L5" s="116">
        <v>20629</v>
      </c>
      <c r="M5" s="195">
        <v>4.0948275862068964E-2</v>
      </c>
      <c r="N5" s="195">
        <v>6.8173695462110787E-2</v>
      </c>
      <c r="O5" s="195">
        <v>2.4072443532619718E-2</v>
      </c>
      <c r="P5" s="195">
        <v>1.5793304845311512E-3</v>
      </c>
      <c r="R5" s="223" t="s">
        <v>39</v>
      </c>
      <c r="S5" s="207">
        <f>COUNTIFS(Scoreboard[Role],R5,Scoreboard[Team],"Yellow")</f>
        <v>9</v>
      </c>
      <c r="T5" s="219">
        <f>COUNTIFS(Scoreboard[Role],R5,Scoreboard[Team],"Red")</f>
        <v>9</v>
      </c>
      <c r="V5" s="204" t="str">
        <f ca="1">IFERROR(__xludf.DUMMYFUNCTION("""COMPUTED_VALUE"""),"Yofy")</f>
        <v>Yofy</v>
      </c>
      <c r="W5" s="116">
        <f ca="1">IFERROR(__xludf.DUMMYFUNCTION("""COMPUTED_VALUE"""),64)</f>
        <v>64</v>
      </c>
      <c r="Y5" s="204" t="str">
        <f ca="1">IFERROR(__xludf.DUMMYFUNCTION("""COMPUTED_VALUE"""),"edmun")</f>
        <v>edmun</v>
      </c>
      <c r="Z5" s="116">
        <f ca="1">IFERROR(__xludf.DUMMYFUNCTION("""COMPUTED_VALUE"""),1596474)</f>
        <v>1596474</v>
      </c>
    </row>
    <row r="6" spans="1:26" ht="22.5" customHeight="1">
      <c r="A6" s="115">
        <v>22</v>
      </c>
      <c r="B6" s="115" t="s">
        <v>25</v>
      </c>
      <c r="C6" s="115" t="s">
        <v>23</v>
      </c>
      <c r="D6" s="115" t="s">
        <v>7</v>
      </c>
      <c r="E6" s="98" t="s">
        <v>22</v>
      </c>
      <c r="F6" s="115" t="s">
        <v>476</v>
      </c>
      <c r="G6" s="115">
        <v>10</v>
      </c>
      <c r="H6" s="115">
        <v>26</v>
      </c>
      <c r="I6" s="194">
        <v>36</v>
      </c>
      <c r="J6" s="116">
        <v>539727</v>
      </c>
      <c r="K6" s="116">
        <v>654076</v>
      </c>
      <c r="L6" s="116">
        <v>33401</v>
      </c>
      <c r="M6" s="195">
        <v>3.8793103448275863E-2</v>
      </c>
      <c r="N6" s="195">
        <v>4.1888870822721615E-2</v>
      </c>
      <c r="O6" s="195">
        <v>3.3203167335940711E-2</v>
      </c>
      <c r="P6" s="195">
        <v>2.5571388585886364E-3</v>
      </c>
      <c r="R6" s="223" t="s">
        <v>67</v>
      </c>
      <c r="S6" s="207">
        <f>COUNTIFS(Scoreboard[Role],R6,Scoreboard[Team],"Yellow")</f>
        <v>15</v>
      </c>
      <c r="T6" s="219">
        <f>COUNTIFS(Scoreboard[Role],R6,Scoreboard[Team],"Red")</f>
        <v>14</v>
      </c>
      <c r="V6" s="204" t="str">
        <f ca="1">IFERROR(__xludf.DUMMYFUNCTION("""COMPUTED_VALUE"""),"PRTS")</f>
        <v>PRTS</v>
      </c>
      <c r="W6" s="116">
        <f ca="1">IFERROR(__xludf.DUMMYFUNCTION("""COMPUTED_VALUE"""),63)</f>
        <v>63</v>
      </c>
      <c r="Y6" s="204" t="str">
        <f ca="1">IFERROR(__xludf.DUMMYFUNCTION("""COMPUTED_VALUE"""),"OO")</f>
        <v>OO</v>
      </c>
      <c r="Z6" s="116">
        <f ca="1">IFERROR(__xludf.DUMMYFUNCTION("""COMPUTED_VALUE"""),1348648)</f>
        <v>1348648</v>
      </c>
    </row>
    <row r="7" spans="1:26" ht="22.5" customHeight="1">
      <c r="A7" s="115">
        <v>18</v>
      </c>
      <c r="B7" s="115" t="s">
        <v>25</v>
      </c>
      <c r="C7" s="115" t="s">
        <v>69</v>
      </c>
      <c r="D7" s="115" t="s">
        <v>7</v>
      </c>
      <c r="E7" s="98" t="s">
        <v>90</v>
      </c>
      <c r="F7" s="115" t="s">
        <v>476</v>
      </c>
      <c r="G7" s="115">
        <v>13</v>
      </c>
      <c r="H7" s="115">
        <v>21</v>
      </c>
      <c r="I7" s="194">
        <v>34</v>
      </c>
      <c r="J7" s="116">
        <v>513840</v>
      </c>
      <c r="K7" s="116">
        <v>1431167</v>
      </c>
      <c r="L7" s="116">
        <v>136568</v>
      </c>
      <c r="M7" s="195">
        <v>3.6637931034482756E-2</v>
      </c>
      <c r="N7" s="195">
        <v>3.9879749176059888E-2</v>
      </c>
      <c r="O7" s="195">
        <v>7.2651002921183871E-2</v>
      </c>
      <c r="P7" s="195">
        <v>1.0455475573777219E-2</v>
      </c>
      <c r="R7" s="223" t="s">
        <v>11</v>
      </c>
      <c r="S7" s="207">
        <f>COUNTIFS(Scoreboard[Role],R7,Scoreboard[Team],"Yellow")</f>
        <v>16</v>
      </c>
      <c r="T7" s="219">
        <f>COUNTIFS(Scoreboard[Role],R7,Scoreboard[Team],"Red")</f>
        <v>18</v>
      </c>
      <c r="V7" s="204" t="str">
        <f ca="1">IFERROR(__xludf.DUMMYFUNCTION("""COMPUTED_VALUE"""),"SprayMachine")</f>
        <v>SprayMachine</v>
      </c>
      <c r="W7" s="116">
        <f ca="1">IFERROR(__xludf.DUMMYFUNCTION("""COMPUTED_VALUE"""),60)</f>
        <v>60</v>
      </c>
      <c r="Y7" s="204" t="str">
        <f ca="1">IFERROR(__xludf.DUMMYFUNCTION("""COMPUTED_VALUE"""),"awco")</f>
        <v>awco</v>
      </c>
      <c r="Z7" s="116">
        <f ca="1">IFERROR(__xludf.DUMMYFUNCTION("""COMPUTED_VALUE"""),1347755)</f>
        <v>1347755</v>
      </c>
    </row>
    <row r="8" spans="1:26" ht="22.5" customHeight="1">
      <c r="A8" s="115">
        <v>39</v>
      </c>
      <c r="B8" s="115" t="s">
        <v>11</v>
      </c>
      <c r="C8" s="115" t="s">
        <v>10</v>
      </c>
      <c r="D8" s="115" t="s">
        <v>7</v>
      </c>
      <c r="E8" s="98" t="s">
        <v>101</v>
      </c>
      <c r="F8" s="115" t="s">
        <v>476</v>
      </c>
      <c r="G8" s="115">
        <v>1</v>
      </c>
      <c r="H8" s="115">
        <v>33</v>
      </c>
      <c r="I8" s="194">
        <v>34</v>
      </c>
      <c r="J8" s="116">
        <v>24491</v>
      </c>
      <c r="K8" s="116">
        <v>800209</v>
      </c>
      <c r="L8" s="116">
        <v>1990288</v>
      </c>
      <c r="M8" s="195">
        <v>3.6637931034482756E-2</v>
      </c>
      <c r="N8" s="195">
        <v>1.9007763838371531E-3</v>
      </c>
      <c r="O8" s="195">
        <v>4.0621385482307537E-2</v>
      </c>
      <c r="P8" s="195">
        <v>0.15237396438976858</v>
      </c>
      <c r="R8" s="223" t="s">
        <v>468</v>
      </c>
      <c r="S8" s="207">
        <f>SUMIFS(Scoreboard[Damage Dealt],Scoreboard[Team],"Yellow")</f>
        <v>12884735</v>
      </c>
      <c r="T8" s="219">
        <f>SUMIFS(Scoreboard[Damage Dealt],Scoreboard[Team],"Red")</f>
        <v>19687289</v>
      </c>
      <c r="V8" s="204" t="str">
        <f ca="1">IFERROR(__xludf.DUMMYFUNCTION("""COMPUTED_VALUE"""),"edmun")</f>
        <v>edmun</v>
      </c>
      <c r="W8" s="116">
        <f ca="1">IFERROR(__xludf.DUMMYFUNCTION("""COMPUTED_VALUE"""),57)</f>
        <v>57</v>
      </c>
      <c r="Y8" s="204" t="str">
        <f ca="1">IFERROR(__xludf.DUMMYFUNCTION("""COMPUTED_VALUE"""),"AC12")</f>
        <v>AC12</v>
      </c>
      <c r="Z8" s="116">
        <f ca="1">IFERROR(__xludf.DUMMYFUNCTION("""COMPUTED_VALUE"""),1330353)</f>
        <v>1330353</v>
      </c>
    </row>
    <row r="9" spans="1:26" ht="22.5" customHeight="1">
      <c r="A9" s="115">
        <v>16</v>
      </c>
      <c r="B9" s="115" t="s">
        <v>25</v>
      </c>
      <c r="C9" s="115" t="s">
        <v>23</v>
      </c>
      <c r="D9" s="115" t="s">
        <v>7</v>
      </c>
      <c r="E9" s="98" t="s">
        <v>27</v>
      </c>
      <c r="F9" s="115" t="s">
        <v>476</v>
      </c>
      <c r="G9" s="115">
        <v>14</v>
      </c>
      <c r="H9" s="115">
        <v>19</v>
      </c>
      <c r="I9" s="194">
        <v>33</v>
      </c>
      <c r="J9" s="116">
        <v>680125</v>
      </c>
      <c r="K9" s="116">
        <v>630984</v>
      </c>
      <c r="L9" s="116">
        <v>29848</v>
      </c>
      <c r="M9" s="195">
        <v>3.5560344827586209E-2</v>
      </c>
      <c r="N9" s="195">
        <v>5.2785330858570241E-2</v>
      </c>
      <c r="O9" s="195">
        <v>3.2030937289093647E-2</v>
      </c>
      <c r="P9" s="195">
        <v>2.2851256145370981E-3</v>
      </c>
      <c r="R9" s="223" t="s">
        <v>470</v>
      </c>
      <c r="S9" s="207">
        <f>SUMIFS(Scoreboard[Amount Healed],Scoreboard[Team],"Yellow")</f>
        <v>13061864</v>
      </c>
      <c r="T9" s="219">
        <f>SUMIFS(Scoreboard[Amount Healed],Scoreboard[Team],"Red")</f>
        <v>9367713</v>
      </c>
      <c r="V9" s="204" t="str">
        <f ca="1">IFERROR(__xludf.DUMMYFUNCTION("""COMPUTED_VALUE"""),"be")</f>
        <v>be</v>
      </c>
      <c r="W9" s="116">
        <f ca="1">IFERROR(__xludf.DUMMYFUNCTION("""COMPUTED_VALUE"""),57)</f>
        <v>57</v>
      </c>
      <c r="Y9" s="204" t="str">
        <f ca="1">IFERROR(__xludf.DUMMYFUNCTION("""COMPUTED_VALUE"""),"·Orianna·")</f>
        <v>·Orianna·</v>
      </c>
      <c r="Z9" s="116">
        <f ca="1">IFERROR(__xludf.DUMMYFUNCTION("""COMPUTED_VALUE"""),1284120)</f>
        <v>1284120</v>
      </c>
    </row>
    <row r="10" spans="1:26" ht="22.5" customHeight="1">
      <c r="A10" s="115">
        <v>21</v>
      </c>
      <c r="B10" s="115" t="s">
        <v>39</v>
      </c>
      <c r="C10" s="115" t="s">
        <v>45</v>
      </c>
      <c r="D10" s="115" t="s">
        <v>7</v>
      </c>
      <c r="E10" s="98" t="s">
        <v>88</v>
      </c>
      <c r="F10" s="115" t="s">
        <v>476</v>
      </c>
      <c r="G10" s="115">
        <v>11</v>
      </c>
      <c r="H10" s="115">
        <v>21</v>
      </c>
      <c r="I10" s="194">
        <v>32</v>
      </c>
      <c r="J10" s="116">
        <v>780876</v>
      </c>
      <c r="K10" s="116">
        <v>343810</v>
      </c>
      <c r="L10" s="116">
        <v>11822</v>
      </c>
      <c r="M10" s="195">
        <v>3.4482758620689655E-2</v>
      </c>
      <c r="N10" s="195">
        <v>6.0604738863469058E-2</v>
      </c>
      <c r="O10" s="195">
        <v>1.745298858507234E-2</v>
      </c>
      <c r="P10" s="195">
        <v>9.0507756013996166E-4</v>
      </c>
      <c r="R10" s="223" t="s">
        <v>469</v>
      </c>
      <c r="S10" s="207">
        <f>SUMIFS(Scoreboard[Damage Taken],Scoreboard[Team],"Yellow")</f>
        <v>19699205</v>
      </c>
      <c r="T10" s="219">
        <f>SUMIFS(Scoreboard[Damage Taken],Scoreboard[Team],"Red")</f>
        <v>12872819</v>
      </c>
      <c r="V10" s="204" t="str">
        <f ca="1">IFERROR(__xludf.DUMMYFUNCTION("""COMPUTED_VALUE"""),"Scales")</f>
        <v>Scales</v>
      </c>
      <c r="W10" s="116">
        <f ca="1">IFERROR(__xludf.DUMMYFUNCTION("""COMPUTED_VALUE"""),57)</f>
        <v>57</v>
      </c>
      <c r="Y10" s="204" t="str">
        <f ca="1">IFERROR(__xludf.DUMMYFUNCTION("""COMPUTED_VALUE"""),"ミGiga")</f>
        <v>ミGiga</v>
      </c>
      <c r="Z10" s="116">
        <f ca="1">IFERROR(__xludf.DUMMYFUNCTION("""COMPUTED_VALUE"""),1211143)</f>
        <v>1211143</v>
      </c>
    </row>
    <row r="11" spans="1:26" ht="22.5" customHeight="1">
      <c r="A11" s="115">
        <v>52</v>
      </c>
      <c r="B11" s="115" t="s">
        <v>11</v>
      </c>
      <c r="C11" s="115" t="s">
        <v>9</v>
      </c>
      <c r="D11" s="115" t="s">
        <v>7</v>
      </c>
      <c r="E11" s="98" t="s">
        <v>695</v>
      </c>
      <c r="F11" s="115" t="s">
        <v>476</v>
      </c>
      <c r="G11" s="115">
        <v>0</v>
      </c>
      <c r="H11" s="115">
        <v>32</v>
      </c>
      <c r="I11" s="194">
        <v>32</v>
      </c>
      <c r="J11" s="116">
        <v>21406</v>
      </c>
      <c r="K11" s="116">
        <v>115022</v>
      </c>
      <c r="L11" s="116">
        <v>382169</v>
      </c>
      <c r="M11" s="195">
        <v>3.4482758620689655E-2</v>
      </c>
      <c r="N11" s="195">
        <v>1.6613457707900085E-3</v>
      </c>
      <c r="O11" s="195">
        <v>5.8389158344207288E-3</v>
      </c>
      <c r="P11" s="195">
        <v>2.9258381498995855E-2</v>
      </c>
      <c r="R11" s="223" t="s">
        <v>495</v>
      </c>
      <c r="S11" s="207">
        <f ca="1">IFERROR(DIVIDE(SUMIFS(Scoreboard[Amount Healed],Scoreboard[Team],"Yellow"), SUMIFS(Scoreboard[Damage Taken],Scoreboard[Team],"Yellow"))*(100),0)</f>
        <v>0</v>
      </c>
      <c r="T11" s="219">
        <f ca="1">IFERROR(DIVIDE(SUMIFS(Scoreboard[Amount Healed],Scoreboard[Team],"Red"), SUMIFS(Scoreboard[Damage Taken],Scoreboard[Team],"Red"))*(100),0)</f>
        <v>0</v>
      </c>
      <c r="V11" s="204" t="str">
        <f ca="1">IFERROR(__xludf.DUMMYFUNCTION("""COMPUTED_VALUE"""),"awco")</f>
        <v>awco</v>
      </c>
      <c r="W11" s="116">
        <f ca="1">IFERROR(__xludf.DUMMYFUNCTION("""COMPUTED_VALUE"""),53)</f>
        <v>53</v>
      </c>
      <c r="Y11" s="204" t="str">
        <f ca="1">IFERROR(__xludf.DUMMYFUNCTION("""COMPUTED_VALUE"""),"Yofy")</f>
        <v>Yofy</v>
      </c>
      <c r="Z11" s="116">
        <f ca="1">IFERROR(__xludf.DUMMYFUNCTION("""COMPUTED_VALUE"""),1187775)</f>
        <v>1187775</v>
      </c>
    </row>
    <row r="12" spans="1:26" ht="22.5" customHeight="1">
      <c r="A12" s="115">
        <v>24</v>
      </c>
      <c r="B12" s="115" t="s">
        <v>25</v>
      </c>
      <c r="C12" s="115" t="s">
        <v>24</v>
      </c>
      <c r="D12" s="115" t="s">
        <v>7</v>
      </c>
      <c r="E12" s="98" t="s">
        <v>104</v>
      </c>
      <c r="F12" s="115" t="s">
        <v>476</v>
      </c>
      <c r="G12" s="115">
        <v>9</v>
      </c>
      <c r="H12" s="115">
        <v>21</v>
      </c>
      <c r="I12" s="194">
        <v>30</v>
      </c>
      <c r="J12" s="116">
        <v>732735</v>
      </c>
      <c r="K12" s="116">
        <v>276680</v>
      </c>
      <c r="L12" s="116">
        <v>23463</v>
      </c>
      <c r="M12" s="195">
        <v>3.2327586206896554E-2</v>
      </c>
      <c r="N12" s="195">
        <v>5.6868457131636775E-2</v>
      </c>
      <c r="O12" s="195">
        <v>1.4045236850928755E-2</v>
      </c>
      <c r="P12" s="195">
        <v>1.7962979862598477E-3</v>
      </c>
      <c r="R12" s="223" t="s">
        <v>465</v>
      </c>
      <c r="S12" s="207">
        <f>SUMIFS(Scoreboard[Kills],Scoreboard[Team],"Yellow")</f>
        <v>192</v>
      </c>
      <c r="T12" s="219">
        <f>SUMIFS(Scoreboard[Kills],Scoreboard[Team],"Red")</f>
        <v>298</v>
      </c>
      <c r="V12" s="204" t="str">
        <f ca="1">IFERROR(__xludf.DUMMYFUNCTION("""COMPUTED_VALUE"""),"Harana")</f>
        <v>Harana</v>
      </c>
      <c r="W12" s="116">
        <f ca="1">IFERROR(__xludf.DUMMYFUNCTION("""COMPUTED_VALUE"""),53)</f>
        <v>53</v>
      </c>
      <c r="Y12" s="204" t="str">
        <f ca="1">IFERROR(__xludf.DUMMYFUNCTION("""COMPUTED_VALUE"""),"Spot·")</f>
        <v>Spot·</v>
      </c>
      <c r="Z12" s="116">
        <f ca="1">IFERROR(__xludf.DUMMYFUNCTION("""COMPUTED_VALUE"""),1130323)</f>
        <v>1130323</v>
      </c>
    </row>
    <row r="13" spans="1:26" ht="22.5" customHeight="1">
      <c r="A13" s="115">
        <v>13</v>
      </c>
      <c r="B13" s="115" t="s">
        <v>39</v>
      </c>
      <c r="C13" s="115" t="s">
        <v>45</v>
      </c>
      <c r="D13" s="115" t="s">
        <v>7</v>
      </c>
      <c r="E13" s="98" t="s">
        <v>84</v>
      </c>
      <c r="F13" s="115" t="s">
        <v>476</v>
      </c>
      <c r="G13" s="115">
        <v>15</v>
      </c>
      <c r="H13" s="115">
        <v>14</v>
      </c>
      <c r="I13" s="194">
        <v>29</v>
      </c>
      <c r="J13" s="116">
        <v>1059356</v>
      </c>
      <c r="K13" s="116">
        <v>212400</v>
      </c>
      <c r="L13" s="116">
        <v>3013</v>
      </c>
      <c r="M13" s="195">
        <v>3.125E-2</v>
      </c>
      <c r="N13" s="195">
        <v>8.2217911350136424E-2</v>
      </c>
      <c r="O13" s="195">
        <v>1.0782161005989836E-2</v>
      </c>
      <c r="P13" s="195">
        <v>2.3067151824578789E-4</v>
      </c>
      <c r="R13" s="223" t="s">
        <v>466</v>
      </c>
      <c r="S13" s="207">
        <f>SUMIFS(Scoreboard[Assists],Scoreboard[Team],"Yellow")</f>
        <v>736</v>
      </c>
      <c r="T13" s="219">
        <f>SUMIFS(Scoreboard[Assists],Scoreboard[Team],"Red")</f>
        <v>1095</v>
      </c>
      <c r="V13" s="204" t="str">
        <f ca="1">IFERROR(__xludf.DUMMYFUNCTION("""COMPUTED_VALUE"""),"OO")</f>
        <v>OO</v>
      </c>
      <c r="W13" s="116">
        <f ca="1">IFERROR(__xludf.DUMMYFUNCTION("""COMPUTED_VALUE"""),52)</f>
        <v>52</v>
      </c>
      <c r="Y13" s="204" t="str">
        <f ca="1">IFERROR(__xludf.DUMMYFUNCTION("""COMPUTED_VALUE"""),"JI")</f>
        <v>JI</v>
      </c>
      <c r="Z13" s="116">
        <f ca="1">IFERROR(__xludf.DUMMYFUNCTION("""COMPUTED_VALUE"""),1121786)</f>
        <v>1121786</v>
      </c>
    </row>
    <row r="14" spans="1:26" ht="22.5" customHeight="1">
      <c r="A14" s="115">
        <v>26</v>
      </c>
      <c r="B14" s="115" t="s">
        <v>25</v>
      </c>
      <c r="C14" s="115" t="s">
        <v>69</v>
      </c>
      <c r="D14" s="115" t="s">
        <v>7</v>
      </c>
      <c r="E14" s="98" t="s">
        <v>68</v>
      </c>
      <c r="F14" s="115" t="s">
        <v>476</v>
      </c>
      <c r="G14" s="115">
        <v>8</v>
      </c>
      <c r="H14" s="115">
        <v>21</v>
      </c>
      <c r="I14" s="194">
        <v>29</v>
      </c>
      <c r="J14" s="116">
        <v>558850</v>
      </c>
      <c r="K14" s="116">
        <v>1543462</v>
      </c>
      <c r="L14" s="116">
        <v>121239</v>
      </c>
      <c r="M14" s="195">
        <v>3.125E-2</v>
      </c>
      <c r="N14" s="195">
        <v>4.3373030178734756E-2</v>
      </c>
      <c r="O14" s="195">
        <v>7.8351486773197199E-2</v>
      </c>
      <c r="P14" s="195">
        <v>9.2819064721543568E-3</v>
      </c>
    </row>
    <row r="15" spans="1:26" ht="22.5" customHeight="1">
      <c r="A15" s="115">
        <v>27</v>
      </c>
      <c r="B15" s="115" t="s">
        <v>39</v>
      </c>
      <c r="C15" s="115" t="s">
        <v>52</v>
      </c>
      <c r="D15" s="115" t="s">
        <v>7</v>
      </c>
      <c r="E15" s="98" t="s">
        <v>99</v>
      </c>
      <c r="F15" s="115" t="s">
        <v>476</v>
      </c>
      <c r="G15" s="115">
        <v>8</v>
      </c>
      <c r="H15" s="115">
        <v>20</v>
      </c>
      <c r="I15" s="194">
        <v>28</v>
      </c>
      <c r="J15" s="116">
        <v>769917</v>
      </c>
      <c r="K15" s="116">
        <v>179813</v>
      </c>
      <c r="L15" s="116">
        <v>124742</v>
      </c>
      <c r="M15" s="195">
        <v>3.017241379310345E-2</v>
      </c>
      <c r="N15" s="195">
        <v>5.9754197505808231E-2</v>
      </c>
      <c r="O15" s="195">
        <v>9.1279318124766959E-3</v>
      </c>
      <c r="P15" s="195">
        <v>9.5500917786312881E-3</v>
      </c>
      <c r="R15" s="232" t="s">
        <v>25</v>
      </c>
      <c r="S15" s="228"/>
      <c r="T15" s="228"/>
      <c r="V15" s="233" t="s">
        <v>496</v>
      </c>
      <c r="W15" s="228"/>
      <c r="Y15" s="233" t="s">
        <v>497</v>
      </c>
      <c r="Z15" s="228"/>
    </row>
    <row r="16" spans="1:26" ht="22.5" customHeight="1">
      <c r="A16" s="115">
        <v>28</v>
      </c>
      <c r="B16" s="115" t="s">
        <v>25</v>
      </c>
      <c r="C16" s="115" t="s">
        <v>23</v>
      </c>
      <c r="D16" s="115" t="s">
        <v>7</v>
      </c>
      <c r="E16" s="98" t="s">
        <v>77</v>
      </c>
      <c r="F16" s="115" t="s">
        <v>476</v>
      </c>
      <c r="G16" s="115">
        <v>7</v>
      </c>
      <c r="H16" s="115">
        <v>21</v>
      </c>
      <c r="I16" s="194">
        <v>28</v>
      </c>
      <c r="J16" s="116">
        <v>381665</v>
      </c>
      <c r="K16" s="116">
        <v>338416</v>
      </c>
      <c r="L16" s="116">
        <v>15577</v>
      </c>
      <c r="M16" s="195">
        <v>3.017241379310345E-2</v>
      </c>
      <c r="N16" s="195">
        <v>2.9621486200531094E-2</v>
      </c>
      <c r="O16" s="195">
        <v>1.7179170428451299E-2</v>
      </c>
      <c r="P16" s="195">
        <v>1.19255567199291E-3</v>
      </c>
      <c r="R16" s="190" t="s">
        <v>482</v>
      </c>
      <c r="S16" s="222" t="s">
        <v>476</v>
      </c>
      <c r="T16" s="222" t="s">
        <v>483</v>
      </c>
      <c r="V16" s="199" t="s">
        <v>1</v>
      </c>
      <c r="W16" s="200" t="s">
        <v>498</v>
      </c>
      <c r="Y16" s="199" t="s">
        <v>1</v>
      </c>
      <c r="Z16" s="200" t="s">
        <v>499</v>
      </c>
    </row>
    <row r="17" spans="1:26" ht="22.5" customHeight="1">
      <c r="A17" s="115">
        <v>33</v>
      </c>
      <c r="B17" s="115" t="s">
        <v>39</v>
      </c>
      <c r="C17" s="115" t="s">
        <v>58</v>
      </c>
      <c r="D17" s="115" t="s">
        <v>7</v>
      </c>
      <c r="E17" s="98" t="s">
        <v>112</v>
      </c>
      <c r="F17" s="115" t="s">
        <v>476</v>
      </c>
      <c r="G17" s="115">
        <v>4</v>
      </c>
      <c r="H17" s="115">
        <v>18</v>
      </c>
      <c r="I17" s="194">
        <v>22</v>
      </c>
      <c r="J17" s="116">
        <v>657973</v>
      </c>
      <c r="K17" s="116">
        <v>592013</v>
      </c>
      <c r="L17" s="116">
        <v>22389</v>
      </c>
      <c r="M17" s="195">
        <v>2.3706896551724137E-2</v>
      </c>
      <c r="N17" s="195">
        <v>5.1066087117818099E-2</v>
      </c>
      <c r="O17" s="195">
        <v>3.0052634103762056E-2</v>
      </c>
      <c r="P17" s="195">
        <v>1.7140738871573001E-3</v>
      </c>
      <c r="R17" s="223" t="s">
        <v>468</v>
      </c>
      <c r="S17" s="207">
        <f>SUMIFS(Scoreboard[Damage Dealt],Scoreboard[Role],"Melee DPS",Scoreboard[Team],"Yellow")</f>
        <v>3707315</v>
      </c>
      <c r="T17" s="219">
        <f>SUMIFS(Scoreboard[Damage Dealt],Scoreboard[Role],"Melee DPS",Scoreboard[Team],"Red")</f>
        <v>7203062</v>
      </c>
      <c r="V17" s="204" t="str">
        <f ca="1">IFERROR(__xludf.DUMMYFUNCTION("query(A1:P239, ""Select E,K Order by K Desc Limit 10"", 0)"),"Jawz")</f>
        <v>Jawz</v>
      </c>
      <c r="W17" s="116">
        <f ca="1">IFERROR(__xludf.DUMMYFUNCTION("""COMPUTED_VALUE"""),1543462)</f>
        <v>1543462</v>
      </c>
      <c r="Y17" s="204" t="str">
        <f ca="1">IFERROR(__xludf.DUMMYFUNCTION("query(A1:P239, ""Select E,L Order by L Desc Limit 10"", 0)"),"soju·")</f>
        <v>soju·</v>
      </c>
      <c r="Z17" s="116">
        <f ca="1">IFERROR(__xludf.DUMMYFUNCTION("""COMPUTED_VALUE"""),1990288)</f>
        <v>1990288</v>
      </c>
    </row>
    <row r="18" spans="1:26" ht="22.5" customHeight="1">
      <c r="A18" s="115">
        <v>34</v>
      </c>
      <c r="B18" s="115" t="s">
        <v>25</v>
      </c>
      <c r="C18" s="115" t="s">
        <v>23</v>
      </c>
      <c r="D18" s="115" t="s">
        <v>7</v>
      </c>
      <c r="E18" s="98" t="s">
        <v>113</v>
      </c>
      <c r="F18" s="115" t="s">
        <v>476</v>
      </c>
      <c r="G18" s="115">
        <v>4</v>
      </c>
      <c r="H18" s="115">
        <v>18</v>
      </c>
      <c r="I18" s="194">
        <v>22</v>
      </c>
      <c r="J18" s="116">
        <v>262071</v>
      </c>
      <c r="K18" s="116">
        <v>302811</v>
      </c>
      <c r="L18" s="116">
        <v>10152</v>
      </c>
      <c r="M18" s="195">
        <v>2.3706896551724137E-2</v>
      </c>
      <c r="N18" s="195">
        <v>2.0339649981159877E-2</v>
      </c>
      <c r="O18" s="195">
        <v>1.5371737082790904E-2</v>
      </c>
      <c r="P18" s="195">
        <v>7.7722444514810444E-4</v>
      </c>
      <c r="R18" s="223" t="s">
        <v>469</v>
      </c>
      <c r="S18" s="207">
        <f>SUMIFS(Scoreboard[Damage Taken],Scoreboard[Role],"Melee DPS",Scoreboard[Team],"Yellow")</f>
        <v>5567138</v>
      </c>
      <c r="T18" s="219">
        <f>SUMIFS(Scoreboard[Damage Taken],Scoreboard[Role],"Melee DPS",Scoreboard[Team],"Red")</f>
        <v>2999095</v>
      </c>
      <c r="V18" s="204" t="str">
        <f ca="1">IFERROR(__xludf.DUMMYFUNCTION("""COMPUTED_VALUE"""),"Prefire")</f>
        <v>Prefire</v>
      </c>
      <c r="W18" s="116">
        <f ca="1">IFERROR(__xludf.DUMMYFUNCTION("""COMPUTED_VALUE"""),1431167)</f>
        <v>1431167</v>
      </c>
      <c r="Y18" s="204" t="str">
        <f ca="1">IFERROR(__xludf.DUMMYFUNCTION("""COMPUTED_VALUE"""),"Akaru华")</f>
        <v>Akaru华</v>
      </c>
      <c r="Z18" s="116">
        <f ca="1">IFERROR(__xludf.DUMMYFUNCTION("""COMPUTED_VALUE"""),1286112)</f>
        <v>1286112</v>
      </c>
    </row>
    <row r="19" spans="1:26" ht="22.5" customHeight="1">
      <c r="A19" s="115">
        <v>38</v>
      </c>
      <c r="B19" s="115" t="s">
        <v>67</v>
      </c>
      <c r="C19" s="115" t="s">
        <v>14</v>
      </c>
      <c r="D19" s="115" t="s">
        <v>7</v>
      </c>
      <c r="E19" s="98" t="s">
        <v>37</v>
      </c>
      <c r="F19" s="115" t="s">
        <v>476</v>
      </c>
      <c r="G19" s="115">
        <v>2</v>
      </c>
      <c r="H19" s="115">
        <v>20</v>
      </c>
      <c r="I19" s="194">
        <v>22</v>
      </c>
      <c r="J19" s="116">
        <v>314021</v>
      </c>
      <c r="K19" s="116">
        <v>1148602</v>
      </c>
      <c r="L19" s="116">
        <v>75319</v>
      </c>
      <c r="M19" s="195">
        <v>2.3706896551724137E-2</v>
      </c>
      <c r="N19" s="195">
        <v>2.4371552849166086E-2</v>
      </c>
      <c r="O19" s="195">
        <v>5.8307023049914961E-2</v>
      </c>
      <c r="P19" s="195">
        <v>5.7663286036357441E-3</v>
      </c>
      <c r="R19" s="223" t="s">
        <v>470</v>
      </c>
      <c r="S19" s="207">
        <f>SUMIFS(Scoreboard[Amount Healed],Scoreboard[Role],"Melee DPS",Scoreboard[Team],"Yellow")</f>
        <v>404281</v>
      </c>
      <c r="T19" s="219">
        <f>SUMIFS(Scoreboard[Amount Healed],Scoreboard[Role],"Melee DPS",Scoreboard[Team],"Red")</f>
        <v>153668</v>
      </c>
      <c r="V19" s="204" t="str">
        <f ca="1">IFERROR(__xludf.DUMMYFUNCTION("""COMPUTED_VALUE"""),"DopaMinn")</f>
        <v>DopaMinn</v>
      </c>
      <c r="W19" s="116">
        <f ca="1">IFERROR(__xludf.DUMMYFUNCTION("""COMPUTED_VALUE"""),1148602)</f>
        <v>1148602</v>
      </c>
      <c r="Y19" s="204" t="str">
        <f ca="1">IFERROR(__xludf.DUMMYFUNCTION("""COMPUTED_VALUE"""),"apgonzo")</f>
        <v>apgonzo</v>
      </c>
      <c r="Z19" s="116">
        <f ca="1">IFERROR(__xludf.DUMMYFUNCTION("""COMPUTED_VALUE"""),1124585)</f>
        <v>1124585</v>
      </c>
    </row>
    <row r="20" spans="1:26" ht="22.5" customHeight="1">
      <c r="A20" s="115">
        <v>40</v>
      </c>
      <c r="B20" s="115" t="s">
        <v>67</v>
      </c>
      <c r="C20" s="115" t="s">
        <v>14</v>
      </c>
      <c r="D20" s="115" t="s">
        <v>7</v>
      </c>
      <c r="E20" s="98" t="s">
        <v>117</v>
      </c>
      <c r="F20" s="115" t="s">
        <v>476</v>
      </c>
      <c r="G20" s="115">
        <v>1</v>
      </c>
      <c r="H20" s="115">
        <v>21</v>
      </c>
      <c r="I20" s="194">
        <v>22</v>
      </c>
      <c r="J20" s="116">
        <v>52812</v>
      </c>
      <c r="K20" s="116">
        <v>518599</v>
      </c>
      <c r="L20" s="116">
        <v>49877</v>
      </c>
      <c r="M20" s="195">
        <v>2.3706896551724137E-2</v>
      </c>
      <c r="N20" s="195">
        <v>4.0988037394637921E-3</v>
      </c>
      <c r="O20" s="195">
        <v>2.6325884724789656E-2</v>
      </c>
      <c r="P20" s="195">
        <v>3.8185208481729713E-3</v>
      </c>
      <c r="R20" s="223" t="s">
        <v>465</v>
      </c>
      <c r="S20" s="207">
        <f>SUMIFS(Scoreboard[Kills],Scoreboard[Role],"Melee DPS",Scoreboard[Team],"Yellow")</f>
        <v>66</v>
      </c>
      <c r="T20" s="219">
        <f>SUMIFS(Scoreboard[Kills],Scoreboard[Role],"Melee DPS",Scoreboard[Team],"Red")</f>
        <v>136</v>
      </c>
      <c r="V20" s="204" t="str">
        <f ca="1">IFERROR(__xludf.DUMMYFUNCTION("""COMPUTED_VALUE"""),"soju·")</f>
        <v>soju·</v>
      </c>
      <c r="W20" s="116">
        <f ca="1">IFERROR(__xludf.DUMMYFUNCTION("""COMPUTED_VALUE"""),800209)</f>
        <v>800209</v>
      </c>
      <c r="Y20" s="204" t="str">
        <f ca="1">IFERROR(__xludf.DUMMYFUNCTION("""COMPUTED_VALUE"""),"Purple")</f>
        <v>Purple</v>
      </c>
      <c r="Z20" s="116">
        <f ca="1">IFERROR(__xludf.DUMMYFUNCTION("""COMPUTED_VALUE"""),1062752)</f>
        <v>1062752</v>
      </c>
    </row>
    <row r="21" spans="1:26" ht="22.5" customHeight="1">
      <c r="A21" s="115">
        <v>54</v>
      </c>
      <c r="B21" s="115" t="s">
        <v>11</v>
      </c>
      <c r="C21" s="115" t="s">
        <v>9</v>
      </c>
      <c r="D21" s="115" t="s">
        <v>7</v>
      </c>
      <c r="E21" s="98" t="s">
        <v>8</v>
      </c>
      <c r="F21" s="115" t="s">
        <v>476</v>
      </c>
      <c r="G21" s="115">
        <v>0</v>
      </c>
      <c r="H21" s="115">
        <v>22</v>
      </c>
      <c r="I21" s="194">
        <v>22</v>
      </c>
      <c r="J21" s="116">
        <v>10335</v>
      </c>
      <c r="K21" s="116">
        <v>679044</v>
      </c>
      <c r="L21" s="116">
        <v>1286112</v>
      </c>
      <c r="M21" s="195">
        <v>2.3706896551724137E-2</v>
      </c>
      <c r="N21" s="195">
        <v>8.0211195651288137E-4</v>
      </c>
      <c r="O21" s="195">
        <v>3.447062965231338E-2</v>
      </c>
      <c r="P21" s="195">
        <v>9.8463128999046384E-2</v>
      </c>
      <c r="R21" s="223" t="s">
        <v>466</v>
      </c>
      <c r="S21" s="207">
        <f>SUMIFS(Scoreboard[Assists],Scoreboard[Role],"Melee DPS",Scoreboard[Team],"Yellow")</f>
        <v>150</v>
      </c>
      <c r="T21" s="219">
        <f>SUMIFS(Scoreboard[Assists],Scoreboard[Role],"Melee DPS",Scoreboard[Team],"Red")</f>
        <v>221</v>
      </c>
      <c r="V21" s="204" t="str">
        <f ca="1">IFERROR(__xludf.DUMMYFUNCTION("""COMPUTED_VALUE"""),"DDID")</f>
        <v>DDID</v>
      </c>
      <c r="W21" s="116">
        <f ca="1">IFERROR(__xludf.DUMMYFUNCTION("""COMPUTED_VALUE"""),726490)</f>
        <v>726490</v>
      </c>
      <c r="Y21" s="204" t="str">
        <f ca="1">IFERROR(__xludf.DUMMYFUNCTION("""COMPUTED_VALUE"""),"Katoooooooooo")</f>
        <v>Katoooooooooo</v>
      </c>
      <c r="Z21" s="116">
        <f ca="1">IFERROR(__xludf.DUMMYFUNCTION("""COMPUTED_VALUE"""),938445)</f>
        <v>938445</v>
      </c>
    </row>
    <row r="22" spans="1:26" ht="22.5" customHeight="1">
      <c r="A22" s="115">
        <v>31</v>
      </c>
      <c r="B22" s="115" t="s">
        <v>39</v>
      </c>
      <c r="C22" s="115" t="s">
        <v>32</v>
      </c>
      <c r="D22" s="115" t="s">
        <v>7</v>
      </c>
      <c r="E22" s="98" t="s">
        <v>116</v>
      </c>
      <c r="F22" s="115" t="s">
        <v>476</v>
      </c>
      <c r="G22" s="115">
        <v>5</v>
      </c>
      <c r="H22" s="115">
        <v>16</v>
      </c>
      <c r="I22" s="194">
        <v>21</v>
      </c>
      <c r="J22" s="116">
        <v>337799</v>
      </c>
      <c r="K22" s="116">
        <v>332856</v>
      </c>
      <c r="L22" s="116">
        <v>8093</v>
      </c>
      <c r="M22" s="195">
        <v>2.2629310344827586E-2</v>
      </c>
      <c r="N22" s="195">
        <v>2.6216992433294128E-2</v>
      </c>
      <c r="O22" s="195">
        <v>1.6896925535827462E-2</v>
      </c>
      <c r="P22" s="195">
        <v>6.1958997582580865E-4</v>
      </c>
      <c r="R22" s="223" t="s">
        <v>24</v>
      </c>
      <c r="S22" s="207">
        <f t="shared" ref="S22:S25" si="0">COUNTIFS(C:C,R22,F:F,"Yellow")</f>
        <v>1</v>
      </c>
      <c r="T22" s="219">
        <f t="shared" ref="T22:T25" si="1">COUNTIFS(C:C,R22,F:F,"Red")</f>
        <v>0</v>
      </c>
      <c r="V22" s="204" t="str">
        <f ca="1">IFERROR(__xludf.DUMMYFUNCTION("""COMPUTED_VALUE"""),"Akaru华")</f>
        <v>Akaru华</v>
      </c>
      <c r="W22" s="116">
        <f ca="1">IFERROR(__xludf.DUMMYFUNCTION("""COMPUTED_VALUE"""),679044)</f>
        <v>679044</v>
      </c>
      <c r="Y22" s="204" t="str">
        <f ca="1">IFERROR(__xludf.DUMMYFUNCTION("""COMPUTED_VALUE"""),"かCatWuみ")</f>
        <v>かCatWuみ</v>
      </c>
      <c r="Z22" s="116">
        <f ca="1">IFERROR(__xludf.DUMMYFUNCTION("""COMPUTED_VALUE"""),792625)</f>
        <v>792625</v>
      </c>
    </row>
    <row r="23" spans="1:26" ht="22.5" customHeight="1">
      <c r="A23" s="115">
        <v>59</v>
      </c>
      <c r="B23" s="115" t="s">
        <v>11</v>
      </c>
      <c r="C23" s="115" t="s">
        <v>9</v>
      </c>
      <c r="D23" s="115" t="s">
        <v>7</v>
      </c>
      <c r="E23" s="98" t="s">
        <v>87</v>
      </c>
      <c r="F23" s="115" t="s">
        <v>476</v>
      </c>
      <c r="G23" s="115">
        <v>0</v>
      </c>
      <c r="H23" s="115">
        <v>20</v>
      </c>
      <c r="I23" s="194">
        <v>20</v>
      </c>
      <c r="J23" s="116">
        <v>29838</v>
      </c>
      <c r="K23" s="116">
        <v>277796</v>
      </c>
      <c r="L23" s="116">
        <v>438070</v>
      </c>
      <c r="M23" s="195">
        <v>2.1551724137931036E-2</v>
      </c>
      <c r="N23" s="195">
        <v>2.3157635760456072E-3</v>
      </c>
      <c r="O23" s="195">
        <v>1.410188888333311E-2</v>
      </c>
      <c r="P23" s="195">
        <v>3.3538092266157421E-2</v>
      </c>
      <c r="R23" s="223" t="s">
        <v>69</v>
      </c>
      <c r="S23" s="207">
        <f t="shared" si="0"/>
        <v>2</v>
      </c>
      <c r="T23" s="219">
        <f t="shared" si="1"/>
        <v>3</v>
      </c>
      <c r="V23" s="204" t="str">
        <f ca="1">IFERROR(__xludf.DUMMYFUNCTION("""COMPUTED_VALUE"""),"Baozer")</f>
        <v>Baozer</v>
      </c>
      <c r="W23" s="116">
        <f ca="1">IFERROR(__xludf.DUMMYFUNCTION("""COMPUTED_VALUE"""),654076)</f>
        <v>654076</v>
      </c>
      <c r="Y23" s="204" t="str">
        <f ca="1">IFERROR(__xludf.DUMMYFUNCTION("""COMPUTED_VALUE"""),"Zanax")</f>
        <v>Zanax</v>
      </c>
      <c r="Z23" s="116">
        <f ca="1">IFERROR(__xludf.DUMMYFUNCTION("""COMPUTED_VALUE"""),785778)</f>
        <v>785778</v>
      </c>
    </row>
    <row r="24" spans="1:26" ht="22.5" customHeight="1">
      <c r="A24" s="115">
        <v>60</v>
      </c>
      <c r="B24" s="115" t="s">
        <v>11</v>
      </c>
      <c r="C24" s="115" t="s">
        <v>9</v>
      </c>
      <c r="D24" s="115" t="s">
        <v>7</v>
      </c>
      <c r="E24" s="98" t="s">
        <v>72</v>
      </c>
      <c r="F24" s="115" t="s">
        <v>476</v>
      </c>
      <c r="G24" s="115">
        <v>0</v>
      </c>
      <c r="H24" s="115">
        <v>20</v>
      </c>
      <c r="I24" s="194">
        <v>20</v>
      </c>
      <c r="J24" s="116">
        <v>9530</v>
      </c>
      <c r="K24" s="116">
        <v>269909</v>
      </c>
      <c r="L24" s="116">
        <v>286266</v>
      </c>
      <c r="M24" s="195">
        <v>2.1551724137931036E-2</v>
      </c>
      <c r="N24" s="195">
        <v>7.3963492458323742E-4</v>
      </c>
      <c r="O24" s="195">
        <v>1.3701517396260408E-2</v>
      </c>
      <c r="P24" s="195">
        <v>2.1916167554646107E-2</v>
      </c>
      <c r="R24" s="223" t="s">
        <v>23</v>
      </c>
      <c r="S24" s="207">
        <f t="shared" si="0"/>
        <v>5</v>
      </c>
      <c r="T24" s="219">
        <f t="shared" si="1"/>
        <v>4</v>
      </c>
      <c r="V24" s="204" t="str">
        <f ca="1">IFERROR(__xludf.DUMMYFUNCTION("""COMPUTED_VALUE"""),"Blee")</f>
        <v>Blee</v>
      </c>
      <c r="W24" s="116">
        <f ca="1">IFERROR(__xludf.DUMMYFUNCTION("""COMPUTED_VALUE"""),630984)</f>
        <v>630984</v>
      </c>
      <c r="Y24" s="204" t="str">
        <f ca="1">IFERROR(__xludf.DUMMYFUNCTION("""COMPUTED_VALUE"""),"EgirlWaifu")</f>
        <v>EgirlWaifu</v>
      </c>
      <c r="Z24" s="116">
        <f ca="1">IFERROR(__xludf.DUMMYFUNCTION("""COMPUTED_VALUE"""),770592)</f>
        <v>770592</v>
      </c>
    </row>
    <row r="25" spans="1:26" ht="22.5" customHeight="1">
      <c r="A25" s="115">
        <v>61</v>
      </c>
      <c r="B25" s="115" t="s">
        <v>11</v>
      </c>
      <c r="C25" s="115" t="s">
        <v>9</v>
      </c>
      <c r="D25" s="115" t="s">
        <v>7</v>
      </c>
      <c r="E25" s="98" t="s">
        <v>91</v>
      </c>
      <c r="F25" s="115" t="s">
        <v>476</v>
      </c>
      <c r="G25" s="115">
        <v>0</v>
      </c>
      <c r="H25" s="115">
        <v>20</v>
      </c>
      <c r="I25" s="194">
        <v>20</v>
      </c>
      <c r="J25" s="116">
        <v>1443</v>
      </c>
      <c r="K25" s="116">
        <v>334510</v>
      </c>
      <c r="L25" s="116">
        <v>1062752</v>
      </c>
      <c r="M25" s="195">
        <v>2.1551724137931036E-2</v>
      </c>
      <c r="N25" s="195">
        <v>1.1199299015462872E-4</v>
      </c>
      <c r="O25" s="195">
        <v>1.6980888315036063E-2</v>
      </c>
      <c r="P25" s="195">
        <v>8.1362966265764211E-2</v>
      </c>
      <c r="R25" s="223" t="s">
        <v>18</v>
      </c>
      <c r="S25" s="207">
        <f t="shared" si="0"/>
        <v>0</v>
      </c>
      <c r="T25" s="219">
        <f t="shared" si="1"/>
        <v>0</v>
      </c>
      <c r="V25" s="204" t="str">
        <f ca="1">IFERROR(__xludf.DUMMYFUNCTION("""COMPUTED_VALUE"""),"Spot·")</f>
        <v>Spot·</v>
      </c>
      <c r="W25" s="116">
        <f ca="1">IFERROR(__xludf.DUMMYFUNCTION("""COMPUTED_VALUE"""),617991)</f>
        <v>617991</v>
      </c>
      <c r="Y25" s="204" t="str">
        <f ca="1">IFERROR(__xludf.DUMMYFUNCTION("""COMPUTED_VALUE"""),"chinny")</f>
        <v>chinny</v>
      </c>
      <c r="Z25" s="116">
        <f ca="1">IFERROR(__xludf.DUMMYFUNCTION("""COMPUTED_VALUE"""),750872)</f>
        <v>750872</v>
      </c>
    </row>
    <row r="26" spans="1:26" ht="22.5" customHeight="1">
      <c r="A26" s="115">
        <v>63</v>
      </c>
      <c r="B26" s="115" t="s">
        <v>11</v>
      </c>
      <c r="C26" s="115" t="s">
        <v>10</v>
      </c>
      <c r="D26" s="115" t="s">
        <v>7</v>
      </c>
      <c r="E26" s="98" t="s">
        <v>44</v>
      </c>
      <c r="F26" s="115" t="s">
        <v>476</v>
      </c>
      <c r="G26" s="115">
        <v>0</v>
      </c>
      <c r="H26" s="115">
        <v>19</v>
      </c>
      <c r="I26" s="194">
        <v>19</v>
      </c>
      <c r="J26" s="116">
        <v>5924</v>
      </c>
      <c r="K26" s="116">
        <v>258928</v>
      </c>
      <c r="L26" s="116">
        <v>770592</v>
      </c>
      <c r="M26" s="195">
        <v>2.0474137931034482E-2</v>
      </c>
      <c r="N26" s="195">
        <v>4.5976886602634823E-4</v>
      </c>
      <c r="O26" s="195">
        <v>1.3144083733328324E-2</v>
      </c>
      <c r="P26" s="195">
        <v>5.8995561429823491E-2</v>
      </c>
      <c r="R26" s="223"/>
      <c r="S26" s="207"/>
      <c r="T26" s="219"/>
      <c r="V26" s="204" t="str">
        <f ca="1">IFERROR(__xludf.DUMMYFUNCTION("""COMPUTED_VALUE"""),"TOKUL")</f>
        <v>TOKUL</v>
      </c>
      <c r="W26" s="116">
        <f ca="1">IFERROR(__xludf.DUMMYFUNCTION("""COMPUTED_VALUE"""),592013)</f>
        <v>592013</v>
      </c>
      <c r="Y26" s="204" t="str">
        <f ca="1">IFERROR(__xludf.DUMMYFUNCTION("""COMPUTED_VALUE"""),"Sybilene")</f>
        <v>Sybilene</v>
      </c>
      <c r="Z26" s="116">
        <f ca="1">IFERROR(__xludf.DUMMYFUNCTION("""COMPUTED_VALUE"""),736787)</f>
        <v>736787</v>
      </c>
    </row>
    <row r="27" spans="1:26" ht="22.5" customHeight="1">
      <c r="A27" s="115">
        <v>64</v>
      </c>
      <c r="B27" s="115" t="s">
        <v>11</v>
      </c>
      <c r="C27" s="115" t="s">
        <v>9</v>
      </c>
      <c r="D27" s="115" t="s">
        <v>7</v>
      </c>
      <c r="E27" s="98" t="s">
        <v>793</v>
      </c>
      <c r="F27" s="115" t="s">
        <v>476</v>
      </c>
      <c r="G27" s="115">
        <v>0</v>
      </c>
      <c r="H27" s="115">
        <v>16</v>
      </c>
      <c r="I27" s="194">
        <v>16</v>
      </c>
      <c r="J27" s="116">
        <v>1206</v>
      </c>
      <c r="K27" s="116">
        <v>361475</v>
      </c>
      <c r="L27" s="116">
        <v>698593</v>
      </c>
      <c r="M27" s="195">
        <v>1.7241379310344827E-2</v>
      </c>
      <c r="N27" s="195">
        <v>9.3599131064783249E-5</v>
      </c>
      <c r="O27" s="195">
        <v>1.834972528079179E-2</v>
      </c>
      <c r="P27" s="195">
        <v>5.3483407881141622E-2</v>
      </c>
      <c r="R27" s="223"/>
      <c r="S27" s="207"/>
      <c r="T27" s="219"/>
    </row>
    <row r="28" spans="1:26" ht="22.5" customHeight="1">
      <c r="A28" s="115">
        <v>65</v>
      </c>
      <c r="B28" s="115" t="s">
        <v>11</v>
      </c>
      <c r="C28" s="115" t="s">
        <v>10</v>
      </c>
      <c r="D28" s="115" t="s">
        <v>7</v>
      </c>
      <c r="E28" s="98" t="s">
        <v>105</v>
      </c>
      <c r="F28" s="115" t="s">
        <v>476</v>
      </c>
      <c r="G28" s="115">
        <v>0</v>
      </c>
      <c r="H28" s="115">
        <v>16</v>
      </c>
      <c r="I28" s="194">
        <v>16</v>
      </c>
      <c r="J28" s="116">
        <v>1159</v>
      </c>
      <c r="K28" s="116">
        <v>511186</v>
      </c>
      <c r="L28" s="116">
        <v>736787</v>
      </c>
      <c r="M28" s="195">
        <v>1.7241379310344827E-2</v>
      </c>
      <c r="N28" s="195">
        <v>8.9951403734729506E-5</v>
      </c>
      <c r="O28" s="195">
        <v>2.5949575122447836E-2</v>
      </c>
      <c r="P28" s="195">
        <v>5.6407492835632032E-2</v>
      </c>
      <c r="R28" s="204"/>
      <c r="S28" s="224"/>
      <c r="T28" s="225"/>
    </row>
    <row r="29" spans="1:26" ht="22.5" customHeight="1">
      <c r="A29" s="115">
        <v>41</v>
      </c>
      <c r="B29" s="115" t="s">
        <v>67</v>
      </c>
      <c r="C29" s="115" t="s">
        <v>14</v>
      </c>
      <c r="D29" s="115" t="s">
        <v>7</v>
      </c>
      <c r="E29" s="98" t="s">
        <v>109</v>
      </c>
      <c r="F29" s="115" t="s">
        <v>476</v>
      </c>
      <c r="G29" s="115">
        <v>1</v>
      </c>
      <c r="H29" s="115">
        <v>14</v>
      </c>
      <c r="I29" s="194">
        <v>15</v>
      </c>
      <c r="J29" s="116">
        <v>39011</v>
      </c>
      <c r="K29" s="116">
        <v>363973</v>
      </c>
      <c r="L29" s="116">
        <v>27647</v>
      </c>
      <c r="M29" s="195">
        <v>1.6163793103448277E-2</v>
      </c>
      <c r="N29" s="195">
        <v>3.0276912951643941E-3</v>
      </c>
      <c r="O29" s="195">
        <v>1.8476532428592929E-2</v>
      </c>
      <c r="P29" s="195">
        <v>2.1166198025029202E-3</v>
      </c>
      <c r="R29" s="6"/>
      <c r="S29" s="209"/>
      <c r="T29" s="209"/>
    </row>
    <row r="30" spans="1:26" ht="22.5" customHeight="1">
      <c r="A30" s="115">
        <v>66</v>
      </c>
      <c r="B30" s="115" t="s">
        <v>11</v>
      </c>
      <c r="C30" s="115" t="s">
        <v>10</v>
      </c>
      <c r="D30" s="115" t="s">
        <v>7</v>
      </c>
      <c r="E30" s="98" t="s">
        <v>102</v>
      </c>
      <c r="F30" s="115" t="s">
        <v>476</v>
      </c>
      <c r="G30" s="115">
        <v>0</v>
      </c>
      <c r="H30" s="115">
        <v>15</v>
      </c>
      <c r="I30" s="194">
        <v>15</v>
      </c>
      <c r="J30" s="116">
        <v>5781</v>
      </c>
      <c r="K30" s="116">
        <v>340276</v>
      </c>
      <c r="L30" s="116">
        <v>693576</v>
      </c>
      <c r="M30" s="195">
        <v>1.6163793103448277E-2</v>
      </c>
      <c r="N30" s="195">
        <v>4.4867046159661024E-4</v>
      </c>
      <c r="O30" s="195">
        <v>1.7273590482458558E-2</v>
      </c>
      <c r="P30" s="195">
        <v>5.3099312624905602E-2</v>
      </c>
      <c r="R30" s="232" t="s">
        <v>39</v>
      </c>
      <c r="S30" s="228"/>
      <c r="T30" s="228"/>
    </row>
    <row r="31" spans="1:26" ht="22.5" customHeight="1">
      <c r="A31" s="115">
        <v>70</v>
      </c>
      <c r="B31" s="115" t="s">
        <v>11</v>
      </c>
      <c r="C31" s="115" t="s">
        <v>9</v>
      </c>
      <c r="D31" s="115" t="s">
        <v>7</v>
      </c>
      <c r="E31" s="98" t="s">
        <v>96</v>
      </c>
      <c r="F31" s="115" t="s">
        <v>476</v>
      </c>
      <c r="G31" s="115">
        <v>0</v>
      </c>
      <c r="H31" s="115">
        <v>14</v>
      </c>
      <c r="I31" s="194">
        <v>14</v>
      </c>
      <c r="J31" s="116">
        <v>413</v>
      </c>
      <c r="K31" s="116">
        <v>250330</v>
      </c>
      <c r="L31" s="116">
        <v>472746</v>
      </c>
      <c r="M31" s="195">
        <v>1.5086206896551725E-2</v>
      </c>
      <c r="N31" s="195">
        <v>3.2053433772599904E-5</v>
      </c>
      <c r="O31" s="195">
        <v>1.2707619419159301E-2</v>
      </c>
      <c r="P31" s="195">
        <v>3.6192843532898519E-2</v>
      </c>
      <c r="R31" s="190" t="s">
        <v>482</v>
      </c>
      <c r="S31" s="222" t="s">
        <v>476</v>
      </c>
      <c r="T31" s="222" t="s">
        <v>483</v>
      </c>
    </row>
    <row r="32" spans="1:26" ht="22.5" customHeight="1">
      <c r="A32" s="115">
        <v>71</v>
      </c>
      <c r="B32" s="115" t="s">
        <v>11</v>
      </c>
      <c r="C32" s="115" t="s">
        <v>9</v>
      </c>
      <c r="D32" s="115" t="s">
        <v>7</v>
      </c>
      <c r="E32" s="98" t="s">
        <v>100</v>
      </c>
      <c r="F32" s="115" t="s">
        <v>476</v>
      </c>
      <c r="G32" s="115">
        <v>0</v>
      </c>
      <c r="H32" s="115">
        <v>14</v>
      </c>
      <c r="I32" s="194">
        <v>14</v>
      </c>
      <c r="J32" s="116">
        <v>207</v>
      </c>
      <c r="K32" s="116">
        <v>400914</v>
      </c>
      <c r="L32" s="116">
        <v>614063</v>
      </c>
      <c r="M32" s="195">
        <v>1.5086206896551725E-2</v>
      </c>
      <c r="N32" s="195">
        <v>1.6065522496194141E-5</v>
      </c>
      <c r="O32" s="195">
        <v>2.0351785770034884E-2</v>
      </c>
      <c r="P32" s="195">
        <v>4.7011896617511865E-2</v>
      </c>
      <c r="R32" s="223" t="s">
        <v>468</v>
      </c>
      <c r="S32" s="207">
        <f>SUMIFS(Scoreboard[Damage Dealt],Scoreboard[Role],"Ranged DPS",Scoreboard[Team],"Yellow")</f>
        <v>8281932</v>
      </c>
      <c r="T32" s="219">
        <f>SUMIFS(Scoreboard[Damage Dealt],Scoreboard[Role],"Ranged DPS",Scoreboard[Team],"Red")</f>
        <v>9585831</v>
      </c>
    </row>
    <row r="33" spans="1:20" ht="22.5" customHeight="1">
      <c r="A33" s="115">
        <v>72</v>
      </c>
      <c r="B33" s="115" t="s">
        <v>67</v>
      </c>
      <c r="C33" s="115" t="s">
        <v>62</v>
      </c>
      <c r="D33" s="115" t="s">
        <v>7</v>
      </c>
      <c r="E33" s="98" t="s">
        <v>114</v>
      </c>
      <c r="F33" s="115" t="s">
        <v>476</v>
      </c>
      <c r="G33" s="115">
        <v>0</v>
      </c>
      <c r="H33" s="115">
        <v>13</v>
      </c>
      <c r="I33" s="194">
        <v>13</v>
      </c>
      <c r="J33" s="116">
        <v>12817</v>
      </c>
      <c r="K33" s="116">
        <v>156582</v>
      </c>
      <c r="L33" s="116">
        <v>5053</v>
      </c>
      <c r="M33" s="195">
        <v>1.4008620689655173E-2</v>
      </c>
      <c r="N33" s="195">
        <v>9.9474300402763432E-4</v>
      </c>
      <c r="O33" s="195">
        <v>7.948645643314033E-3</v>
      </c>
      <c r="P33" s="195">
        <v>3.8685137128973324E-4</v>
      </c>
      <c r="R33" s="223" t="s">
        <v>469</v>
      </c>
      <c r="S33" s="207">
        <f>SUMIFS(Scoreboard[Damage Taken],Scoreboard[Role],"Ranged DPS",Scoreboard[Team],"Yellow")</f>
        <v>3652570</v>
      </c>
      <c r="T33" s="219">
        <f>SUMIFS(Scoreboard[Damage Taken],Scoreboard[Role],"Ranged DPS",Scoreboard[Team],"Red")</f>
        <v>2412393</v>
      </c>
    </row>
    <row r="34" spans="1:20" ht="22.5" customHeight="1">
      <c r="A34" s="115">
        <v>73</v>
      </c>
      <c r="B34" s="115" t="s">
        <v>11</v>
      </c>
      <c r="C34" s="115" t="s">
        <v>10</v>
      </c>
      <c r="D34" s="115" t="s">
        <v>7</v>
      </c>
      <c r="E34" s="98" t="s">
        <v>17</v>
      </c>
      <c r="F34" s="115" t="s">
        <v>476</v>
      </c>
      <c r="G34" s="115">
        <v>0</v>
      </c>
      <c r="H34" s="115">
        <v>13</v>
      </c>
      <c r="I34" s="194">
        <v>13</v>
      </c>
      <c r="J34" s="116">
        <v>7007</v>
      </c>
      <c r="K34" s="116">
        <v>401956</v>
      </c>
      <c r="L34" s="116">
        <v>1124585</v>
      </c>
      <c r="M34" s="195">
        <v>1.4008620689655173E-2</v>
      </c>
      <c r="N34" s="195">
        <v>5.4382181705716107E-4</v>
      </c>
      <c r="O34" s="195">
        <v>2.0404681305666902E-2</v>
      </c>
      <c r="P34" s="195">
        <v>8.6096823546777085E-2</v>
      </c>
      <c r="R34" s="223" t="s">
        <v>470</v>
      </c>
      <c r="S34" s="207">
        <f>SUMIFS(Scoreboard[Amount Healed],Scoreboard[Role],"Ranged DPS",Scoreboard[Team],"Yellow")</f>
        <v>237366</v>
      </c>
      <c r="T34" s="219">
        <f>SUMIFS(Scoreboard[Amount Healed],Scoreboard[Role],"Ranged DPS",Scoreboard[Team],"Red")</f>
        <v>94129</v>
      </c>
    </row>
    <row r="35" spans="1:20" ht="22.5" customHeight="1">
      <c r="A35" s="115">
        <v>78</v>
      </c>
      <c r="B35" s="115" t="s">
        <v>67</v>
      </c>
      <c r="C35" s="115" t="s">
        <v>14</v>
      </c>
      <c r="D35" s="115" t="s">
        <v>7</v>
      </c>
      <c r="E35" s="98" t="s">
        <v>85</v>
      </c>
      <c r="F35" s="115" t="s">
        <v>476</v>
      </c>
      <c r="G35" s="115">
        <v>0</v>
      </c>
      <c r="H35" s="115">
        <v>11</v>
      </c>
      <c r="I35" s="194">
        <v>11</v>
      </c>
      <c r="J35" s="116">
        <v>51885</v>
      </c>
      <c r="K35" s="116">
        <v>304864</v>
      </c>
      <c r="L35" s="116">
        <v>23119</v>
      </c>
      <c r="M35" s="195">
        <v>1.1853448275862068E-2</v>
      </c>
      <c r="N35" s="195">
        <v>4.0268581387199655E-3</v>
      </c>
      <c r="O35" s="195">
        <v>1.5475954486488161E-2</v>
      </c>
      <c r="P35" s="195">
        <v>1.7699617757465551E-3</v>
      </c>
      <c r="R35" s="223" t="s">
        <v>465</v>
      </c>
      <c r="S35" s="207">
        <f>SUMIFS(Scoreboard[Kills],Scoreboard[Role],"Ranged DPS",Scoreboard[Team],"Yellow")</f>
        <v>120</v>
      </c>
      <c r="T35" s="219">
        <f>SUMIFS(Scoreboard[Kills],Scoreboard[Role],"Ranged DPS",Scoreboard[Team],"Red")</f>
        <v>127</v>
      </c>
    </row>
    <row r="36" spans="1:20" ht="22.5" customHeight="1">
      <c r="A36" s="115">
        <v>79</v>
      </c>
      <c r="B36" s="115" t="s">
        <v>11</v>
      </c>
      <c r="C36" s="115" t="s">
        <v>10</v>
      </c>
      <c r="D36" s="115" t="s">
        <v>7</v>
      </c>
      <c r="E36" s="98" t="s">
        <v>115</v>
      </c>
      <c r="F36" s="115" t="s">
        <v>476</v>
      </c>
      <c r="G36" s="115">
        <v>0</v>
      </c>
      <c r="H36" s="115">
        <v>11</v>
      </c>
      <c r="I36" s="194">
        <v>11</v>
      </c>
      <c r="J36" s="116">
        <v>6197</v>
      </c>
      <c r="K36" s="116">
        <v>239763</v>
      </c>
      <c r="L36" s="116">
        <v>785778</v>
      </c>
      <c r="M36" s="195">
        <v>1.1853448275862068E-2</v>
      </c>
      <c r="N36" s="195">
        <v>4.809567290285753E-4</v>
      </c>
      <c r="O36" s="195">
        <v>1.2171201832764317E-2</v>
      </c>
      <c r="P36" s="195">
        <v>6.015818262998298E-2</v>
      </c>
      <c r="R36" s="223" t="s">
        <v>466</v>
      </c>
      <c r="S36" s="207">
        <f>SUMIFS(Scoreboard[Assists],Scoreboard[Role],"Ranged DPS",Scoreboard[Team],"Yellow")</f>
        <v>187</v>
      </c>
      <c r="T36" s="219">
        <f>SUMIFS(Scoreboard[Assists],Scoreboard[Role],"Ranged DPS",Scoreboard[Team],"Red")</f>
        <v>279</v>
      </c>
    </row>
    <row r="37" spans="1:20" ht="22.5" customHeight="1">
      <c r="A37" s="115">
        <v>80</v>
      </c>
      <c r="B37" s="115" t="s">
        <v>67</v>
      </c>
      <c r="C37" s="115" t="s">
        <v>14</v>
      </c>
      <c r="D37" s="115" t="s">
        <v>7</v>
      </c>
      <c r="E37" s="98" t="s">
        <v>93</v>
      </c>
      <c r="F37" s="115" t="s">
        <v>476</v>
      </c>
      <c r="G37" s="115">
        <v>0</v>
      </c>
      <c r="H37" s="115">
        <v>10</v>
      </c>
      <c r="I37" s="194">
        <v>10</v>
      </c>
      <c r="J37" s="116">
        <v>33243</v>
      </c>
      <c r="K37" s="116">
        <v>414742</v>
      </c>
      <c r="L37" s="116">
        <v>9418</v>
      </c>
      <c r="M37" s="195">
        <v>1.0775862068965518E-2</v>
      </c>
      <c r="N37" s="195">
        <v>2.5800297794250329E-3</v>
      </c>
      <c r="O37" s="195">
        <v>2.105374303176194E-2</v>
      </c>
      <c r="P37" s="195">
        <v>7.21030321552881E-4</v>
      </c>
      <c r="R37" s="223" t="s">
        <v>54</v>
      </c>
      <c r="S37" s="207">
        <f t="shared" ref="S37:S48" si="2">COUNTIFS(C:C,R37,F:F,"Yellow")</f>
        <v>1</v>
      </c>
      <c r="T37" s="219">
        <f t="shared" ref="T37:T48" si="3">COUNTIFS(C:C,R37,F:F,"Red")</f>
        <v>2</v>
      </c>
    </row>
    <row r="38" spans="1:20" ht="22.5" customHeight="1">
      <c r="A38" s="115">
        <v>81</v>
      </c>
      <c r="B38" s="115" t="s">
        <v>67</v>
      </c>
      <c r="C38" s="115" t="s">
        <v>794</v>
      </c>
      <c r="D38" s="115" t="s">
        <v>7</v>
      </c>
      <c r="E38" s="98" t="s">
        <v>79</v>
      </c>
      <c r="F38" s="115" t="s">
        <v>476</v>
      </c>
      <c r="G38" s="115">
        <v>0</v>
      </c>
      <c r="H38" s="115">
        <v>9</v>
      </c>
      <c r="I38" s="194">
        <v>9</v>
      </c>
      <c r="J38" s="116">
        <v>81941</v>
      </c>
      <c r="K38" s="116">
        <v>239633</v>
      </c>
      <c r="L38" s="116">
        <v>10528</v>
      </c>
      <c r="M38" s="195">
        <v>9.6982758620689658E-3</v>
      </c>
      <c r="N38" s="195">
        <v>6.35954096067944E-3</v>
      </c>
      <c r="O38" s="195">
        <v>1.2164602581677789E-2</v>
      </c>
      <c r="P38" s="195">
        <v>8.0601053570914535E-4</v>
      </c>
      <c r="R38" s="223" t="s">
        <v>45</v>
      </c>
      <c r="S38" s="207">
        <f t="shared" si="2"/>
        <v>2</v>
      </c>
      <c r="T38" s="219">
        <f t="shared" si="3"/>
        <v>0</v>
      </c>
    </row>
    <row r="39" spans="1:20" ht="22.5" customHeight="1">
      <c r="A39" s="115">
        <v>86</v>
      </c>
      <c r="B39" s="115" t="s">
        <v>67</v>
      </c>
      <c r="C39" s="115" t="s">
        <v>14</v>
      </c>
      <c r="D39" s="115" t="s">
        <v>7</v>
      </c>
      <c r="E39" s="98" t="s">
        <v>111</v>
      </c>
      <c r="F39" s="115" t="s">
        <v>476</v>
      </c>
      <c r="G39" s="115">
        <v>0</v>
      </c>
      <c r="H39" s="115">
        <v>7</v>
      </c>
      <c r="I39" s="194">
        <v>7</v>
      </c>
      <c r="J39" s="116">
        <v>15832</v>
      </c>
      <c r="K39" s="116">
        <v>219698</v>
      </c>
      <c r="L39" s="116">
        <v>6669</v>
      </c>
      <c r="M39" s="195">
        <v>7.5431034482758624E-3</v>
      </c>
      <c r="N39" s="195">
        <v>1.2287408316895923E-3</v>
      </c>
      <c r="O39" s="195">
        <v>1.1152632809293572E-2</v>
      </c>
      <c r="P39" s="195">
        <v>5.1057031370101537E-4</v>
      </c>
      <c r="R39" s="223" t="s">
        <v>32</v>
      </c>
      <c r="S39" s="207">
        <f t="shared" si="2"/>
        <v>1</v>
      </c>
      <c r="T39" s="219">
        <f t="shared" si="3"/>
        <v>0</v>
      </c>
    </row>
    <row r="40" spans="1:20" ht="22.5" customHeight="1">
      <c r="A40" s="115">
        <v>44</v>
      </c>
      <c r="B40" s="115" t="s">
        <v>67</v>
      </c>
      <c r="C40" s="115" t="s">
        <v>794</v>
      </c>
      <c r="D40" s="115" t="s">
        <v>7</v>
      </c>
      <c r="E40" s="98" t="s">
        <v>89</v>
      </c>
      <c r="F40" s="115" t="s">
        <v>476</v>
      </c>
      <c r="G40" s="115">
        <v>1</v>
      </c>
      <c r="H40" s="115">
        <v>5</v>
      </c>
      <c r="I40" s="194">
        <v>6</v>
      </c>
      <c r="J40" s="116">
        <v>49466</v>
      </c>
      <c r="K40" s="116">
        <v>254527</v>
      </c>
      <c r="L40" s="116">
        <v>3861</v>
      </c>
      <c r="M40" s="195">
        <v>6.4655172413793103E-3</v>
      </c>
      <c r="N40" s="195">
        <v>3.8391165980518806E-3</v>
      </c>
      <c r="O40" s="195">
        <v>1.2920673702314383E-2</v>
      </c>
      <c r="P40" s="195">
        <v>2.9559333951111418E-4</v>
      </c>
      <c r="R40" s="223" t="s">
        <v>56</v>
      </c>
      <c r="S40" s="207">
        <f t="shared" si="2"/>
        <v>0</v>
      </c>
      <c r="T40" s="219">
        <f t="shared" si="3"/>
        <v>0</v>
      </c>
    </row>
    <row r="41" spans="1:20" ht="22.5" customHeight="1">
      <c r="A41" s="115">
        <v>88</v>
      </c>
      <c r="B41" s="115" t="s">
        <v>67</v>
      </c>
      <c r="C41" s="115" t="s">
        <v>14</v>
      </c>
      <c r="D41" s="115" t="s">
        <v>7</v>
      </c>
      <c r="E41" s="98" t="s">
        <v>13</v>
      </c>
      <c r="F41" s="115" t="s">
        <v>476</v>
      </c>
      <c r="G41" s="115">
        <v>0</v>
      </c>
      <c r="H41" s="115">
        <v>5</v>
      </c>
      <c r="I41" s="194">
        <v>5</v>
      </c>
      <c r="J41" s="116">
        <v>7129</v>
      </c>
      <c r="K41" s="116">
        <v>232189</v>
      </c>
      <c r="L41" s="116">
        <v>31825</v>
      </c>
      <c r="M41" s="195">
        <v>5.387931034482759E-3</v>
      </c>
      <c r="N41" s="195">
        <v>5.5329038587134313E-4</v>
      </c>
      <c r="O41" s="195">
        <v>1.1786719311769181E-2</v>
      </c>
      <c r="P41" s="195">
        <v>2.4364822662370392E-3</v>
      </c>
      <c r="R41" s="223" t="s">
        <v>81</v>
      </c>
      <c r="S41" s="207">
        <f t="shared" si="2"/>
        <v>0</v>
      </c>
      <c r="T41" s="219">
        <f t="shared" si="3"/>
        <v>0</v>
      </c>
    </row>
    <row r="42" spans="1:20" ht="22.5" customHeight="1">
      <c r="A42" s="115">
        <v>47</v>
      </c>
      <c r="B42" s="115" t="s">
        <v>25</v>
      </c>
      <c r="C42" s="115" t="s">
        <v>23</v>
      </c>
      <c r="D42" s="115" t="s">
        <v>7</v>
      </c>
      <c r="E42" s="98" t="s">
        <v>71</v>
      </c>
      <c r="F42" s="115" t="s">
        <v>476</v>
      </c>
      <c r="G42" s="115">
        <v>1</v>
      </c>
      <c r="H42" s="115">
        <v>3</v>
      </c>
      <c r="I42" s="194">
        <v>4</v>
      </c>
      <c r="J42" s="116">
        <v>38302</v>
      </c>
      <c r="K42" s="116">
        <v>389542</v>
      </c>
      <c r="L42" s="116">
        <v>34033</v>
      </c>
      <c r="M42" s="195">
        <v>4.3103448275862068E-3</v>
      </c>
      <c r="N42" s="195">
        <v>2.9726649403344343E-3</v>
      </c>
      <c r="O42" s="195">
        <v>1.9774503590373319E-2</v>
      </c>
      <c r="P42" s="195">
        <v>2.6055239895316626E-3</v>
      </c>
      <c r="R42" s="223" t="s">
        <v>63</v>
      </c>
      <c r="S42" s="207">
        <f t="shared" si="2"/>
        <v>0</v>
      </c>
      <c r="T42" s="219">
        <f t="shared" si="3"/>
        <v>0</v>
      </c>
    </row>
    <row r="43" spans="1:20" ht="22.5" customHeight="1">
      <c r="A43" s="115">
        <v>89</v>
      </c>
      <c r="B43" s="115" t="s">
        <v>11</v>
      </c>
      <c r="C43" s="115" t="s">
        <v>9</v>
      </c>
      <c r="D43" s="115" t="s">
        <v>7</v>
      </c>
      <c r="E43" s="98" t="s">
        <v>795</v>
      </c>
      <c r="F43" s="115" t="s">
        <v>476</v>
      </c>
      <c r="G43" s="115">
        <v>0</v>
      </c>
      <c r="H43" s="115">
        <v>4</v>
      </c>
      <c r="I43" s="194">
        <v>4</v>
      </c>
      <c r="J43" s="116">
        <v>39421</v>
      </c>
      <c r="K43" s="116">
        <v>200911</v>
      </c>
      <c r="L43" s="116">
        <v>194413</v>
      </c>
      <c r="M43" s="195">
        <v>4.3103448275862068E-3</v>
      </c>
      <c r="N43" s="195">
        <v>3.0595118952776289E-3</v>
      </c>
      <c r="O43" s="195">
        <v>1.0198939500350395E-2</v>
      </c>
      <c r="P43" s="195">
        <v>1.4884016553839483E-2</v>
      </c>
      <c r="R43" s="223" t="s">
        <v>60</v>
      </c>
      <c r="S43" s="207">
        <f t="shared" si="2"/>
        <v>0</v>
      </c>
      <c r="T43" s="219">
        <f t="shared" si="3"/>
        <v>0</v>
      </c>
    </row>
    <row r="44" spans="1:20" ht="22.5" customHeight="1">
      <c r="A44" s="115">
        <v>91</v>
      </c>
      <c r="B44" s="115" t="s">
        <v>67</v>
      </c>
      <c r="C44" s="115" t="s">
        <v>14</v>
      </c>
      <c r="D44" s="115" t="s">
        <v>7</v>
      </c>
      <c r="E44" s="98" t="s">
        <v>83</v>
      </c>
      <c r="F44" s="115" t="s">
        <v>476</v>
      </c>
      <c r="G44" s="115">
        <v>0</v>
      </c>
      <c r="H44" s="115">
        <v>4</v>
      </c>
      <c r="I44" s="194">
        <v>4</v>
      </c>
      <c r="J44" s="116">
        <v>6661</v>
      </c>
      <c r="K44" s="116">
        <v>222440</v>
      </c>
      <c r="L44" s="116">
        <v>23412</v>
      </c>
      <c r="M44" s="195">
        <v>4.3103448275862068E-3</v>
      </c>
      <c r="N44" s="195">
        <v>5.1696833501038242E-4</v>
      </c>
      <c r="O44" s="195">
        <v>1.129182624374943E-2</v>
      </c>
      <c r="P44" s="195">
        <v>1.7923934899337492E-3</v>
      </c>
      <c r="R44" s="223" t="s">
        <v>52</v>
      </c>
      <c r="S44" s="207">
        <f t="shared" si="2"/>
        <v>1</v>
      </c>
      <c r="T44" s="219">
        <f t="shared" si="3"/>
        <v>0</v>
      </c>
    </row>
    <row r="45" spans="1:20" ht="22.5" customHeight="1">
      <c r="A45" s="115">
        <v>92</v>
      </c>
      <c r="B45" s="115" t="s">
        <v>67</v>
      </c>
      <c r="C45" s="115" t="s">
        <v>14</v>
      </c>
      <c r="D45" s="115" t="s">
        <v>7</v>
      </c>
      <c r="E45" s="98" t="s">
        <v>80</v>
      </c>
      <c r="F45" s="115" t="s">
        <v>476</v>
      </c>
      <c r="G45" s="115">
        <v>0</v>
      </c>
      <c r="H45" s="115">
        <v>3</v>
      </c>
      <c r="I45" s="194">
        <v>3</v>
      </c>
      <c r="J45" s="116">
        <v>14321</v>
      </c>
      <c r="K45" s="116">
        <v>251188</v>
      </c>
      <c r="L45" s="116">
        <v>16665</v>
      </c>
      <c r="M45" s="195">
        <v>3.2327586206896551E-3</v>
      </c>
      <c r="N45" s="195">
        <v>1.1114702785893541E-3</v>
      </c>
      <c r="O45" s="195">
        <v>1.2751174476330391E-2</v>
      </c>
      <c r="P45" s="195">
        <v>1.2758515936163476E-3</v>
      </c>
      <c r="R45" s="223" t="s">
        <v>58</v>
      </c>
      <c r="S45" s="207">
        <f t="shared" si="2"/>
        <v>4</v>
      </c>
      <c r="T45" s="219">
        <f t="shared" si="3"/>
        <v>5</v>
      </c>
    </row>
    <row r="46" spans="1:20" ht="22.5" customHeight="1">
      <c r="A46" s="115">
        <v>93</v>
      </c>
      <c r="B46" s="115" t="s">
        <v>67</v>
      </c>
      <c r="C46" s="115" t="s">
        <v>70</v>
      </c>
      <c r="D46" s="115" t="s">
        <v>7</v>
      </c>
      <c r="E46" s="98" t="s">
        <v>64</v>
      </c>
      <c r="F46" s="115" t="s">
        <v>476</v>
      </c>
      <c r="G46" s="115">
        <v>0</v>
      </c>
      <c r="H46" s="115">
        <v>3</v>
      </c>
      <c r="I46" s="194">
        <v>3</v>
      </c>
      <c r="J46" s="116">
        <v>3208</v>
      </c>
      <c r="K46" s="116">
        <v>113492</v>
      </c>
      <c r="L46" s="116">
        <v>31215</v>
      </c>
      <c r="M46" s="195">
        <v>3.2327586206896551E-3</v>
      </c>
      <c r="N46" s="195">
        <v>2.4897679308111498E-4</v>
      </c>
      <c r="O46" s="195">
        <v>5.7612477254792771E-3</v>
      </c>
      <c r="P46" s="195">
        <v>2.38978142782684E-3</v>
      </c>
      <c r="R46" s="223" t="s">
        <v>43</v>
      </c>
      <c r="S46" s="207">
        <f t="shared" si="2"/>
        <v>0</v>
      </c>
      <c r="T46" s="219">
        <f t="shared" si="3"/>
        <v>0</v>
      </c>
    </row>
    <row r="47" spans="1:20" ht="22.5" customHeight="1">
      <c r="A47" s="115">
        <v>94</v>
      </c>
      <c r="B47" s="115" t="s">
        <v>67</v>
      </c>
      <c r="C47" s="115" t="s">
        <v>794</v>
      </c>
      <c r="D47" s="115" t="s">
        <v>7</v>
      </c>
      <c r="E47" s="98" t="s">
        <v>61</v>
      </c>
      <c r="F47" s="115" t="s">
        <v>476</v>
      </c>
      <c r="G47" s="115">
        <v>0</v>
      </c>
      <c r="H47" s="115">
        <v>2</v>
      </c>
      <c r="I47" s="194">
        <v>2</v>
      </c>
      <c r="J47" s="116">
        <v>21510</v>
      </c>
      <c r="K47" s="116">
        <v>150257</v>
      </c>
      <c r="L47" s="116">
        <v>14465</v>
      </c>
      <c r="M47" s="195">
        <v>2.1551724137931034E-3</v>
      </c>
      <c r="N47" s="195">
        <v>1.6694173376479997E-3</v>
      </c>
      <c r="O47" s="195">
        <v>7.6275666962194663E-3</v>
      </c>
      <c r="P47" s="195">
        <v>1.1074223403336615E-3</v>
      </c>
      <c r="R47" s="223" t="s">
        <v>48</v>
      </c>
      <c r="S47" s="207">
        <f t="shared" si="2"/>
        <v>0</v>
      </c>
      <c r="T47" s="219">
        <f t="shared" si="3"/>
        <v>2</v>
      </c>
    </row>
    <row r="48" spans="1:20" ht="22.5" customHeight="1">
      <c r="A48" s="115">
        <v>95</v>
      </c>
      <c r="B48" s="115" t="s">
        <v>11</v>
      </c>
      <c r="C48" s="115" t="s">
        <v>10</v>
      </c>
      <c r="D48" s="115" t="s">
        <v>7</v>
      </c>
      <c r="E48" s="98" t="s">
        <v>106</v>
      </c>
      <c r="F48" s="115" t="s">
        <v>476</v>
      </c>
      <c r="G48" s="115">
        <v>0</v>
      </c>
      <c r="H48" s="115">
        <v>2</v>
      </c>
      <c r="I48" s="194">
        <v>2</v>
      </c>
      <c r="J48" s="116">
        <v>12251</v>
      </c>
      <c r="K48" s="116">
        <v>270882</v>
      </c>
      <c r="L48" s="116">
        <v>530133</v>
      </c>
      <c r="M48" s="195">
        <v>2.1551724137931034E-3</v>
      </c>
      <c r="N48" s="195">
        <v>9.5081505362741255E-4</v>
      </c>
      <c r="O48" s="195">
        <v>1.375091025246958E-2</v>
      </c>
      <c r="P48" s="195">
        <v>4.058632060477739E-2</v>
      </c>
      <c r="R48" s="204" t="s">
        <v>50</v>
      </c>
      <c r="S48" s="207">
        <f t="shared" si="2"/>
        <v>0</v>
      </c>
      <c r="T48" s="219">
        <f t="shared" si="3"/>
        <v>0</v>
      </c>
    </row>
    <row r="49" spans="1:20" ht="22.5" customHeight="1">
      <c r="A49" s="115">
        <v>96</v>
      </c>
      <c r="B49" s="115" t="s">
        <v>67</v>
      </c>
      <c r="C49" s="115" t="s">
        <v>14</v>
      </c>
      <c r="D49" s="115" t="s">
        <v>7</v>
      </c>
      <c r="E49" s="98" t="s">
        <v>796</v>
      </c>
      <c r="F49" s="115" t="s">
        <v>476</v>
      </c>
      <c r="G49" s="115">
        <v>0</v>
      </c>
      <c r="H49" s="115">
        <v>1</v>
      </c>
      <c r="I49" s="194">
        <v>1</v>
      </c>
      <c r="J49" s="116">
        <v>15022</v>
      </c>
      <c r="K49" s="116">
        <v>175600</v>
      </c>
      <c r="L49" s="116">
        <v>24221</v>
      </c>
      <c r="M49" s="195">
        <v>1.0775862068965517E-3</v>
      </c>
      <c r="N49" s="195">
        <v>1.1658757436610067E-3</v>
      </c>
      <c r="O49" s="195">
        <v>8.9140653138032721E-3</v>
      </c>
      <c r="P49" s="195">
        <v>1.8543295198908823E-3</v>
      </c>
      <c r="R49" s="6"/>
      <c r="S49" s="209"/>
      <c r="T49" s="209"/>
    </row>
    <row r="50" spans="1:20" ht="22.5" customHeight="1">
      <c r="A50" s="115">
        <v>2</v>
      </c>
      <c r="B50" s="115" t="s">
        <v>39</v>
      </c>
      <c r="C50" s="115" t="s">
        <v>54</v>
      </c>
      <c r="D50" s="115" t="s">
        <v>26</v>
      </c>
      <c r="E50" s="98" t="s">
        <v>797</v>
      </c>
      <c r="F50" s="115" t="s">
        <v>483</v>
      </c>
      <c r="G50" s="115">
        <v>27</v>
      </c>
      <c r="H50" s="115">
        <v>40</v>
      </c>
      <c r="I50" s="194">
        <v>67</v>
      </c>
      <c r="J50" s="116">
        <v>1211143</v>
      </c>
      <c r="K50" s="116">
        <v>238252</v>
      </c>
      <c r="L50" s="116">
        <v>0</v>
      </c>
      <c r="M50" s="195">
        <v>4.8097631012203879E-2</v>
      </c>
      <c r="N50" s="195">
        <v>6.151903393097953E-2</v>
      </c>
      <c r="O50" s="195">
        <v>1.8508144952554682E-2</v>
      </c>
      <c r="P50" s="195">
        <v>0</v>
      </c>
      <c r="R50" s="232" t="s">
        <v>67</v>
      </c>
      <c r="S50" s="228"/>
      <c r="T50" s="228"/>
    </row>
    <row r="51" spans="1:20" ht="22.5" customHeight="1">
      <c r="A51" s="115">
        <v>1</v>
      </c>
      <c r="B51" s="115" t="s">
        <v>25</v>
      </c>
      <c r="C51" s="115" t="s">
        <v>69</v>
      </c>
      <c r="D51" s="115" t="s">
        <v>26</v>
      </c>
      <c r="E51" s="98" t="s">
        <v>798</v>
      </c>
      <c r="F51" s="115" t="s">
        <v>483</v>
      </c>
      <c r="G51" s="115">
        <v>37</v>
      </c>
      <c r="H51" s="115">
        <v>27</v>
      </c>
      <c r="I51" s="194">
        <v>64</v>
      </c>
      <c r="J51" s="116">
        <v>1187775</v>
      </c>
      <c r="K51" s="116">
        <v>237275</v>
      </c>
      <c r="L51" s="116">
        <v>9851</v>
      </c>
      <c r="M51" s="195">
        <v>4.594400574300072E-2</v>
      </c>
      <c r="N51" s="195">
        <v>6.0332075178050164E-2</v>
      </c>
      <c r="O51" s="195">
        <v>1.8432248600714421E-2</v>
      </c>
      <c r="P51" s="195">
        <v>1.0515907137633273E-3</v>
      </c>
      <c r="R51" s="190" t="s">
        <v>482</v>
      </c>
      <c r="S51" s="222" t="s">
        <v>476</v>
      </c>
      <c r="T51" s="222" t="s">
        <v>483</v>
      </c>
    </row>
    <row r="52" spans="1:20" ht="22.5" customHeight="1">
      <c r="A52" s="115">
        <v>48</v>
      </c>
      <c r="B52" s="115" t="s">
        <v>11</v>
      </c>
      <c r="C52" s="115" t="s">
        <v>9</v>
      </c>
      <c r="D52" s="115" t="s">
        <v>26</v>
      </c>
      <c r="E52" s="98" t="s">
        <v>799</v>
      </c>
      <c r="F52" s="115" t="s">
        <v>483</v>
      </c>
      <c r="G52" s="115">
        <v>0</v>
      </c>
      <c r="H52" s="115">
        <v>64</v>
      </c>
      <c r="I52" s="194">
        <v>64</v>
      </c>
      <c r="J52" s="116">
        <v>11757</v>
      </c>
      <c r="K52" s="116">
        <v>174841</v>
      </c>
      <c r="L52" s="116">
        <v>301006</v>
      </c>
      <c r="M52" s="195">
        <v>4.594400574300072E-2</v>
      </c>
      <c r="N52" s="195">
        <v>5.9718735271270713E-4</v>
      </c>
      <c r="O52" s="195">
        <v>1.3582184290791317E-2</v>
      </c>
      <c r="P52" s="195">
        <v>3.2132282447167204E-2</v>
      </c>
      <c r="R52" s="223" t="s">
        <v>468</v>
      </c>
      <c r="S52" s="207">
        <f>SUMIFS(Scoreboard[Damage Dealt],Scoreboard[Role],"Tank",Scoreboard[Team],"Yellow")</f>
        <v>718879</v>
      </c>
      <c r="T52" s="219">
        <f>SUMIFS(Scoreboard[Damage Dealt],Scoreboard[Role],"Tank",Scoreboard[Team],"Red")</f>
        <v>2702874</v>
      </c>
    </row>
    <row r="53" spans="1:20" ht="22.5" customHeight="1">
      <c r="A53" s="115">
        <v>7</v>
      </c>
      <c r="B53" s="115" t="s">
        <v>25</v>
      </c>
      <c r="C53" s="115" t="s">
        <v>23</v>
      </c>
      <c r="D53" s="115" t="s">
        <v>26</v>
      </c>
      <c r="E53" s="98" t="s">
        <v>800</v>
      </c>
      <c r="F53" s="115" t="s">
        <v>483</v>
      </c>
      <c r="G53" s="115">
        <v>20</v>
      </c>
      <c r="H53" s="115">
        <v>43</v>
      </c>
      <c r="I53" s="194">
        <v>63</v>
      </c>
      <c r="J53" s="116">
        <v>788953</v>
      </c>
      <c r="K53" s="116">
        <v>246038</v>
      </c>
      <c r="L53" s="116">
        <v>3763</v>
      </c>
      <c r="M53" s="195">
        <v>4.5226130653266333E-2</v>
      </c>
      <c r="N53" s="195">
        <v>4.007423266860155E-2</v>
      </c>
      <c r="O53" s="195">
        <v>1.9112985275408594E-2</v>
      </c>
      <c r="P53" s="195">
        <v>4.0169889918702673E-4</v>
      </c>
      <c r="R53" s="223" t="s">
        <v>469</v>
      </c>
      <c r="S53" s="207">
        <f>SUMIFS(Scoreboard[Damage Taken],Scoreboard[Role],"Tank",Scoreboard[Team],"Yellow")</f>
        <v>4766386</v>
      </c>
      <c r="T53" s="219">
        <f>SUMIFS(Scoreboard[Damage Taken],Scoreboard[Role],"Tank",Scoreboard[Team],"Red")</f>
        <v>3885978</v>
      </c>
    </row>
    <row r="54" spans="1:20" ht="22.5" customHeight="1">
      <c r="A54" s="115">
        <v>9</v>
      </c>
      <c r="B54" s="115" t="s">
        <v>39</v>
      </c>
      <c r="C54" s="115" t="s">
        <v>54</v>
      </c>
      <c r="D54" s="115" t="s">
        <v>26</v>
      </c>
      <c r="E54" s="98" t="s">
        <v>801</v>
      </c>
      <c r="F54" s="115" t="s">
        <v>483</v>
      </c>
      <c r="G54" s="115">
        <v>17</v>
      </c>
      <c r="H54" s="115">
        <v>43</v>
      </c>
      <c r="I54" s="194">
        <v>60</v>
      </c>
      <c r="J54" s="116">
        <v>979539</v>
      </c>
      <c r="K54" s="116">
        <v>187409</v>
      </c>
      <c r="L54" s="116">
        <v>0</v>
      </c>
      <c r="M54" s="195">
        <v>4.3072505384063174E-2</v>
      </c>
      <c r="N54" s="195">
        <v>4.9754895150876284E-2</v>
      </c>
      <c r="O54" s="195">
        <v>1.4558505017432468E-2</v>
      </c>
      <c r="P54" s="195">
        <v>0</v>
      </c>
      <c r="R54" s="223" t="s">
        <v>470</v>
      </c>
      <c r="S54" s="207">
        <f>SUMIFS(Scoreboard[Amount Healed],Scoreboard[Role],"Tank",Scoreboard[Team],"Yellow")</f>
        <v>353294</v>
      </c>
      <c r="T54" s="219">
        <f>SUMIFS(Scoreboard[Amount Healed],Scoreboard[Role],"Tank",Scoreboard[Team],"Red")</f>
        <v>388455</v>
      </c>
    </row>
    <row r="55" spans="1:20" ht="22.5" customHeight="1">
      <c r="A55" s="115">
        <v>49</v>
      </c>
      <c r="B55" s="115" t="s">
        <v>11</v>
      </c>
      <c r="C55" s="115" t="s">
        <v>9</v>
      </c>
      <c r="D55" s="115" t="s">
        <v>26</v>
      </c>
      <c r="E55" s="98" t="s">
        <v>802</v>
      </c>
      <c r="F55" s="115" t="s">
        <v>483</v>
      </c>
      <c r="G55" s="115">
        <v>0</v>
      </c>
      <c r="H55" s="115">
        <v>60</v>
      </c>
      <c r="I55" s="194">
        <v>60</v>
      </c>
      <c r="J55" s="116">
        <v>5349</v>
      </c>
      <c r="K55" s="116">
        <v>88746</v>
      </c>
      <c r="L55" s="116">
        <v>375449</v>
      </c>
      <c r="M55" s="195">
        <v>4.3072505384063174E-2</v>
      </c>
      <c r="N55" s="195">
        <v>2.7169815000937917E-4</v>
      </c>
      <c r="O55" s="195">
        <v>6.8940610444378969E-3</v>
      </c>
      <c r="P55" s="195">
        <v>4.0079045974188147E-2</v>
      </c>
      <c r="R55" s="223" t="s">
        <v>465</v>
      </c>
      <c r="S55" s="207">
        <f>SUMIFS(Scoreboard[Kills],Scoreboard[Role],"Tank",Scoreboard[Team],"Yellow")</f>
        <v>5</v>
      </c>
      <c r="T55" s="219">
        <f>SUMIFS(Scoreboard[Kills],Scoreboard[Role],"Tank",Scoreboard[Team],"Red")</f>
        <v>33</v>
      </c>
    </row>
    <row r="56" spans="1:20" ht="22.5" customHeight="1">
      <c r="A56" s="115">
        <v>4</v>
      </c>
      <c r="B56" s="115" t="s">
        <v>25</v>
      </c>
      <c r="C56" s="115" t="s">
        <v>23</v>
      </c>
      <c r="D56" s="115" t="s">
        <v>26</v>
      </c>
      <c r="E56" s="98" t="s">
        <v>803</v>
      </c>
      <c r="F56" s="115" t="s">
        <v>483</v>
      </c>
      <c r="G56" s="115">
        <v>23</v>
      </c>
      <c r="H56" s="115">
        <v>34</v>
      </c>
      <c r="I56" s="194">
        <v>57</v>
      </c>
      <c r="J56" s="116">
        <v>1609271</v>
      </c>
      <c r="K56" s="116">
        <v>381689</v>
      </c>
      <c r="L56" s="116">
        <v>42029</v>
      </c>
      <c r="M56" s="195">
        <v>4.0918880114860015E-2</v>
      </c>
      <c r="N56" s="195">
        <v>8.1741625268974313E-2</v>
      </c>
      <c r="O56" s="195">
        <v>2.9650770355739486E-2</v>
      </c>
      <c r="P56" s="195">
        <v>4.4865806627508763E-3</v>
      </c>
      <c r="R56" s="223" t="s">
        <v>466</v>
      </c>
      <c r="S56" s="207">
        <f>SUMIFS(Scoreboard[Assists],Scoreboard[Role],"Tank",Scoreboard[Team],"Yellow")</f>
        <v>128</v>
      </c>
      <c r="T56" s="219">
        <f>SUMIFS(Scoreboard[Assists],Scoreboard[Role],"Tank",Scoreboard[Team],"Red")</f>
        <v>186</v>
      </c>
    </row>
    <row r="57" spans="1:20" ht="22.5" customHeight="1">
      <c r="A57" s="115">
        <v>23</v>
      </c>
      <c r="B57" s="115" t="s">
        <v>67</v>
      </c>
      <c r="C57" s="115" t="s">
        <v>14</v>
      </c>
      <c r="D57" s="115" t="s">
        <v>26</v>
      </c>
      <c r="E57" s="98" t="s">
        <v>804</v>
      </c>
      <c r="F57" s="115" t="s">
        <v>483</v>
      </c>
      <c r="G57" s="115">
        <v>9</v>
      </c>
      <c r="H57" s="115">
        <v>48</v>
      </c>
      <c r="I57" s="194">
        <v>57</v>
      </c>
      <c r="J57" s="116">
        <v>779272</v>
      </c>
      <c r="K57" s="116">
        <v>293793</v>
      </c>
      <c r="L57" s="116">
        <v>56153</v>
      </c>
      <c r="M57" s="195">
        <v>4.0918880114860015E-2</v>
      </c>
      <c r="N57" s="195">
        <v>3.958249406507925E-2</v>
      </c>
      <c r="O57" s="195">
        <v>2.2822739914233239E-2</v>
      </c>
      <c r="P57" s="195">
        <v>5.9943125926253289E-3</v>
      </c>
      <c r="R57" s="223" t="s">
        <v>794</v>
      </c>
      <c r="S57" s="207">
        <f t="shared" ref="S57:S62" si="4">COUNTIFS(C:C,R57,F:F,"Yellow")</f>
        <v>3</v>
      </c>
      <c r="T57" s="219">
        <f t="shared" ref="T57:T62" si="5">COUNTIFS(C:C,R57,F:F,"Red")</f>
        <v>1</v>
      </c>
    </row>
    <row r="58" spans="1:20" ht="22.5" customHeight="1">
      <c r="A58" s="115">
        <v>6</v>
      </c>
      <c r="B58" s="115" t="s">
        <v>39</v>
      </c>
      <c r="C58" s="115" t="s">
        <v>58</v>
      </c>
      <c r="D58" s="115" t="s">
        <v>26</v>
      </c>
      <c r="E58" s="98" t="s">
        <v>805</v>
      </c>
      <c r="F58" s="115" t="s">
        <v>483</v>
      </c>
      <c r="G58" s="115">
        <v>22</v>
      </c>
      <c r="H58" s="115">
        <v>31</v>
      </c>
      <c r="I58" s="194">
        <v>53</v>
      </c>
      <c r="J58" s="116">
        <v>1347755</v>
      </c>
      <c r="K58" s="116">
        <v>325020</v>
      </c>
      <c r="L58" s="116">
        <v>0</v>
      </c>
      <c r="M58" s="195">
        <v>3.804737975592247E-2</v>
      </c>
      <c r="N58" s="195">
        <v>6.8458130522694116E-2</v>
      </c>
      <c r="O58" s="195">
        <v>2.5248548899817515E-2</v>
      </c>
      <c r="P58" s="195">
        <v>0</v>
      </c>
      <c r="R58" s="223" t="s">
        <v>70</v>
      </c>
      <c r="S58" s="207">
        <f t="shared" si="4"/>
        <v>1</v>
      </c>
      <c r="T58" s="219">
        <f t="shared" si="5"/>
        <v>0</v>
      </c>
    </row>
    <row r="59" spans="1:20" ht="22.5" customHeight="1">
      <c r="A59" s="115">
        <v>8</v>
      </c>
      <c r="B59" s="115" t="s">
        <v>25</v>
      </c>
      <c r="C59" s="115" t="s">
        <v>69</v>
      </c>
      <c r="D59" s="115" t="s">
        <v>26</v>
      </c>
      <c r="E59" s="98" t="s">
        <v>806</v>
      </c>
      <c r="F59" s="115" t="s">
        <v>483</v>
      </c>
      <c r="G59" s="115">
        <v>20</v>
      </c>
      <c r="H59" s="115">
        <v>33</v>
      </c>
      <c r="I59" s="194">
        <v>53</v>
      </c>
      <c r="J59" s="116">
        <v>865803</v>
      </c>
      <c r="K59" s="116">
        <v>549516</v>
      </c>
      <c r="L59" s="116">
        <v>19325</v>
      </c>
      <c r="M59" s="195">
        <v>3.804737975592247E-2</v>
      </c>
      <c r="N59" s="195">
        <v>4.3977766568063278E-2</v>
      </c>
      <c r="O59" s="195">
        <v>4.2688085647751284E-2</v>
      </c>
      <c r="P59" s="195">
        <v>2.0629368128592326E-3</v>
      </c>
      <c r="R59" s="223" t="s">
        <v>14</v>
      </c>
      <c r="S59" s="207">
        <f t="shared" si="4"/>
        <v>10</v>
      </c>
      <c r="T59" s="219">
        <f t="shared" si="5"/>
        <v>11</v>
      </c>
    </row>
    <row r="60" spans="1:20" ht="22.5" customHeight="1">
      <c r="A60" s="115">
        <v>14</v>
      </c>
      <c r="B60" s="115" t="s">
        <v>39</v>
      </c>
      <c r="C60" s="115" t="s">
        <v>58</v>
      </c>
      <c r="D60" s="115" t="s">
        <v>26</v>
      </c>
      <c r="E60" s="98" t="s">
        <v>807</v>
      </c>
      <c r="F60" s="115" t="s">
        <v>483</v>
      </c>
      <c r="G60" s="115">
        <v>14</v>
      </c>
      <c r="H60" s="115">
        <v>38</v>
      </c>
      <c r="I60" s="194">
        <v>52</v>
      </c>
      <c r="J60" s="116">
        <v>1348648</v>
      </c>
      <c r="K60" s="116">
        <v>160737</v>
      </c>
      <c r="L60" s="116">
        <v>0</v>
      </c>
      <c r="M60" s="195">
        <v>3.7329504666188083E-2</v>
      </c>
      <c r="N60" s="195">
        <v>6.8503489738988441E-2</v>
      </c>
      <c r="O60" s="195">
        <v>1.2486542380499562E-2</v>
      </c>
      <c r="P60" s="195">
        <v>0</v>
      </c>
      <c r="R60" s="223" t="s">
        <v>62</v>
      </c>
      <c r="S60" s="207">
        <f t="shared" si="4"/>
        <v>1</v>
      </c>
      <c r="T60" s="219">
        <f t="shared" si="5"/>
        <v>1</v>
      </c>
    </row>
    <row r="61" spans="1:20" ht="22.5" customHeight="1">
      <c r="A61" s="115">
        <v>12</v>
      </c>
      <c r="B61" s="115" t="s">
        <v>25</v>
      </c>
      <c r="C61" s="115" t="s">
        <v>69</v>
      </c>
      <c r="D61" s="115" t="s">
        <v>26</v>
      </c>
      <c r="E61" s="98" t="s">
        <v>808</v>
      </c>
      <c r="F61" s="115" t="s">
        <v>483</v>
      </c>
      <c r="G61" s="115">
        <v>15</v>
      </c>
      <c r="H61" s="115">
        <v>36</v>
      </c>
      <c r="I61" s="194">
        <v>51</v>
      </c>
      <c r="J61" s="116">
        <v>763849</v>
      </c>
      <c r="K61" s="116">
        <v>463791</v>
      </c>
      <c r="L61" s="116">
        <v>0</v>
      </c>
      <c r="M61" s="195">
        <v>3.6611629576453697E-2</v>
      </c>
      <c r="N61" s="195">
        <v>3.8799095192842449E-2</v>
      </c>
      <c r="O61" s="195">
        <v>3.6028705134438697E-2</v>
      </c>
      <c r="P61" s="195">
        <v>0</v>
      </c>
      <c r="R61" s="223" t="s">
        <v>73</v>
      </c>
      <c r="S61" s="207">
        <f t="shared" si="4"/>
        <v>0</v>
      </c>
      <c r="T61" s="219">
        <f t="shared" si="5"/>
        <v>0</v>
      </c>
    </row>
    <row r="62" spans="1:20" ht="22.5" customHeight="1">
      <c r="A62" s="115">
        <v>29</v>
      </c>
      <c r="B62" s="115" t="s">
        <v>39</v>
      </c>
      <c r="C62" s="115" t="s">
        <v>58</v>
      </c>
      <c r="D62" s="115" t="s">
        <v>26</v>
      </c>
      <c r="E62" s="98" t="s">
        <v>809</v>
      </c>
      <c r="F62" s="115" t="s">
        <v>483</v>
      </c>
      <c r="G62" s="115">
        <v>6</v>
      </c>
      <c r="H62" s="115">
        <v>36</v>
      </c>
      <c r="I62" s="194">
        <v>42</v>
      </c>
      <c r="J62" s="116">
        <v>855859</v>
      </c>
      <c r="K62" s="116">
        <v>309844</v>
      </c>
      <c r="L62" s="116">
        <v>6385</v>
      </c>
      <c r="M62" s="195">
        <v>3.015075376884422E-2</v>
      </c>
      <c r="N62" s="195">
        <v>4.3472669091209053E-2</v>
      </c>
      <c r="O62" s="195">
        <v>2.406963074676961E-2</v>
      </c>
      <c r="P62" s="195">
        <v>6.8159645796151097E-4</v>
      </c>
      <c r="R62" s="223" t="s">
        <v>810</v>
      </c>
      <c r="S62" s="207">
        <f t="shared" si="4"/>
        <v>0</v>
      </c>
      <c r="T62" s="219">
        <f t="shared" si="5"/>
        <v>1</v>
      </c>
    </row>
    <row r="63" spans="1:20" ht="22.5" customHeight="1">
      <c r="A63" s="115">
        <v>50</v>
      </c>
      <c r="B63" s="115" t="s">
        <v>11</v>
      </c>
      <c r="C63" s="115" t="s">
        <v>10</v>
      </c>
      <c r="D63" s="115" t="s">
        <v>26</v>
      </c>
      <c r="E63" s="98" t="s">
        <v>811</v>
      </c>
      <c r="F63" s="115" t="s">
        <v>483</v>
      </c>
      <c r="G63" s="115">
        <v>0</v>
      </c>
      <c r="H63" s="115">
        <v>42</v>
      </c>
      <c r="I63" s="194">
        <v>42</v>
      </c>
      <c r="J63" s="116">
        <v>18866</v>
      </c>
      <c r="K63" s="116">
        <v>84404</v>
      </c>
      <c r="L63" s="116">
        <v>750872</v>
      </c>
      <c r="M63" s="195">
        <v>3.015075376884422E-2</v>
      </c>
      <c r="N63" s="195">
        <v>9.5828328623610902E-4</v>
      </c>
      <c r="O63" s="195">
        <v>6.5567611880505737E-3</v>
      </c>
      <c r="P63" s="195">
        <v>8.0155316457709583E-2</v>
      </c>
      <c r="R63" s="204"/>
      <c r="S63" s="224"/>
      <c r="T63" s="225"/>
    </row>
    <row r="64" spans="1:20" ht="22.5" customHeight="1">
      <c r="A64" s="115">
        <v>51</v>
      </c>
      <c r="B64" s="115" t="s">
        <v>11</v>
      </c>
      <c r="C64" s="115" t="s">
        <v>9</v>
      </c>
      <c r="D64" s="115" t="s">
        <v>26</v>
      </c>
      <c r="E64" s="98" t="s">
        <v>812</v>
      </c>
      <c r="F64" s="115" t="s">
        <v>483</v>
      </c>
      <c r="G64" s="115">
        <v>0</v>
      </c>
      <c r="H64" s="115">
        <v>42</v>
      </c>
      <c r="I64" s="194">
        <v>42</v>
      </c>
      <c r="J64" s="116">
        <v>0</v>
      </c>
      <c r="K64" s="116">
        <v>182734</v>
      </c>
      <c r="L64" s="116">
        <v>579068</v>
      </c>
      <c r="M64" s="195">
        <v>3.015075376884422E-2</v>
      </c>
      <c r="N64" s="195">
        <v>0</v>
      </c>
      <c r="O64" s="195">
        <v>1.4195336701308393E-2</v>
      </c>
      <c r="P64" s="195">
        <v>6.181530113059612E-2</v>
      </c>
      <c r="R64" s="6"/>
      <c r="S64" s="209"/>
      <c r="T64" s="209"/>
    </row>
    <row r="65" spans="1:20" ht="22.5" customHeight="1">
      <c r="A65" s="115">
        <v>10</v>
      </c>
      <c r="B65" s="115" t="s">
        <v>39</v>
      </c>
      <c r="C65" s="115" t="s">
        <v>48</v>
      </c>
      <c r="D65" s="115" t="s">
        <v>26</v>
      </c>
      <c r="E65" s="98" t="s">
        <v>813</v>
      </c>
      <c r="F65" s="115" t="s">
        <v>483</v>
      </c>
      <c r="G65" s="115">
        <v>17</v>
      </c>
      <c r="H65" s="115">
        <v>24</v>
      </c>
      <c r="I65" s="194">
        <v>41</v>
      </c>
      <c r="J65" s="116">
        <v>1284120</v>
      </c>
      <c r="K65" s="116">
        <v>185165</v>
      </c>
      <c r="L65" s="116">
        <v>8810</v>
      </c>
      <c r="M65" s="195">
        <v>2.9432878679109833E-2</v>
      </c>
      <c r="N65" s="195">
        <v>6.5225841912515223E-2</v>
      </c>
      <c r="O65" s="195">
        <v>1.4384184225692912E-2</v>
      </c>
      <c r="P65" s="195">
        <v>9.4046433745354928E-4</v>
      </c>
      <c r="R65" s="232" t="s">
        <v>11</v>
      </c>
      <c r="S65" s="228"/>
      <c r="T65" s="228"/>
    </row>
    <row r="66" spans="1:20" ht="22.5" customHeight="1">
      <c r="A66" s="115">
        <v>15</v>
      </c>
      <c r="B66" s="115" t="s">
        <v>39</v>
      </c>
      <c r="C66" s="115" t="s">
        <v>58</v>
      </c>
      <c r="D66" s="115" t="s">
        <v>26</v>
      </c>
      <c r="E66" s="98" t="s">
        <v>814</v>
      </c>
      <c r="F66" s="115" t="s">
        <v>483</v>
      </c>
      <c r="G66" s="115">
        <v>14</v>
      </c>
      <c r="H66" s="115">
        <v>26</v>
      </c>
      <c r="I66" s="194">
        <v>40</v>
      </c>
      <c r="J66" s="116">
        <v>1330353</v>
      </c>
      <c r="K66" s="116">
        <v>217095</v>
      </c>
      <c r="L66" s="116">
        <v>2174</v>
      </c>
      <c r="M66" s="195">
        <v>2.8715003589375447E-2</v>
      </c>
      <c r="N66" s="195">
        <v>6.7574209938199209E-2</v>
      </c>
      <c r="O66" s="195">
        <v>1.6864604404054778E-2</v>
      </c>
      <c r="P66" s="195">
        <v>2.3207371959409943E-4</v>
      </c>
      <c r="R66" s="190" t="s">
        <v>482</v>
      </c>
      <c r="S66" s="222" t="s">
        <v>476</v>
      </c>
      <c r="T66" s="222" t="s">
        <v>483</v>
      </c>
    </row>
    <row r="67" spans="1:20" ht="22.5" customHeight="1">
      <c r="A67" s="115">
        <v>17</v>
      </c>
      <c r="B67" s="115" t="s">
        <v>67</v>
      </c>
      <c r="C67" s="115" t="s">
        <v>810</v>
      </c>
      <c r="D67" s="115" t="s">
        <v>26</v>
      </c>
      <c r="E67" s="98" t="s">
        <v>397</v>
      </c>
      <c r="F67" s="115" t="s">
        <v>483</v>
      </c>
      <c r="G67" s="115">
        <v>13</v>
      </c>
      <c r="H67" s="115">
        <v>24</v>
      </c>
      <c r="I67" s="194">
        <v>37</v>
      </c>
      <c r="J67" s="116">
        <v>972520</v>
      </c>
      <c r="K67" s="116">
        <v>292006</v>
      </c>
      <c r="L67" s="116">
        <v>5123</v>
      </c>
      <c r="M67" s="195">
        <v>2.6561378320172292E-2</v>
      </c>
      <c r="N67" s="195">
        <v>4.9398370694918939E-2</v>
      </c>
      <c r="O67" s="195">
        <v>2.2683920281952229E-2</v>
      </c>
      <c r="P67" s="195">
        <v>5.4687841098462349E-4</v>
      </c>
      <c r="R67" s="223" t="s">
        <v>468</v>
      </c>
      <c r="S67" s="207">
        <f>SUMIFS(Scoreboard[Damage Dealt],Scoreboard[Role],"Healer",Scoreboard[Team],"Yellow")</f>
        <v>176609</v>
      </c>
      <c r="T67" s="219">
        <f>SUMIFS(Scoreboard[Damage Dealt],Scoreboard[Role],"Healer",Scoreboard[Team],"Red")</f>
        <v>195522</v>
      </c>
    </row>
    <row r="68" spans="1:20" ht="22.5" customHeight="1">
      <c r="A68" s="115">
        <v>25</v>
      </c>
      <c r="B68" s="115" t="s">
        <v>25</v>
      </c>
      <c r="C68" s="115" t="s">
        <v>23</v>
      </c>
      <c r="D68" s="115" t="s">
        <v>26</v>
      </c>
      <c r="E68" s="98" t="s">
        <v>815</v>
      </c>
      <c r="F68" s="115" t="s">
        <v>483</v>
      </c>
      <c r="G68" s="115">
        <v>8</v>
      </c>
      <c r="H68" s="115">
        <v>28</v>
      </c>
      <c r="I68" s="194">
        <v>36</v>
      </c>
      <c r="J68" s="116">
        <v>865625</v>
      </c>
      <c r="K68" s="116">
        <v>726490</v>
      </c>
      <c r="L68" s="116">
        <v>42816</v>
      </c>
      <c r="M68" s="195">
        <v>2.5843503230437905E-2</v>
      </c>
      <c r="N68" s="195">
        <v>4.3968725201321522E-2</v>
      </c>
      <c r="O68" s="195">
        <v>5.6435967910369901E-2</v>
      </c>
      <c r="P68" s="195">
        <v>4.5705926302396322E-3</v>
      </c>
      <c r="R68" s="223" t="s">
        <v>469</v>
      </c>
      <c r="S68" s="207">
        <f>SUMIFS(Scoreboard[Damage Taken],Scoreboard[Role],"Healer",Scoreboard[Team],"Yellow")</f>
        <v>5713111</v>
      </c>
      <c r="T68" s="219">
        <f>SUMIFS(Scoreboard[Damage Taken],Scoreboard[Role],"Healer",Scoreboard[Team],"Red")</f>
        <v>3575353</v>
      </c>
    </row>
    <row r="69" spans="1:20" ht="22.5" customHeight="1">
      <c r="A69" s="115">
        <v>19</v>
      </c>
      <c r="B69" s="115" t="s">
        <v>25</v>
      </c>
      <c r="C69" s="115" t="s">
        <v>23</v>
      </c>
      <c r="D69" s="115" t="s">
        <v>26</v>
      </c>
      <c r="E69" s="98" t="s">
        <v>816</v>
      </c>
      <c r="F69" s="115" t="s">
        <v>483</v>
      </c>
      <c r="G69" s="115">
        <v>13</v>
      </c>
      <c r="H69" s="115">
        <v>20</v>
      </c>
      <c r="I69" s="194">
        <v>33</v>
      </c>
      <c r="J69" s="116">
        <v>1121786</v>
      </c>
      <c r="K69" s="116">
        <v>394296</v>
      </c>
      <c r="L69" s="116">
        <v>35884</v>
      </c>
      <c r="M69" s="195">
        <v>2.3689877961234746E-2</v>
      </c>
      <c r="N69" s="195">
        <v>5.6980217032421274E-2</v>
      </c>
      <c r="O69" s="195">
        <v>3.0630120721809262E-2</v>
      </c>
      <c r="P69" s="195">
        <v>3.8306041186359999E-3</v>
      </c>
      <c r="R69" s="223" t="s">
        <v>470</v>
      </c>
      <c r="S69" s="207">
        <f>SUMIFS(Scoreboard[Amount Healed],Scoreboard[Role],"Healer",Scoreboard[Team],"Yellow")</f>
        <v>12066923</v>
      </c>
      <c r="T69" s="219">
        <f>SUMIFS(Scoreboard[Amount Healed],Scoreboard[Role],"Healer",Scoreboard[Team],"Red")</f>
        <v>8731461</v>
      </c>
    </row>
    <row r="70" spans="1:20" ht="22.5" customHeight="1">
      <c r="A70" s="115">
        <v>30</v>
      </c>
      <c r="B70" s="115" t="s">
        <v>39</v>
      </c>
      <c r="C70" s="115" t="s">
        <v>58</v>
      </c>
      <c r="D70" s="115" t="s">
        <v>26</v>
      </c>
      <c r="E70" s="98" t="s">
        <v>817</v>
      </c>
      <c r="F70" s="115" t="s">
        <v>483</v>
      </c>
      <c r="G70" s="115">
        <v>5</v>
      </c>
      <c r="H70" s="115">
        <v>26</v>
      </c>
      <c r="I70" s="194">
        <v>31</v>
      </c>
      <c r="J70" s="116">
        <v>785539</v>
      </c>
      <c r="K70" s="116">
        <v>522216</v>
      </c>
      <c r="L70" s="116">
        <v>63699</v>
      </c>
      <c r="M70" s="195">
        <v>2.2254127781765973E-2</v>
      </c>
      <c r="N70" s="195">
        <v>3.990082128626242E-2</v>
      </c>
      <c r="O70" s="195">
        <v>4.0567338047711225E-2</v>
      </c>
      <c r="P70" s="195">
        <v>6.7998453838199356E-3</v>
      </c>
      <c r="R70" s="223" t="s">
        <v>465</v>
      </c>
      <c r="S70" s="207">
        <f>SUMIFS(Scoreboard[Kills],Scoreboard[Role],"Healer",Scoreboard[Team],"Yellow")</f>
        <v>1</v>
      </c>
      <c r="T70" s="219">
        <f>SUMIFS(Scoreboard[Kills],Scoreboard[Role],"Healer",Scoreboard[Team],"Red")</f>
        <v>2</v>
      </c>
    </row>
    <row r="71" spans="1:20" ht="22.5" customHeight="1">
      <c r="A71" s="115">
        <v>53</v>
      </c>
      <c r="B71" s="115" t="s">
        <v>11</v>
      </c>
      <c r="C71" s="115" t="s">
        <v>9</v>
      </c>
      <c r="D71" s="115" t="s">
        <v>26</v>
      </c>
      <c r="E71" s="98" t="s">
        <v>818</v>
      </c>
      <c r="F71" s="115" t="s">
        <v>483</v>
      </c>
      <c r="G71" s="115">
        <v>0</v>
      </c>
      <c r="H71" s="115">
        <v>25</v>
      </c>
      <c r="I71" s="194">
        <v>25</v>
      </c>
      <c r="J71" s="116">
        <v>2217</v>
      </c>
      <c r="K71" s="116">
        <v>138169</v>
      </c>
      <c r="L71" s="116">
        <v>352474</v>
      </c>
      <c r="M71" s="195">
        <v>1.7946877243359655E-2</v>
      </c>
      <c r="N71" s="195">
        <v>1.1261073071056152E-4</v>
      </c>
      <c r="O71" s="195">
        <v>1.0733391031133119E-2</v>
      </c>
      <c r="P71" s="195">
        <v>3.7626472971578014E-2</v>
      </c>
      <c r="R71" s="223" t="s">
        <v>466</v>
      </c>
      <c r="S71" s="207">
        <f>SUMIFS(Scoreboard[Assists],Scoreboard[Role],"Healer",Scoreboard[Team],"Yellow")</f>
        <v>271</v>
      </c>
      <c r="T71" s="219">
        <f>SUMIFS(Scoreboard[Assists],Scoreboard[Role],"Healer",Scoreboard[Team],"Red")</f>
        <v>409</v>
      </c>
    </row>
    <row r="72" spans="1:20" ht="22.5" customHeight="1">
      <c r="A72" s="115">
        <v>55</v>
      </c>
      <c r="B72" s="115" t="s">
        <v>11</v>
      </c>
      <c r="C72" s="115" t="s">
        <v>9</v>
      </c>
      <c r="D72" s="115" t="s">
        <v>26</v>
      </c>
      <c r="E72" s="98" t="s">
        <v>819</v>
      </c>
      <c r="F72" s="115" t="s">
        <v>483</v>
      </c>
      <c r="G72" s="115">
        <v>0</v>
      </c>
      <c r="H72" s="115">
        <v>22</v>
      </c>
      <c r="I72" s="194">
        <v>22</v>
      </c>
      <c r="J72" s="116">
        <v>5111</v>
      </c>
      <c r="K72" s="116">
        <v>266679</v>
      </c>
      <c r="L72" s="116">
        <v>607059</v>
      </c>
      <c r="M72" s="195">
        <v>1.5793251974156496E-2</v>
      </c>
      <c r="N72" s="195">
        <v>2.5960913155691472E-4</v>
      </c>
      <c r="O72" s="195">
        <v>2.0716441363775876E-2</v>
      </c>
      <c r="P72" s="195">
        <v>6.4803330332600925E-2</v>
      </c>
      <c r="R72" s="204" t="s">
        <v>10</v>
      </c>
      <c r="S72" s="207">
        <f t="shared" ref="S72:S73" si="6">COUNTIFS(C:C,R72,F:F,"Yellow")</f>
        <v>7</v>
      </c>
      <c r="T72" s="219">
        <f t="shared" ref="T72:T73" si="7">COUNTIFS(C:C,R72,F:F,"Red")</f>
        <v>6</v>
      </c>
    </row>
    <row r="73" spans="1:20" ht="22.5" customHeight="1">
      <c r="A73" s="115">
        <v>35</v>
      </c>
      <c r="B73" s="115" t="s">
        <v>67</v>
      </c>
      <c r="C73" s="115" t="s">
        <v>14</v>
      </c>
      <c r="D73" s="115" t="s">
        <v>26</v>
      </c>
      <c r="E73" s="98" t="s">
        <v>820</v>
      </c>
      <c r="F73" s="115" t="s">
        <v>483</v>
      </c>
      <c r="G73" s="115">
        <v>3</v>
      </c>
      <c r="H73" s="115">
        <v>18</v>
      </c>
      <c r="I73" s="194">
        <v>21</v>
      </c>
      <c r="J73" s="116">
        <v>32213</v>
      </c>
      <c r="K73" s="116">
        <v>164204</v>
      </c>
      <c r="L73" s="116">
        <v>400</v>
      </c>
      <c r="M73" s="195">
        <v>1.507537688442211E-2</v>
      </c>
      <c r="N73" s="195">
        <v>1.6362334092825071E-3</v>
      </c>
      <c r="O73" s="195">
        <v>1.2755869557398422E-2</v>
      </c>
      <c r="P73" s="195">
        <v>4.2699856411057853E-5</v>
      </c>
      <c r="R73" s="204" t="s">
        <v>9</v>
      </c>
      <c r="S73" s="207">
        <f t="shared" si="6"/>
        <v>9</v>
      </c>
      <c r="T73" s="219">
        <f t="shared" si="7"/>
        <v>12</v>
      </c>
    </row>
    <row r="74" spans="1:20" ht="22.5" customHeight="1">
      <c r="A74" s="115">
        <v>56</v>
      </c>
      <c r="B74" s="115" t="s">
        <v>11</v>
      </c>
      <c r="C74" s="115" t="s">
        <v>10</v>
      </c>
      <c r="D74" s="115" t="s">
        <v>26</v>
      </c>
      <c r="E74" s="98" t="s">
        <v>821</v>
      </c>
      <c r="F74" s="115" t="s">
        <v>483</v>
      </c>
      <c r="G74" s="115">
        <v>0</v>
      </c>
      <c r="H74" s="115">
        <v>21</v>
      </c>
      <c r="I74" s="194">
        <v>21</v>
      </c>
      <c r="J74" s="116">
        <v>28832</v>
      </c>
      <c r="K74" s="116">
        <v>136452</v>
      </c>
      <c r="L74" s="116">
        <v>464025</v>
      </c>
      <c r="M74" s="195">
        <v>1.507537688442211E-2</v>
      </c>
      <c r="N74" s="195">
        <v>1.4644982353842625E-3</v>
      </c>
      <c r="O74" s="195">
        <v>1.0600009213211185E-2</v>
      </c>
      <c r="P74" s="195">
        <v>4.9534502177852803E-2</v>
      </c>
    </row>
    <row r="75" spans="1:20" ht="22.5" customHeight="1">
      <c r="A75" s="115">
        <v>57</v>
      </c>
      <c r="B75" s="115" t="s">
        <v>11</v>
      </c>
      <c r="C75" s="115" t="s">
        <v>9</v>
      </c>
      <c r="D75" s="115" t="s">
        <v>26</v>
      </c>
      <c r="E75" s="98" t="s">
        <v>822</v>
      </c>
      <c r="F75" s="115" t="s">
        <v>483</v>
      </c>
      <c r="G75" s="115">
        <v>0</v>
      </c>
      <c r="H75" s="115">
        <v>21</v>
      </c>
      <c r="I75" s="194">
        <v>21</v>
      </c>
      <c r="J75" s="116">
        <v>11480</v>
      </c>
      <c r="K75" s="116">
        <v>171562</v>
      </c>
      <c r="L75" s="116">
        <v>273031</v>
      </c>
      <c r="M75" s="195">
        <v>1.507537688442211E-2</v>
      </c>
      <c r="N75" s="195">
        <v>5.8311736064828432E-4</v>
      </c>
      <c r="O75" s="195">
        <v>1.3327461529599694E-2</v>
      </c>
      <c r="P75" s="195">
        <v>2.9145961239418844E-2</v>
      </c>
    </row>
    <row r="76" spans="1:20" ht="22.5" customHeight="1">
      <c r="A76" s="115">
        <v>58</v>
      </c>
      <c r="B76" s="115" t="s">
        <v>11</v>
      </c>
      <c r="C76" s="115" t="s">
        <v>9</v>
      </c>
      <c r="D76" s="115" t="s">
        <v>26</v>
      </c>
      <c r="E76" s="98" t="s">
        <v>823</v>
      </c>
      <c r="F76" s="115" t="s">
        <v>483</v>
      </c>
      <c r="G76" s="115">
        <v>0</v>
      </c>
      <c r="H76" s="115">
        <v>21</v>
      </c>
      <c r="I76" s="194">
        <v>21</v>
      </c>
      <c r="J76" s="116">
        <v>0</v>
      </c>
      <c r="K76" s="116">
        <v>228531</v>
      </c>
      <c r="L76" s="116">
        <v>337573</v>
      </c>
      <c r="M76" s="195">
        <v>1.507537688442211E-2</v>
      </c>
      <c r="N76" s="195">
        <v>0</v>
      </c>
      <c r="O76" s="195">
        <v>1.7752987904203422E-2</v>
      </c>
      <c r="P76" s="195">
        <v>3.6035796570625084E-2</v>
      </c>
    </row>
    <row r="77" spans="1:20" ht="22.5" customHeight="1">
      <c r="A77" s="115">
        <v>32</v>
      </c>
      <c r="B77" s="115" t="s">
        <v>39</v>
      </c>
      <c r="C77" s="115" t="s">
        <v>48</v>
      </c>
      <c r="D77" s="115" t="s">
        <v>26</v>
      </c>
      <c r="E77" s="98" t="s">
        <v>824</v>
      </c>
      <c r="F77" s="115" t="s">
        <v>483</v>
      </c>
      <c r="G77" s="115">
        <v>5</v>
      </c>
      <c r="H77" s="115">
        <v>15</v>
      </c>
      <c r="I77" s="194">
        <v>20</v>
      </c>
      <c r="J77" s="116">
        <v>442875</v>
      </c>
      <c r="K77" s="116">
        <v>266655</v>
      </c>
      <c r="L77" s="116">
        <v>13061</v>
      </c>
      <c r="M77" s="195">
        <v>1.4357501794687724E-2</v>
      </c>
      <c r="N77" s="195">
        <v>2.2495479189643633E-2</v>
      </c>
      <c r="O77" s="195">
        <v>2.0714576970281336E-2</v>
      </c>
      <c r="P77" s="195">
        <v>1.3942570614620666E-3</v>
      </c>
    </row>
    <row r="78" spans="1:20" ht="22.5" customHeight="1">
      <c r="A78" s="115">
        <v>62</v>
      </c>
      <c r="B78" s="115" t="s">
        <v>67</v>
      </c>
      <c r="C78" s="115" t="s">
        <v>14</v>
      </c>
      <c r="D78" s="115" t="s">
        <v>26</v>
      </c>
      <c r="E78" s="98" t="s">
        <v>825</v>
      </c>
      <c r="F78" s="115" t="s">
        <v>483</v>
      </c>
      <c r="G78" s="115">
        <v>0</v>
      </c>
      <c r="H78" s="115">
        <v>19</v>
      </c>
      <c r="I78" s="194">
        <v>19</v>
      </c>
      <c r="J78" s="116">
        <v>137828</v>
      </c>
      <c r="K78" s="116">
        <v>548618</v>
      </c>
      <c r="L78" s="116">
        <v>52061</v>
      </c>
      <c r="M78" s="195">
        <v>1.3639626704953339E-2</v>
      </c>
      <c r="N78" s="195">
        <v>7.0008623330515439E-3</v>
      </c>
      <c r="O78" s="195">
        <v>4.2618326257830547E-2</v>
      </c>
      <c r="P78" s="195">
        <v>5.5574930615402071E-3</v>
      </c>
    </row>
    <row r="79" spans="1:20" ht="22.5" customHeight="1">
      <c r="A79" s="115">
        <v>67</v>
      </c>
      <c r="B79" s="115" t="s">
        <v>11</v>
      </c>
      <c r="C79" s="115" t="s">
        <v>9</v>
      </c>
      <c r="D79" s="115" t="s">
        <v>26</v>
      </c>
      <c r="E79" s="98" t="s">
        <v>826</v>
      </c>
      <c r="F79" s="115" t="s">
        <v>483</v>
      </c>
      <c r="G79" s="115">
        <v>0</v>
      </c>
      <c r="H79" s="115">
        <v>15</v>
      </c>
      <c r="I79" s="194">
        <v>15</v>
      </c>
      <c r="J79" s="116">
        <v>5420</v>
      </c>
      <c r="K79" s="116">
        <v>196764</v>
      </c>
      <c r="L79" s="116">
        <v>500191</v>
      </c>
      <c r="M79" s="195">
        <v>1.0768126346015794E-2</v>
      </c>
      <c r="N79" s="195">
        <v>2.753045378670471E-4</v>
      </c>
      <c r="O79" s="195">
        <v>1.5285230064991981E-2</v>
      </c>
      <c r="P79" s="195">
        <v>5.33952096952586E-2</v>
      </c>
    </row>
    <row r="80" spans="1:20" ht="22.5" customHeight="1">
      <c r="A80" s="115">
        <v>68</v>
      </c>
      <c r="B80" s="115" t="s">
        <v>11</v>
      </c>
      <c r="C80" s="115" t="s">
        <v>10</v>
      </c>
      <c r="D80" s="115" t="s">
        <v>26</v>
      </c>
      <c r="E80" s="98" t="s">
        <v>827</v>
      </c>
      <c r="F80" s="115" t="s">
        <v>483</v>
      </c>
      <c r="G80" s="115">
        <v>0</v>
      </c>
      <c r="H80" s="115">
        <v>14</v>
      </c>
      <c r="I80" s="194">
        <v>14</v>
      </c>
      <c r="J80" s="116">
        <v>9486</v>
      </c>
      <c r="K80" s="116">
        <v>257616</v>
      </c>
      <c r="L80" s="116">
        <v>429156</v>
      </c>
      <c r="M80" s="195">
        <v>1.0050251256281407E-2</v>
      </c>
      <c r="N80" s="195">
        <v>4.8183373546251086E-4</v>
      </c>
      <c r="O80" s="195">
        <v>2.0012399770399942E-2</v>
      </c>
      <c r="P80" s="195">
        <v>4.5812248944859864E-2</v>
      </c>
    </row>
    <row r="81" spans="1:16" ht="22.5" customHeight="1">
      <c r="A81" s="115">
        <v>69</v>
      </c>
      <c r="B81" s="115" t="s">
        <v>11</v>
      </c>
      <c r="C81" s="115" t="s">
        <v>10</v>
      </c>
      <c r="D81" s="115" t="s">
        <v>26</v>
      </c>
      <c r="E81" s="98" t="s">
        <v>828</v>
      </c>
      <c r="F81" s="115" t="s">
        <v>483</v>
      </c>
      <c r="G81" s="115">
        <v>0</v>
      </c>
      <c r="H81" s="115">
        <v>14</v>
      </c>
      <c r="I81" s="194">
        <v>14</v>
      </c>
      <c r="J81" s="116">
        <v>9459</v>
      </c>
      <c r="K81" s="116">
        <v>442567</v>
      </c>
      <c r="L81" s="116">
        <v>792625</v>
      </c>
      <c r="M81" s="195">
        <v>1.0050251256281407E-2</v>
      </c>
      <c r="N81" s="195">
        <v>4.8046229219269346E-4</v>
      </c>
      <c r="O81" s="195">
        <v>3.4379959820766533E-2</v>
      </c>
      <c r="P81" s="195">
        <v>8.4612434219536833E-2</v>
      </c>
    </row>
    <row r="82" spans="1:16" ht="22.5" customHeight="1">
      <c r="A82" s="115">
        <v>74</v>
      </c>
      <c r="B82" s="115" t="s">
        <v>11</v>
      </c>
      <c r="C82" s="115" t="s">
        <v>9</v>
      </c>
      <c r="D82" s="115" t="s">
        <v>26</v>
      </c>
      <c r="E82" s="98" t="s">
        <v>419</v>
      </c>
      <c r="F82" s="115" t="s">
        <v>483</v>
      </c>
      <c r="G82" s="115">
        <v>0</v>
      </c>
      <c r="H82" s="115">
        <v>13</v>
      </c>
      <c r="I82" s="194">
        <v>13</v>
      </c>
      <c r="J82" s="116">
        <v>3689</v>
      </c>
      <c r="K82" s="116">
        <v>70632</v>
      </c>
      <c r="L82" s="116">
        <v>313061</v>
      </c>
      <c r="M82" s="195">
        <v>9.3323761665470208E-3</v>
      </c>
      <c r="N82" s="195">
        <v>1.8737978601319867E-4</v>
      </c>
      <c r="O82" s="195">
        <v>5.4869100544332984E-3</v>
      </c>
      <c r="P82" s="195">
        <v>3.3419149369755458E-2</v>
      </c>
    </row>
    <row r="83" spans="1:16" ht="22.5" customHeight="1">
      <c r="A83" s="115">
        <v>75</v>
      </c>
      <c r="B83" s="115" t="s">
        <v>67</v>
      </c>
      <c r="C83" s="115" t="s">
        <v>794</v>
      </c>
      <c r="D83" s="115" t="s">
        <v>26</v>
      </c>
      <c r="E83" s="98" t="s">
        <v>829</v>
      </c>
      <c r="F83" s="115" t="s">
        <v>483</v>
      </c>
      <c r="G83" s="115">
        <v>0</v>
      </c>
      <c r="H83" s="115">
        <v>12</v>
      </c>
      <c r="I83" s="194">
        <v>12</v>
      </c>
      <c r="J83" s="116">
        <v>86287</v>
      </c>
      <c r="K83" s="116">
        <v>221125</v>
      </c>
      <c r="L83" s="116">
        <v>19263</v>
      </c>
      <c r="M83" s="195">
        <v>8.6145010768126345E-3</v>
      </c>
      <c r="N83" s="195">
        <v>4.3828787193604972E-3</v>
      </c>
      <c r="O83" s="195">
        <v>1.7177667145013068E-2</v>
      </c>
      <c r="P83" s="195">
        <v>2.0563183351155188E-3</v>
      </c>
    </row>
    <row r="84" spans="1:16" ht="22.5" customHeight="1">
      <c r="A84" s="115">
        <v>76</v>
      </c>
      <c r="B84" s="115" t="s">
        <v>11</v>
      </c>
      <c r="C84" s="115" t="s">
        <v>9</v>
      </c>
      <c r="D84" s="115" t="s">
        <v>26</v>
      </c>
      <c r="E84" s="98" t="s">
        <v>830</v>
      </c>
      <c r="F84" s="115" t="s">
        <v>483</v>
      </c>
      <c r="G84" s="115">
        <v>0</v>
      </c>
      <c r="H84" s="115">
        <v>12</v>
      </c>
      <c r="I84" s="194">
        <v>12</v>
      </c>
      <c r="J84" s="116">
        <v>10421</v>
      </c>
      <c r="K84" s="116">
        <v>115690</v>
      </c>
      <c r="L84" s="116">
        <v>278215</v>
      </c>
      <c r="M84" s="195">
        <v>8.6145010768126345E-3</v>
      </c>
      <c r="N84" s="195">
        <v>5.2932630795433542E-4</v>
      </c>
      <c r="O84" s="195">
        <v>8.9871534743089301E-3</v>
      </c>
      <c r="P84" s="195">
        <v>2.9699351378506152E-2</v>
      </c>
    </row>
    <row r="85" spans="1:16" ht="22.5" customHeight="1">
      <c r="A85" s="115">
        <v>36</v>
      </c>
      <c r="B85" s="115" t="s">
        <v>67</v>
      </c>
      <c r="C85" s="115" t="s">
        <v>14</v>
      </c>
      <c r="D85" s="115" t="s">
        <v>26</v>
      </c>
      <c r="E85" s="98" t="s">
        <v>831</v>
      </c>
      <c r="F85" s="115" t="s">
        <v>483</v>
      </c>
      <c r="G85" s="115">
        <v>3</v>
      </c>
      <c r="H85" s="115">
        <v>8</v>
      </c>
      <c r="I85" s="194">
        <v>11</v>
      </c>
      <c r="J85" s="116">
        <v>90861</v>
      </c>
      <c r="K85" s="116">
        <v>470858</v>
      </c>
      <c r="L85" s="116">
        <v>52998</v>
      </c>
      <c r="M85" s="195">
        <v>7.8966259870782481E-3</v>
      </c>
      <c r="N85" s="195">
        <v>4.6152113681065992E-3</v>
      </c>
      <c r="O85" s="195">
        <v>3.6577691335518664E-2</v>
      </c>
      <c r="P85" s="195">
        <v>5.6575174751831107E-3</v>
      </c>
    </row>
    <row r="86" spans="1:16" ht="22.5" customHeight="1">
      <c r="A86" s="115">
        <v>77</v>
      </c>
      <c r="B86" s="115" t="s">
        <v>67</v>
      </c>
      <c r="C86" s="115" t="s">
        <v>14</v>
      </c>
      <c r="D86" s="115" t="s">
        <v>26</v>
      </c>
      <c r="E86" s="98" t="s">
        <v>832</v>
      </c>
      <c r="F86" s="115" t="s">
        <v>483</v>
      </c>
      <c r="G86" s="115">
        <v>0</v>
      </c>
      <c r="H86" s="115">
        <v>11</v>
      </c>
      <c r="I86" s="194">
        <v>11</v>
      </c>
      <c r="J86" s="116">
        <v>53234</v>
      </c>
      <c r="K86" s="116">
        <v>438563</v>
      </c>
      <c r="L86" s="116">
        <v>39822</v>
      </c>
      <c r="M86" s="195">
        <v>7.8966259870782481E-3</v>
      </c>
      <c r="N86" s="195">
        <v>2.7039781861281156E-3</v>
      </c>
      <c r="O86" s="195">
        <v>3.4068916839427324E-2</v>
      </c>
      <c r="P86" s="195">
        <v>4.2509842050028647E-3</v>
      </c>
    </row>
    <row r="87" spans="1:16" ht="22.5" customHeight="1">
      <c r="A87" s="115">
        <v>82</v>
      </c>
      <c r="B87" s="115" t="s">
        <v>67</v>
      </c>
      <c r="C87" s="115" t="s">
        <v>62</v>
      </c>
      <c r="D87" s="115" t="s">
        <v>26</v>
      </c>
      <c r="E87" s="98" t="s">
        <v>409</v>
      </c>
      <c r="F87" s="115" t="s">
        <v>483</v>
      </c>
      <c r="G87" s="115">
        <v>0</v>
      </c>
      <c r="H87" s="115">
        <v>9</v>
      </c>
      <c r="I87" s="194">
        <v>9</v>
      </c>
      <c r="J87" s="116">
        <v>81669</v>
      </c>
      <c r="K87" s="116">
        <v>273628</v>
      </c>
      <c r="L87" s="116">
        <v>34747</v>
      </c>
      <c r="M87" s="195">
        <v>6.4608758076094763E-3</v>
      </c>
      <c r="N87" s="195">
        <v>4.1483111260265442E-3</v>
      </c>
      <c r="O87" s="195">
        <v>2.1256260963507682E-2</v>
      </c>
      <c r="P87" s="195">
        <v>3.7092297767875679E-3</v>
      </c>
    </row>
    <row r="88" spans="1:16" ht="22.5" customHeight="1">
      <c r="A88" s="115">
        <v>83</v>
      </c>
      <c r="B88" s="115" t="s">
        <v>11</v>
      </c>
      <c r="C88" s="115" t="s">
        <v>10</v>
      </c>
      <c r="D88" s="115" t="s">
        <v>26</v>
      </c>
      <c r="E88" s="98" t="s">
        <v>833</v>
      </c>
      <c r="F88" s="115" t="s">
        <v>483</v>
      </c>
      <c r="G88" s="115">
        <v>0</v>
      </c>
      <c r="H88" s="115">
        <v>9</v>
      </c>
      <c r="I88" s="194">
        <v>9</v>
      </c>
      <c r="J88" s="116">
        <v>15412</v>
      </c>
      <c r="K88" s="116">
        <v>399954</v>
      </c>
      <c r="L88" s="116">
        <v>938445</v>
      </c>
      <c r="M88" s="195">
        <v>6.4608758076094763E-3</v>
      </c>
      <c r="N88" s="195">
        <v>7.8284013608983952E-4</v>
      </c>
      <c r="O88" s="195">
        <v>3.1069651488147235E-2</v>
      </c>
      <c r="P88" s="195">
        <v>0.10017866687418797</v>
      </c>
    </row>
    <row r="89" spans="1:16" ht="22.5" customHeight="1">
      <c r="A89" s="115">
        <v>37</v>
      </c>
      <c r="B89" s="115" t="s">
        <v>67</v>
      </c>
      <c r="C89" s="115" t="s">
        <v>14</v>
      </c>
      <c r="D89" s="115" t="s">
        <v>26</v>
      </c>
      <c r="E89" s="98" t="s">
        <v>834</v>
      </c>
      <c r="F89" s="115" t="s">
        <v>483</v>
      </c>
      <c r="G89" s="115">
        <v>3</v>
      </c>
      <c r="H89" s="115">
        <v>5</v>
      </c>
      <c r="I89" s="194">
        <v>8</v>
      </c>
      <c r="J89" s="116">
        <v>159616</v>
      </c>
      <c r="K89" s="116">
        <v>210804</v>
      </c>
      <c r="L89" s="116">
        <v>19449</v>
      </c>
      <c r="M89" s="195">
        <v>5.7430007178750899E-3</v>
      </c>
      <c r="N89" s="195">
        <v>8.1075662575990012E-3</v>
      </c>
      <c r="O89" s="195">
        <v>1.6375900259298293E-2</v>
      </c>
      <c r="P89" s="195">
        <v>2.0761737683466603E-3</v>
      </c>
    </row>
    <row r="90" spans="1:16" ht="22.5" customHeight="1">
      <c r="A90" s="115">
        <v>42</v>
      </c>
      <c r="B90" s="115" t="s">
        <v>67</v>
      </c>
      <c r="C90" s="115" t="s">
        <v>14</v>
      </c>
      <c r="D90" s="115" t="s">
        <v>26</v>
      </c>
      <c r="E90" s="98" t="s">
        <v>835</v>
      </c>
      <c r="F90" s="115" t="s">
        <v>483</v>
      </c>
      <c r="G90" s="115">
        <v>1</v>
      </c>
      <c r="H90" s="115">
        <v>7</v>
      </c>
      <c r="I90" s="194">
        <v>8</v>
      </c>
      <c r="J90" s="116">
        <v>97640</v>
      </c>
      <c r="K90" s="116">
        <v>192392</v>
      </c>
      <c r="L90" s="116">
        <v>43654</v>
      </c>
      <c r="M90" s="195">
        <v>5.7430007178750899E-3</v>
      </c>
      <c r="N90" s="195">
        <v>4.9595452172211214E-3</v>
      </c>
      <c r="O90" s="195">
        <v>1.4945599716736481E-2</v>
      </c>
      <c r="P90" s="195">
        <v>4.6600488294207985E-3</v>
      </c>
    </row>
    <row r="91" spans="1:16" ht="22.5" customHeight="1">
      <c r="A91" s="115">
        <v>43</v>
      </c>
      <c r="B91" s="115" t="s">
        <v>67</v>
      </c>
      <c r="C91" s="115" t="s">
        <v>14</v>
      </c>
      <c r="D91" s="115" t="s">
        <v>26</v>
      </c>
      <c r="E91" s="98" t="s">
        <v>566</v>
      </c>
      <c r="F91" s="115" t="s">
        <v>483</v>
      </c>
      <c r="G91" s="115">
        <v>1</v>
      </c>
      <c r="H91" s="115">
        <v>7</v>
      </c>
      <c r="I91" s="194">
        <v>8</v>
      </c>
      <c r="J91" s="116">
        <v>34692</v>
      </c>
      <c r="K91" s="116">
        <v>133378</v>
      </c>
      <c r="L91" s="116">
        <v>7524</v>
      </c>
      <c r="M91" s="195">
        <v>5.7430007178750899E-3</v>
      </c>
      <c r="N91" s="195">
        <v>1.7621522191298151E-3</v>
      </c>
      <c r="O91" s="195">
        <v>1.0361211479785431E-2</v>
      </c>
      <c r="P91" s="195">
        <v>8.0318429909199821E-4</v>
      </c>
    </row>
    <row r="92" spans="1:16" ht="22.5" customHeight="1">
      <c r="A92" s="115">
        <v>84</v>
      </c>
      <c r="B92" s="115" t="s">
        <v>67</v>
      </c>
      <c r="C92" s="115" t="s">
        <v>14</v>
      </c>
      <c r="D92" s="115" t="s">
        <v>26</v>
      </c>
      <c r="E92" s="98" t="s">
        <v>836</v>
      </c>
      <c r="F92" s="115" t="s">
        <v>483</v>
      </c>
      <c r="G92" s="115">
        <v>0</v>
      </c>
      <c r="H92" s="115">
        <v>7</v>
      </c>
      <c r="I92" s="194">
        <v>7</v>
      </c>
      <c r="J92" s="116">
        <v>75841</v>
      </c>
      <c r="K92" s="116">
        <v>205095</v>
      </c>
      <c r="L92" s="116">
        <v>19552</v>
      </c>
      <c r="M92" s="195">
        <v>5.0251256281407036E-3</v>
      </c>
      <c r="N92" s="195">
        <v>3.8522825565267009E-3</v>
      </c>
      <c r="O92" s="195">
        <v>1.5932407656784425E-2</v>
      </c>
      <c r="P92" s="195">
        <v>2.0871689813725079E-3</v>
      </c>
    </row>
    <row r="93" spans="1:16" ht="22.5" customHeight="1">
      <c r="A93" s="115">
        <v>85</v>
      </c>
      <c r="B93" s="115" t="s">
        <v>67</v>
      </c>
      <c r="C93" s="115" t="s">
        <v>14</v>
      </c>
      <c r="D93" s="115" t="s">
        <v>26</v>
      </c>
      <c r="E93" s="98" t="s">
        <v>837</v>
      </c>
      <c r="F93" s="115" t="s">
        <v>483</v>
      </c>
      <c r="G93" s="115">
        <v>0</v>
      </c>
      <c r="H93" s="115">
        <v>7</v>
      </c>
      <c r="I93" s="194">
        <v>7</v>
      </c>
      <c r="J93" s="116">
        <v>70413</v>
      </c>
      <c r="K93" s="116">
        <v>224379</v>
      </c>
      <c r="L93" s="116">
        <v>25742</v>
      </c>
      <c r="M93" s="195">
        <v>5.0251256281407036E-3</v>
      </c>
      <c r="N93" s="195">
        <v>3.5765716650982267E-3</v>
      </c>
      <c r="O93" s="195">
        <v>1.743044782964788E-2</v>
      </c>
      <c r="P93" s="195">
        <v>2.7479492593336283E-3</v>
      </c>
    </row>
    <row r="94" spans="1:16" ht="22.5" customHeight="1">
      <c r="A94" s="115">
        <v>87</v>
      </c>
      <c r="B94" s="115" t="s">
        <v>11</v>
      </c>
      <c r="C94" s="115" t="s">
        <v>9</v>
      </c>
      <c r="D94" s="115" t="s">
        <v>26</v>
      </c>
      <c r="E94" s="98" t="s">
        <v>838</v>
      </c>
      <c r="F94" s="115" t="s">
        <v>483</v>
      </c>
      <c r="G94" s="115">
        <v>0</v>
      </c>
      <c r="H94" s="115">
        <v>6</v>
      </c>
      <c r="I94" s="194">
        <v>6</v>
      </c>
      <c r="J94" s="116">
        <v>404</v>
      </c>
      <c r="K94" s="116">
        <v>214810</v>
      </c>
      <c r="L94" s="116">
        <v>514240</v>
      </c>
      <c r="M94" s="195">
        <v>4.3072505384063172E-3</v>
      </c>
      <c r="N94" s="195">
        <v>2.0520854852082479E-5</v>
      </c>
      <c r="O94" s="195">
        <v>1.6687098606762048E-2</v>
      </c>
      <c r="P94" s="195">
        <v>5.4894935402055978E-2</v>
      </c>
    </row>
    <row r="95" spans="1:16" ht="22.5" customHeight="1">
      <c r="A95" s="115">
        <v>45</v>
      </c>
      <c r="B95" s="115" t="s">
        <v>11</v>
      </c>
      <c r="C95" s="115" t="s">
        <v>9</v>
      </c>
      <c r="D95" s="115" t="s">
        <v>26</v>
      </c>
      <c r="E95" s="98" t="s">
        <v>839</v>
      </c>
      <c r="F95" s="115" t="s">
        <v>483</v>
      </c>
      <c r="G95" s="115">
        <v>1</v>
      </c>
      <c r="H95" s="115">
        <v>4</v>
      </c>
      <c r="I95" s="194">
        <v>5</v>
      </c>
      <c r="J95" s="116">
        <v>46819</v>
      </c>
      <c r="K95" s="116">
        <v>267097</v>
      </c>
      <c r="L95" s="116">
        <v>287216</v>
      </c>
      <c r="M95" s="195">
        <v>3.5893754486719309E-3</v>
      </c>
      <c r="N95" s="195">
        <v>2.3781334240585384E-3</v>
      </c>
      <c r="O95" s="195">
        <v>2.0748912883805794E-2</v>
      </c>
      <c r="P95" s="195">
        <v>3.066020489739598E-2</v>
      </c>
    </row>
    <row r="96" spans="1:16" ht="22.5" customHeight="1">
      <c r="A96" s="115">
        <v>46</v>
      </c>
      <c r="B96" s="115" t="s">
        <v>11</v>
      </c>
      <c r="C96" s="115" t="s">
        <v>10</v>
      </c>
      <c r="D96" s="115" t="s">
        <v>26</v>
      </c>
      <c r="E96" s="98" t="s">
        <v>840</v>
      </c>
      <c r="F96" s="115" t="s">
        <v>483</v>
      </c>
      <c r="G96" s="115">
        <v>1</v>
      </c>
      <c r="H96" s="115">
        <v>4</v>
      </c>
      <c r="I96" s="194">
        <v>5</v>
      </c>
      <c r="J96" s="116">
        <v>10800</v>
      </c>
      <c r="K96" s="116">
        <v>138105</v>
      </c>
      <c r="L96" s="116">
        <v>637755</v>
      </c>
      <c r="M96" s="195">
        <v>3.5893754486719309E-3</v>
      </c>
      <c r="N96" s="195">
        <v>5.4857730792695733E-4</v>
      </c>
      <c r="O96" s="195">
        <v>1.0728419315147677E-2</v>
      </c>
      <c r="P96" s="195">
        <v>6.80801173135855E-2</v>
      </c>
    </row>
    <row r="97" spans="1:16" ht="22.5" customHeight="1">
      <c r="A97" s="115">
        <v>90</v>
      </c>
      <c r="B97" s="115" t="s">
        <v>67</v>
      </c>
      <c r="C97" s="115" t="s">
        <v>14</v>
      </c>
      <c r="D97" s="115" t="s">
        <v>26</v>
      </c>
      <c r="E97" s="98" t="s">
        <v>841</v>
      </c>
      <c r="F97" s="115" t="s">
        <v>483</v>
      </c>
      <c r="G97" s="115">
        <v>0</v>
      </c>
      <c r="H97" s="115">
        <v>4</v>
      </c>
      <c r="I97" s="194">
        <v>4</v>
      </c>
      <c r="J97" s="116">
        <v>30788</v>
      </c>
      <c r="K97" s="116">
        <v>217135</v>
      </c>
      <c r="L97" s="116">
        <v>11967</v>
      </c>
      <c r="M97" s="195">
        <v>2.871500358937545E-3</v>
      </c>
      <c r="N97" s="195">
        <v>1.5638516811532558E-3</v>
      </c>
      <c r="O97" s="195">
        <v>1.6867711726545678E-2</v>
      </c>
      <c r="P97" s="195">
        <v>1.2774729541778233E-3</v>
      </c>
    </row>
    <row r="98" spans="1:16" ht="22.5" hidden="1" customHeight="1">
      <c r="A98" s="115"/>
      <c r="B98" s="115" t="e">
        <v>#N/A</v>
      </c>
      <c r="C98" s="115" t="e">
        <v>#N/A</v>
      </c>
      <c r="D98" s="115"/>
      <c r="E98" s="98"/>
      <c r="F98" s="115"/>
      <c r="G98" s="115"/>
      <c r="H98" s="115"/>
      <c r="I98" s="194">
        <v>0</v>
      </c>
      <c r="J98" s="116"/>
      <c r="K98" s="116"/>
      <c r="L98" s="116"/>
      <c r="M98" s="195" t="e">
        <v>#N/A</v>
      </c>
      <c r="N98" s="195" t="e">
        <v>#N/A</v>
      </c>
      <c r="O98" s="195" t="e">
        <v>#N/A</v>
      </c>
      <c r="P98" s="195" t="e">
        <v>#N/A</v>
      </c>
    </row>
    <row r="99" spans="1:16" ht="22.5" hidden="1" customHeight="1">
      <c r="A99" s="115"/>
      <c r="B99" s="115" t="e">
        <v>#N/A</v>
      </c>
      <c r="C99" s="115" t="e">
        <v>#N/A</v>
      </c>
      <c r="D99" s="115"/>
      <c r="E99" s="98"/>
      <c r="F99" s="115"/>
      <c r="G99" s="115"/>
      <c r="H99" s="115"/>
      <c r="I99" s="194">
        <v>0</v>
      </c>
      <c r="J99" s="116"/>
      <c r="K99" s="116"/>
      <c r="L99" s="116"/>
      <c r="M99" s="195" t="e">
        <v>#N/A</v>
      </c>
      <c r="N99" s="195" t="e">
        <v>#N/A</v>
      </c>
      <c r="O99" s="195" t="e">
        <v>#N/A</v>
      </c>
      <c r="P99" s="195" t="e">
        <v>#N/A</v>
      </c>
    </row>
    <row r="100" spans="1:16" ht="22.5" hidden="1" customHeight="1">
      <c r="A100" s="115"/>
      <c r="B100" s="115" t="e">
        <v>#N/A</v>
      </c>
      <c r="C100" s="115" t="e">
        <v>#N/A</v>
      </c>
      <c r="D100" s="115"/>
      <c r="E100" s="98"/>
      <c r="F100" s="115"/>
      <c r="G100" s="115"/>
      <c r="H100" s="115"/>
      <c r="I100" s="194">
        <v>0</v>
      </c>
      <c r="J100" s="116"/>
      <c r="K100" s="116"/>
      <c r="L100" s="116"/>
      <c r="M100" s="195" t="e">
        <v>#N/A</v>
      </c>
      <c r="N100" s="195" t="e">
        <v>#N/A</v>
      </c>
      <c r="O100" s="195" t="e">
        <v>#N/A</v>
      </c>
      <c r="P100" s="195" t="e">
        <v>#N/A</v>
      </c>
    </row>
    <row r="101" spans="1:16" ht="22.5" hidden="1" customHeight="1">
      <c r="A101" s="115"/>
      <c r="B101" s="115" t="e">
        <v>#N/A</v>
      </c>
      <c r="C101" s="115" t="e">
        <v>#N/A</v>
      </c>
      <c r="D101" s="115"/>
      <c r="E101" s="98"/>
      <c r="F101" s="115"/>
      <c r="G101" s="115"/>
      <c r="H101" s="115"/>
      <c r="I101" s="194">
        <v>0</v>
      </c>
      <c r="J101" s="116"/>
      <c r="K101" s="116"/>
      <c r="L101" s="116"/>
      <c r="M101" s="195" t="e">
        <v>#N/A</v>
      </c>
      <c r="N101" s="195" t="e">
        <v>#N/A</v>
      </c>
      <c r="O101" s="195" t="e">
        <v>#N/A</v>
      </c>
      <c r="P101" s="195" t="e">
        <v>#N/A</v>
      </c>
    </row>
    <row r="102" spans="1:16" ht="22.5" hidden="1" customHeight="1">
      <c r="A102" s="115"/>
      <c r="B102" s="115" t="e">
        <v>#N/A</v>
      </c>
      <c r="C102" s="115" t="e">
        <v>#N/A</v>
      </c>
      <c r="D102" s="115"/>
      <c r="E102" s="98"/>
      <c r="F102" s="115"/>
      <c r="G102" s="115"/>
      <c r="H102" s="115"/>
      <c r="I102" s="194">
        <v>0</v>
      </c>
      <c r="J102" s="116"/>
      <c r="K102" s="116"/>
      <c r="L102" s="116"/>
      <c r="M102" s="195" t="e">
        <v>#N/A</v>
      </c>
      <c r="N102" s="195" t="e">
        <v>#N/A</v>
      </c>
      <c r="O102" s="195" t="e">
        <v>#N/A</v>
      </c>
      <c r="P102" s="195" t="e">
        <v>#N/A</v>
      </c>
    </row>
    <row r="103" spans="1:16" ht="22.5" hidden="1" customHeight="1">
      <c r="A103" s="115"/>
      <c r="B103" s="115" t="e">
        <v>#N/A</v>
      </c>
      <c r="C103" s="115" t="e">
        <v>#N/A</v>
      </c>
      <c r="D103" s="115"/>
      <c r="E103" s="98"/>
      <c r="F103" s="115"/>
      <c r="G103" s="115"/>
      <c r="H103" s="115"/>
      <c r="I103" s="194">
        <v>0</v>
      </c>
      <c r="J103" s="116"/>
      <c r="K103" s="116"/>
      <c r="L103" s="116"/>
      <c r="M103" s="195" t="e">
        <v>#N/A</v>
      </c>
      <c r="N103" s="195" t="e">
        <v>#N/A</v>
      </c>
      <c r="O103" s="195" t="e">
        <v>#N/A</v>
      </c>
      <c r="P103" s="195" t="e">
        <v>#N/A</v>
      </c>
    </row>
  </sheetData>
  <mergeCells count="9">
    <mergeCell ref="R50:T50"/>
    <mergeCell ref="R65:T65"/>
    <mergeCell ref="R2:T2"/>
    <mergeCell ref="V2:W2"/>
    <mergeCell ref="Y2:Z2"/>
    <mergeCell ref="R15:T15"/>
    <mergeCell ref="V15:W15"/>
    <mergeCell ref="Y15:Z15"/>
    <mergeCell ref="R30:T30"/>
  </mergeCells>
  <dataValidations count="4">
    <dataValidation type="list" allowBlank="1" sqref="B2:D103" xr:uid="{00000000-0002-0000-2000-000000000000}">
      <formula1>#REF!</formula1>
    </dataValidation>
    <dataValidation type="list" allowBlank="1" sqref="F2:F103" xr:uid="{00000000-0002-0000-2000-000002000000}">
      <formula1>"Yellow,Red"</formula1>
    </dataValidation>
    <dataValidation type="custom" allowBlank="1" showDropDown="1" sqref="S4:T13 S17:T27 S32:T48 S52:T62 S67:T73 A2:A103 G2:L103" xr:uid="{00000000-0002-0000-2000-000003000000}">
      <formula1>AND(ISNUMBER(A2),(NOT(OR(NOT(ISERROR(DATEVALUE(A2))), AND(ISNUMBER(A2), LEFT(CELL("format", A2))="D")))))</formula1>
    </dataValidation>
    <dataValidation allowBlank="1" showDropDown="1" sqref="E2:E103" xr:uid="{00000000-0002-0000-20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104"/>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6.8867187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3</v>
      </c>
      <c r="B2" s="115" t="s">
        <v>39</v>
      </c>
      <c r="C2" s="115" t="s">
        <v>58</v>
      </c>
      <c r="D2" s="115" t="s">
        <v>21</v>
      </c>
      <c r="E2" s="98" t="s">
        <v>42</v>
      </c>
      <c r="F2" s="115" t="s">
        <v>483</v>
      </c>
      <c r="G2" s="115">
        <v>56</v>
      </c>
      <c r="H2" s="115">
        <v>56</v>
      </c>
      <c r="I2" s="194">
        <v>112</v>
      </c>
      <c r="J2" s="116">
        <v>4203559</v>
      </c>
      <c r="K2" s="116">
        <v>1441994</v>
      </c>
      <c r="L2" s="116">
        <v>42179</v>
      </c>
      <c r="M2" s="195">
        <v>5.7941024314536987E-2</v>
      </c>
      <c r="N2" s="195">
        <v>0.13767412371658386</v>
      </c>
      <c r="O2" s="195">
        <v>2.9089268113389712E-2</v>
      </c>
      <c r="P2" s="195">
        <v>1.338024885061318E-3</v>
      </c>
      <c r="R2" s="232" t="s">
        <v>477</v>
      </c>
      <c r="S2" s="228"/>
      <c r="T2" s="228"/>
      <c r="V2" s="233" t="s">
        <v>478</v>
      </c>
      <c r="W2" s="228"/>
      <c r="X2" s="196"/>
      <c r="Y2" s="233" t="s">
        <v>479</v>
      </c>
      <c r="Z2" s="228"/>
    </row>
    <row r="3" spans="1:26" ht="22.5" customHeight="1">
      <c r="A3" s="115">
        <v>12</v>
      </c>
      <c r="B3" s="115" t="s">
        <v>39</v>
      </c>
      <c r="C3" s="115" t="s">
        <v>58</v>
      </c>
      <c r="D3" s="115" t="s">
        <v>21</v>
      </c>
      <c r="E3" s="98" t="s">
        <v>107</v>
      </c>
      <c r="F3" s="115" t="s">
        <v>483</v>
      </c>
      <c r="G3" s="115">
        <v>36</v>
      </c>
      <c r="H3" s="115">
        <v>60</v>
      </c>
      <c r="I3" s="194">
        <v>96</v>
      </c>
      <c r="J3" s="116">
        <v>2849340</v>
      </c>
      <c r="K3" s="116">
        <v>1343184</v>
      </c>
      <c r="L3" s="116">
        <v>32974</v>
      </c>
      <c r="M3" s="195">
        <v>4.9663735126745989E-2</v>
      </c>
      <c r="N3" s="195">
        <v>9.3321013852930595E-2</v>
      </c>
      <c r="O3" s="195">
        <v>2.7095979249300101E-2</v>
      </c>
      <c r="P3" s="195">
        <v>1.0460189326444891E-3</v>
      </c>
      <c r="R3" s="190" t="s">
        <v>482</v>
      </c>
      <c r="S3" s="222" t="s">
        <v>476</v>
      </c>
      <c r="T3" s="222" t="s">
        <v>483</v>
      </c>
      <c r="V3" s="199" t="s">
        <v>1</v>
      </c>
      <c r="W3" s="200" t="s">
        <v>467</v>
      </c>
      <c r="Y3" s="199" t="s">
        <v>1</v>
      </c>
      <c r="Z3" s="200" t="s">
        <v>484</v>
      </c>
    </row>
    <row r="4" spans="1:26" ht="22.5" customHeight="1">
      <c r="A4" s="115">
        <v>13</v>
      </c>
      <c r="B4" s="115" t="s">
        <v>39</v>
      </c>
      <c r="C4" s="115" t="s">
        <v>54</v>
      </c>
      <c r="D4" s="115" t="s">
        <v>21</v>
      </c>
      <c r="E4" s="98" t="s">
        <v>53</v>
      </c>
      <c r="F4" s="115" t="s">
        <v>483</v>
      </c>
      <c r="G4" s="115">
        <v>36</v>
      </c>
      <c r="H4" s="115">
        <v>21</v>
      </c>
      <c r="I4" s="194">
        <v>57</v>
      </c>
      <c r="J4" s="116">
        <v>1650374</v>
      </c>
      <c r="K4" s="116">
        <v>919152</v>
      </c>
      <c r="L4" s="116">
        <v>31994</v>
      </c>
      <c r="M4" s="195">
        <v>2.9487842731505433E-2</v>
      </c>
      <c r="N4" s="195">
        <v>5.4052719196907524E-2</v>
      </c>
      <c r="O4" s="195">
        <v>1.854200431136217E-2</v>
      </c>
      <c r="P4" s="195">
        <v>1.014930846455625E-3</v>
      </c>
      <c r="R4" s="223" t="s">
        <v>25</v>
      </c>
      <c r="S4" s="207">
        <f>COUNTIFS(Scoreboard_13[Role],R4,Scoreboard_13[Team],"Yellow")</f>
        <v>9</v>
      </c>
      <c r="T4" s="219">
        <f>COUNTIFS(Scoreboard_13[Role],R4,Scoreboard_13[Team],"Red")</f>
        <v>7</v>
      </c>
      <c r="V4" s="204" t="str">
        <f ca="1">IFERROR(__xludf.DUMMYFUNCTION("query(A1:P240, ""Select E,I where B!='Healer' Order by I Desc Limit 10"", 0)"),"awco")</f>
        <v>awco</v>
      </c>
      <c r="W4" s="116">
        <f ca="1">IFERROR(__xludf.DUMMYFUNCTION("""COMPUTED_VALUE"""),198)</f>
        <v>198</v>
      </c>
      <c r="Y4" s="204" t="str">
        <f ca="1">IFERROR(__xludf.DUMMYFUNCTION("query(A1:P240, ""Select E,J Order by J Desc Limit 10"", 0)"),"awco")</f>
        <v>awco</v>
      </c>
      <c r="Z4" s="116">
        <f ca="1">IFERROR(__xludf.DUMMYFUNCTION("""COMPUTED_VALUE"""),4893483)</f>
        <v>4893483</v>
      </c>
    </row>
    <row r="5" spans="1:26" ht="22.5" customHeight="1">
      <c r="A5" s="115">
        <v>14</v>
      </c>
      <c r="B5" s="115" t="s">
        <v>39</v>
      </c>
      <c r="C5" s="115" t="s">
        <v>58</v>
      </c>
      <c r="D5" s="115" t="s">
        <v>21</v>
      </c>
      <c r="E5" s="98" t="s">
        <v>86</v>
      </c>
      <c r="F5" s="115" t="s">
        <v>483</v>
      </c>
      <c r="G5" s="115">
        <v>34</v>
      </c>
      <c r="H5" s="115">
        <v>51</v>
      </c>
      <c r="I5" s="194">
        <v>85</v>
      </c>
      <c r="J5" s="116">
        <v>2447044</v>
      </c>
      <c r="K5" s="116">
        <v>1114408</v>
      </c>
      <c r="L5" s="116">
        <v>0</v>
      </c>
      <c r="M5" s="195">
        <v>4.397309881013968E-2</v>
      </c>
      <c r="N5" s="195">
        <v>8.0145095714351633E-2</v>
      </c>
      <c r="O5" s="195">
        <v>2.2480893193526745E-2</v>
      </c>
      <c r="P5" s="195">
        <v>0</v>
      </c>
      <c r="R5" s="223" t="s">
        <v>39</v>
      </c>
      <c r="S5" s="207">
        <f>COUNTIFS(Scoreboard_13[Role],R5,Scoreboard_13[Team],"Yellow")</f>
        <v>8</v>
      </c>
      <c r="T5" s="219">
        <f>COUNTIFS(Scoreboard_13[Role],R5,Scoreboard_13[Team],"Red")</f>
        <v>10</v>
      </c>
      <c r="V5" s="204" t="str">
        <f ca="1">IFERROR(__xludf.DUMMYFUNCTION("""COMPUTED_VALUE"""),"be")</f>
        <v>be</v>
      </c>
      <c r="W5" s="116">
        <f ca="1">IFERROR(__xludf.DUMMYFUNCTION("""COMPUTED_VALUE"""),180)</f>
        <v>180</v>
      </c>
      <c r="Y5" s="204" t="str">
        <f ca="1">IFERROR(__xludf.DUMMYFUNCTION("""COMPUTED_VALUE"""),"be")</f>
        <v>be</v>
      </c>
      <c r="Z5" s="116">
        <f ca="1">IFERROR(__xludf.DUMMYFUNCTION("""COMPUTED_VALUE"""),4312912)</f>
        <v>4312912</v>
      </c>
    </row>
    <row r="6" spans="1:26" ht="22.5" customHeight="1">
      <c r="A6" s="115">
        <v>17</v>
      </c>
      <c r="B6" s="115" t="s">
        <v>39</v>
      </c>
      <c r="C6" s="115" t="s">
        <v>58</v>
      </c>
      <c r="D6" s="115" t="s">
        <v>21</v>
      </c>
      <c r="E6" s="98" t="s">
        <v>112</v>
      </c>
      <c r="F6" s="115" t="s">
        <v>483</v>
      </c>
      <c r="G6" s="115">
        <v>31</v>
      </c>
      <c r="H6" s="115">
        <v>64</v>
      </c>
      <c r="I6" s="194">
        <v>95</v>
      </c>
      <c r="J6" s="116">
        <v>2820816</v>
      </c>
      <c r="K6" s="116">
        <v>1039965</v>
      </c>
      <c r="L6" s="116">
        <v>33585</v>
      </c>
      <c r="M6" s="195">
        <v>4.914640455250905E-2</v>
      </c>
      <c r="N6" s="195">
        <v>9.2386801509320854E-2</v>
      </c>
      <c r="O6" s="195">
        <v>2.0979158521839434E-2</v>
      </c>
      <c r="P6" s="195">
        <v>1.0654014027071379E-3</v>
      </c>
      <c r="R6" s="223" t="s">
        <v>67</v>
      </c>
      <c r="S6" s="207">
        <f>COUNTIFS(Scoreboard_13[Role],R6,Scoreboard_13[Team],"Yellow")</f>
        <v>13</v>
      </c>
      <c r="T6" s="219">
        <f>COUNTIFS(Scoreboard_13[Role],R6,Scoreboard_13[Team],"Red")</f>
        <v>15</v>
      </c>
      <c r="V6" s="204" t="str">
        <f ca="1">IFERROR(__xludf.DUMMYFUNCTION("""COMPUTED_VALUE"""),"·Orianna·")</f>
        <v>·Orianna·</v>
      </c>
      <c r="W6" s="116">
        <f ca="1">IFERROR(__xludf.DUMMYFUNCTION("""COMPUTED_VALUE"""),162)</f>
        <v>162</v>
      </c>
      <c r="Y6" s="204" t="str">
        <f ca="1">IFERROR(__xludf.DUMMYFUNCTION("""COMPUTED_VALUE"""),"edmun")</f>
        <v>edmun</v>
      </c>
      <c r="Z6" s="116">
        <f ca="1">IFERROR(__xludf.DUMMYFUNCTION("""COMPUTED_VALUE"""),4203559)</f>
        <v>4203559</v>
      </c>
    </row>
    <row r="7" spans="1:26" ht="22.5" customHeight="1">
      <c r="A7" s="115">
        <v>21</v>
      </c>
      <c r="B7" s="115" t="s">
        <v>25</v>
      </c>
      <c r="C7" s="115" t="s">
        <v>23</v>
      </c>
      <c r="D7" s="115" t="s">
        <v>21</v>
      </c>
      <c r="E7" s="98" t="s">
        <v>47</v>
      </c>
      <c r="F7" s="115" t="s">
        <v>483</v>
      </c>
      <c r="G7" s="115">
        <v>25</v>
      </c>
      <c r="H7" s="115">
        <v>48</v>
      </c>
      <c r="I7" s="194">
        <v>73</v>
      </c>
      <c r="J7" s="116">
        <v>1660832</v>
      </c>
      <c r="K7" s="116">
        <v>1753172</v>
      </c>
      <c r="L7" s="116">
        <v>46150</v>
      </c>
      <c r="M7" s="195">
        <v>3.7765131919296431E-2</v>
      </c>
      <c r="N7" s="195">
        <v>5.4395237521457751E-2</v>
      </c>
      <c r="O7" s="195">
        <v>3.536664532368905E-2</v>
      </c>
      <c r="P7" s="195">
        <v>1.4639950792000719E-3</v>
      </c>
      <c r="R7" s="223" t="s">
        <v>11</v>
      </c>
      <c r="S7" s="207">
        <f>COUNTIFS(Scoreboard_13[Role],R7,Scoreboard_13[Team],"Yellow")</f>
        <v>18</v>
      </c>
      <c r="T7" s="219">
        <f>COUNTIFS(Scoreboard_13[Role],R7,Scoreboard_13[Team],"Red")</f>
        <v>16</v>
      </c>
      <c r="V7" s="204" t="str">
        <f ca="1">IFERROR(__xludf.DUMMYFUNCTION("""COMPUTED_VALUE"""),"00")</f>
        <v>00</v>
      </c>
      <c r="W7" s="116">
        <f ca="1">IFERROR(__xludf.DUMMYFUNCTION("""COMPUTED_VALUE"""),161)</f>
        <v>161</v>
      </c>
      <c r="Y7" s="204" t="str">
        <f ca="1">IFERROR(__xludf.DUMMYFUNCTION("""COMPUTED_VALUE"""),"00")</f>
        <v>00</v>
      </c>
      <c r="Z7" s="116">
        <f ca="1">IFERROR(__xludf.DUMMYFUNCTION("""COMPUTED_VALUE"""),3622956)</f>
        <v>3622956</v>
      </c>
    </row>
    <row r="8" spans="1:26" ht="22.5" customHeight="1">
      <c r="A8" s="115">
        <v>23</v>
      </c>
      <c r="B8" s="115" t="s">
        <v>25</v>
      </c>
      <c r="C8" s="115" t="s">
        <v>23</v>
      </c>
      <c r="D8" s="115" t="s">
        <v>21</v>
      </c>
      <c r="E8" s="98" t="s">
        <v>77</v>
      </c>
      <c r="F8" s="115" t="s">
        <v>483</v>
      </c>
      <c r="G8" s="115">
        <v>23</v>
      </c>
      <c r="H8" s="115">
        <v>45</v>
      </c>
      <c r="I8" s="194">
        <v>68</v>
      </c>
      <c r="J8" s="116">
        <v>1385330</v>
      </c>
      <c r="K8" s="116">
        <v>2032962</v>
      </c>
      <c r="L8" s="116">
        <v>34097</v>
      </c>
      <c r="M8" s="195">
        <v>3.5178479048111742E-2</v>
      </c>
      <c r="N8" s="195">
        <v>4.5372051113900184E-2</v>
      </c>
      <c r="O8" s="195">
        <v>4.1010834082758303E-2</v>
      </c>
      <c r="P8" s="195">
        <v>1.081643341613973E-3</v>
      </c>
      <c r="R8" s="223" t="s">
        <v>468</v>
      </c>
      <c r="S8" s="207">
        <f>SUMIFS(Scoreboard_13[Damage Dealt],Scoreboard_13[Team],"Yellow")</f>
        <v>49585381</v>
      </c>
      <c r="T8" s="219">
        <f>SUMIFS(Scoreboard_13[Damage Dealt],Scoreboard_13[Team],"Red")</f>
        <v>30532673</v>
      </c>
      <c r="V8" s="204" t="str">
        <f ca="1">IFERROR(__xludf.DUMMYFUNCTION("""COMPUTED_VALUE"""),"DDID")</f>
        <v>DDID</v>
      </c>
      <c r="W8" s="116">
        <f ca="1">IFERROR(__xludf.DUMMYFUNCTION("""COMPUTED_VALUE"""),149)</f>
        <v>149</v>
      </c>
      <c r="Y8" s="204" t="str">
        <f ca="1">IFERROR(__xludf.DUMMYFUNCTION("""COMPUTED_VALUE"""),"·Orianna·")</f>
        <v>·Orianna·</v>
      </c>
      <c r="Z8" s="116">
        <f ca="1">IFERROR(__xludf.DUMMYFUNCTION("""COMPUTED_VALUE"""),3571748)</f>
        <v>3571748</v>
      </c>
    </row>
    <row r="9" spans="1:26" ht="22.5" customHeight="1">
      <c r="A9" s="115">
        <v>25</v>
      </c>
      <c r="B9" s="115" t="s">
        <v>39</v>
      </c>
      <c r="C9" s="115" t="s">
        <v>45</v>
      </c>
      <c r="D9" s="115" t="s">
        <v>21</v>
      </c>
      <c r="E9" s="98" t="s">
        <v>84</v>
      </c>
      <c r="F9" s="115" t="s">
        <v>483</v>
      </c>
      <c r="G9" s="115">
        <v>19</v>
      </c>
      <c r="H9" s="115">
        <v>49</v>
      </c>
      <c r="I9" s="194">
        <v>68</v>
      </c>
      <c r="J9" s="116">
        <v>1794544</v>
      </c>
      <c r="K9" s="116">
        <v>1119491</v>
      </c>
      <c r="L9" s="116">
        <v>51590</v>
      </c>
      <c r="M9" s="195">
        <v>3.5178479048111742E-2</v>
      </c>
      <c r="N9" s="195">
        <v>5.8774546204978517E-2</v>
      </c>
      <c r="O9" s="195">
        <v>2.258343228163693E-2</v>
      </c>
      <c r="P9" s="195">
        <v>1.6365656800851941E-3</v>
      </c>
      <c r="R9" s="223" t="s">
        <v>470</v>
      </c>
      <c r="S9" s="207">
        <f>SUMIFS(Scoreboard_13[Amount Healed],Scoreboard_13[Team],"Yellow")</f>
        <v>21242163</v>
      </c>
      <c r="T9" s="219">
        <f>SUMIFS(Scoreboard_13[Amount Healed],Scoreboard_13[Team],"Red")</f>
        <v>31523330</v>
      </c>
      <c r="V9" s="204" t="str">
        <f ca="1">IFERROR(__xludf.DUMMYFUNCTION("""COMPUTED_VALUE"""),"AC12")</f>
        <v>AC12</v>
      </c>
      <c r="W9" s="116">
        <f ca="1">IFERROR(__xludf.DUMMYFUNCTION("""COMPUTED_VALUE"""),141)</f>
        <v>141</v>
      </c>
      <c r="Y9" s="204" t="str">
        <f ca="1">IFERROR(__xludf.DUMMYFUNCTION("""COMPUTED_VALUE"""),"AC12")</f>
        <v>AC12</v>
      </c>
      <c r="Z9" s="116">
        <f ca="1">IFERROR(__xludf.DUMMYFUNCTION("""COMPUTED_VALUE"""),3405874)</f>
        <v>3405874</v>
      </c>
    </row>
    <row r="10" spans="1:26" ht="22.5" customHeight="1">
      <c r="A10" s="115">
        <v>26</v>
      </c>
      <c r="B10" s="115" t="s">
        <v>25</v>
      </c>
      <c r="C10" s="115" t="s">
        <v>69</v>
      </c>
      <c r="D10" s="115" t="s">
        <v>21</v>
      </c>
      <c r="E10" s="98" t="s">
        <v>98</v>
      </c>
      <c r="F10" s="115" t="s">
        <v>483</v>
      </c>
      <c r="G10" s="115">
        <v>19</v>
      </c>
      <c r="H10" s="115">
        <v>31</v>
      </c>
      <c r="I10" s="194">
        <v>50</v>
      </c>
      <c r="J10" s="116">
        <v>1113585</v>
      </c>
      <c r="K10" s="116">
        <v>1461687</v>
      </c>
      <c r="L10" s="116">
        <v>63990</v>
      </c>
      <c r="M10" s="195">
        <v>2.5866528711846869E-2</v>
      </c>
      <c r="N10" s="195">
        <v>3.6471913218996579E-2</v>
      </c>
      <c r="O10" s="195">
        <v>2.9486533952884874E-2</v>
      </c>
      <c r="P10" s="195">
        <v>2.0299251379851048E-3</v>
      </c>
      <c r="R10" s="223" t="s">
        <v>469</v>
      </c>
      <c r="S10" s="207">
        <f>SUMIFS(Scoreboard_13[Damage Taken],Scoreboard_13[Team],"Yellow")</f>
        <v>30546714</v>
      </c>
      <c r="T10" s="219">
        <f>SUMIFS(Scoreboard_13[Damage Taken],Scoreboard_13[Team],"Red")</f>
        <v>49571340</v>
      </c>
      <c r="V10" s="204" t="str">
        <f ca="1">IFERROR(__xludf.DUMMYFUNCTION("""COMPUTED_VALUE"""),"JI")</f>
        <v>JI</v>
      </c>
      <c r="W10" s="116">
        <f ca="1">IFERROR(__xludf.DUMMYFUNCTION("""COMPUTED_VALUE"""),136)</f>
        <v>136</v>
      </c>
      <c r="Y10" s="204" t="str">
        <f ca="1">IFERROR(__xludf.DUMMYFUNCTION("""COMPUTED_VALUE"""),"TanksVicious")</f>
        <v>TanksVicious</v>
      </c>
      <c r="Z10" s="116">
        <f ca="1">IFERROR(__xludf.DUMMYFUNCTION("""COMPUTED_VALUE"""),2849340)</f>
        <v>2849340</v>
      </c>
    </row>
    <row r="11" spans="1:26" ht="22.5" customHeight="1">
      <c r="A11" s="115">
        <v>27</v>
      </c>
      <c r="B11" s="115" t="s">
        <v>25</v>
      </c>
      <c r="C11" s="115" t="s">
        <v>69</v>
      </c>
      <c r="D11" s="115" t="s">
        <v>21</v>
      </c>
      <c r="E11" s="98" t="s">
        <v>90</v>
      </c>
      <c r="F11" s="115" t="s">
        <v>483</v>
      </c>
      <c r="G11" s="115">
        <v>17</v>
      </c>
      <c r="H11" s="115">
        <v>26</v>
      </c>
      <c r="I11" s="194">
        <v>43</v>
      </c>
      <c r="J11" s="116">
        <v>899572</v>
      </c>
      <c r="K11" s="116">
        <v>1372772</v>
      </c>
      <c r="L11" s="116">
        <v>156660</v>
      </c>
      <c r="M11" s="195">
        <v>2.2245214692188309E-2</v>
      </c>
      <c r="N11" s="195">
        <v>2.9462602242522298E-2</v>
      </c>
      <c r="O11" s="195">
        <v>2.7692856396458115E-2</v>
      </c>
      <c r="P11" s="195">
        <v>4.9696526350483912E-3</v>
      </c>
      <c r="R11" s="223" t="s">
        <v>495</v>
      </c>
      <c r="S11" s="207">
        <f ca="1">IFERROR(DIVIDE(SUMIFS(Scoreboard_13[Amount Healed],Scoreboard_13[Team],"Yellow"), SUMIFS(Scoreboard_13[Damage Taken],Scoreboard_13[Team],"Yellow"))*(100),0)</f>
        <v>0</v>
      </c>
      <c r="T11" s="219">
        <f ca="1">IFERROR(DIVIDE(SUMIFS(Scoreboard_13[Amount Healed],Scoreboard_13[Team],"Red"), SUMIFS(Scoreboard_13[Damage Taken],Scoreboard_13[Team],"Red"))*(100),0)</f>
        <v>0</v>
      </c>
      <c r="V11" s="204" t="str">
        <f ca="1">IFERROR(__xludf.DUMMYFUNCTION("""COMPUTED_VALUE"""),"Wildezzz")</f>
        <v>Wildezzz</v>
      </c>
      <c r="W11" s="116">
        <f ca="1">IFERROR(__xludf.DUMMYFUNCTION("""COMPUTED_VALUE"""),136)</f>
        <v>136</v>
      </c>
      <c r="Y11" s="204" t="str">
        <f ca="1">IFERROR(__xludf.DUMMYFUNCTION("""COMPUTED_VALUE"""),"DDID")</f>
        <v>DDID</v>
      </c>
      <c r="Z11" s="116">
        <f ca="1">IFERROR(__xludf.DUMMYFUNCTION("""COMPUTED_VALUE"""),2844561)</f>
        <v>2844561</v>
      </c>
    </row>
    <row r="12" spans="1:26" ht="22.5" customHeight="1">
      <c r="A12" s="115">
        <v>28</v>
      </c>
      <c r="B12" s="115" t="s">
        <v>25</v>
      </c>
      <c r="C12" s="115" t="s">
        <v>24</v>
      </c>
      <c r="D12" s="115" t="s">
        <v>21</v>
      </c>
      <c r="E12" s="98" t="s">
        <v>104</v>
      </c>
      <c r="F12" s="115" t="s">
        <v>483</v>
      </c>
      <c r="G12" s="115">
        <v>15</v>
      </c>
      <c r="H12" s="115">
        <v>66</v>
      </c>
      <c r="I12" s="194">
        <v>81</v>
      </c>
      <c r="J12" s="116">
        <v>1422177</v>
      </c>
      <c r="K12" s="116">
        <v>1380050</v>
      </c>
      <c r="L12" s="116">
        <v>25373</v>
      </c>
      <c r="M12" s="195">
        <v>4.190377651319193E-2</v>
      </c>
      <c r="N12" s="195">
        <v>4.6578856689029488E-2</v>
      </c>
      <c r="O12" s="195">
        <v>2.7839675102589521E-2</v>
      </c>
      <c r="P12" s="195">
        <v>8.0489592945922912E-4</v>
      </c>
      <c r="R12" s="223" t="s">
        <v>465</v>
      </c>
      <c r="S12" s="207">
        <f>SUMIFS(Scoreboard_13[Kills],Scoreboard_13[Team],"Yellow")</f>
        <v>728</v>
      </c>
      <c r="T12" s="219">
        <f>SUMIFS(Scoreboard_13[Kills],Scoreboard_13[Team],"Red")</f>
        <v>372</v>
      </c>
      <c r="V12" s="204" t="str">
        <f ca="1">IFERROR(__xludf.DUMMYFUNCTION("""COMPUTED_VALUE"""),"SuperSaiyanAndy")</f>
        <v>SuperSaiyanAndy</v>
      </c>
      <c r="W12" s="116">
        <f ca="1">IFERROR(__xludf.DUMMYFUNCTION("""COMPUTED_VALUE"""),122)</f>
        <v>122</v>
      </c>
      <c r="Y12" s="204" t="str">
        <f ca="1">IFERROR(__xludf.DUMMYFUNCTION("""COMPUTED_VALUE"""),"TOKUL")</f>
        <v>TOKUL</v>
      </c>
      <c r="Z12" s="116">
        <f ca="1">IFERROR(__xludf.DUMMYFUNCTION("""COMPUTED_VALUE"""),2820816)</f>
        <v>2820816</v>
      </c>
    </row>
    <row r="13" spans="1:26" ht="22.5" customHeight="1">
      <c r="A13" s="115">
        <v>29</v>
      </c>
      <c r="B13" s="115" t="s">
        <v>39</v>
      </c>
      <c r="C13" s="115" t="s">
        <v>45</v>
      </c>
      <c r="D13" s="115" t="s">
        <v>21</v>
      </c>
      <c r="E13" s="98" t="s">
        <v>88</v>
      </c>
      <c r="F13" s="115" t="s">
        <v>483</v>
      </c>
      <c r="G13" s="115">
        <v>14</v>
      </c>
      <c r="H13" s="115">
        <v>42</v>
      </c>
      <c r="I13" s="194">
        <v>56</v>
      </c>
      <c r="J13" s="116">
        <v>1396819</v>
      </c>
      <c r="K13" s="116">
        <v>763807</v>
      </c>
      <c r="L13" s="116">
        <v>27135</v>
      </c>
      <c r="M13" s="195">
        <v>2.8970512157268494E-2</v>
      </c>
      <c r="N13" s="195">
        <v>4.5748336544265224E-2</v>
      </c>
      <c r="O13" s="195">
        <v>1.5408237905208937E-2</v>
      </c>
      <c r="P13" s="195">
        <v>8.6079103952532937E-4</v>
      </c>
      <c r="R13" s="223" t="s">
        <v>466</v>
      </c>
      <c r="S13" s="207">
        <f>SUMIFS(Scoreboard_13[Assists],Scoreboard_13[Team],"Yellow")</f>
        <v>3042</v>
      </c>
      <c r="T13" s="219">
        <f>SUMIFS(Scoreboard_13[Assists],Scoreboard_13[Team],"Red")</f>
        <v>1561</v>
      </c>
      <c r="V13" s="204" t="str">
        <f ca="1">IFERROR(__xludf.DUMMYFUNCTION("""COMPUTED_VALUE"""),"PRTS")</f>
        <v>PRTS</v>
      </c>
      <c r="W13" s="116">
        <f ca="1">IFERROR(__xludf.DUMMYFUNCTION("""COMPUTED_VALUE"""),121)</f>
        <v>121</v>
      </c>
      <c r="Y13" s="204" t="str">
        <f ca="1">IFERROR(__xludf.DUMMYFUNCTION("""COMPUTED_VALUE"""),"JI")</f>
        <v>JI</v>
      </c>
      <c r="Z13" s="116">
        <f ca="1">IFERROR(__xludf.DUMMYFUNCTION("""COMPUTED_VALUE"""),2758142)</f>
        <v>2758142</v>
      </c>
    </row>
    <row r="14" spans="1:26" ht="22.5" customHeight="1">
      <c r="A14" s="115">
        <v>30</v>
      </c>
      <c r="B14" s="115" t="s">
        <v>39</v>
      </c>
      <c r="C14" s="115" t="s">
        <v>32</v>
      </c>
      <c r="D14" s="115" t="s">
        <v>21</v>
      </c>
      <c r="E14" s="98" t="s">
        <v>842</v>
      </c>
      <c r="F14" s="115" t="s">
        <v>483</v>
      </c>
      <c r="G14" s="115">
        <v>10</v>
      </c>
      <c r="H14" s="115">
        <v>63</v>
      </c>
      <c r="I14" s="194">
        <v>73</v>
      </c>
      <c r="J14" s="116">
        <v>1431707</v>
      </c>
      <c r="K14" s="116">
        <v>1076235</v>
      </c>
      <c r="L14" s="116">
        <v>40447</v>
      </c>
      <c r="M14" s="195">
        <v>3.7765131919296431E-2</v>
      </c>
      <c r="N14" s="195">
        <v>4.6890981343166382E-2</v>
      </c>
      <c r="O14" s="195">
        <v>2.1710831298891658E-2</v>
      </c>
      <c r="P14" s="195">
        <v>1.2830814511030403E-3</v>
      </c>
    </row>
    <row r="15" spans="1:26" ht="22.5" customHeight="1">
      <c r="A15" s="115">
        <v>32</v>
      </c>
      <c r="B15" s="115" t="s">
        <v>25</v>
      </c>
      <c r="C15" s="115" t="s">
        <v>23</v>
      </c>
      <c r="D15" s="115" t="s">
        <v>21</v>
      </c>
      <c r="E15" s="98" t="s">
        <v>113</v>
      </c>
      <c r="F15" s="115" t="s">
        <v>483</v>
      </c>
      <c r="G15" s="115">
        <v>10</v>
      </c>
      <c r="H15" s="115">
        <v>56</v>
      </c>
      <c r="I15" s="194">
        <v>66</v>
      </c>
      <c r="J15" s="116">
        <v>859654</v>
      </c>
      <c r="K15" s="116">
        <v>1321198</v>
      </c>
      <c r="L15" s="116">
        <v>52306</v>
      </c>
      <c r="M15" s="195">
        <v>3.4143817899637871E-2</v>
      </c>
      <c r="N15" s="195">
        <v>2.8155215889548876E-2</v>
      </c>
      <c r="O15" s="195">
        <v>2.6652456843006465E-2</v>
      </c>
      <c r="P15" s="195">
        <v>1.6592790165252211E-3</v>
      </c>
      <c r="R15" s="232" t="s">
        <v>25</v>
      </c>
      <c r="S15" s="228"/>
      <c r="T15" s="228"/>
      <c r="V15" s="233" t="s">
        <v>496</v>
      </c>
      <c r="W15" s="228"/>
      <c r="Y15" s="233" t="s">
        <v>497</v>
      </c>
      <c r="Z15" s="228"/>
    </row>
    <row r="16" spans="1:26" ht="22.5" customHeight="1">
      <c r="A16" s="115">
        <v>34</v>
      </c>
      <c r="B16" s="115" t="s">
        <v>39</v>
      </c>
      <c r="C16" s="115" t="s">
        <v>32</v>
      </c>
      <c r="D16" s="115" t="s">
        <v>21</v>
      </c>
      <c r="E16" s="98" t="s">
        <v>116</v>
      </c>
      <c r="F16" s="115" t="s">
        <v>483</v>
      </c>
      <c r="G16" s="115">
        <v>8</v>
      </c>
      <c r="H16" s="115">
        <v>37</v>
      </c>
      <c r="I16" s="194">
        <v>45</v>
      </c>
      <c r="J16" s="116">
        <v>854306</v>
      </c>
      <c r="K16" s="116">
        <v>1033387</v>
      </c>
      <c r="L16" s="116">
        <v>8364</v>
      </c>
      <c r="M16" s="195">
        <v>2.3279875840662184E-2</v>
      </c>
      <c r="N16" s="195">
        <v>2.7980059263072055E-2</v>
      </c>
      <c r="O16" s="195">
        <v>2.0846460878402723E-2</v>
      </c>
      <c r="P16" s="195">
        <v>2.6532729886087544E-4</v>
      </c>
      <c r="R16" s="190" t="s">
        <v>482</v>
      </c>
      <c r="S16" s="222" t="s">
        <v>476</v>
      </c>
      <c r="T16" s="222" t="s">
        <v>483</v>
      </c>
      <c r="V16" s="199" t="s">
        <v>1</v>
      </c>
      <c r="W16" s="200" t="s">
        <v>498</v>
      </c>
      <c r="Y16" s="199" t="s">
        <v>1</v>
      </c>
      <c r="Z16" s="200" t="s">
        <v>499</v>
      </c>
    </row>
    <row r="17" spans="1:26" ht="22.5" customHeight="1">
      <c r="A17" s="115">
        <v>36</v>
      </c>
      <c r="B17" s="115" t="s">
        <v>25</v>
      </c>
      <c r="C17" s="115" t="s">
        <v>23</v>
      </c>
      <c r="D17" s="115" t="s">
        <v>21</v>
      </c>
      <c r="E17" s="98" t="s">
        <v>843</v>
      </c>
      <c r="F17" s="115" t="s">
        <v>483</v>
      </c>
      <c r="G17" s="115">
        <v>5</v>
      </c>
      <c r="H17" s="115">
        <v>27</v>
      </c>
      <c r="I17" s="194">
        <v>32</v>
      </c>
      <c r="J17" s="116">
        <v>663021</v>
      </c>
      <c r="K17" s="116">
        <v>1729081</v>
      </c>
      <c r="L17" s="116">
        <v>49441</v>
      </c>
      <c r="M17" s="195">
        <v>1.6554578375581996E-2</v>
      </c>
      <c r="N17" s="195">
        <v>2.1715131197324256E-2</v>
      </c>
      <c r="O17" s="195">
        <v>3.48806588645778E-2</v>
      </c>
      <c r="P17" s="195">
        <v>1.5683939482281854E-3</v>
      </c>
      <c r="R17" s="223" t="s">
        <v>468</v>
      </c>
      <c r="S17" s="207">
        <f>SUMIFS(Scoreboard_13[Damage Dealt],Scoreboard_13[Role],"Melee DPS",Scoreboard_13[Team],"Yellow")</f>
        <v>17988902</v>
      </c>
      <c r="T17" s="219">
        <f>SUMIFS(Scoreboard_13[Damage Dealt],Scoreboard_13[Role],"Melee DPS",Scoreboard_13[Team],"Red")</f>
        <v>8004171</v>
      </c>
      <c r="V17" s="204" t="str">
        <f ca="1">IFERROR(__xludf.DUMMYFUNCTION("query(A1:P240, ""Select E,K Order by K Desc Limit 10"", 0)"),"Kyu")</f>
        <v>Kyu</v>
      </c>
      <c r="W17" s="116">
        <f ca="1">IFERROR(__xludf.DUMMYFUNCTION("""COMPUTED_VALUE"""),2032962)</f>
        <v>2032962</v>
      </c>
      <c r="Y17" s="204" t="str">
        <f ca="1">IFERROR(__xludf.DUMMYFUNCTION("query(A1:P240, ""Select E,L Order by L Desc Limit 10"", 0)"),"EgirlWaifu")</f>
        <v>EgirlWaifu</v>
      </c>
      <c r="Z17" s="116">
        <f ca="1">IFERROR(__xludf.DUMMYFUNCTION("""COMPUTED_VALUE"""),2845910)</f>
        <v>2845910</v>
      </c>
    </row>
    <row r="18" spans="1:26" ht="22.5" customHeight="1">
      <c r="A18" s="115">
        <v>39</v>
      </c>
      <c r="B18" s="115" t="s">
        <v>39</v>
      </c>
      <c r="C18" s="115" t="s">
        <v>50</v>
      </c>
      <c r="D18" s="115" t="s">
        <v>21</v>
      </c>
      <c r="E18" s="98" t="s">
        <v>94</v>
      </c>
      <c r="F18" s="115" t="s">
        <v>483</v>
      </c>
      <c r="G18" s="115">
        <v>4</v>
      </c>
      <c r="H18" s="115">
        <v>38</v>
      </c>
      <c r="I18" s="194">
        <v>42</v>
      </c>
      <c r="J18" s="116">
        <v>879303</v>
      </c>
      <c r="K18" s="116">
        <v>756759</v>
      </c>
      <c r="L18" s="116">
        <v>103179</v>
      </c>
      <c r="M18" s="195">
        <v>2.172788411795137E-2</v>
      </c>
      <c r="N18" s="195">
        <v>2.8798756008031133E-2</v>
      </c>
      <c r="O18" s="195">
        <v>1.5266058976820073E-2</v>
      </c>
      <c r="P18" s="195">
        <v>3.2730996376334606E-3</v>
      </c>
      <c r="R18" s="223" t="s">
        <v>469</v>
      </c>
      <c r="S18" s="207">
        <f>SUMIFS(Scoreboard_13[Damage Taken],Scoreboard_13[Role],"Melee DPS",Scoreboard_13[Team],"Yellow")</f>
        <v>8106094</v>
      </c>
      <c r="T18" s="219">
        <f>SUMIFS(Scoreboard_13[Damage Taken],Scoreboard_13[Role],"Melee DPS",Scoreboard_13[Team],"Red")</f>
        <v>11050922</v>
      </c>
      <c r="V18" s="204" t="str">
        <f ca="1">IFERROR(__xludf.DUMMYFUNCTION("""COMPUTED_VALUE"""),"Fadeふち")</f>
        <v>Fadeふち</v>
      </c>
      <c r="W18" s="116">
        <f ca="1">IFERROR(__xludf.DUMMYFUNCTION("""COMPUTED_VALUE"""),1753172)</f>
        <v>1753172</v>
      </c>
      <c r="Y18" s="204" t="str">
        <f ca="1">IFERROR(__xludf.DUMMYFUNCTION("""COMPUTED_VALUE"""),"soju·")</f>
        <v>soju·</v>
      </c>
      <c r="Z18" s="116">
        <f ca="1">IFERROR(__xludf.DUMMYFUNCTION("""COMPUTED_VALUE"""),2562978)</f>
        <v>2562978</v>
      </c>
    </row>
    <row r="19" spans="1:26" ht="22.5" customHeight="1">
      <c r="A19" s="115">
        <v>41</v>
      </c>
      <c r="B19" s="115" t="s">
        <v>67</v>
      </c>
      <c r="C19" s="115" t="s">
        <v>14</v>
      </c>
      <c r="D19" s="115" t="s">
        <v>21</v>
      </c>
      <c r="E19" s="98" t="s">
        <v>796</v>
      </c>
      <c r="F19" s="115" t="s">
        <v>483</v>
      </c>
      <c r="G19" s="115">
        <v>2</v>
      </c>
      <c r="H19" s="115">
        <v>32</v>
      </c>
      <c r="I19" s="194">
        <v>34</v>
      </c>
      <c r="J19" s="116">
        <v>144801</v>
      </c>
      <c r="K19" s="116">
        <v>1078224</v>
      </c>
      <c r="L19" s="116">
        <v>109307</v>
      </c>
      <c r="M19" s="195">
        <v>1.7589239524055871E-2</v>
      </c>
      <c r="N19" s="195">
        <v>4.7424933938800574E-3</v>
      </c>
      <c r="O19" s="195">
        <v>2.1750955289891297E-2</v>
      </c>
      <c r="P19" s="195">
        <v>3.4674953439246424E-3</v>
      </c>
      <c r="R19" s="223" t="s">
        <v>470</v>
      </c>
      <c r="S19" s="207">
        <f>SUMIFS(Scoreboard_13[Amount Healed],Scoreboard_13[Role],"Melee DPS",Scoreboard_13[Team],"Yellow")</f>
        <v>381236</v>
      </c>
      <c r="T19" s="219">
        <f>SUMIFS(Scoreboard_13[Amount Healed],Scoreboard_13[Role],"Melee DPS",Scoreboard_13[Team],"Red")</f>
        <v>428017</v>
      </c>
      <c r="V19" s="204" t="str">
        <f ca="1">IFERROR(__xludf.DUMMYFUNCTION("""COMPUTED_VALUE"""),"Feelixメ")</f>
        <v>Feelixメ</v>
      </c>
      <c r="W19" s="116">
        <f ca="1">IFERROR(__xludf.DUMMYFUNCTION("""COMPUTED_VALUE"""),1729081)</f>
        <v>1729081</v>
      </c>
      <c r="Y19" s="204" t="str">
        <f ca="1">IFERROR(__xludf.DUMMYFUNCTION("""COMPUTED_VALUE"""),"Boharding")</f>
        <v>Boharding</v>
      </c>
      <c r="Z19" s="116">
        <f ca="1">IFERROR(__xludf.DUMMYFUNCTION("""COMPUTED_VALUE"""),2524819)</f>
        <v>2524819</v>
      </c>
    </row>
    <row r="20" spans="1:26" ht="22.5" customHeight="1">
      <c r="A20" s="115">
        <v>42</v>
      </c>
      <c r="B20" s="115" t="s">
        <v>11</v>
      </c>
      <c r="C20" s="115" t="s">
        <v>10</v>
      </c>
      <c r="D20" s="115" t="s">
        <v>21</v>
      </c>
      <c r="E20" s="98" t="s">
        <v>101</v>
      </c>
      <c r="F20" s="115" t="s">
        <v>483</v>
      </c>
      <c r="G20" s="115">
        <v>2</v>
      </c>
      <c r="H20" s="115">
        <v>32</v>
      </c>
      <c r="I20" s="194">
        <v>34</v>
      </c>
      <c r="J20" s="116">
        <v>72957</v>
      </c>
      <c r="K20" s="116">
        <v>934704</v>
      </c>
      <c r="L20" s="116">
        <v>2562978</v>
      </c>
      <c r="M20" s="195">
        <v>1.7589239524055871E-2</v>
      </c>
      <c r="N20" s="195">
        <v>2.389473073648023E-3</v>
      </c>
      <c r="O20" s="195">
        <v>1.8855733978544859E-2</v>
      </c>
      <c r="P20" s="195">
        <v>8.1304164249144995E-2</v>
      </c>
      <c r="R20" s="223" t="s">
        <v>465</v>
      </c>
      <c r="S20" s="207">
        <f>SUMIFS(Scoreboard_13[Kills],Scoreboard_13[Role],"Melee DPS",Scoreboard_13[Team],"Yellow")</f>
        <v>285</v>
      </c>
      <c r="T20" s="219">
        <f>SUMIFS(Scoreboard_13[Kills],Scoreboard_13[Role],"Melee DPS",Scoreboard_13[Team],"Red")</f>
        <v>114</v>
      </c>
      <c r="V20" s="204" t="str">
        <f ca="1">IFERROR(__xludf.DUMMYFUNCTION("""COMPUTED_VALUE"""),"DDID")</f>
        <v>DDID</v>
      </c>
      <c r="W20" s="116">
        <f ca="1">IFERROR(__xludf.DUMMYFUNCTION("""COMPUTED_VALUE"""),1681065)</f>
        <v>1681065</v>
      </c>
      <c r="Y20" s="204" t="str">
        <f ca="1">IFERROR(__xludf.DUMMYFUNCTION("""COMPUTED_VALUE"""),"Tagato")</f>
        <v>Tagato</v>
      </c>
      <c r="Z20" s="116">
        <f ca="1">IFERROR(__xludf.DUMMYFUNCTION("""COMPUTED_VALUE"""),2355784)</f>
        <v>2355784</v>
      </c>
    </row>
    <row r="21" spans="1:26" ht="22.5" customHeight="1">
      <c r="A21" s="115">
        <v>45</v>
      </c>
      <c r="B21" s="115" t="s">
        <v>67</v>
      </c>
      <c r="C21" s="115" t="s">
        <v>14</v>
      </c>
      <c r="D21" s="115" t="s">
        <v>21</v>
      </c>
      <c r="E21" s="98" t="s">
        <v>85</v>
      </c>
      <c r="F21" s="115" t="s">
        <v>483</v>
      </c>
      <c r="G21" s="115">
        <v>2</v>
      </c>
      <c r="H21" s="115">
        <v>15</v>
      </c>
      <c r="I21" s="194">
        <v>17</v>
      </c>
      <c r="J21" s="116">
        <v>166359</v>
      </c>
      <c r="K21" s="116">
        <v>783337</v>
      </c>
      <c r="L21" s="116">
        <v>74117</v>
      </c>
      <c r="M21" s="195">
        <v>8.7946197620279356E-3</v>
      </c>
      <c r="N21" s="195">
        <v>5.4485566985897366E-3</v>
      </c>
      <c r="O21" s="195">
        <v>1.5802215554390903E-2</v>
      </c>
      <c r="P21" s="195">
        <v>2.3511792694490079E-3</v>
      </c>
      <c r="R21" s="223" t="s">
        <v>466</v>
      </c>
      <c r="S21" s="207">
        <f>SUMIFS(Scoreboard_13[Assists],Scoreboard_13[Role],"Melee DPS",Scoreboard_13[Team],"Yellow")</f>
        <v>702</v>
      </c>
      <c r="T21" s="219">
        <f>SUMIFS(Scoreboard_13[Assists],Scoreboard_13[Role],"Melee DPS",Scoreboard_13[Team],"Red")</f>
        <v>299</v>
      </c>
      <c r="V21" s="204" t="str">
        <f ca="1">IFERROR(__xludf.DUMMYFUNCTION("""COMPUTED_VALUE"""),"Numprosti")</f>
        <v>Numprosti</v>
      </c>
      <c r="W21" s="116">
        <f ca="1">IFERROR(__xludf.DUMMYFUNCTION("""COMPUTED_VALUE"""),1469395)</f>
        <v>1469395</v>
      </c>
      <c r="Y21" s="204" t="str">
        <f ca="1">IFERROR(__xludf.DUMMYFUNCTION("""COMPUTED_VALUE"""),"OTOT")</f>
        <v>OTOT</v>
      </c>
      <c r="Z21" s="116">
        <f ca="1">IFERROR(__xludf.DUMMYFUNCTION("""COMPUTED_VALUE"""),2299145)</f>
        <v>2299145</v>
      </c>
    </row>
    <row r="22" spans="1:26" ht="22.5" customHeight="1">
      <c r="A22" s="115">
        <v>51</v>
      </c>
      <c r="B22" s="115" t="s">
        <v>67</v>
      </c>
      <c r="C22" s="115" t="s">
        <v>794</v>
      </c>
      <c r="D22" s="115" t="s">
        <v>21</v>
      </c>
      <c r="E22" s="98" t="s">
        <v>61</v>
      </c>
      <c r="F22" s="115" t="s">
        <v>483</v>
      </c>
      <c r="G22" s="115">
        <v>1</v>
      </c>
      <c r="H22" s="115">
        <v>26</v>
      </c>
      <c r="I22" s="194">
        <v>27</v>
      </c>
      <c r="J22" s="116">
        <v>179318</v>
      </c>
      <c r="K22" s="116">
        <v>698262</v>
      </c>
      <c r="L22" s="116">
        <v>33098</v>
      </c>
      <c r="M22" s="195">
        <v>1.3967925504397309E-2</v>
      </c>
      <c r="N22" s="195">
        <v>5.8729872749758924E-3</v>
      </c>
      <c r="O22" s="195">
        <v>1.4086002113317897E-2</v>
      </c>
      <c r="P22" s="195">
        <v>1.0499525272234882E-3</v>
      </c>
      <c r="R22" s="223" t="s">
        <v>24</v>
      </c>
      <c r="S22" s="207">
        <f t="shared" ref="S22:S25" si="0">COUNTIFS(C:C,R22,F:F,"Yellow")</f>
        <v>1</v>
      </c>
      <c r="T22" s="219">
        <f t="shared" ref="T22:T25" si="1">COUNTIFS(C:C,R22,F:F,"Red")</f>
        <v>1</v>
      </c>
      <c r="V22" s="204" t="str">
        <f ca="1">IFERROR(__xludf.DUMMYFUNCTION("""COMPUTED_VALUE"""),"ShawarmaShuffle")</f>
        <v>ShawarmaShuffle</v>
      </c>
      <c r="W22" s="116">
        <f ca="1">IFERROR(__xludf.DUMMYFUNCTION("""COMPUTED_VALUE"""),1461687)</f>
        <v>1461687</v>
      </c>
      <c r="Y22" s="204" t="str">
        <f ca="1">IFERROR(__xludf.DUMMYFUNCTION("""COMPUTED_VALUE"""),"Zanax")</f>
        <v>Zanax</v>
      </c>
      <c r="Z22" s="116">
        <f ca="1">IFERROR(__xludf.DUMMYFUNCTION("""COMPUTED_VALUE"""),2297514)</f>
        <v>2297514</v>
      </c>
    </row>
    <row r="23" spans="1:26" ht="22.5" customHeight="1">
      <c r="A23" s="115">
        <v>52</v>
      </c>
      <c r="B23" s="115" t="s">
        <v>67</v>
      </c>
      <c r="C23" s="115" t="s">
        <v>810</v>
      </c>
      <c r="D23" s="115" t="s">
        <v>21</v>
      </c>
      <c r="E23" s="98" t="s">
        <v>83</v>
      </c>
      <c r="F23" s="115" t="s">
        <v>483</v>
      </c>
      <c r="G23" s="115">
        <v>1</v>
      </c>
      <c r="H23" s="115">
        <v>22</v>
      </c>
      <c r="I23" s="194">
        <v>23</v>
      </c>
      <c r="J23" s="116">
        <v>41377</v>
      </c>
      <c r="K23" s="116">
        <v>930093</v>
      </c>
      <c r="L23" s="116">
        <v>113853</v>
      </c>
      <c r="M23" s="195">
        <v>1.189860320744956E-2</v>
      </c>
      <c r="N23" s="195">
        <v>1.3551712291943782E-3</v>
      </c>
      <c r="O23" s="195">
        <v>1.876271652128024E-2</v>
      </c>
      <c r="P23" s="195">
        <v>3.611705996796658E-3</v>
      </c>
      <c r="R23" s="204" t="s">
        <v>69</v>
      </c>
      <c r="S23" s="207">
        <f t="shared" si="0"/>
        <v>3</v>
      </c>
      <c r="T23" s="219">
        <f t="shared" si="1"/>
        <v>2</v>
      </c>
      <c r="V23" s="204" t="str">
        <f ca="1">IFERROR(__xludf.DUMMYFUNCTION("""COMPUTED_VALUE"""),"edmun")</f>
        <v>edmun</v>
      </c>
      <c r="W23" s="116">
        <f ca="1">IFERROR(__xludf.DUMMYFUNCTION("""COMPUTED_VALUE"""),1441994)</f>
        <v>1441994</v>
      </c>
      <c r="Y23" s="204" t="str">
        <f ca="1">IFERROR(__xludf.DUMMYFUNCTION("""COMPUTED_VALUE"""),"ReinaKertia")</f>
        <v>ReinaKertia</v>
      </c>
      <c r="Z23" s="116">
        <f ca="1">IFERROR(__xludf.DUMMYFUNCTION("""COMPUTED_VALUE"""),1829320)</f>
        <v>1829320</v>
      </c>
    </row>
    <row r="24" spans="1:26" ht="22.5" customHeight="1">
      <c r="A24" s="115">
        <v>54</v>
      </c>
      <c r="B24" s="115" t="s">
        <v>67</v>
      </c>
      <c r="C24" s="115" t="s">
        <v>794</v>
      </c>
      <c r="D24" s="115" t="s">
        <v>21</v>
      </c>
      <c r="E24" s="98" t="s">
        <v>79</v>
      </c>
      <c r="F24" s="115" t="s">
        <v>483</v>
      </c>
      <c r="G24" s="115">
        <v>1</v>
      </c>
      <c r="H24" s="115">
        <v>15</v>
      </c>
      <c r="I24" s="194">
        <v>16</v>
      </c>
      <c r="J24" s="116">
        <v>168091</v>
      </c>
      <c r="K24" s="116">
        <v>1103450</v>
      </c>
      <c r="L24" s="116">
        <v>128202</v>
      </c>
      <c r="M24" s="195">
        <v>8.2772891877909982E-3</v>
      </c>
      <c r="N24" s="195">
        <v>5.505282816214617E-3</v>
      </c>
      <c r="O24" s="195">
        <v>2.2259838043514661E-2</v>
      </c>
      <c r="P24" s="195">
        <v>4.0668926791680958E-3</v>
      </c>
      <c r="R24" s="204" t="s">
        <v>23</v>
      </c>
      <c r="S24" s="207">
        <f t="shared" si="0"/>
        <v>4</v>
      </c>
      <c r="T24" s="219">
        <f t="shared" si="1"/>
        <v>4</v>
      </c>
      <c r="V24" s="204" t="str">
        <f ca="1">IFERROR(__xludf.DUMMYFUNCTION("""COMPUTED_VALUE"""),"Superluigi")</f>
        <v>Superluigi</v>
      </c>
      <c r="W24" s="116">
        <f ca="1">IFERROR(__xludf.DUMMYFUNCTION("""COMPUTED_VALUE"""),1380050)</f>
        <v>1380050</v>
      </c>
      <c r="Y24" s="204" t="str">
        <f ca="1">IFERROR(__xludf.DUMMYFUNCTION("""COMPUTED_VALUE"""),"Silch")</f>
        <v>Silch</v>
      </c>
      <c r="Z24" s="116">
        <f ca="1">IFERROR(__xludf.DUMMYFUNCTION("""COMPUTED_VALUE"""),1786895)</f>
        <v>1786895</v>
      </c>
    </row>
    <row r="25" spans="1:26" ht="22.5" customHeight="1">
      <c r="A25" s="115">
        <v>57</v>
      </c>
      <c r="B25" s="115" t="s">
        <v>67</v>
      </c>
      <c r="C25" s="115" t="s">
        <v>14</v>
      </c>
      <c r="D25" s="115" t="s">
        <v>21</v>
      </c>
      <c r="E25" s="98" t="s">
        <v>35</v>
      </c>
      <c r="F25" s="115" t="s">
        <v>483</v>
      </c>
      <c r="G25" s="115">
        <v>1</v>
      </c>
      <c r="H25" s="115">
        <v>11</v>
      </c>
      <c r="I25" s="194">
        <v>12</v>
      </c>
      <c r="J25" s="116">
        <v>35126</v>
      </c>
      <c r="K25" s="116">
        <v>872083</v>
      </c>
      <c r="L25" s="116">
        <v>51492</v>
      </c>
      <c r="M25" s="195">
        <v>6.2079668908432487E-3</v>
      </c>
      <c r="N25" s="195">
        <v>1.1504397273045829E-3</v>
      </c>
      <c r="O25" s="195">
        <v>1.7592483882824229E-2</v>
      </c>
      <c r="P25" s="195">
        <v>1.6334568714663077E-3</v>
      </c>
      <c r="R25" s="204" t="s">
        <v>18</v>
      </c>
      <c r="S25" s="207">
        <f t="shared" si="0"/>
        <v>1</v>
      </c>
      <c r="T25" s="219">
        <f t="shared" si="1"/>
        <v>0</v>
      </c>
      <c r="V25" s="204" t="str">
        <f ca="1">IFERROR(__xludf.DUMMYFUNCTION("""COMPUTED_VALUE"""),"Prefire")</f>
        <v>Prefire</v>
      </c>
      <c r="W25" s="116">
        <f ca="1">IFERROR(__xludf.DUMMYFUNCTION("""COMPUTED_VALUE"""),1372772)</f>
        <v>1372772</v>
      </c>
      <c r="Y25" s="204" t="str">
        <f ca="1">IFERROR(__xludf.DUMMYFUNCTION("""COMPUTED_VALUE"""),"chinny")</f>
        <v>chinny</v>
      </c>
      <c r="Z25" s="116">
        <f ca="1">IFERROR(__xludf.DUMMYFUNCTION("""COMPUTED_VALUE"""),1737856)</f>
        <v>1737856</v>
      </c>
    </row>
    <row r="26" spans="1:26" ht="22.5" customHeight="1">
      <c r="A26" s="115">
        <v>70</v>
      </c>
      <c r="B26" s="115" t="s">
        <v>11</v>
      </c>
      <c r="C26" s="115" t="s">
        <v>9</v>
      </c>
      <c r="D26" s="115" t="s">
        <v>21</v>
      </c>
      <c r="E26" s="98" t="s">
        <v>87</v>
      </c>
      <c r="F26" s="115" t="s">
        <v>483</v>
      </c>
      <c r="G26" s="115">
        <v>0</v>
      </c>
      <c r="H26" s="115">
        <v>52</v>
      </c>
      <c r="I26" s="194">
        <v>52</v>
      </c>
      <c r="J26" s="116">
        <v>81644</v>
      </c>
      <c r="K26" s="116">
        <v>859636</v>
      </c>
      <c r="L26" s="116">
        <v>2299145</v>
      </c>
      <c r="M26" s="195">
        <v>2.6901189860320744E-2</v>
      </c>
      <c r="N26" s="195">
        <v>2.6739879603728113E-3</v>
      </c>
      <c r="O26" s="195">
        <v>1.7341391215165858E-2</v>
      </c>
      <c r="P26" s="195">
        <v>7.2934712163975068E-2</v>
      </c>
      <c r="R26" s="204"/>
      <c r="S26" s="207"/>
      <c r="T26" s="219"/>
      <c r="V26" s="204" t="str">
        <f ca="1">IFERROR(__xludf.DUMMYFUNCTION("""COMPUTED_VALUE"""),"TanksVicious")</f>
        <v>TanksVicious</v>
      </c>
      <c r="W26" s="116">
        <f ca="1">IFERROR(__xludf.DUMMYFUNCTION("""COMPUTED_VALUE"""),1343184)</f>
        <v>1343184</v>
      </c>
      <c r="Y26" s="204" t="str">
        <f ca="1">IFERROR(__xludf.DUMMYFUNCTION("""COMPUTED_VALUE"""),"Katooooooooooo")</f>
        <v>Katooooooooooo</v>
      </c>
      <c r="Z26" s="116">
        <f ca="1">IFERROR(__xludf.DUMMYFUNCTION("""COMPUTED_VALUE"""),1734235)</f>
        <v>1734235</v>
      </c>
    </row>
    <row r="27" spans="1:26" ht="22.5" customHeight="1">
      <c r="A27" s="115">
        <v>71</v>
      </c>
      <c r="B27" s="115" t="s">
        <v>11</v>
      </c>
      <c r="C27" s="115" t="s">
        <v>9</v>
      </c>
      <c r="D27" s="115" t="s">
        <v>21</v>
      </c>
      <c r="E27" s="98" t="s">
        <v>695</v>
      </c>
      <c r="F27" s="115" t="s">
        <v>483</v>
      </c>
      <c r="G27" s="115">
        <v>0</v>
      </c>
      <c r="H27" s="115">
        <v>51</v>
      </c>
      <c r="I27" s="194">
        <v>51</v>
      </c>
      <c r="J27" s="116">
        <v>77317</v>
      </c>
      <c r="K27" s="116">
        <v>445936</v>
      </c>
      <c r="L27" s="116">
        <v>1393554</v>
      </c>
      <c r="M27" s="195">
        <v>2.6383859286083809E-2</v>
      </c>
      <c r="N27" s="195">
        <v>2.5322709217106541E-3</v>
      </c>
      <c r="O27" s="195">
        <v>8.9958431626016161E-3</v>
      </c>
      <c r="P27" s="195">
        <v>4.4207068225342948E-2</v>
      </c>
      <c r="R27" s="204"/>
      <c r="S27" s="224"/>
      <c r="T27" s="225"/>
    </row>
    <row r="28" spans="1:26" ht="22.5" customHeight="1">
      <c r="A28" s="115">
        <v>72</v>
      </c>
      <c r="B28" s="115" t="s">
        <v>11</v>
      </c>
      <c r="C28" s="115" t="s">
        <v>9</v>
      </c>
      <c r="D28" s="115" t="s">
        <v>21</v>
      </c>
      <c r="E28" s="98" t="s">
        <v>8</v>
      </c>
      <c r="F28" s="115" t="s">
        <v>483</v>
      </c>
      <c r="G28" s="115">
        <v>0</v>
      </c>
      <c r="H28" s="115">
        <v>49</v>
      </c>
      <c r="I28" s="194">
        <v>49</v>
      </c>
      <c r="J28" s="116">
        <v>15792</v>
      </c>
      <c r="K28" s="116">
        <v>643445</v>
      </c>
      <c r="L28" s="116">
        <v>1270749</v>
      </c>
      <c r="M28" s="195">
        <v>2.5349198137609934E-2</v>
      </c>
      <c r="N28" s="195">
        <v>5.1721642582685113E-4</v>
      </c>
      <c r="O28" s="195">
        <v>1.2980181693696398E-2</v>
      </c>
      <c r="P28" s="195">
        <v>4.0311382077972094E-2</v>
      </c>
      <c r="R28" s="6"/>
      <c r="S28" s="209"/>
      <c r="T28" s="209"/>
    </row>
    <row r="29" spans="1:26" ht="22.5" customHeight="1">
      <c r="A29" s="115">
        <v>73</v>
      </c>
      <c r="B29" s="115" t="s">
        <v>11</v>
      </c>
      <c r="C29" s="115" t="s">
        <v>9</v>
      </c>
      <c r="D29" s="115" t="s">
        <v>21</v>
      </c>
      <c r="E29" s="98" t="s">
        <v>72</v>
      </c>
      <c r="F29" s="115" t="s">
        <v>483</v>
      </c>
      <c r="G29" s="115">
        <v>0</v>
      </c>
      <c r="H29" s="115">
        <v>47</v>
      </c>
      <c r="I29" s="194">
        <v>47</v>
      </c>
      <c r="J29" s="116">
        <v>34165</v>
      </c>
      <c r="K29" s="116">
        <v>637386</v>
      </c>
      <c r="L29" s="116">
        <v>1353983</v>
      </c>
      <c r="M29" s="195">
        <v>2.4314536989136059E-2</v>
      </c>
      <c r="N29" s="195">
        <v>1.1189652474907781E-3</v>
      </c>
      <c r="O29" s="195">
        <v>1.2857953809600467E-2</v>
      </c>
      <c r="P29" s="195">
        <v>4.2951775716588314E-2</v>
      </c>
      <c r="R29" s="232" t="s">
        <v>39</v>
      </c>
      <c r="S29" s="228"/>
      <c r="T29" s="228"/>
    </row>
    <row r="30" spans="1:26" ht="22.5" customHeight="1">
      <c r="A30" s="115">
        <v>74</v>
      </c>
      <c r="B30" s="115" t="s">
        <v>11</v>
      </c>
      <c r="C30" s="115" t="s">
        <v>10</v>
      </c>
      <c r="D30" s="115" t="s">
        <v>21</v>
      </c>
      <c r="E30" s="98" t="s">
        <v>49</v>
      </c>
      <c r="F30" s="115" t="s">
        <v>483</v>
      </c>
      <c r="G30" s="115">
        <v>0</v>
      </c>
      <c r="H30" s="115">
        <v>40</v>
      </c>
      <c r="I30" s="194">
        <v>40</v>
      </c>
      <c r="J30" s="116">
        <v>20122</v>
      </c>
      <c r="K30" s="116">
        <v>735970</v>
      </c>
      <c r="L30" s="116">
        <v>1725788</v>
      </c>
      <c r="M30" s="195">
        <v>2.0693222969477496E-2</v>
      </c>
      <c r="N30" s="195">
        <v>6.5903171988905128E-4</v>
      </c>
      <c r="O30" s="195">
        <v>1.4846683587734364E-2</v>
      </c>
      <c r="P30" s="195">
        <v>5.4746373558884801E-2</v>
      </c>
      <c r="R30" s="190" t="s">
        <v>482</v>
      </c>
      <c r="S30" s="222" t="s">
        <v>476</v>
      </c>
      <c r="T30" s="222" t="s">
        <v>483</v>
      </c>
    </row>
    <row r="31" spans="1:26" ht="22.5" customHeight="1">
      <c r="A31" s="115">
        <v>75</v>
      </c>
      <c r="B31" s="115" t="s">
        <v>11</v>
      </c>
      <c r="C31" s="115" t="s">
        <v>10</v>
      </c>
      <c r="D31" s="115" t="s">
        <v>21</v>
      </c>
      <c r="E31" s="98" t="s">
        <v>115</v>
      </c>
      <c r="F31" s="115" t="s">
        <v>483</v>
      </c>
      <c r="G31" s="115">
        <v>0</v>
      </c>
      <c r="H31" s="115">
        <v>38</v>
      </c>
      <c r="I31" s="194">
        <v>38</v>
      </c>
      <c r="J31" s="116">
        <v>54431</v>
      </c>
      <c r="K31" s="116">
        <v>1073985</v>
      </c>
      <c r="L31" s="116">
        <v>2297514</v>
      </c>
      <c r="M31" s="195">
        <v>1.9658561821003621E-2</v>
      </c>
      <c r="N31" s="195">
        <v>1.782713226581898E-3</v>
      </c>
      <c r="O31" s="195">
        <v>2.166544216880157E-2</v>
      </c>
      <c r="P31" s="195">
        <v>7.2882972706246454E-2</v>
      </c>
      <c r="R31" s="223" t="s">
        <v>468</v>
      </c>
      <c r="S31" s="207">
        <f>SUMIFS(Scoreboard_13[Damage Dealt],Scoreboard_13[Role],"Ranged DPS",Scoreboard_13[Team],"Yellow")</f>
        <v>23632457</v>
      </c>
      <c r="T31" s="219">
        <f>SUMIFS(Scoreboard_13[Damage Dealt],Scoreboard_13[Role],"Ranged DPS",Scoreboard_13[Team],"Red")</f>
        <v>20327812</v>
      </c>
    </row>
    <row r="32" spans="1:26" ht="22.5" customHeight="1">
      <c r="A32" s="115">
        <v>76</v>
      </c>
      <c r="B32" s="115" t="s">
        <v>11</v>
      </c>
      <c r="C32" s="115" t="s">
        <v>9</v>
      </c>
      <c r="D32" s="115" t="s">
        <v>21</v>
      </c>
      <c r="E32" s="98" t="s">
        <v>51</v>
      </c>
      <c r="F32" s="115" t="s">
        <v>483</v>
      </c>
      <c r="G32" s="115">
        <v>0</v>
      </c>
      <c r="H32" s="115">
        <v>36</v>
      </c>
      <c r="I32" s="194">
        <v>36</v>
      </c>
      <c r="J32" s="116">
        <v>71352</v>
      </c>
      <c r="K32" s="116">
        <v>996960</v>
      </c>
      <c r="L32" s="116">
        <v>1510493</v>
      </c>
      <c r="M32" s="195">
        <v>1.8623900672529746E-2</v>
      </c>
      <c r="N32" s="195">
        <v>2.3369064346249672E-3</v>
      </c>
      <c r="O32" s="195">
        <v>2.0111620948717546E-2</v>
      </c>
      <c r="P32" s="195">
        <v>4.7916669971097593E-2</v>
      </c>
      <c r="R32" s="223" t="s">
        <v>469</v>
      </c>
      <c r="S32" s="207">
        <f>SUMIFS(Scoreboard_13[Damage Taken],Scoreboard_13[Role],"Ranged DPS",Scoreboard_13[Team],"Yellow")</f>
        <v>5702803</v>
      </c>
      <c r="T32" s="219">
        <f>SUMIFS(Scoreboard_13[Damage Taken],Scoreboard_13[Role],"Ranged DPS",Scoreboard_13[Team],"Red")</f>
        <v>10608382</v>
      </c>
    </row>
    <row r="33" spans="1:20" ht="22.5" customHeight="1">
      <c r="A33" s="115">
        <v>77</v>
      </c>
      <c r="B33" s="115" t="s">
        <v>11</v>
      </c>
      <c r="C33" s="115" t="s">
        <v>10</v>
      </c>
      <c r="D33" s="115" t="s">
        <v>21</v>
      </c>
      <c r="E33" s="98" t="s">
        <v>44</v>
      </c>
      <c r="F33" s="115" t="s">
        <v>483</v>
      </c>
      <c r="G33" s="115">
        <v>0</v>
      </c>
      <c r="H33" s="115">
        <v>36</v>
      </c>
      <c r="I33" s="194">
        <v>36</v>
      </c>
      <c r="J33" s="116">
        <v>24296</v>
      </c>
      <c r="K33" s="116">
        <v>1155562</v>
      </c>
      <c r="L33" s="116">
        <v>2845910</v>
      </c>
      <c r="M33" s="195">
        <v>1.8623900672529746E-2</v>
      </c>
      <c r="N33" s="195">
        <v>7.9573773314901061E-4</v>
      </c>
      <c r="O33" s="195">
        <v>2.3311090642294519E-2</v>
      </c>
      <c r="P33" s="195">
        <v>9.0279485067091575E-2</v>
      </c>
      <c r="R33" s="223" t="s">
        <v>470</v>
      </c>
      <c r="S33" s="207">
        <f>SUMIFS(Scoreboard_13[Amount Healed],Scoreboard_13[Role],"Ranged DPS",Scoreboard_13[Team],"Yellow")</f>
        <v>103932</v>
      </c>
      <c r="T33" s="219">
        <f>SUMIFS(Scoreboard_13[Amount Healed],Scoreboard_13[Role],"Ranged DPS",Scoreboard_13[Team],"Red")</f>
        <v>371447</v>
      </c>
    </row>
    <row r="34" spans="1:20" ht="22.5" customHeight="1">
      <c r="A34" s="115">
        <v>78</v>
      </c>
      <c r="B34" s="115" t="s">
        <v>11</v>
      </c>
      <c r="C34" s="115" t="s">
        <v>10</v>
      </c>
      <c r="D34" s="115" t="s">
        <v>21</v>
      </c>
      <c r="E34" s="98" t="s">
        <v>29</v>
      </c>
      <c r="F34" s="115" t="s">
        <v>483</v>
      </c>
      <c r="G34" s="115">
        <v>0</v>
      </c>
      <c r="H34" s="115">
        <v>34</v>
      </c>
      <c r="I34" s="194">
        <v>34</v>
      </c>
      <c r="J34" s="116">
        <v>63087</v>
      </c>
      <c r="K34" s="116">
        <v>1026518</v>
      </c>
      <c r="L34" s="116">
        <v>2524819</v>
      </c>
      <c r="M34" s="195">
        <v>1.7589239524055871E-2</v>
      </c>
      <c r="N34" s="195">
        <v>2.0662128075062411E-3</v>
      </c>
      <c r="O34" s="195">
        <v>2.0707892907474358E-2</v>
      </c>
      <c r="P34" s="195">
        <v>8.0093663962531883E-2</v>
      </c>
      <c r="R34" s="223" t="s">
        <v>465</v>
      </c>
      <c r="S34" s="207">
        <f>SUMIFS(Scoreboard_13[Kills],Scoreboard_13[Role],"Ranged DPS",Scoreboard_13[Team],"Yellow")</f>
        <v>345</v>
      </c>
      <c r="T34" s="219">
        <f>SUMIFS(Scoreboard_13[Kills],Scoreboard_13[Role],"Ranged DPS",Scoreboard_13[Team],"Red")</f>
        <v>248</v>
      </c>
    </row>
    <row r="35" spans="1:20" ht="22.5" customHeight="1">
      <c r="A35" s="115">
        <v>79</v>
      </c>
      <c r="B35" s="115" t="s">
        <v>11</v>
      </c>
      <c r="C35" s="115" t="s">
        <v>10</v>
      </c>
      <c r="D35" s="115" t="s">
        <v>21</v>
      </c>
      <c r="E35" s="98" t="s">
        <v>105</v>
      </c>
      <c r="F35" s="115" t="s">
        <v>483</v>
      </c>
      <c r="G35" s="115">
        <v>0</v>
      </c>
      <c r="H35" s="115">
        <v>33</v>
      </c>
      <c r="I35" s="194">
        <v>33</v>
      </c>
      <c r="J35" s="116">
        <v>23661</v>
      </c>
      <c r="K35" s="116">
        <v>1062108</v>
      </c>
      <c r="L35" s="116">
        <v>1668680</v>
      </c>
      <c r="M35" s="195">
        <v>1.7071908949818936E-2</v>
      </c>
      <c r="N35" s="195">
        <v>7.7494034013988881E-4</v>
      </c>
      <c r="O35" s="195">
        <v>2.1425848080766023E-2</v>
      </c>
      <c r="P35" s="195">
        <v>5.2934762920034149E-2</v>
      </c>
      <c r="R35" s="223" t="s">
        <v>466</v>
      </c>
      <c r="S35" s="207">
        <f>SUMIFS(Scoreboard_13[Assists],Scoreboard_13[Role],"Ranged DPS",Scoreboard_13[Team],"Yellow")</f>
        <v>739</v>
      </c>
      <c r="T35" s="219">
        <f>SUMIFS(Scoreboard_13[Assists],Scoreboard_13[Role],"Ranged DPS",Scoreboard_13[Team],"Red")</f>
        <v>481</v>
      </c>
    </row>
    <row r="36" spans="1:20" ht="22.5" customHeight="1">
      <c r="A36" s="115">
        <v>80</v>
      </c>
      <c r="B36" s="115" t="s">
        <v>11</v>
      </c>
      <c r="C36" s="115" t="s">
        <v>9</v>
      </c>
      <c r="D36" s="115" t="s">
        <v>21</v>
      </c>
      <c r="E36" s="98" t="s">
        <v>41</v>
      </c>
      <c r="F36" s="115" t="s">
        <v>483</v>
      </c>
      <c r="G36" s="115">
        <v>0</v>
      </c>
      <c r="H36" s="115">
        <v>29</v>
      </c>
      <c r="I36" s="194">
        <v>29</v>
      </c>
      <c r="J36" s="116">
        <v>289</v>
      </c>
      <c r="K36" s="116">
        <v>609267</v>
      </c>
      <c r="L36" s="116">
        <v>1419212</v>
      </c>
      <c r="M36" s="195">
        <v>1.5002586652871184E-2</v>
      </c>
      <c r="N36" s="195">
        <v>9.4652702041514679E-6</v>
      </c>
      <c r="O36" s="195">
        <v>1.2290710721154603E-2</v>
      </c>
      <c r="P36" s="195">
        <v>4.5021005077826484E-2</v>
      </c>
      <c r="R36" s="223" t="s">
        <v>54</v>
      </c>
      <c r="S36" s="207">
        <f t="shared" ref="S36:S47" si="2">COUNTIFS(C:C,R36,F:F,"Yellow")</f>
        <v>2</v>
      </c>
      <c r="T36" s="219">
        <f t="shared" ref="T36:T47" si="3">COUNTIFS(C:C,R36,F:F,"Red")</f>
        <v>1</v>
      </c>
    </row>
    <row r="37" spans="1:20" ht="22.5" customHeight="1">
      <c r="A37" s="115">
        <v>81</v>
      </c>
      <c r="B37" s="115" t="s">
        <v>67</v>
      </c>
      <c r="C37" s="115" t="s">
        <v>62</v>
      </c>
      <c r="D37" s="115" t="s">
        <v>21</v>
      </c>
      <c r="E37" s="98" t="s">
        <v>114</v>
      </c>
      <c r="F37" s="115" t="s">
        <v>483</v>
      </c>
      <c r="G37" s="115">
        <v>0</v>
      </c>
      <c r="H37" s="115">
        <v>20</v>
      </c>
      <c r="I37" s="194">
        <v>20</v>
      </c>
      <c r="J37" s="116">
        <v>49139</v>
      </c>
      <c r="K37" s="116">
        <v>723490</v>
      </c>
      <c r="L37" s="116">
        <v>23812</v>
      </c>
      <c r="M37" s="195">
        <v>1.0346611484738748E-2</v>
      </c>
      <c r="N37" s="195">
        <v>1.6093907009058787E-3</v>
      </c>
      <c r="O37" s="195">
        <v>1.4594925212834673E-2</v>
      </c>
      <c r="P37" s="195">
        <v>7.5537704931553863E-4</v>
      </c>
      <c r="R37" s="223" t="s">
        <v>45</v>
      </c>
      <c r="S37" s="207">
        <f t="shared" si="2"/>
        <v>0</v>
      </c>
      <c r="T37" s="219">
        <f t="shared" si="3"/>
        <v>2</v>
      </c>
    </row>
    <row r="38" spans="1:20" ht="22.5" customHeight="1">
      <c r="A38" s="115">
        <v>82</v>
      </c>
      <c r="B38" s="115" t="s">
        <v>11</v>
      </c>
      <c r="C38" s="115" t="s">
        <v>9</v>
      </c>
      <c r="D38" s="115" t="s">
        <v>21</v>
      </c>
      <c r="E38" s="98" t="s">
        <v>100</v>
      </c>
      <c r="F38" s="115" t="s">
        <v>483</v>
      </c>
      <c r="G38" s="115">
        <v>0</v>
      </c>
      <c r="H38" s="115">
        <v>20</v>
      </c>
      <c r="I38" s="194">
        <v>20</v>
      </c>
      <c r="J38" s="116">
        <v>290</v>
      </c>
      <c r="K38" s="116">
        <v>1069645</v>
      </c>
      <c r="L38" s="116">
        <v>1587454</v>
      </c>
      <c r="M38" s="195">
        <v>1.0346611484738748E-2</v>
      </c>
      <c r="N38" s="195">
        <v>9.4980220041658331E-6</v>
      </c>
      <c r="O38" s="195">
        <v>2.1577891580094467E-2</v>
      </c>
      <c r="P38" s="195">
        <v>5.0358068135568167E-2</v>
      </c>
      <c r="R38" s="223" t="s">
        <v>32</v>
      </c>
      <c r="S38" s="207">
        <f t="shared" si="2"/>
        <v>0</v>
      </c>
      <c r="T38" s="219">
        <f t="shared" si="3"/>
        <v>2</v>
      </c>
    </row>
    <row r="39" spans="1:20" ht="22.5" customHeight="1">
      <c r="A39" s="115">
        <v>83</v>
      </c>
      <c r="B39" s="115" t="s">
        <v>11</v>
      </c>
      <c r="C39" s="115" t="s">
        <v>10</v>
      </c>
      <c r="D39" s="115" t="s">
        <v>21</v>
      </c>
      <c r="E39" s="98" t="s">
        <v>96</v>
      </c>
      <c r="F39" s="115" t="s">
        <v>483</v>
      </c>
      <c r="G39" s="115">
        <v>0</v>
      </c>
      <c r="H39" s="115">
        <v>19</v>
      </c>
      <c r="I39" s="194">
        <v>19</v>
      </c>
      <c r="J39" s="116">
        <v>58512</v>
      </c>
      <c r="K39" s="116">
        <v>1073057</v>
      </c>
      <c r="L39" s="116">
        <v>1829320</v>
      </c>
      <c r="M39" s="195">
        <v>9.8292809105018104E-3</v>
      </c>
      <c r="N39" s="195">
        <v>1.9163733224405214E-3</v>
      </c>
      <c r="O39" s="195">
        <v>2.1646721674257748E-2</v>
      </c>
      <c r="P39" s="195">
        <v>5.8030671252053641E-2</v>
      </c>
      <c r="R39" s="223" t="s">
        <v>56</v>
      </c>
      <c r="S39" s="207">
        <f t="shared" si="2"/>
        <v>0</v>
      </c>
      <c r="T39" s="219">
        <f t="shared" si="3"/>
        <v>0</v>
      </c>
    </row>
    <row r="40" spans="1:20" ht="22.5" customHeight="1">
      <c r="A40" s="115">
        <v>84</v>
      </c>
      <c r="B40" s="115" t="s">
        <v>67</v>
      </c>
      <c r="C40" s="115" t="s">
        <v>14</v>
      </c>
      <c r="D40" s="115" t="s">
        <v>21</v>
      </c>
      <c r="E40" s="98" t="s">
        <v>57</v>
      </c>
      <c r="F40" s="115" t="s">
        <v>483</v>
      </c>
      <c r="G40" s="115">
        <v>0</v>
      </c>
      <c r="H40" s="115">
        <v>18</v>
      </c>
      <c r="I40" s="194">
        <v>18</v>
      </c>
      <c r="J40" s="116">
        <v>155892</v>
      </c>
      <c r="K40" s="116">
        <v>1134492</v>
      </c>
      <c r="L40" s="116">
        <v>78481</v>
      </c>
      <c r="M40" s="195">
        <v>9.311950336264873E-3</v>
      </c>
      <c r="N40" s="195">
        <v>5.1057436078393789E-3</v>
      </c>
      <c r="O40" s="195">
        <v>2.2886046655184226E-2</v>
      </c>
      <c r="P40" s="195">
        <v>2.4896164206002348E-3</v>
      </c>
      <c r="R40" s="223" t="s">
        <v>81</v>
      </c>
      <c r="S40" s="207">
        <f t="shared" si="2"/>
        <v>0</v>
      </c>
      <c r="T40" s="219">
        <f t="shared" si="3"/>
        <v>0</v>
      </c>
    </row>
    <row r="41" spans="1:20" ht="22.5" customHeight="1">
      <c r="A41" s="115">
        <v>85</v>
      </c>
      <c r="B41" s="115" t="s">
        <v>67</v>
      </c>
      <c r="C41" s="115" t="s">
        <v>14</v>
      </c>
      <c r="D41" s="115" t="s">
        <v>21</v>
      </c>
      <c r="E41" s="98" t="s">
        <v>93</v>
      </c>
      <c r="F41" s="115" t="s">
        <v>483</v>
      </c>
      <c r="G41" s="115">
        <v>0</v>
      </c>
      <c r="H41" s="115">
        <v>18</v>
      </c>
      <c r="I41" s="194">
        <v>18</v>
      </c>
      <c r="J41" s="116">
        <v>134081</v>
      </c>
      <c r="K41" s="116">
        <v>1119387</v>
      </c>
      <c r="L41" s="116">
        <v>30265</v>
      </c>
      <c r="M41" s="195">
        <v>9.311950336264873E-3</v>
      </c>
      <c r="N41" s="195">
        <v>4.3913940977260658E-3</v>
      </c>
      <c r="O41" s="195">
        <v>2.2581334295179431E-2</v>
      </c>
      <c r="P41" s="195">
        <v>9.6008258010812941E-4</v>
      </c>
      <c r="R41" s="204" t="s">
        <v>63</v>
      </c>
      <c r="S41" s="207">
        <f t="shared" si="2"/>
        <v>0</v>
      </c>
      <c r="T41" s="219">
        <f t="shared" si="3"/>
        <v>0</v>
      </c>
    </row>
    <row r="42" spans="1:20" ht="22.5" customHeight="1">
      <c r="A42" s="115">
        <v>86</v>
      </c>
      <c r="B42" s="115" t="s">
        <v>67</v>
      </c>
      <c r="C42" s="115" t="s">
        <v>14</v>
      </c>
      <c r="D42" s="115" t="s">
        <v>21</v>
      </c>
      <c r="E42" s="98" t="s">
        <v>109</v>
      </c>
      <c r="F42" s="115" t="s">
        <v>483</v>
      </c>
      <c r="G42" s="115">
        <v>0</v>
      </c>
      <c r="H42" s="115">
        <v>16</v>
      </c>
      <c r="I42" s="194">
        <v>16</v>
      </c>
      <c r="J42" s="116">
        <v>42296</v>
      </c>
      <c r="K42" s="116">
        <v>943067</v>
      </c>
      <c r="L42" s="116">
        <v>55092</v>
      </c>
      <c r="M42" s="195">
        <v>8.2772891877909982E-3</v>
      </c>
      <c r="N42" s="195">
        <v>1.3852701334075795E-3</v>
      </c>
      <c r="O42" s="195">
        <v>1.9024440331853042E-2</v>
      </c>
      <c r="P42" s="195">
        <v>1.7476580044049914E-3</v>
      </c>
      <c r="R42" s="204" t="s">
        <v>60</v>
      </c>
      <c r="S42" s="207">
        <f t="shared" si="2"/>
        <v>0</v>
      </c>
      <c r="T42" s="219">
        <f t="shared" si="3"/>
        <v>0</v>
      </c>
    </row>
    <row r="43" spans="1:20" ht="22.5" customHeight="1">
      <c r="A43" s="115">
        <v>87</v>
      </c>
      <c r="B43" s="115" t="s">
        <v>67</v>
      </c>
      <c r="C43" s="115" t="s">
        <v>14</v>
      </c>
      <c r="D43" s="115" t="s">
        <v>21</v>
      </c>
      <c r="E43" s="98" t="s">
        <v>111</v>
      </c>
      <c r="F43" s="115" t="s">
        <v>483</v>
      </c>
      <c r="G43" s="115">
        <v>0</v>
      </c>
      <c r="H43" s="115">
        <v>15</v>
      </c>
      <c r="I43" s="194">
        <v>15</v>
      </c>
      <c r="J43" s="116">
        <v>39872</v>
      </c>
      <c r="K43" s="116">
        <v>890553</v>
      </c>
      <c r="L43" s="116">
        <v>34692</v>
      </c>
      <c r="M43" s="195">
        <v>7.7599586135540608E-3</v>
      </c>
      <c r="N43" s="195">
        <v>1.3058797701727589E-3</v>
      </c>
      <c r="O43" s="195">
        <v>1.7965078208497087E-2</v>
      </c>
      <c r="P43" s="195">
        <v>1.1005182510857832E-3</v>
      </c>
      <c r="R43" s="204" t="s">
        <v>52</v>
      </c>
      <c r="S43" s="207">
        <f t="shared" si="2"/>
        <v>0</v>
      </c>
      <c r="T43" s="219">
        <f t="shared" si="3"/>
        <v>0</v>
      </c>
    </row>
    <row r="44" spans="1:20" ht="22.5" customHeight="1">
      <c r="A44" s="115">
        <v>89</v>
      </c>
      <c r="B44" s="115" t="s">
        <v>67</v>
      </c>
      <c r="C44" s="115" t="s">
        <v>14</v>
      </c>
      <c r="D44" s="115" t="s">
        <v>21</v>
      </c>
      <c r="E44" s="98" t="s">
        <v>64</v>
      </c>
      <c r="F44" s="115" t="s">
        <v>483</v>
      </c>
      <c r="G44" s="115">
        <v>0</v>
      </c>
      <c r="H44" s="115">
        <v>12</v>
      </c>
      <c r="I44" s="194">
        <v>12</v>
      </c>
      <c r="J44" s="116">
        <v>93580</v>
      </c>
      <c r="K44" s="116">
        <v>840485</v>
      </c>
      <c r="L44" s="116">
        <v>117676</v>
      </c>
      <c r="M44" s="195">
        <v>6.2079668908432487E-3</v>
      </c>
      <c r="N44" s="195">
        <v>3.0649134453442708E-3</v>
      </c>
      <c r="O44" s="195">
        <v>1.6955059112785734E-2</v>
      </c>
      <c r="P44" s="195">
        <v>3.7329812554701548E-3</v>
      </c>
      <c r="R44" s="204" t="s">
        <v>58</v>
      </c>
      <c r="S44" s="207">
        <f t="shared" si="2"/>
        <v>5</v>
      </c>
      <c r="T44" s="219">
        <f t="shared" si="3"/>
        <v>4</v>
      </c>
    </row>
    <row r="45" spans="1:20" ht="22.5" customHeight="1">
      <c r="A45" s="115">
        <v>90</v>
      </c>
      <c r="B45" s="115" t="s">
        <v>11</v>
      </c>
      <c r="C45" s="115" t="s">
        <v>10</v>
      </c>
      <c r="D45" s="115" t="s">
        <v>21</v>
      </c>
      <c r="E45" s="98" t="s">
        <v>106</v>
      </c>
      <c r="F45" s="115" t="s">
        <v>483</v>
      </c>
      <c r="G45" s="115">
        <v>0</v>
      </c>
      <c r="H45" s="115">
        <v>12</v>
      </c>
      <c r="I45" s="194">
        <v>12</v>
      </c>
      <c r="J45" s="116">
        <v>73817</v>
      </c>
      <c r="K45" s="116">
        <v>1220196</v>
      </c>
      <c r="L45" s="116">
        <v>2355784</v>
      </c>
      <c r="M45" s="195">
        <v>6.2079668908432487E-3</v>
      </c>
      <c r="N45" s="195">
        <v>2.4176396216603769E-3</v>
      </c>
      <c r="O45" s="195">
        <v>2.4614948879735751E-2</v>
      </c>
      <c r="P45" s="195">
        <v>7.4731444933006763E-2</v>
      </c>
      <c r="R45" s="204" t="s">
        <v>43</v>
      </c>
      <c r="S45" s="207">
        <f t="shared" si="2"/>
        <v>0</v>
      </c>
      <c r="T45" s="219">
        <f t="shared" si="3"/>
        <v>0</v>
      </c>
    </row>
    <row r="46" spans="1:20" ht="22.5" customHeight="1">
      <c r="A46" s="115">
        <v>92</v>
      </c>
      <c r="B46" s="115" t="s">
        <v>67</v>
      </c>
      <c r="C46" s="115" t="s">
        <v>14</v>
      </c>
      <c r="D46" s="115" t="s">
        <v>21</v>
      </c>
      <c r="E46" s="98" t="s">
        <v>13</v>
      </c>
      <c r="F46" s="115" t="s">
        <v>483</v>
      </c>
      <c r="G46" s="115">
        <v>0</v>
      </c>
      <c r="H46" s="115">
        <v>11</v>
      </c>
      <c r="I46" s="194">
        <v>11</v>
      </c>
      <c r="J46" s="116">
        <v>30966</v>
      </c>
      <c r="K46" s="116">
        <v>1004405</v>
      </c>
      <c r="L46" s="116">
        <v>90557</v>
      </c>
      <c r="M46" s="195">
        <v>5.6906363166063113E-3</v>
      </c>
      <c r="N46" s="195">
        <v>1.0141922392448248E-3</v>
      </c>
      <c r="O46" s="195">
        <v>2.0261808536948971E-2</v>
      </c>
      <c r="P46" s="195">
        <v>2.8726977765356643E-3</v>
      </c>
      <c r="R46" s="204" t="s">
        <v>48</v>
      </c>
      <c r="S46" s="207">
        <f t="shared" si="2"/>
        <v>1</v>
      </c>
      <c r="T46" s="219">
        <f t="shared" si="3"/>
        <v>0</v>
      </c>
    </row>
    <row r="47" spans="1:20" ht="22.5" customHeight="1">
      <c r="A47" s="115">
        <v>94</v>
      </c>
      <c r="B47" s="115" t="s">
        <v>67</v>
      </c>
      <c r="C47" s="115" t="s">
        <v>794</v>
      </c>
      <c r="D47" s="115" t="s">
        <v>21</v>
      </c>
      <c r="E47" s="98" t="s">
        <v>89</v>
      </c>
      <c r="F47" s="115" t="s">
        <v>483</v>
      </c>
      <c r="G47" s="115">
        <v>0</v>
      </c>
      <c r="H47" s="115">
        <v>8</v>
      </c>
      <c r="I47" s="194">
        <v>8</v>
      </c>
      <c r="J47" s="116">
        <v>144441</v>
      </c>
      <c r="K47" s="116">
        <v>1064031</v>
      </c>
      <c r="L47" s="116">
        <v>65817</v>
      </c>
      <c r="M47" s="195">
        <v>4.1386445938954991E-3</v>
      </c>
      <c r="N47" s="195">
        <v>4.730702745874886E-3</v>
      </c>
      <c r="O47" s="195">
        <v>2.146464065728302E-2</v>
      </c>
      <c r="P47" s="195">
        <v>2.0878822129514868E-3</v>
      </c>
      <c r="R47" s="204" t="s">
        <v>50</v>
      </c>
      <c r="S47" s="207">
        <f t="shared" si="2"/>
        <v>0</v>
      </c>
      <c r="T47" s="219">
        <f t="shared" si="3"/>
        <v>1</v>
      </c>
    </row>
    <row r="48" spans="1:20" ht="22.5" customHeight="1">
      <c r="A48" s="115">
        <v>95</v>
      </c>
      <c r="B48" s="115" t="s">
        <v>67</v>
      </c>
      <c r="C48" s="115" t="s">
        <v>14</v>
      </c>
      <c r="D48" s="115" t="s">
        <v>21</v>
      </c>
      <c r="E48" s="98" t="s">
        <v>55</v>
      </c>
      <c r="F48" s="115" t="s">
        <v>483</v>
      </c>
      <c r="G48" s="115">
        <v>0</v>
      </c>
      <c r="H48" s="115">
        <v>8</v>
      </c>
      <c r="I48" s="194">
        <v>8</v>
      </c>
      <c r="J48" s="116">
        <v>44287</v>
      </c>
      <c r="K48" s="116">
        <v>183463</v>
      </c>
      <c r="L48" s="116">
        <v>16836</v>
      </c>
      <c r="M48" s="195">
        <v>4.1386445938954991E-3</v>
      </c>
      <c r="N48" s="195">
        <v>1.4504789672361801E-3</v>
      </c>
      <c r="O48" s="195">
        <v>3.7009893216523901E-3</v>
      </c>
      <c r="P48" s="195">
        <v>5.3408063170991131E-4</v>
      </c>
      <c r="R48" s="6"/>
      <c r="S48" s="209"/>
      <c r="T48" s="209"/>
    </row>
    <row r="49" spans="1:20" ht="22.5" customHeight="1">
      <c r="A49" s="115">
        <v>96</v>
      </c>
      <c r="B49" s="115" t="s">
        <v>11</v>
      </c>
      <c r="C49" s="115" t="s">
        <v>9</v>
      </c>
      <c r="D49" s="115" t="s">
        <v>21</v>
      </c>
      <c r="E49" s="98" t="s">
        <v>795</v>
      </c>
      <c r="F49" s="115" t="s">
        <v>483</v>
      </c>
      <c r="G49" s="115">
        <v>0</v>
      </c>
      <c r="H49" s="115">
        <v>6</v>
      </c>
      <c r="I49" s="194">
        <v>6</v>
      </c>
      <c r="J49" s="116">
        <v>59332</v>
      </c>
      <c r="K49" s="116">
        <v>998839</v>
      </c>
      <c r="L49" s="116">
        <v>1055186</v>
      </c>
      <c r="M49" s="195">
        <v>3.1039834454216243E-3</v>
      </c>
      <c r="N49" s="195">
        <v>1.9432297984523007E-3</v>
      </c>
      <c r="O49" s="195">
        <v>2.0149525915579447E-2</v>
      </c>
      <c r="P49" s="195">
        <v>3.347317685028834E-2</v>
      </c>
      <c r="R49" s="232" t="s">
        <v>67</v>
      </c>
      <c r="S49" s="228"/>
      <c r="T49" s="228"/>
    </row>
    <row r="50" spans="1:20" ht="22.5" customHeight="1">
      <c r="A50" s="115">
        <v>1</v>
      </c>
      <c r="B50" s="115" t="s">
        <v>39</v>
      </c>
      <c r="C50" s="115" t="s">
        <v>58</v>
      </c>
      <c r="D50" s="115" t="s">
        <v>26</v>
      </c>
      <c r="E50" s="98" t="s">
        <v>805</v>
      </c>
      <c r="F50" s="115" t="s">
        <v>476</v>
      </c>
      <c r="G50" s="115">
        <v>73</v>
      </c>
      <c r="H50" s="115">
        <v>125</v>
      </c>
      <c r="I50" s="194">
        <v>198</v>
      </c>
      <c r="J50" s="116">
        <v>4893483</v>
      </c>
      <c r="K50" s="116">
        <v>1017349</v>
      </c>
      <c r="L50" s="116">
        <v>0</v>
      </c>
      <c r="M50" s="195">
        <v>5.2519893899204244E-2</v>
      </c>
      <c r="N50" s="195">
        <v>9.8688018551274209E-2</v>
      </c>
      <c r="O50" s="195">
        <v>3.3304695228429479E-2</v>
      </c>
      <c r="P50" s="195">
        <v>0</v>
      </c>
      <c r="R50" s="190" t="s">
        <v>482</v>
      </c>
      <c r="S50" s="222" t="s">
        <v>476</v>
      </c>
      <c r="T50" s="222" t="s">
        <v>483</v>
      </c>
    </row>
    <row r="51" spans="1:20" ht="22.5" customHeight="1">
      <c r="A51" s="115">
        <v>2</v>
      </c>
      <c r="B51" s="115" t="s">
        <v>25</v>
      </c>
      <c r="C51" s="115" t="s">
        <v>23</v>
      </c>
      <c r="D51" s="115" t="s">
        <v>26</v>
      </c>
      <c r="E51" s="98" t="s">
        <v>803</v>
      </c>
      <c r="F51" s="115" t="s">
        <v>476</v>
      </c>
      <c r="G51" s="115">
        <v>63</v>
      </c>
      <c r="H51" s="115">
        <v>117</v>
      </c>
      <c r="I51" s="194">
        <v>180</v>
      </c>
      <c r="J51" s="116">
        <v>4312912</v>
      </c>
      <c r="K51" s="116">
        <v>543835</v>
      </c>
      <c r="L51" s="116">
        <v>26133</v>
      </c>
      <c r="M51" s="195">
        <v>4.7745358090185673E-2</v>
      </c>
      <c r="N51" s="195">
        <v>8.697950712529566E-2</v>
      </c>
      <c r="O51" s="195">
        <v>1.7803387951974146E-2</v>
      </c>
      <c r="P51" s="195">
        <v>1.2302419485247336E-3</v>
      </c>
      <c r="R51" s="223" t="s">
        <v>468</v>
      </c>
      <c r="S51" s="207">
        <f>SUMIFS(Scoreboard_13[Damage Dealt],Scoreboard_13[Role],"Tank",Scoreboard_13[Team],"Yellow")</f>
        <v>7141923</v>
      </c>
      <c r="T51" s="219">
        <f>SUMIFS(Scoreboard_13[Damage Dealt],Scoreboard_13[Role],"Tank",Scoreboard_13[Team],"Red")</f>
        <v>1469626</v>
      </c>
    </row>
    <row r="52" spans="1:20" ht="22.5" customHeight="1">
      <c r="A52" s="115">
        <v>4</v>
      </c>
      <c r="B52" s="115" t="s">
        <v>39</v>
      </c>
      <c r="C52" s="115" t="s">
        <v>58</v>
      </c>
      <c r="D52" s="115" t="s">
        <v>26</v>
      </c>
      <c r="E52" s="98" t="s">
        <v>844</v>
      </c>
      <c r="F52" s="115" t="s">
        <v>476</v>
      </c>
      <c r="G52" s="115">
        <v>52</v>
      </c>
      <c r="H52" s="115">
        <v>109</v>
      </c>
      <c r="I52" s="194">
        <v>161</v>
      </c>
      <c r="J52" s="116">
        <v>3622956</v>
      </c>
      <c r="K52" s="116">
        <v>585895</v>
      </c>
      <c r="L52" s="116">
        <v>2324</v>
      </c>
      <c r="M52" s="195">
        <v>4.2705570291777191E-2</v>
      </c>
      <c r="N52" s="195">
        <v>7.3065002767650405E-2</v>
      </c>
      <c r="O52" s="195">
        <v>1.9180295464841162E-2</v>
      </c>
      <c r="P52" s="195">
        <v>1.0940505446644016E-4</v>
      </c>
      <c r="R52" s="223" t="s">
        <v>469</v>
      </c>
      <c r="S52" s="207">
        <f>SUMIFS(Scoreboard_13[Damage Taken],Scoreboard_13[Role],"Tank",Scoreboard_13[Team],"Yellow")</f>
        <v>9411481</v>
      </c>
      <c r="T52" s="219">
        <f>SUMIFS(Scoreboard_13[Damage Taken],Scoreboard_13[Role],"Tank",Scoreboard_13[Team],"Red")</f>
        <v>13368822</v>
      </c>
    </row>
    <row r="53" spans="1:20" ht="22.5" customHeight="1">
      <c r="A53" s="115">
        <v>5</v>
      </c>
      <c r="B53" s="115" t="s">
        <v>39</v>
      </c>
      <c r="C53" s="115" t="s">
        <v>58</v>
      </c>
      <c r="D53" s="115" t="s">
        <v>26</v>
      </c>
      <c r="E53" s="98" t="s">
        <v>814</v>
      </c>
      <c r="F53" s="115" t="s">
        <v>476</v>
      </c>
      <c r="G53" s="115">
        <v>49</v>
      </c>
      <c r="H53" s="115">
        <v>92</v>
      </c>
      <c r="I53" s="194">
        <v>141</v>
      </c>
      <c r="J53" s="116">
        <v>3405874</v>
      </c>
      <c r="K53" s="116">
        <v>761092</v>
      </c>
      <c r="L53" s="116">
        <v>18605</v>
      </c>
      <c r="M53" s="195">
        <v>3.7400530503978777E-2</v>
      </c>
      <c r="N53" s="195">
        <v>6.8687059195935193E-2</v>
      </c>
      <c r="O53" s="195">
        <v>2.4915675054279159E-2</v>
      </c>
      <c r="P53" s="195">
        <v>8.7585242613946615E-4</v>
      </c>
      <c r="R53" s="223" t="s">
        <v>470</v>
      </c>
      <c r="S53" s="207">
        <f>SUMIFS(Scoreboard_13[Amount Healed],Scoreboard_13[Role],"Tank",Scoreboard_13[Team],"Yellow")</f>
        <v>553594</v>
      </c>
      <c r="T53" s="219">
        <f>SUMIFS(Scoreboard_13[Amount Healed],Scoreboard_13[Role],"Tank",Scoreboard_13[Team],"Red")</f>
        <v>1023297</v>
      </c>
    </row>
    <row r="54" spans="1:20" ht="22.5" customHeight="1">
      <c r="A54" s="115">
        <v>6</v>
      </c>
      <c r="B54" s="115" t="s">
        <v>25</v>
      </c>
      <c r="C54" s="115" t="s">
        <v>69</v>
      </c>
      <c r="D54" s="115" t="s">
        <v>26</v>
      </c>
      <c r="E54" s="98" t="s">
        <v>845</v>
      </c>
      <c r="F54" s="115" t="s">
        <v>476</v>
      </c>
      <c r="G54" s="115">
        <v>45</v>
      </c>
      <c r="H54" s="115">
        <v>66</v>
      </c>
      <c r="I54" s="194">
        <v>111</v>
      </c>
      <c r="J54" s="116">
        <v>2014353</v>
      </c>
      <c r="K54" s="116">
        <v>565415</v>
      </c>
      <c r="L54" s="116">
        <v>59576</v>
      </c>
      <c r="M54" s="195">
        <v>2.9442970822281166E-2</v>
      </c>
      <c r="N54" s="195">
        <v>4.0623929056832292E-2</v>
      </c>
      <c r="O54" s="195">
        <v>1.8509846918395217E-2</v>
      </c>
      <c r="P54" s="195">
        <v>2.8046108110553526E-3</v>
      </c>
      <c r="R54" s="223" t="s">
        <v>465</v>
      </c>
      <c r="S54" s="207">
        <f>SUMIFS(Scoreboard_13[Kills],Scoreboard_13[Role],"Tank",Scoreboard_13[Team],"Yellow")</f>
        <v>93</v>
      </c>
      <c r="T54" s="219">
        <f>SUMIFS(Scoreboard_13[Kills],Scoreboard_13[Role],"Tank",Scoreboard_13[Team],"Red")</f>
        <v>8</v>
      </c>
    </row>
    <row r="55" spans="1:20" ht="22.5" customHeight="1">
      <c r="A55" s="115">
        <v>7</v>
      </c>
      <c r="B55" s="115" t="s">
        <v>25</v>
      </c>
      <c r="C55" s="115" t="s">
        <v>23</v>
      </c>
      <c r="D55" s="115" t="s">
        <v>26</v>
      </c>
      <c r="E55" s="98" t="s">
        <v>800</v>
      </c>
      <c r="F55" s="115" t="s">
        <v>476</v>
      </c>
      <c r="G55" s="115">
        <v>44</v>
      </c>
      <c r="H55" s="115">
        <v>77</v>
      </c>
      <c r="I55" s="194">
        <v>121</v>
      </c>
      <c r="J55" s="116">
        <v>1654663</v>
      </c>
      <c r="K55" s="116">
        <v>590003</v>
      </c>
      <c r="L55" s="116">
        <v>27189</v>
      </c>
      <c r="M55" s="195">
        <v>3.2095490716180369E-2</v>
      </c>
      <c r="N55" s="195">
        <v>3.3369976525944207E-2</v>
      </c>
      <c r="O55" s="195">
        <v>1.9314778015075532E-2</v>
      </c>
      <c r="P55" s="195">
        <v>1.2799544001239423E-3</v>
      </c>
      <c r="R55" s="223" t="s">
        <v>466</v>
      </c>
      <c r="S55" s="207">
        <f>SUMIFS(Scoreboard_13[Assists],Scoreboard_13[Role],"Tank",Scoreboard_13[Team],"Yellow")</f>
        <v>431</v>
      </c>
      <c r="T55" s="219">
        <f>SUMIFS(Scoreboard_13[Assists],Scoreboard_13[Role],"Tank",Scoreboard_13[Team],"Red")</f>
        <v>247</v>
      </c>
    </row>
    <row r="56" spans="1:20" ht="22.5" customHeight="1">
      <c r="A56" s="115">
        <v>8</v>
      </c>
      <c r="B56" s="115" t="s">
        <v>39</v>
      </c>
      <c r="C56" s="115" t="s">
        <v>48</v>
      </c>
      <c r="D56" s="115" t="s">
        <v>26</v>
      </c>
      <c r="E56" s="98" t="s">
        <v>813</v>
      </c>
      <c r="F56" s="115" t="s">
        <v>476</v>
      </c>
      <c r="G56" s="115">
        <v>42</v>
      </c>
      <c r="H56" s="115">
        <v>120</v>
      </c>
      <c r="I56" s="194">
        <v>162</v>
      </c>
      <c r="J56" s="116">
        <v>3571748</v>
      </c>
      <c r="K56" s="116">
        <v>735676</v>
      </c>
      <c r="L56" s="116">
        <v>76581</v>
      </c>
      <c r="M56" s="195">
        <v>4.2970822281167109E-2</v>
      </c>
      <c r="N56" s="195">
        <v>7.2032279029982646E-2</v>
      </c>
      <c r="O56" s="195">
        <v>2.4083637932381205E-2</v>
      </c>
      <c r="P56" s="195">
        <v>3.6051413408323815E-3</v>
      </c>
      <c r="R56" s="204" t="s">
        <v>794</v>
      </c>
      <c r="S56" s="207">
        <f t="shared" ref="S56:S61" si="4">COUNTIFS(C:C,R56,F:F,"Yellow")</f>
        <v>1</v>
      </c>
      <c r="T56" s="219">
        <f t="shared" ref="T56:T61" si="5">COUNTIFS(C:C,R56,F:F,"Red")</f>
        <v>3</v>
      </c>
    </row>
    <row r="57" spans="1:20" ht="22.5" customHeight="1">
      <c r="A57" s="115">
        <v>9</v>
      </c>
      <c r="B57" s="115" t="s">
        <v>67</v>
      </c>
      <c r="C57" s="115" t="s">
        <v>810</v>
      </c>
      <c r="D57" s="115" t="s">
        <v>26</v>
      </c>
      <c r="E57" s="98" t="s">
        <v>397</v>
      </c>
      <c r="F57" s="115" t="s">
        <v>476</v>
      </c>
      <c r="G57" s="115">
        <v>39</v>
      </c>
      <c r="H57" s="115">
        <v>83</v>
      </c>
      <c r="I57" s="194">
        <v>122</v>
      </c>
      <c r="J57" s="116">
        <v>2677867</v>
      </c>
      <c r="K57" s="116">
        <v>555156</v>
      </c>
      <c r="L57" s="116">
        <v>35252</v>
      </c>
      <c r="M57" s="195">
        <v>3.2360742705570295E-2</v>
      </c>
      <c r="N57" s="195">
        <v>5.4005171403240806E-2</v>
      </c>
      <c r="O57" s="195">
        <v>1.8174000647009036E-2</v>
      </c>
      <c r="P57" s="195">
        <v>1.6595296816053996E-3</v>
      </c>
      <c r="R57" s="204" t="s">
        <v>70</v>
      </c>
      <c r="S57" s="207">
        <f t="shared" si="4"/>
        <v>0</v>
      </c>
      <c r="T57" s="219">
        <f t="shared" si="5"/>
        <v>0</v>
      </c>
    </row>
    <row r="58" spans="1:20" ht="22.5" customHeight="1">
      <c r="A58" s="115">
        <v>10</v>
      </c>
      <c r="B58" s="115" t="s">
        <v>39</v>
      </c>
      <c r="C58" s="115" t="s">
        <v>54</v>
      </c>
      <c r="D58" s="115" t="s">
        <v>26</v>
      </c>
      <c r="E58" s="98" t="s">
        <v>801</v>
      </c>
      <c r="F58" s="115" t="s">
        <v>476</v>
      </c>
      <c r="G58" s="115">
        <v>38</v>
      </c>
      <c r="H58" s="115">
        <v>58</v>
      </c>
      <c r="I58" s="194">
        <v>96</v>
      </c>
      <c r="J58" s="116">
        <v>1725816</v>
      </c>
      <c r="K58" s="116">
        <v>456015</v>
      </c>
      <c r="L58" s="116">
        <v>0</v>
      </c>
      <c r="M58" s="195">
        <v>2.546419098143236E-2</v>
      </c>
      <c r="N58" s="195">
        <v>3.4804935753140628E-2</v>
      </c>
      <c r="O58" s="195">
        <v>1.4928446968141974E-2</v>
      </c>
      <c r="P58" s="195">
        <v>0</v>
      </c>
      <c r="R58" s="204" t="s">
        <v>14</v>
      </c>
      <c r="S58" s="207">
        <f t="shared" si="4"/>
        <v>11</v>
      </c>
      <c r="T58" s="219">
        <f t="shared" si="5"/>
        <v>10</v>
      </c>
    </row>
    <row r="59" spans="1:20" ht="22.5" customHeight="1">
      <c r="A59" s="115">
        <v>11</v>
      </c>
      <c r="B59" s="115" t="s">
        <v>25</v>
      </c>
      <c r="C59" s="115" t="s">
        <v>23</v>
      </c>
      <c r="D59" s="115" t="s">
        <v>26</v>
      </c>
      <c r="E59" s="98" t="s">
        <v>816</v>
      </c>
      <c r="F59" s="115" t="s">
        <v>476</v>
      </c>
      <c r="G59" s="115">
        <v>37</v>
      </c>
      <c r="H59" s="115">
        <v>99</v>
      </c>
      <c r="I59" s="194">
        <v>136</v>
      </c>
      <c r="J59" s="116">
        <v>2758142</v>
      </c>
      <c r="K59" s="116">
        <v>1089114</v>
      </c>
      <c r="L59" s="116">
        <v>73603</v>
      </c>
      <c r="M59" s="195">
        <v>3.6074270557029178E-2</v>
      </c>
      <c r="N59" s="195">
        <v>5.5624096142369059E-2</v>
      </c>
      <c r="O59" s="195">
        <v>3.5654047764352E-2</v>
      </c>
      <c r="P59" s="195">
        <v>3.4649484612277949E-3</v>
      </c>
      <c r="R59" s="204" t="s">
        <v>62</v>
      </c>
      <c r="S59" s="207">
        <f t="shared" si="4"/>
        <v>0</v>
      </c>
      <c r="T59" s="219">
        <f t="shared" si="5"/>
        <v>1</v>
      </c>
    </row>
    <row r="60" spans="1:20" ht="22.5" customHeight="1">
      <c r="A60" s="115">
        <v>15</v>
      </c>
      <c r="B60" s="115" t="s">
        <v>39</v>
      </c>
      <c r="C60" s="115" t="s">
        <v>58</v>
      </c>
      <c r="D60" s="115" t="s">
        <v>26</v>
      </c>
      <c r="E60" s="98" t="s">
        <v>809</v>
      </c>
      <c r="F60" s="115" t="s">
        <v>476</v>
      </c>
      <c r="G60" s="115">
        <v>33</v>
      </c>
      <c r="H60" s="115">
        <v>103</v>
      </c>
      <c r="I60" s="194">
        <v>136</v>
      </c>
      <c r="J60" s="116">
        <v>2628973</v>
      </c>
      <c r="K60" s="116">
        <v>663477</v>
      </c>
      <c r="L60" s="116">
        <v>4617</v>
      </c>
      <c r="M60" s="195">
        <v>3.6074270557029178E-2</v>
      </c>
      <c r="N60" s="195">
        <v>5.3019114645907431E-2</v>
      </c>
      <c r="O60" s="195">
        <v>2.1720077648941225E-2</v>
      </c>
      <c r="P60" s="195">
        <v>2.1735074719085809E-4</v>
      </c>
      <c r="R60" s="204" t="s">
        <v>73</v>
      </c>
      <c r="S60" s="207">
        <f t="shared" si="4"/>
        <v>0</v>
      </c>
      <c r="T60" s="219">
        <f t="shared" si="5"/>
        <v>0</v>
      </c>
    </row>
    <row r="61" spans="1:20" ht="22.5" customHeight="1">
      <c r="A61" s="115">
        <v>16</v>
      </c>
      <c r="B61" s="115" t="s">
        <v>25</v>
      </c>
      <c r="C61" s="115" t="s">
        <v>69</v>
      </c>
      <c r="D61" s="115" t="s">
        <v>26</v>
      </c>
      <c r="E61" s="98" t="s">
        <v>808</v>
      </c>
      <c r="F61" s="115" t="s">
        <v>476</v>
      </c>
      <c r="G61" s="115">
        <v>32</v>
      </c>
      <c r="H61" s="115">
        <v>57</v>
      </c>
      <c r="I61" s="194">
        <v>89</v>
      </c>
      <c r="J61" s="116">
        <v>1344471</v>
      </c>
      <c r="K61" s="116">
        <v>1196803</v>
      </c>
      <c r="L61" s="116">
        <v>0</v>
      </c>
      <c r="M61" s="195">
        <v>2.3607427055702918E-2</v>
      </c>
      <c r="N61" s="195">
        <v>2.7114261761949556E-2</v>
      </c>
      <c r="O61" s="195">
        <v>3.917943514317121E-2</v>
      </c>
      <c r="P61" s="195">
        <v>0</v>
      </c>
      <c r="R61" s="204" t="s">
        <v>810</v>
      </c>
      <c r="S61" s="207">
        <f t="shared" si="4"/>
        <v>1</v>
      </c>
      <c r="T61" s="219">
        <f t="shared" si="5"/>
        <v>1</v>
      </c>
    </row>
    <row r="62" spans="1:20" ht="22.5" customHeight="1">
      <c r="A62" s="115">
        <v>18</v>
      </c>
      <c r="B62" s="115" t="s">
        <v>39</v>
      </c>
      <c r="C62" s="115" t="s">
        <v>54</v>
      </c>
      <c r="D62" s="115" t="s">
        <v>26</v>
      </c>
      <c r="E62" s="98" t="s">
        <v>797</v>
      </c>
      <c r="F62" s="115" t="s">
        <v>476</v>
      </c>
      <c r="G62" s="115">
        <v>30</v>
      </c>
      <c r="H62" s="115">
        <v>48</v>
      </c>
      <c r="I62" s="194">
        <v>78</v>
      </c>
      <c r="J62" s="116">
        <v>1125554</v>
      </c>
      <c r="K62" s="116">
        <v>310841</v>
      </c>
      <c r="L62" s="116">
        <v>1805</v>
      </c>
      <c r="M62" s="195">
        <v>2.0689655172413793E-2</v>
      </c>
      <c r="N62" s="195">
        <v>2.2699311315163638E-2</v>
      </c>
      <c r="O62" s="195">
        <v>1.0175922686806836E-2</v>
      </c>
      <c r="P62" s="195">
        <v>8.4972514333874562E-5</v>
      </c>
      <c r="R62" s="6"/>
      <c r="S62" s="209"/>
      <c r="T62" s="209"/>
    </row>
    <row r="63" spans="1:20" ht="22.5" customHeight="1">
      <c r="A63" s="115">
        <v>19</v>
      </c>
      <c r="B63" s="115" t="s">
        <v>39</v>
      </c>
      <c r="C63" s="115" t="s">
        <v>58</v>
      </c>
      <c r="D63" s="115" t="s">
        <v>26</v>
      </c>
      <c r="E63" s="98" t="s">
        <v>817</v>
      </c>
      <c r="F63" s="115" t="s">
        <v>476</v>
      </c>
      <c r="G63" s="115">
        <v>28</v>
      </c>
      <c r="H63" s="115">
        <v>84</v>
      </c>
      <c r="I63" s="194">
        <v>112</v>
      </c>
      <c r="J63" s="116">
        <v>2658053</v>
      </c>
      <c r="K63" s="116">
        <v>1172458</v>
      </c>
      <c r="L63" s="116">
        <v>0</v>
      </c>
      <c r="M63" s="195">
        <v>2.9708222811671087E-2</v>
      </c>
      <c r="N63" s="195">
        <v>5.3605577821414743E-2</v>
      </c>
      <c r="O63" s="195">
        <v>3.838245907563085E-2</v>
      </c>
      <c r="P63" s="195">
        <v>0</v>
      </c>
      <c r="R63" s="6"/>
      <c r="S63" s="209"/>
      <c r="T63" s="209"/>
    </row>
    <row r="64" spans="1:20" ht="22.5" customHeight="1">
      <c r="A64" s="115">
        <v>20</v>
      </c>
      <c r="B64" s="115" t="s">
        <v>25</v>
      </c>
      <c r="C64" s="115" t="s">
        <v>23</v>
      </c>
      <c r="D64" s="115" t="s">
        <v>26</v>
      </c>
      <c r="E64" s="98" t="s">
        <v>815</v>
      </c>
      <c r="F64" s="115" t="s">
        <v>476</v>
      </c>
      <c r="G64" s="115">
        <v>26</v>
      </c>
      <c r="H64" s="115">
        <v>123</v>
      </c>
      <c r="I64" s="194">
        <v>149</v>
      </c>
      <c r="J64" s="116">
        <v>2844561</v>
      </c>
      <c r="K64" s="116">
        <v>1681065</v>
      </c>
      <c r="L64" s="116">
        <v>77155</v>
      </c>
      <c r="M64" s="195">
        <v>3.9522546419098144E-2</v>
      </c>
      <c r="N64" s="195">
        <v>5.7366928369472443E-2</v>
      </c>
      <c r="O64" s="195">
        <v>5.5032596959528939E-2</v>
      </c>
      <c r="P64" s="195">
        <v>3.6321630711524059E-3</v>
      </c>
      <c r="R64" s="232" t="s">
        <v>11</v>
      </c>
      <c r="S64" s="228"/>
      <c r="T64" s="228"/>
    </row>
    <row r="65" spans="1:20" ht="22.5" customHeight="1">
      <c r="A65" s="115">
        <v>22</v>
      </c>
      <c r="B65" s="115" t="s">
        <v>67</v>
      </c>
      <c r="C65" s="115" t="s">
        <v>14</v>
      </c>
      <c r="D65" s="115" t="s">
        <v>26</v>
      </c>
      <c r="E65" s="98" t="s">
        <v>804</v>
      </c>
      <c r="F65" s="115" t="s">
        <v>476</v>
      </c>
      <c r="G65" s="115">
        <v>24</v>
      </c>
      <c r="H65" s="115">
        <v>82</v>
      </c>
      <c r="I65" s="194">
        <v>106</v>
      </c>
      <c r="J65" s="116">
        <v>1441176</v>
      </c>
      <c r="K65" s="116">
        <v>554315</v>
      </c>
      <c r="L65" s="116">
        <v>74730</v>
      </c>
      <c r="M65" s="195">
        <v>2.8116710875331564E-2</v>
      </c>
      <c r="N65" s="195">
        <v>2.9064534161792565E-2</v>
      </c>
      <c r="O65" s="195">
        <v>1.8146469044100784E-2</v>
      </c>
      <c r="P65" s="195">
        <v>3.5180033219780866E-3</v>
      </c>
      <c r="R65" s="190" t="s">
        <v>482</v>
      </c>
      <c r="S65" s="222" t="s">
        <v>476</v>
      </c>
      <c r="T65" s="222" t="s">
        <v>483</v>
      </c>
    </row>
    <row r="66" spans="1:20" ht="22.5" customHeight="1">
      <c r="A66" s="115">
        <v>24</v>
      </c>
      <c r="B66" s="115" t="s">
        <v>25</v>
      </c>
      <c r="C66" s="115" t="s">
        <v>69</v>
      </c>
      <c r="D66" s="115" t="s">
        <v>26</v>
      </c>
      <c r="E66" s="98" t="s">
        <v>806</v>
      </c>
      <c r="F66" s="115" t="s">
        <v>476</v>
      </c>
      <c r="G66" s="115">
        <v>21</v>
      </c>
      <c r="H66" s="115">
        <v>57</v>
      </c>
      <c r="I66" s="194">
        <v>78</v>
      </c>
      <c r="J66" s="116">
        <v>1044810</v>
      </c>
      <c r="K66" s="116">
        <v>963137</v>
      </c>
      <c r="L66" s="116">
        <v>45778</v>
      </c>
      <c r="M66" s="195">
        <v>2.0689655172413793E-2</v>
      </c>
      <c r="N66" s="195">
        <v>2.1070928143115408E-2</v>
      </c>
      <c r="O66" s="195">
        <v>3.1529970785073642E-2</v>
      </c>
      <c r="P66" s="195">
        <v>2.1550536072997839E-3</v>
      </c>
      <c r="R66" s="223" t="s">
        <v>468</v>
      </c>
      <c r="S66" s="207">
        <f>SUMIFS(Scoreboard_13[Damage Dealt],Scoreboard_13[Role],"Healer",Scoreboard_13[Team],"Yellow")</f>
        <v>822099</v>
      </c>
      <c r="T66" s="219">
        <f>SUMIFS(Scoreboard_13[Damage Dealt],Scoreboard_13[Role],"Healer",Scoreboard_13[Team],"Red")</f>
        <v>731064</v>
      </c>
    </row>
    <row r="67" spans="1:20" ht="22.5" customHeight="1">
      <c r="A67" s="115">
        <v>31</v>
      </c>
      <c r="B67" s="115" t="s">
        <v>25</v>
      </c>
      <c r="C67" s="115" t="s">
        <v>24</v>
      </c>
      <c r="D67" s="115" t="s">
        <v>26</v>
      </c>
      <c r="E67" s="98" t="s">
        <v>824</v>
      </c>
      <c r="F67" s="115" t="s">
        <v>476</v>
      </c>
      <c r="G67" s="115">
        <v>10</v>
      </c>
      <c r="H67" s="115">
        <v>62</v>
      </c>
      <c r="I67" s="194">
        <v>72</v>
      </c>
      <c r="J67" s="116">
        <v>1136859</v>
      </c>
      <c r="K67" s="116">
        <v>613371</v>
      </c>
      <c r="L67" s="116">
        <v>22550</v>
      </c>
      <c r="M67" s="195">
        <v>1.9098143236074269E-2</v>
      </c>
      <c r="N67" s="195">
        <v>2.2927301899727262E-2</v>
      </c>
      <c r="O67" s="195">
        <v>2.0079770282328893E-2</v>
      </c>
      <c r="P67" s="195">
        <v>1.0615679768581005E-3</v>
      </c>
      <c r="R67" s="223" t="s">
        <v>469</v>
      </c>
      <c r="S67" s="207">
        <f>SUMIFS(Scoreboard_13[Damage Taken],Scoreboard_13[Role],"Healer",Scoreboard_13[Team],"Yellow")</f>
        <v>7326336</v>
      </c>
      <c r="T67" s="219">
        <f>SUMIFS(Scoreboard_13[Damage Taken],Scoreboard_13[Role],"Healer",Scoreboard_13[Team],"Red")</f>
        <v>14543214</v>
      </c>
    </row>
    <row r="68" spans="1:20" ht="22.5" customHeight="1">
      <c r="A68" s="115">
        <v>33</v>
      </c>
      <c r="B68" s="115" t="s">
        <v>67</v>
      </c>
      <c r="C68" s="115" t="s">
        <v>14</v>
      </c>
      <c r="D68" s="115" t="s">
        <v>26</v>
      </c>
      <c r="E68" s="98" t="s">
        <v>834</v>
      </c>
      <c r="F68" s="115" t="s">
        <v>476</v>
      </c>
      <c r="G68" s="115">
        <v>10</v>
      </c>
      <c r="H68" s="115">
        <v>37</v>
      </c>
      <c r="I68" s="194">
        <v>47</v>
      </c>
      <c r="J68" s="116">
        <v>615965</v>
      </c>
      <c r="K68" s="116">
        <v>783064</v>
      </c>
      <c r="L68" s="116">
        <v>63611</v>
      </c>
      <c r="M68" s="195">
        <v>1.246684350132626E-2</v>
      </c>
      <c r="N68" s="195">
        <v>1.2422310519304067E-2</v>
      </c>
      <c r="O68" s="195">
        <v>2.5634966824909546E-2</v>
      </c>
      <c r="P68" s="195">
        <v>2.9945632184443741E-3</v>
      </c>
      <c r="R68" s="223" t="s">
        <v>470</v>
      </c>
      <c r="S68" s="207">
        <f>SUMIFS(Scoreboard_13[Amount Healed],Scoreboard_13[Role],"Healer",Scoreboard_13[Team],"Yellow")</f>
        <v>20203401</v>
      </c>
      <c r="T68" s="219">
        <f>SUMIFS(Scoreboard_13[Amount Healed],Scoreboard_13[Role],"Healer",Scoreboard_13[Team],"Red")</f>
        <v>29700569</v>
      </c>
    </row>
    <row r="69" spans="1:20" ht="22.5" customHeight="1">
      <c r="A69" s="115">
        <v>35</v>
      </c>
      <c r="B69" s="115" t="s">
        <v>25</v>
      </c>
      <c r="C69" s="115" t="s">
        <v>18</v>
      </c>
      <c r="D69" s="115" t="s">
        <v>26</v>
      </c>
      <c r="E69" s="98" t="s">
        <v>846</v>
      </c>
      <c r="F69" s="115" t="s">
        <v>476</v>
      </c>
      <c r="G69" s="115">
        <v>7</v>
      </c>
      <c r="H69" s="115">
        <v>44</v>
      </c>
      <c r="I69" s="194">
        <v>51</v>
      </c>
      <c r="J69" s="116">
        <v>878131</v>
      </c>
      <c r="K69" s="116">
        <v>863351</v>
      </c>
      <c r="L69" s="116">
        <v>49252</v>
      </c>
      <c r="M69" s="195">
        <v>1.3527851458885942E-2</v>
      </c>
      <c r="N69" s="195">
        <v>1.7709473685399331E-2</v>
      </c>
      <c r="O69" s="195">
        <v>2.8263301905402983E-2</v>
      </c>
      <c r="P69" s="195">
        <v>2.3185962747767257E-3</v>
      </c>
      <c r="R69" s="223" t="s">
        <v>465</v>
      </c>
      <c r="S69" s="207">
        <f>SUMIFS(Scoreboard_13[Kills],Scoreboard_13[Role],"Healer",Scoreboard_13[Team],"Yellow")</f>
        <v>5</v>
      </c>
      <c r="T69" s="219">
        <f>SUMIFS(Scoreboard_13[Kills],Scoreboard_13[Role],"Healer",Scoreboard_13[Team],"Red")</f>
        <v>2</v>
      </c>
    </row>
    <row r="70" spans="1:20" ht="22.5" customHeight="1">
      <c r="A70" s="115">
        <v>37</v>
      </c>
      <c r="B70" s="115" t="s">
        <v>67</v>
      </c>
      <c r="C70" s="115" t="s">
        <v>14</v>
      </c>
      <c r="D70" s="115" t="s">
        <v>26</v>
      </c>
      <c r="E70" s="98" t="s">
        <v>831</v>
      </c>
      <c r="F70" s="115" t="s">
        <v>476</v>
      </c>
      <c r="G70" s="115">
        <v>5</v>
      </c>
      <c r="H70" s="115">
        <v>16</v>
      </c>
      <c r="I70" s="194">
        <v>21</v>
      </c>
      <c r="J70" s="116">
        <v>333876</v>
      </c>
      <c r="K70" s="116">
        <v>1469395</v>
      </c>
      <c r="L70" s="116">
        <v>53763</v>
      </c>
      <c r="M70" s="195">
        <v>5.5702917771883291E-3</v>
      </c>
      <c r="N70" s="195">
        <v>6.7333555428363053E-3</v>
      </c>
      <c r="O70" s="195">
        <v>4.8103210053952121E-2</v>
      </c>
      <c r="P70" s="195">
        <v>2.5309569463335727E-3</v>
      </c>
      <c r="R70" s="223" t="s">
        <v>466</v>
      </c>
      <c r="S70" s="207">
        <f>SUMIFS(Scoreboard_13[Assists],Scoreboard_13[Role],"Healer",Scoreboard_13[Team],"Yellow")</f>
        <v>1170</v>
      </c>
      <c r="T70" s="219">
        <f>SUMIFS(Scoreboard_13[Assists],Scoreboard_13[Role],"Healer",Scoreboard_13[Team],"Red")</f>
        <v>534</v>
      </c>
    </row>
    <row r="71" spans="1:20" ht="22.5" customHeight="1">
      <c r="A71" s="115">
        <v>38</v>
      </c>
      <c r="B71" s="115" t="s">
        <v>67</v>
      </c>
      <c r="C71" s="115" t="s">
        <v>14</v>
      </c>
      <c r="D71" s="115" t="s">
        <v>26</v>
      </c>
      <c r="E71" s="98" t="s">
        <v>835</v>
      </c>
      <c r="F71" s="115" t="s">
        <v>476</v>
      </c>
      <c r="G71" s="115">
        <v>4</v>
      </c>
      <c r="H71" s="115">
        <v>40</v>
      </c>
      <c r="I71" s="194">
        <v>44</v>
      </c>
      <c r="J71" s="116">
        <v>609688</v>
      </c>
      <c r="K71" s="116">
        <v>764762</v>
      </c>
      <c r="L71" s="116">
        <v>58584</v>
      </c>
      <c r="M71" s="195">
        <v>1.1671087533156498E-2</v>
      </c>
      <c r="N71" s="195">
        <v>1.2295720789157595E-2</v>
      </c>
      <c r="O71" s="195">
        <v>2.5035818910014346E-2</v>
      </c>
      <c r="P71" s="195">
        <v>2.7579112353106412E-3</v>
      </c>
      <c r="R71" s="204" t="s">
        <v>10</v>
      </c>
      <c r="S71" s="207">
        <f t="shared" ref="S71:S72" si="6">COUNTIFS(C:C,R71,F:F,"Yellow")</f>
        <v>6</v>
      </c>
      <c r="T71" s="219">
        <f t="shared" ref="T71:T72" si="7">COUNTIFS(C:C,R71,F:F,"Red")</f>
        <v>8</v>
      </c>
    </row>
    <row r="72" spans="1:20" ht="22.5" customHeight="1">
      <c r="A72" s="115">
        <v>40</v>
      </c>
      <c r="B72" s="115" t="s">
        <v>67</v>
      </c>
      <c r="C72" s="115" t="s">
        <v>14</v>
      </c>
      <c r="D72" s="115" t="s">
        <v>26</v>
      </c>
      <c r="E72" s="98" t="s">
        <v>832</v>
      </c>
      <c r="F72" s="115" t="s">
        <v>476</v>
      </c>
      <c r="G72" s="115">
        <v>4</v>
      </c>
      <c r="H72" s="115">
        <v>27</v>
      </c>
      <c r="I72" s="194">
        <v>31</v>
      </c>
      <c r="J72" s="116">
        <v>278104</v>
      </c>
      <c r="K72" s="116">
        <v>621879</v>
      </c>
      <c r="L72" s="116">
        <v>32010</v>
      </c>
      <c r="M72" s="195">
        <v>8.2228116710875328E-3</v>
      </c>
      <c r="N72" s="195">
        <v>5.6085885474995139E-3</v>
      </c>
      <c r="O72" s="195">
        <v>2.0358294512463761E-2</v>
      </c>
      <c r="P72" s="195">
        <v>1.506908689101011E-3</v>
      </c>
      <c r="R72" s="204" t="s">
        <v>9</v>
      </c>
      <c r="S72" s="207">
        <f t="shared" si="6"/>
        <v>12</v>
      </c>
      <c r="T72" s="219">
        <f t="shared" si="7"/>
        <v>8</v>
      </c>
    </row>
    <row r="73" spans="1:20" ht="22.5" customHeight="1">
      <c r="A73" s="115">
        <v>43</v>
      </c>
      <c r="B73" s="115" t="s">
        <v>67</v>
      </c>
      <c r="C73" s="115" t="s">
        <v>14</v>
      </c>
      <c r="D73" s="115" t="s">
        <v>26</v>
      </c>
      <c r="E73" s="98" t="s">
        <v>825</v>
      </c>
      <c r="F73" s="115" t="s">
        <v>476</v>
      </c>
      <c r="G73" s="115">
        <v>2</v>
      </c>
      <c r="H73" s="115">
        <v>30</v>
      </c>
      <c r="I73" s="194">
        <v>32</v>
      </c>
      <c r="J73" s="116">
        <v>265781</v>
      </c>
      <c r="K73" s="116">
        <v>991929</v>
      </c>
      <c r="L73" s="116">
        <v>69032</v>
      </c>
      <c r="M73" s="195">
        <v>8.4880636604774528E-3</v>
      </c>
      <c r="N73" s="195">
        <v>5.3600677183462606E-3</v>
      </c>
      <c r="O73" s="195">
        <v>3.2472527159549798E-2</v>
      </c>
      <c r="P73" s="195">
        <v>3.2497632185573568E-3</v>
      </c>
    </row>
    <row r="74" spans="1:20" ht="22.5" customHeight="1">
      <c r="A74" s="115">
        <v>44</v>
      </c>
      <c r="B74" s="115" t="s">
        <v>67</v>
      </c>
      <c r="C74" s="115" t="s">
        <v>794</v>
      </c>
      <c r="D74" s="115" t="s">
        <v>26</v>
      </c>
      <c r="E74" s="98" t="s">
        <v>829</v>
      </c>
      <c r="F74" s="115" t="s">
        <v>476</v>
      </c>
      <c r="G74" s="115">
        <v>2</v>
      </c>
      <c r="H74" s="115">
        <v>26</v>
      </c>
      <c r="I74" s="194">
        <v>28</v>
      </c>
      <c r="J74" s="116">
        <v>248824</v>
      </c>
      <c r="K74" s="116">
        <v>595029</v>
      </c>
      <c r="L74" s="116">
        <v>29763</v>
      </c>
      <c r="M74" s="195">
        <v>7.4270557029177718E-3</v>
      </c>
      <c r="N74" s="195">
        <v>5.0180919251180097E-3</v>
      </c>
      <c r="O74" s="195">
        <v>1.9479312897616417E-2</v>
      </c>
      <c r="P74" s="195">
        <v>1.4011285008970131E-3</v>
      </c>
    </row>
    <row r="75" spans="1:20" ht="22.5" customHeight="1">
      <c r="A75" s="115">
        <v>46</v>
      </c>
      <c r="B75" s="115" t="s">
        <v>11</v>
      </c>
      <c r="C75" s="115" t="s">
        <v>9</v>
      </c>
      <c r="D75" s="115" t="s">
        <v>26</v>
      </c>
      <c r="E75" s="98" t="s">
        <v>826</v>
      </c>
      <c r="F75" s="115" t="s">
        <v>476</v>
      </c>
      <c r="G75" s="115">
        <v>1</v>
      </c>
      <c r="H75" s="115">
        <v>71</v>
      </c>
      <c r="I75" s="194">
        <v>72</v>
      </c>
      <c r="J75" s="116">
        <v>50369</v>
      </c>
      <c r="K75" s="116">
        <v>312017</v>
      </c>
      <c r="L75" s="116">
        <v>749370</v>
      </c>
      <c r="M75" s="195">
        <v>1.9098143236074269E-2</v>
      </c>
      <c r="N75" s="195">
        <v>1.0158034280305318E-3</v>
      </c>
      <c r="O75" s="195">
        <v>1.0214421099434786E-2</v>
      </c>
      <c r="P75" s="195">
        <v>3.5277480923199774E-2</v>
      </c>
    </row>
    <row r="76" spans="1:20" ht="22.5" customHeight="1">
      <c r="A76" s="115">
        <v>47</v>
      </c>
      <c r="B76" s="115" t="s">
        <v>11</v>
      </c>
      <c r="C76" s="115" t="s">
        <v>10</v>
      </c>
      <c r="D76" s="115" t="s">
        <v>26</v>
      </c>
      <c r="E76" s="98" t="s">
        <v>821</v>
      </c>
      <c r="F76" s="115" t="s">
        <v>476</v>
      </c>
      <c r="G76" s="115">
        <v>1</v>
      </c>
      <c r="H76" s="115">
        <v>70</v>
      </c>
      <c r="I76" s="194">
        <v>71</v>
      </c>
      <c r="J76" s="116">
        <v>89407</v>
      </c>
      <c r="K76" s="116">
        <v>234477</v>
      </c>
      <c r="L76" s="116">
        <v>1031163</v>
      </c>
      <c r="M76" s="195">
        <v>1.8832891246684351E-2</v>
      </c>
      <c r="N76" s="195">
        <v>1.8030919234037952E-3</v>
      </c>
      <c r="O76" s="195">
        <v>7.676013858642864E-3</v>
      </c>
      <c r="P76" s="195">
        <v>4.8543220386737453E-2</v>
      </c>
    </row>
    <row r="77" spans="1:20" ht="22.5" customHeight="1">
      <c r="A77" s="115">
        <v>48</v>
      </c>
      <c r="B77" s="115" t="s">
        <v>11</v>
      </c>
      <c r="C77" s="115" t="s">
        <v>10</v>
      </c>
      <c r="D77" s="115" t="s">
        <v>26</v>
      </c>
      <c r="E77" s="98" t="s">
        <v>827</v>
      </c>
      <c r="F77" s="115" t="s">
        <v>476</v>
      </c>
      <c r="G77" s="115">
        <v>1</v>
      </c>
      <c r="H77" s="115">
        <v>67</v>
      </c>
      <c r="I77" s="194">
        <v>68</v>
      </c>
      <c r="J77" s="116">
        <v>67407</v>
      </c>
      <c r="K77" s="116">
        <v>500029</v>
      </c>
      <c r="L77" s="116">
        <v>1173886</v>
      </c>
      <c r="M77" s="195">
        <v>1.8037135278514589E-2</v>
      </c>
      <c r="N77" s="195">
        <v>1.3594127672428291E-3</v>
      </c>
      <c r="O77" s="195">
        <v>1.6369322081582982E-2</v>
      </c>
      <c r="P77" s="195">
        <v>5.5262074770822539E-2</v>
      </c>
    </row>
    <row r="78" spans="1:20" ht="22.5" customHeight="1">
      <c r="A78" s="115">
        <v>49</v>
      </c>
      <c r="B78" s="115" t="s">
        <v>11</v>
      </c>
      <c r="C78" s="115" t="s">
        <v>10</v>
      </c>
      <c r="D78" s="115" t="s">
        <v>26</v>
      </c>
      <c r="E78" s="98" t="s">
        <v>635</v>
      </c>
      <c r="F78" s="115" t="s">
        <v>476</v>
      </c>
      <c r="G78" s="115">
        <v>1</v>
      </c>
      <c r="H78" s="115">
        <v>44</v>
      </c>
      <c r="I78" s="194">
        <v>45</v>
      </c>
      <c r="J78" s="116">
        <v>120261</v>
      </c>
      <c r="K78" s="116">
        <v>388918</v>
      </c>
      <c r="L78" s="116">
        <v>1734235</v>
      </c>
      <c r="M78" s="195">
        <v>1.1936339522546418E-2</v>
      </c>
      <c r="N78" s="195">
        <v>2.425331772685179E-3</v>
      </c>
      <c r="O78" s="195">
        <v>1.2731909559895706E-2</v>
      </c>
      <c r="P78" s="195">
        <v>8.1641168086319646E-2</v>
      </c>
    </row>
    <row r="79" spans="1:20" ht="22.5" customHeight="1">
      <c r="A79" s="115">
        <v>50</v>
      </c>
      <c r="B79" s="115" t="s">
        <v>67</v>
      </c>
      <c r="C79" s="115" t="s">
        <v>14</v>
      </c>
      <c r="D79" s="115" t="s">
        <v>26</v>
      </c>
      <c r="E79" s="98" t="s">
        <v>847</v>
      </c>
      <c r="F79" s="115" t="s">
        <v>476</v>
      </c>
      <c r="G79" s="115">
        <v>1</v>
      </c>
      <c r="H79" s="115">
        <v>36</v>
      </c>
      <c r="I79" s="194">
        <v>37</v>
      </c>
      <c r="J79" s="116">
        <v>252811</v>
      </c>
      <c r="K79" s="116">
        <v>730503</v>
      </c>
      <c r="L79" s="116">
        <v>52383</v>
      </c>
      <c r="M79" s="195">
        <v>9.8143236074270564E-3</v>
      </c>
      <c r="N79" s="195">
        <v>5.0984986885549994E-3</v>
      </c>
      <c r="O79" s="195">
        <v>2.3914290748261825E-2</v>
      </c>
      <c r="P79" s="195">
        <v>2.4659918107209702E-3</v>
      </c>
    </row>
    <row r="80" spans="1:20" ht="22.5" customHeight="1">
      <c r="A80" s="115">
        <v>53</v>
      </c>
      <c r="B80" s="115" t="s">
        <v>67</v>
      </c>
      <c r="C80" s="115" t="s">
        <v>14</v>
      </c>
      <c r="D80" s="115" t="s">
        <v>26</v>
      </c>
      <c r="E80" s="98" t="s">
        <v>836</v>
      </c>
      <c r="F80" s="115" t="s">
        <v>476</v>
      </c>
      <c r="G80" s="115">
        <v>1</v>
      </c>
      <c r="H80" s="115">
        <v>17</v>
      </c>
      <c r="I80" s="194">
        <v>18</v>
      </c>
      <c r="J80" s="116">
        <v>185601</v>
      </c>
      <c r="K80" s="116">
        <v>582181</v>
      </c>
      <c r="L80" s="116">
        <v>23230</v>
      </c>
      <c r="M80" s="195">
        <v>4.7745358090185673E-3</v>
      </c>
      <c r="N80" s="195">
        <v>3.7430588664832485E-3</v>
      </c>
      <c r="O80" s="195">
        <v>1.9058711192306968E-2</v>
      </c>
      <c r="P80" s="195">
        <v>1.0935797828121364E-3</v>
      </c>
    </row>
    <row r="81" spans="1:16" ht="22.5" customHeight="1">
      <c r="A81" s="115">
        <v>55</v>
      </c>
      <c r="B81" s="115" t="s">
        <v>67</v>
      </c>
      <c r="C81" s="115" t="s">
        <v>14</v>
      </c>
      <c r="D81" s="115" t="s">
        <v>26</v>
      </c>
      <c r="E81" s="98" t="s">
        <v>841</v>
      </c>
      <c r="F81" s="115" t="s">
        <v>476</v>
      </c>
      <c r="G81" s="115">
        <v>1</v>
      </c>
      <c r="H81" s="115">
        <v>15</v>
      </c>
      <c r="I81" s="194">
        <v>16</v>
      </c>
      <c r="J81" s="116">
        <v>141558</v>
      </c>
      <c r="K81" s="116">
        <v>714188</v>
      </c>
      <c r="L81" s="116">
        <v>48633</v>
      </c>
      <c r="M81" s="195">
        <v>4.2440318302387264E-3</v>
      </c>
      <c r="N81" s="195">
        <v>2.8548333630833652E-3</v>
      </c>
      <c r="O81" s="195">
        <v>2.3380190746539874E-2</v>
      </c>
      <c r="P81" s="195">
        <v>2.2894561161215079E-3</v>
      </c>
    </row>
    <row r="82" spans="1:16" ht="22.5" customHeight="1">
      <c r="A82" s="115">
        <v>56</v>
      </c>
      <c r="B82" s="115" t="s">
        <v>11</v>
      </c>
      <c r="C82" s="115" t="s">
        <v>9</v>
      </c>
      <c r="D82" s="115" t="s">
        <v>26</v>
      </c>
      <c r="E82" s="98" t="s">
        <v>848</v>
      </c>
      <c r="F82" s="115" t="s">
        <v>476</v>
      </c>
      <c r="G82" s="115">
        <v>1</v>
      </c>
      <c r="H82" s="115">
        <v>15</v>
      </c>
      <c r="I82" s="194">
        <v>16</v>
      </c>
      <c r="J82" s="116">
        <v>92857</v>
      </c>
      <c r="K82" s="116">
        <v>573839</v>
      </c>
      <c r="L82" s="116">
        <v>874935</v>
      </c>
      <c r="M82" s="195">
        <v>4.2440318302387264E-3</v>
      </c>
      <c r="N82" s="195">
        <v>1.872668881983583E-3</v>
      </c>
      <c r="O82" s="195">
        <v>1.8785621261913802E-2</v>
      </c>
      <c r="P82" s="195">
        <v>4.118860212116817E-2</v>
      </c>
    </row>
    <row r="83" spans="1:16" ht="22.5" customHeight="1">
      <c r="A83" s="115">
        <v>58</v>
      </c>
      <c r="B83" s="115" t="s">
        <v>11</v>
      </c>
      <c r="C83" s="115" t="s">
        <v>9</v>
      </c>
      <c r="D83" s="115" t="s">
        <v>26</v>
      </c>
      <c r="E83" s="98" t="s">
        <v>819</v>
      </c>
      <c r="F83" s="115" t="s">
        <v>476</v>
      </c>
      <c r="G83" s="115">
        <v>0</v>
      </c>
      <c r="H83" s="115">
        <v>100</v>
      </c>
      <c r="I83" s="194">
        <v>100</v>
      </c>
      <c r="J83" s="116">
        <v>71270</v>
      </c>
      <c r="K83" s="116">
        <v>252629</v>
      </c>
      <c r="L83" s="116">
        <v>1430869</v>
      </c>
      <c r="M83" s="195">
        <v>2.6525198938992044E-2</v>
      </c>
      <c r="N83" s="195">
        <v>1.4373187936178205E-3</v>
      </c>
      <c r="O83" s="195">
        <v>8.2702512617232743E-3</v>
      </c>
      <c r="P83" s="195">
        <v>6.7359854078890183E-2</v>
      </c>
    </row>
    <row r="84" spans="1:16" ht="22.5" customHeight="1">
      <c r="A84" s="115">
        <v>59</v>
      </c>
      <c r="B84" s="115" t="s">
        <v>11</v>
      </c>
      <c r="C84" s="115" t="s">
        <v>9</v>
      </c>
      <c r="D84" s="115" t="s">
        <v>26</v>
      </c>
      <c r="E84" s="98" t="s">
        <v>802</v>
      </c>
      <c r="F84" s="115" t="s">
        <v>476</v>
      </c>
      <c r="G84" s="115">
        <v>0</v>
      </c>
      <c r="H84" s="115">
        <v>99</v>
      </c>
      <c r="I84" s="194">
        <v>99</v>
      </c>
      <c r="J84" s="116">
        <v>6904</v>
      </c>
      <c r="K84" s="116">
        <v>251776</v>
      </c>
      <c r="L84" s="116">
        <v>1019326</v>
      </c>
      <c r="M84" s="195">
        <v>2.6259946949602122E-2</v>
      </c>
      <c r="N84" s="195">
        <v>1.3923458609705955E-4</v>
      </c>
      <c r="O84" s="195">
        <v>8.2423268178698373E-3</v>
      </c>
      <c r="P84" s="195">
        <v>4.7985979582211097E-2</v>
      </c>
    </row>
    <row r="85" spans="1:16" ht="22.5" customHeight="1">
      <c r="A85" s="115">
        <v>60</v>
      </c>
      <c r="B85" s="115" t="s">
        <v>11</v>
      </c>
      <c r="C85" s="115" t="s">
        <v>9</v>
      </c>
      <c r="D85" s="115" t="s">
        <v>26</v>
      </c>
      <c r="E85" s="98" t="s">
        <v>799</v>
      </c>
      <c r="F85" s="115" t="s">
        <v>476</v>
      </c>
      <c r="G85" s="115">
        <v>0</v>
      </c>
      <c r="H85" s="115">
        <v>89</v>
      </c>
      <c r="I85" s="194">
        <v>89</v>
      </c>
      <c r="J85" s="116">
        <v>18676</v>
      </c>
      <c r="K85" s="116">
        <v>213866</v>
      </c>
      <c r="L85" s="116">
        <v>631895</v>
      </c>
      <c r="M85" s="195">
        <v>2.3607427055702918E-2</v>
      </c>
      <c r="N85" s="195">
        <v>3.7664326911191832E-4</v>
      </c>
      <c r="O85" s="195">
        <v>7.0012767985453365E-3</v>
      </c>
      <c r="P85" s="195">
        <v>2.9747206063713946E-2</v>
      </c>
    </row>
    <row r="86" spans="1:16" ht="22.5" customHeight="1">
      <c r="A86" s="115">
        <v>61</v>
      </c>
      <c r="B86" s="115" t="s">
        <v>11</v>
      </c>
      <c r="C86" s="115" t="s">
        <v>9</v>
      </c>
      <c r="D86" s="115" t="s">
        <v>26</v>
      </c>
      <c r="E86" s="98" t="s">
        <v>822</v>
      </c>
      <c r="F86" s="115" t="s">
        <v>476</v>
      </c>
      <c r="G86" s="115">
        <v>0</v>
      </c>
      <c r="H86" s="115">
        <v>80</v>
      </c>
      <c r="I86" s="194">
        <v>80</v>
      </c>
      <c r="J86" s="116">
        <v>68814</v>
      </c>
      <c r="K86" s="116">
        <v>259645</v>
      </c>
      <c r="L86" s="116">
        <v>859614</v>
      </c>
      <c r="M86" s="195">
        <v>2.1220159151193633E-2</v>
      </c>
      <c r="N86" s="195">
        <v>1.3877880660027599E-3</v>
      </c>
      <c r="O86" s="195">
        <v>8.4999322676737009E-3</v>
      </c>
      <c r="P86" s="195">
        <v>4.0467347887312606E-2</v>
      </c>
    </row>
    <row r="87" spans="1:16" ht="22.5" customHeight="1">
      <c r="A87" s="115">
        <v>62</v>
      </c>
      <c r="B87" s="115" t="s">
        <v>11</v>
      </c>
      <c r="C87" s="115" t="s">
        <v>9</v>
      </c>
      <c r="D87" s="115" t="s">
        <v>26</v>
      </c>
      <c r="E87" s="98" t="s">
        <v>818</v>
      </c>
      <c r="F87" s="115" t="s">
        <v>476</v>
      </c>
      <c r="G87" s="115">
        <v>0</v>
      </c>
      <c r="H87" s="115">
        <v>77</v>
      </c>
      <c r="I87" s="194">
        <v>77</v>
      </c>
      <c r="J87" s="116">
        <v>965</v>
      </c>
      <c r="K87" s="116">
        <v>171293</v>
      </c>
      <c r="L87" s="116">
        <v>1008975</v>
      </c>
      <c r="M87" s="195">
        <v>2.0424403183023871E-2</v>
      </c>
      <c r="N87" s="195">
        <v>1.9461381167969647E-5</v>
      </c>
      <c r="O87" s="195">
        <v>5.6075753352717419E-3</v>
      </c>
      <c r="P87" s="195">
        <v>4.7498693988931355E-2</v>
      </c>
    </row>
    <row r="88" spans="1:16" ht="22.5" customHeight="1">
      <c r="A88" s="115">
        <v>63</v>
      </c>
      <c r="B88" s="115" t="s">
        <v>11</v>
      </c>
      <c r="C88" s="115" t="s">
        <v>9</v>
      </c>
      <c r="D88" s="115" t="s">
        <v>26</v>
      </c>
      <c r="E88" s="98" t="s">
        <v>823</v>
      </c>
      <c r="F88" s="115" t="s">
        <v>476</v>
      </c>
      <c r="G88" s="115">
        <v>0</v>
      </c>
      <c r="H88" s="115">
        <v>76</v>
      </c>
      <c r="I88" s="194">
        <v>76</v>
      </c>
      <c r="J88" s="116">
        <v>2193</v>
      </c>
      <c r="K88" s="116">
        <v>291910</v>
      </c>
      <c r="L88" s="116">
        <v>794468</v>
      </c>
      <c r="M88" s="195">
        <v>2.0159151193633953E-2</v>
      </c>
      <c r="N88" s="195">
        <v>4.4226744975499936E-5</v>
      </c>
      <c r="O88" s="195">
        <v>9.5561833590349522E-3</v>
      </c>
      <c r="P88" s="195">
        <v>3.7400522724545519E-2</v>
      </c>
    </row>
    <row r="89" spans="1:16" ht="22.5" customHeight="1">
      <c r="A89" s="115">
        <v>64</v>
      </c>
      <c r="B89" s="115" t="s">
        <v>11</v>
      </c>
      <c r="C89" s="115" t="s">
        <v>10</v>
      </c>
      <c r="D89" s="115" t="s">
        <v>26</v>
      </c>
      <c r="E89" s="98" t="s">
        <v>811</v>
      </c>
      <c r="F89" s="115" t="s">
        <v>476</v>
      </c>
      <c r="G89" s="115">
        <v>0</v>
      </c>
      <c r="H89" s="115">
        <v>72</v>
      </c>
      <c r="I89" s="194">
        <v>72</v>
      </c>
      <c r="J89" s="116">
        <v>45269</v>
      </c>
      <c r="K89" s="116">
        <v>501735</v>
      </c>
      <c r="L89" s="116">
        <v>1737856</v>
      </c>
      <c r="M89" s="195">
        <v>1.9098143236074269E-2</v>
      </c>
      <c r="N89" s="195">
        <v>9.1295053273867147E-4</v>
      </c>
      <c r="O89" s="195">
        <v>1.6425170969289856E-2</v>
      </c>
      <c r="P89" s="195">
        <v>8.1811630953024891E-2</v>
      </c>
    </row>
    <row r="90" spans="1:16" ht="22.5" customHeight="1">
      <c r="A90" s="115">
        <v>65</v>
      </c>
      <c r="B90" s="115" t="s">
        <v>11</v>
      </c>
      <c r="C90" s="115" t="s">
        <v>9</v>
      </c>
      <c r="D90" s="115" t="s">
        <v>26</v>
      </c>
      <c r="E90" s="98" t="s">
        <v>419</v>
      </c>
      <c r="F90" s="115" t="s">
        <v>476</v>
      </c>
      <c r="G90" s="115">
        <v>0</v>
      </c>
      <c r="H90" s="115">
        <v>69</v>
      </c>
      <c r="I90" s="194">
        <v>69</v>
      </c>
      <c r="J90" s="116">
        <v>30119</v>
      </c>
      <c r="K90" s="116">
        <v>264722</v>
      </c>
      <c r="L90" s="116">
        <v>587491</v>
      </c>
      <c r="M90" s="195">
        <v>1.8302387267904511E-2</v>
      </c>
      <c r="N90" s="195">
        <v>6.0741693201873351E-4</v>
      </c>
      <c r="O90" s="195">
        <v>8.6661367242316153E-3</v>
      </c>
      <c r="P90" s="195">
        <v>2.7656835134915403E-2</v>
      </c>
    </row>
    <row r="91" spans="1:16" ht="22.5" customHeight="1">
      <c r="A91" s="115">
        <v>66</v>
      </c>
      <c r="B91" s="115" t="s">
        <v>11</v>
      </c>
      <c r="C91" s="115" t="s">
        <v>9</v>
      </c>
      <c r="D91" s="115" t="s">
        <v>26</v>
      </c>
      <c r="E91" s="98" t="s">
        <v>812</v>
      </c>
      <c r="F91" s="115" t="s">
        <v>476</v>
      </c>
      <c r="G91" s="115">
        <v>0</v>
      </c>
      <c r="H91" s="115">
        <v>65</v>
      </c>
      <c r="I91" s="194">
        <v>65</v>
      </c>
      <c r="J91" s="116">
        <v>153</v>
      </c>
      <c r="K91" s="116">
        <v>536534</v>
      </c>
      <c r="L91" s="116">
        <v>1164013</v>
      </c>
      <c r="M91" s="195">
        <v>1.7241379310344827E-2</v>
      </c>
      <c r="N91" s="195">
        <v>3.0855868587558093E-6</v>
      </c>
      <c r="O91" s="195">
        <v>1.7564376973575619E-2</v>
      </c>
      <c r="P91" s="195">
        <v>5.4797291594081074E-2</v>
      </c>
    </row>
    <row r="92" spans="1:16" ht="22.5" customHeight="1">
      <c r="A92" s="115">
        <v>67</v>
      </c>
      <c r="B92" s="115" t="s">
        <v>11</v>
      </c>
      <c r="C92" s="115" t="s">
        <v>9</v>
      </c>
      <c r="D92" s="115" t="s">
        <v>26</v>
      </c>
      <c r="E92" s="98" t="s">
        <v>830</v>
      </c>
      <c r="F92" s="115" t="s">
        <v>476</v>
      </c>
      <c r="G92" s="115">
        <v>0</v>
      </c>
      <c r="H92" s="115">
        <v>59</v>
      </c>
      <c r="I92" s="194">
        <v>59</v>
      </c>
      <c r="J92" s="116">
        <v>53736</v>
      </c>
      <c r="K92" s="116">
        <v>577929</v>
      </c>
      <c r="L92" s="116">
        <v>414734</v>
      </c>
      <c r="M92" s="195">
        <v>1.5649867374005304E-2</v>
      </c>
      <c r="N92" s="195">
        <v>1.0837065061575306E-3</v>
      </c>
      <c r="O92" s="195">
        <v>1.8919514550730401E-2</v>
      </c>
      <c r="P92" s="195">
        <v>1.9524094603736917E-2</v>
      </c>
    </row>
    <row r="93" spans="1:16" ht="22.5" customHeight="1">
      <c r="A93" s="115">
        <v>68</v>
      </c>
      <c r="B93" s="115" t="s">
        <v>11</v>
      </c>
      <c r="C93" s="115" t="s">
        <v>10</v>
      </c>
      <c r="D93" s="115" t="s">
        <v>26</v>
      </c>
      <c r="E93" s="98" t="s">
        <v>828</v>
      </c>
      <c r="F93" s="115" t="s">
        <v>476</v>
      </c>
      <c r="G93" s="115">
        <v>0</v>
      </c>
      <c r="H93" s="115">
        <v>53</v>
      </c>
      <c r="I93" s="194">
        <v>53</v>
      </c>
      <c r="J93" s="116">
        <v>46254</v>
      </c>
      <c r="K93" s="116">
        <v>1015562</v>
      </c>
      <c r="L93" s="116">
        <v>1647444</v>
      </c>
      <c r="M93" s="195">
        <v>1.4058355437665782E-2</v>
      </c>
      <c r="N93" s="195">
        <v>9.3281525859406026E-4</v>
      </c>
      <c r="O93" s="195">
        <v>3.3246194664342622E-2</v>
      </c>
      <c r="P93" s="195">
        <v>7.7555378894324456E-2</v>
      </c>
    </row>
    <row r="94" spans="1:16" ht="22.5" customHeight="1">
      <c r="A94" s="115">
        <v>69</v>
      </c>
      <c r="B94" s="115" t="s">
        <v>11</v>
      </c>
      <c r="C94" s="115" t="s">
        <v>9</v>
      </c>
      <c r="D94" s="115" t="s">
        <v>26</v>
      </c>
      <c r="E94" s="98" t="s">
        <v>838</v>
      </c>
      <c r="F94" s="115" t="s">
        <v>476</v>
      </c>
      <c r="G94" s="115">
        <v>0</v>
      </c>
      <c r="H94" s="115">
        <v>53</v>
      </c>
      <c r="I94" s="194">
        <v>53</v>
      </c>
      <c r="J94" s="116">
        <v>1405</v>
      </c>
      <c r="K94" s="116">
        <v>517618</v>
      </c>
      <c r="L94" s="116">
        <v>1786895</v>
      </c>
      <c r="M94" s="195">
        <v>1.4058355437665782E-2</v>
      </c>
      <c r="N94" s="195">
        <v>2.8334964291188969E-5</v>
      </c>
      <c r="O94" s="195">
        <v>1.6945128696985213E-2</v>
      </c>
      <c r="P94" s="195">
        <v>8.4120200000348366E-2</v>
      </c>
    </row>
    <row r="95" spans="1:16" ht="22.5" customHeight="1">
      <c r="A95" s="115">
        <v>88</v>
      </c>
      <c r="B95" s="115" t="s">
        <v>67</v>
      </c>
      <c r="C95" s="115" t="s">
        <v>14</v>
      </c>
      <c r="D95" s="115" t="s">
        <v>26</v>
      </c>
      <c r="E95" s="98" t="s">
        <v>820</v>
      </c>
      <c r="F95" s="115" t="s">
        <v>476</v>
      </c>
      <c r="G95" s="115">
        <v>0</v>
      </c>
      <c r="H95" s="115">
        <v>13</v>
      </c>
      <c r="I95" s="194">
        <v>13</v>
      </c>
      <c r="J95" s="116">
        <v>35503</v>
      </c>
      <c r="K95" s="116">
        <v>755552</v>
      </c>
      <c r="L95" s="116">
        <v>2627</v>
      </c>
      <c r="M95" s="195">
        <v>3.4482758620689655E-3</v>
      </c>
      <c r="N95" s="195">
        <v>7.1599732187194447E-4</v>
      </c>
      <c r="O95" s="195">
        <v>2.4734313484586264E-2</v>
      </c>
      <c r="P95" s="195">
        <v>1.2366913859007672E-4</v>
      </c>
    </row>
    <row r="96" spans="1:16" ht="22.5" customHeight="1">
      <c r="A96" s="115">
        <v>91</v>
      </c>
      <c r="B96" s="115" t="s">
        <v>11</v>
      </c>
      <c r="C96" s="115" t="s">
        <v>10</v>
      </c>
      <c r="D96" s="115" t="s">
        <v>26</v>
      </c>
      <c r="E96" s="98" t="s">
        <v>849</v>
      </c>
      <c r="F96" s="115" t="s">
        <v>476</v>
      </c>
      <c r="G96" s="115">
        <v>0</v>
      </c>
      <c r="H96" s="115">
        <v>11</v>
      </c>
      <c r="I96" s="194">
        <v>11</v>
      </c>
      <c r="J96" s="116">
        <v>56040</v>
      </c>
      <c r="K96" s="116">
        <v>461837</v>
      </c>
      <c r="L96" s="116">
        <v>1556232</v>
      </c>
      <c r="M96" s="195">
        <v>2.9177718832891246E-3</v>
      </c>
      <c r="N96" s="195">
        <v>1.1301718141482062E-3</v>
      </c>
      <c r="O96" s="195">
        <v>1.5119040300046675E-2</v>
      </c>
      <c r="P96" s="195">
        <v>7.3261465887442812E-2</v>
      </c>
    </row>
    <row r="97" spans="1:16" ht="22.5" customHeight="1">
      <c r="A97" s="115">
        <v>93</v>
      </c>
      <c r="B97" s="115" t="s">
        <v>67</v>
      </c>
      <c r="C97" s="115" t="s">
        <v>14</v>
      </c>
      <c r="D97" s="115" t="s">
        <v>26</v>
      </c>
      <c r="E97" s="98" t="s">
        <v>566</v>
      </c>
      <c r="F97" s="115" t="s">
        <v>476</v>
      </c>
      <c r="G97" s="115">
        <v>0</v>
      </c>
      <c r="H97" s="115">
        <v>9</v>
      </c>
      <c r="I97" s="194">
        <v>9</v>
      </c>
      <c r="J97" s="116">
        <v>55169</v>
      </c>
      <c r="K97" s="116">
        <v>293528</v>
      </c>
      <c r="L97" s="116">
        <v>9976</v>
      </c>
      <c r="M97" s="195">
        <v>2.3872679045092837E-3</v>
      </c>
      <c r="N97" s="195">
        <v>1.1126061530111063E-3</v>
      </c>
      <c r="O97" s="195">
        <v>9.6091514131438158E-3</v>
      </c>
      <c r="P97" s="195">
        <v>4.696320238197965E-4</v>
      </c>
    </row>
    <row r="98" spans="1:16" ht="22.5" hidden="1" customHeight="1">
      <c r="A98" s="115"/>
      <c r="B98" s="115" t="e">
        <f>VLOOKUP(C98,Lists!I:J,2,FALSE)</f>
        <v>#N/A</v>
      </c>
      <c r="C98" s="115" t="e">
        <f>VLOOKUP(E98,Lists!E:F,2,FALSE)</f>
        <v>#N/A</v>
      </c>
      <c r="D98" s="115"/>
      <c r="E98" s="98"/>
      <c r="F98" s="115"/>
      <c r="G98" s="115"/>
      <c r="H98" s="115"/>
      <c r="I98" s="194">
        <f t="shared" ref="I98:I104" si="8">SUM(G98:H98)</f>
        <v>0</v>
      </c>
      <c r="J98" s="116"/>
      <c r="K98" s="116"/>
      <c r="L98" s="116"/>
      <c r="M98" s="195" t="e">
        <f>I98/(HLOOKUP(F98,Team_Composition_13[[#All],[Yellow]:[Red]],10,FALSE)+HLOOKUP(F98,Team_Composition_13[[#All],[Yellow]:[Red]],11,FALSE))</f>
        <v>#N/A</v>
      </c>
      <c r="N98" s="195" t="e">
        <f>J98/HLOOKUP(F98,Team_Composition_13[[#All],[Yellow]:[Red]],6,FALSE)</f>
        <v>#N/A</v>
      </c>
      <c r="O98" s="195" t="e">
        <f>K98/HLOOKUP(F98,Team_Composition_13[[#All],[Yellow]:[Red]],8,FALSE)</f>
        <v>#N/A</v>
      </c>
      <c r="P98" s="195" t="e">
        <f>L98/HLOOKUP(F98,Team_Composition_13[[#All],[Yellow]:[Red]],7,FALSE)</f>
        <v>#N/A</v>
      </c>
    </row>
    <row r="99" spans="1:16" ht="22.5" hidden="1" customHeight="1">
      <c r="A99" s="115"/>
      <c r="B99" s="115" t="e">
        <f>VLOOKUP(C99,Lists!I:J,2,FALSE)</f>
        <v>#N/A</v>
      </c>
      <c r="C99" s="115" t="e">
        <f>VLOOKUP(E99,Lists!E:F,2,FALSE)</f>
        <v>#N/A</v>
      </c>
      <c r="D99" s="115"/>
      <c r="E99" s="98"/>
      <c r="F99" s="115"/>
      <c r="G99" s="115"/>
      <c r="H99" s="115"/>
      <c r="I99" s="194">
        <f t="shared" si="8"/>
        <v>0</v>
      </c>
      <c r="J99" s="116"/>
      <c r="K99" s="116"/>
      <c r="L99" s="116"/>
      <c r="M99" s="195" t="e">
        <f>I99/(HLOOKUP(F99,Team_Composition_13[[#All],[Yellow]:[Red]],10,FALSE)+HLOOKUP(F99,Team_Composition_13[[#All],[Yellow]:[Red]],11,FALSE))</f>
        <v>#N/A</v>
      </c>
      <c r="N99" s="195" t="e">
        <f>J99/HLOOKUP(F99,Team_Composition_13[[#All],[Yellow]:[Red]],6,FALSE)</f>
        <v>#N/A</v>
      </c>
      <c r="O99" s="195" t="e">
        <f>K99/HLOOKUP(F99,Team_Composition_13[[#All],[Yellow]:[Red]],8,FALSE)</f>
        <v>#N/A</v>
      </c>
      <c r="P99" s="195" t="e">
        <f>L99/HLOOKUP(F99,Team_Composition_13[[#All],[Yellow]:[Red]],7,FALSE)</f>
        <v>#N/A</v>
      </c>
    </row>
    <row r="100" spans="1:16" ht="22.5" hidden="1" customHeight="1">
      <c r="A100" s="115"/>
      <c r="B100" s="115" t="e">
        <f>VLOOKUP(C100,Lists!I:J,2,FALSE)</f>
        <v>#N/A</v>
      </c>
      <c r="C100" s="115" t="e">
        <f>VLOOKUP(E100,Lists!E:F,2,FALSE)</f>
        <v>#N/A</v>
      </c>
      <c r="D100" s="115"/>
      <c r="E100" s="98"/>
      <c r="F100" s="115"/>
      <c r="G100" s="115"/>
      <c r="H100" s="115"/>
      <c r="I100" s="194">
        <f t="shared" si="8"/>
        <v>0</v>
      </c>
      <c r="J100" s="116"/>
      <c r="K100" s="116"/>
      <c r="L100" s="116"/>
      <c r="M100" s="195" t="e">
        <f>I100/(HLOOKUP(F100,Team_Composition_13[[#All],[Yellow]:[Red]],10,FALSE)+HLOOKUP(F100,Team_Composition_13[[#All],[Yellow]:[Red]],11,FALSE))</f>
        <v>#N/A</v>
      </c>
      <c r="N100" s="195" t="e">
        <f>J100/HLOOKUP(F100,Team_Composition_13[[#All],[Yellow]:[Red]],6,FALSE)</f>
        <v>#N/A</v>
      </c>
      <c r="O100" s="195" t="e">
        <f>K100/HLOOKUP(F100,Team_Composition_13[[#All],[Yellow]:[Red]],8,FALSE)</f>
        <v>#N/A</v>
      </c>
      <c r="P100" s="195" t="e">
        <f>L100/HLOOKUP(F100,Team_Composition_13[[#All],[Yellow]:[Red]],7,FALSE)</f>
        <v>#N/A</v>
      </c>
    </row>
    <row r="101" spans="1:16" ht="22.5" hidden="1" customHeight="1">
      <c r="A101" s="115"/>
      <c r="B101" s="115" t="e">
        <f>VLOOKUP(C101,Lists!I:J,2,FALSE)</f>
        <v>#N/A</v>
      </c>
      <c r="C101" s="115" t="e">
        <f>VLOOKUP(E101,Lists!E:F,2,FALSE)</f>
        <v>#N/A</v>
      </c>
      <c r="D101" s="115"/>
      <c r="E101" s="98"/>
      <c r="F101" s="115"/>
      <c r="G101" s="115"/>
      <c r="H101" s="115"/>
      <c r="I101" s="194">
        <f t="shared" si="8"/>
        <v>0</v>
      </c>
      <c r="J101" s="116"/>
      <c r="K101" s="116"/>
      <c r="L101" s="116"/>
      <c r="M101" s="195" t="e">
        <f>I101/(HLOOKUP(F101,Team_Composition_13[[#All],[Yellow]:[Red]],10,FALSE)+HLOOKUP(F101,Team_Composition_13[[#All],[Yellow]:[Red]],11,FALSE))</f>
        <v>#N/A</v>
      </c>
      <c r="N101" s="195" t="e">
        <f>J101/HLOOKUP(F101,Team_Composition_13[[#All],[Yellow]:[Red]],6,FALSE)</f>
        <v>#N/A</v>
      </c>
      <c r="O101" s="195" t="e">
        <f>K101/HLOOKUP(F101,Team_Composition_13[[#All],[Yellow]:[Red]],8,FALSE)</f>
        <v>#N/A</v>
      </c>
      <c r="P101" s="195" t="e">
        <f>L101/HLOOKUP(F101,Team_Composition_13[[#All],[Yellow]:[Red]],7,FALSE)</f>
        <v>#N/A</v>
      </c>
    </row>
    <row r="102" spans="1:16" ht="22.5" hidden="1" customHeight="1">
      <c r="A102" s="115"/>
      <c r="B102" s="115" t="e">
        <f>VLOOKUP(C102,Lists!I:J,2,FALSE)</f>
        <v>#N/A</v>
      </c>
      <c r="C102" s="115" t="e">
        <f>VLOOKUP(E102,Lists!E:F,2,FALSE)</f>
        <v>#N/A</v>
      </c>
      <c r="D102" s="115"/>
      <c r="E102" s="98"/>
      <c r="F102" s="115"/>
      <c r="G102" s="115"/>
      <c r="H102" s="115"/>
      <c r="I102" s="194">
        <f t="shared" si="8"/>
        <v>0</v>
      </c>
      <c r="J102" s="116"/>
      <c r="K102" s="116"/>
      <c r="L102" s="116"/>
      <c r="M102" s="195" t="e">
        <f>I102/(HLOOKUP(F102,Team_Composition_13[[#All],[Yellow]:[Red]],10,FALSE)+HLOOKUP(F102,Team_Composition_13[[#All],[Yellow]:[Red]],11,FALSE))</f>
        <v>#N/A</v>
      </c>
      <c r="N102" s="195" t="e">
        <f>J102/HLOOKUP(F102,Team_Composition_13[[#All],[Yellow]:[Red]],6,FALSE)</f>
        <v>#N/A</v>
      </c>
      <c r="O102" s="195" t="e">
        <f>K102/HLOOKUP(F102,Team_Composition_13[[#All],[Yellow]:[Red]],8,FALSE)</f>
        <v>#N/A</v>
      </c>
      <c r="P102" s="195" t="e">
        <f>L102/HLOOKUP(F102,Team_Composition_13[[#All],[Yellow]:[Red]],7,FALSE)</f>
        <v>#N/A</v>
      </c>
    </row>
    <row r="103" spans="1:16" ht="22.5" hidden="1" customHeight="1">
      <c r="A103" s="115"/>
      <c r="B103" s="115" t="e">
        <f>VLOOKUP(C103,Lists!I:J,2,FALSE)</f>
        <v>#N/A</v>
      </c>
      <c r="C103" s="115" t="e">
        <f>VLOOKUP(E103,Lists!E:F,2,FALSE)</f>
        <v>#N/A</v>
      </c>
      <c r="D103" s="115"/>
      <c r="E103" s="98"/>
      <c r="F103" s="115"/>
      <c r="G103" s="115"/>
      <c r="H103" s="115"/>
      <c r="I103" s="194">
        <f t="shared" si="8"/>
        <v>0</v>
      </c>
      <c r="J103" s="116"/>
      <c r="K103" s="116"/>
      <c r="L103" s="116"/>
      <c r="M103" s="195" t="e">
        <f>I103/(HLOOKUP(F103,Team_Composition_13[[#All],[Yellow]:[Red]],10,FALSE)+HLOOKUP(F103,Team_Composition_13[[#All],[Yellow]:[Red]],11,FALSE))</f>
        <v>#N/A</v>
      </c>
      <c r="N103" s="195" t="e">
        <f>J103/HLOOKUP(F103,Team_Composition_13[[#All],[Yellow]:[Red]],6,FALSE)</f>
        <v>#N/A</v>
      </c>
      <c r="O103" s="195" t="e">
        <f>K103/HLOOKUP(F103,Team_Composition_13[[#All],[Yellow]:[Red]],8,FALSE)</f>
        <v>#N/A</v>
      </c>
      <c r="P103" s="195" t="e">
        <f>L103/HLOOKUP(F103,Team_Composition_13[[#All],[Yellow]:[Red]],7,FALSE)</f>
        <v>#N/A</v>
      </c>
    </row>
    <row r="104" spans="1:16" ht="22.5" hidden="1" customHeight="1">
      <c r="A104" s="115"/>
      <c r="B104" s="115" t="e">
        <f>VLOOKUP(C104,Lists!I:J,2,FALSE)</f>
        <v>#N/A</v>
      </c>
      <c r="C104" s="115" t="e">
        <f>VLOOKUP(E104,Lists!E:F,2,FALSE)</f>
        <v>#N/A</v>
      </c>
      <c r="D104" s="115"/>
      <c r="E104" s="98"/>
      <c r="F104" s="115"/>
      <c r="G104" s="115"/>
      <c r="H104" s="115"/>
      <c r="I104" s="194">
        <f t="shared" si="8"/>
        <v>0</v>
      </c>
      <c r="J104" s="116"/>
      <c r="K104" s="116"/>
      <c r="L104" s="116"/>
      <c r="M104" s="195" t="e">
        <f>I104/(HLOOKUP(F104,Team_Composition_13[[#All],[Yellow]:[Red]],10,FALSE)+HLOOKUP(F104,Team_Composition_13[[#All],[Yellow]:[Red]],11,FALSE))</f>
        <v>#N/A</v>
      </c>
      <c r="N104" s="195" t="e">
        <f>J104/HLOOKUP(F104,Team_Composition_13[[#All],[Yellow]:[Red]],6,FALSE)</f>
        <v>#N/A</v>
      </c>
      <c r="O104" s="195" t="e">
        <f>K104/HLOOKUP(F104,Team_Composition_13[[#All],[Yellow]:[Red]],8,FALSE)</f>
        <v>#N/A</v>
      </c>
      <c r="P104" s="195" t="e">
        <f>L104/HLOOKUP(F104,Team_Composition_13[[#All],[Yellow]:[Red]],7,FALSE)</f>
        <v>#N/A</v>
      </c>
    </row>
  </sheetData>
  <mergeCells count="9">
    <mergeCell ref="R49:T49"/>
    <mergeCell ref="R64:T64"/>
    <mergeCell ref="R2:T2"/>
    <mergeCell ref="V2:W2"/>
    <mergeCell ref="Y2:Z2"/>
    <mergeCell ref="R15:T15"/>
    <mergeCell ref="V15:W15"/>
    <mergeCell ref="Y15:Z15"/>
    <mergeCell ref="R29:T29"/>
  </mergeCells>
  <dataValidations count="4">
    <dataValidation type="list" allowBlank="1" sqref="B2:D104" xr:uid="{00000000-0002-0000-2100-000000000000}">
      <formula1>#REF!</formula1>
    </dataValidation>
    <dataValidation type="list" allowBlank="1" sqref="F2:F104" xr:uid="{00000000-0002-0000-2100-000002000000}">
      <formula1>"Yellow,Red"</formula1>
    </dataValidation>
    <dataValidation type="custom" allowBlank="1" showDropDown="1" sqref="S4:T13 S17:T26 S31:T47 S51:T61 S66:T72 A2:A104 G2:L104" xr:uid="{00000000-0002-0000-2100-000003000000}">
      <formula1>AND(ISNUMBER(A2),(NOT(OR(NOT(ISERROR(DATEVALUE(A2))), AND(ISNUMBER(A2), LEFT(CELL("format", A2))="D")))))</formula1>
    </dataValidation>
    <dataValidation allowBlank="1" showDropDown="1" sqref="E2:E104" xr:uid="{00000000-0002-0000-21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3</v>
      </c>
      <c r="B2" s="115" t="s">
        <v>25</v>
      </c>
      <c r="C2" s="115" t="s">
        <v>23</v>
      </c>
      <c r="D2" s="115" t="s">
        <v>7</v>
      </c>
      <c r="E2" s="98" t="s">
        <v>47</v>
      </c>
      <c r="F2" s="115" t="s">
        <v>476</v>
      </c>
      <c r="G2" s="115">
        <v>42</v>
      </c>
      <c r="H2" s="115">
        <v>97</v>
      </c>
      <c r="I2" s="194">
        <v>139</v>
      </c>
      <c r="J2" s="116">
        <v>2982973</v>
      </c>
      <c r="K2" s="116">
        <v>960419</v>
      </c>
      <c r="L2" s="116">
        <v>32474</v>
      </c>
      <c r="M2" s="195">
        <v>5.6116269681065804E-2</v>
      </c>
      <c r="N2" s="195">
        <v>7.8924255048036282E-2</v>
      </c>
      <c r="O2" s="195">
        <v>3.3258255564899204E-2</v>
      </c>
      <c r="P2" s="195">
        <v>1.5857705101865269E-3</v>
      </c>
      <c r="R2" s="232" t="s">
        <v>477</v>
      </c>
      <c r="S2" s="228"/>
      <c r="T2" s="228"/>
      <c r="V2" s="233" t="s">
        <v>478</v>
      </c>
      <c r="W2" s="228"/>
      <c r="X2" s="196"/>
      <c r="Y2" s="233" t="s">
        <v>479</v>
      </c>
      <c r="Z2" s="228"/>
    </row>
    <row r="3" spans="1:26" ht="22.5" customHeight="1">
      <c r="A3" s="115">
        <v>2</v>
      </c>
      <c r="B3" s="115" t="s">
        <v>25</v>
      </c>
      <c r="C3" s="115" t="s">
        <v>23</v>
      </c>
      <c r="D3" s="115" t="s">
        <v>7</v>
      </c>
      <c r="E3" s="98" t="s">
        <v>27</v>
      </c>
      <c r="F3" s="115" t="s">
        <v>476</v>
      </c>
      <c r="G3" s="115">
        <v>43</v>
      </c>
      <c r="H3" s="115">
        <v>84</v>
      </c>
      <c r="I3" s="194">
        <v>127</v>
      </c>
      <c r="J3" s="116">
        <v>2895770</v>
      </c>
      <c r="K3" s="116">
        <v>1021772</v>
      </c>
      <c r="L3" s="116">
        <v>47372</v>
      </c>
      <c r="M3" s="195">
        <v>5.1271699636657245E-2</v>
      </c>
      <c r="N3" s="195">
        <v>7.6617015990574508E-2</v>
      </c>
      <c r="O3" s="195">
        <v>3.5382842597926727E-2</v>
      </c>
      <c r="P3" s="195">
        <v>2.3132697114170153E-3</v>
      </c>
      <c r="R3" s="190" t="s">
        <v>482</v>
      </c>
      <c r="S3" s="222" t="s">
        <v>476</v>
      </c>
      <c r="T3" s="222" t="s">
        <v>483</v>
      </c>
      <c r="V3" s="199" t="s">
        <v>1</v>
      </c>
      <c r="W3" s="200" t="s">
        <v>467</v>
      </c>
      <c r="Y3" s="199" t="s">
        <v>1</v>
      </c>
      <c r="Z3" s="200" t="s">
        <v>484</v>
      </c>
    </row>
    <row r="4" spans="1:26" ht="22.5" customHeight="1">
      <c r="A4" s="115">
        <v>1</v>
      </c>
      <c r="B4" s="115" t="s">
        <v>39</v>
      </c>
      <c r="C4" s="115" t="s">
        <v>56</v>
      </c>
      <c r="D4" s="115" t="s">
        <v>7</v>
      </c>
      <c r="E4" s="98" t="s">
        <v>624</v>
      </c>
      <c r="F4" s="115" t="s">
        <v>476</v>
      </c>
      <c r="G4" s="115">
        <v>38</v>
      </c>
      <c r="H4" s="115">
        <v>83</v>
      </c>
      <c r="I4" s="194">
        <v>121</v>
      </c>
      <c r="J4" s="116">
        <v>3446328</v>
      </c>
      <c r="K4" s="116">
        <v>527246</v>
      </c>
      <c r="L4" s="116">
        <v>387</v>
      </c>
      <c r="M4" s="195">
        <v>4.8849414614452968E-2</v>
      </c>
      <c r="N4" s="195">
        <v>9.1183818978981299E-2</v>
      </c>
      <c r="O4" s="195">
        <v>1.8257950137982322E-2</v>
      </c>
      <c r="P4" s="195">
        <v>1.8897985694468988E-5</v>
      </c>
      <c r="R4" s="223" t="s">
        <v>25</v>
      </c>
      <c r="S4" s="207">
        <f>COUNTIFS(Scoreboard_11[Role],R4,Scoreboard_11[Team],"Yellow")</f>
        <v>9</v>
      </c>
      <c r="T4" s="219">
        <f>COUNTIFS(Scoreboard_11[Role],R4,Scoreboard_11[Team],"Red")</f>
        <v>5</v>
      </c>
      <c r="V4" s="204" t="str">
        <f ca="1">IFERROR(__xludf.DUMMYFUNCTION("query(A1:P239, ""Select E,I where B!='Healer' Order by I Desc Limit 10"", 0)"),"Fadeふち")</f>
        <v>Fadeふち</v>
      </c>
      <c r="W4" s="116">
        <f ca="1">IFERROR(__xludf.DUMMYFUNCTION("""COMPUTED_VALUE"""),139)</f>
        <v>139</v>
      </c>
      <c r="Y4" s="204" t="str">
        <f ca="1">IFERROR(__xludf.DUMMYFUNCTION("query(A1:P239, ""Select E,J Order by J Desc Limit 10"", 0)"),"CLEM*")</f>
        <v>CLEM*</v>
      </c>
      <c r="Z4" s="116">
        <f ca="1">IFERROR(__xludf.DUMMYFUNCTION("""COMPUTED_VALUE"""),3446328)</f>
        <v>3446328</v>
      </c>
    </row>
    <row r="5" spans="1:26" ht="22.5" customHeight="1">
      <c r="A5" s="115">
        <v>4</v>
      </c>
      <c r="B5" s="115" t="s">
        <v>25</v>
      </c>
      <c r="C5" s="115" t="s">
        <v>24</v>
      </c>
      <c r="D5" s="115" t="s">
        <v>714</v>
      </c>
      <c r="E5" s="98" t="s">
        <v>104</v>
      </c>
      <c r="F5" s="115" t="s">
        <v>476</v>
      </c>
      <c r="G5" s="115">
        <v>40</v>
      </c>
      <c r="H5" s="115">
        <v>80</v>
      </c>
      <c r="I5" s="194">
        <v>120</v>
      </c>
      <c r="J5" s="116">
        <v>2326980</v>
      </c>
      <c r="K5" s="116">
        <v>660884</v>
      </c>
      <c r="L5" s="116">
        <v>58785</v>
      </c>
      <c r="M5" s="195">
        <v>4.8445700444085589E-2</v>
      </c>
      <c r="N5" s="195">
        <v>6.1567826129059658E-2</v>
      </c>
      <c r="O5" s="195">
        <v>2.2885687362237572E-2</v>
      </c>
      <c r="P5" s="195">
        <v>2.870589377388526E-3</v>
      </c>
      <c r="R5" s="223" t="s">
        <v>39</v>
      </c>
      <c r="S5" s="207">
        <f>COUNTIFS(Scoreboard_11[Role],R5,Scoreboard_11[Team],"Yellow")</f>
        <v>9</v>
      </c>
      <c r="T5" s="219">
        <f>COUNTIFS(Scoreboard_11[Role],R5,Scoreboard_11[Team],"Red")</f>
        <v>11</v>
      </c>
      <c r="V5" s="204" t="str">
        <f ca="1">IFERROR(__xludf.DUMMYFUNCTION("""COMPUTED_VALUE"""),"Blee")</f>
        <v>Blee</v>
      </c>
      <c r="W5" s="116">
        <f ca="1">IFERROR(__xludf.DUMMYFUNCTION("""COMPUTED_VALUE"""),127)</f>
        <v>127</v>
      </c>
      <c r="Y5" s="204" t="str">
        <f ca="1">IFERROR(__xludf.DUMMYFUNCTION("""COMPUTED_VALUE"""),"Fadeふち")</f>
        <v>Fadeふち</v>
      </c>
      <c r="Z5" s="116">
        <f ca="1">IFERROR(__xludf.DUMMYFUNCTION("""COMPUTED_VALUE"""),2982973)</f>
        <v>2982973</v>
      </c>
    </row>
    <row r="6" spans="1:26" ht="22.5" customHeight="1">
      <c r="A6" s="115">
        <v>11</v>
      </c>
      <c r="B6" s="115" t="s">
        <v>39</v>
      </c>
      <c r="C6" s="115" t="s">
        <v>45</v>
      </c>
      <c r="D6" s="115" t="s">
        <v>7</v>
      </c>
      <c r="E6" s="98" t="s">
        <v>84</v>
      </c>
      <c r="F6" s="115" t="s">
        <v>476</v>
      </c>
      <c r="G6" s="115">
        <v>26</v>
      </c>
      <c r="H6" s="115">
        <v>88</v>
      </c>
      <c r="I6" s="194">
        <v>114</v>
      </c>
      <c r="J6" s="116">
        <v>2644196</v>
      </c>
      <c r="K6" s="116">
        <v>318747</v>
      </c>
      <c r="L6" s="116">
        <v>8595</v>
      </c>
      <c r="M6" s="195">
        <v>4.6023415421881306E-2</v>
      </c>
      <c r="N6" s="195">
        <v>6.9960807389472635E-2</v>
      </c>
      <c r="O6" s="195">
        <v>1.1037858670585366E-2</v>
      </c>
      <c r="P6" s="195">
        <v>4.1971107763297407E-4</v>
      </c>
      <c r="R6" s="223" t="s">
        <v>67</v>
      </c>
      <c r="S6" s="207">
        <f>COUNTIFS(Scoreboard_11[Role],R6,Scoreboard_11[Team],"Yellow")</f>
        <v>14</v>
      </c>
      <c r="T6" s="219">
        <f>COUNTIFS(Scoreboard_11[Role],R6,Scoreboard_11[Team],"Red")</f>
        <v>14</v>
      </c>
      <c r="V6" s="204" t="str">
        <f ca="1">IFERROR(__xludf.DUMMYFUNCTION("""COMPUTED_VALUE"""),"CLEM*")</f>
        <v>CLEM*</v>
      </c>
      <c r="W6" s="116">
        <f ca="1">IFERROR(__xludf.DUMMYFUNCTION("""COMPUTED_VALUE"""),121)</f>
        <v>121</v>
      </c>
      <c r="Y6" s="204" t="str">
        <f ca="1">IFERROR(__xludf.DUMMYFUNCTION("""COMPUTED_VALUE"""),"Blee")</f>
        <v>Blee</v>
      </c>
      <c r="Z6" s="116">
        <f ca="1">IFERROR(__xludf.DUMMYFUNCTION("""COMPUTED_VALUE"""),2895770)</f>
        <v>2895770</v>
      </c>
    </row>
    <row r="7" spans="1:26" ht="22.5" customHeight="1">
      <c r="A7" s="115">
        <v>12</v>
      </c>
      <c r="B7" s="115" t="s">
        <v>39</v>
      </c>
      <c r="C7" s="115" t="s">
        <v>56</v>
      </c>
      <c r="D7" s="115" t="s">
        <v>7</v>
      </c>
      <c r="E7" s="98" t="s">
        <v>76</v>
      </c>
      <c r="F7" s="115" t="s">
        <v>476</v>
      </c>
      <c r="G7" s="115">
        <v>25</v>
      </c>
      <c r="H7" s="115">
        <v>86</v>
      </c>
      <c r="I7" s="194">
        <v>111</v>
      </c>
      <c r="J7" s="116">
        <v>2214771</v>
      </c>
      <c r="K7" s="116">
        <v>666583</v>
      </c>
      <c r="L7" s="116">
        <v>174867</v>
      </c>
      <c r="M7" s="195">
        <v>4.4812272910779168E-2</v>
      </c>
      <c r="N7" s="195">
        <v>5.8598971991028537E-2</v>
      </c>
      <c r="O7" s="195">
        <v>2.3083037475536413E-2</v>
      </c>
      <c r="P7" s="195">
        <v>8.5391061096504097E-3</v>
      </c>
      <c r="R7" s="223" t="s">
        <v>11</v>
      </c>
      <c r="S7" s="207">
        <f>COUNTIFS(Scoreboard_11[Role],R7,Scoreboard_11[Team],"Yellow")</f>
        <v>17</v>
      </c>
      <c r="T7" s="219">
        <f>COUNTIFS(Scoreboard_11[Role],R7,Scoreboard_11[Team],"Red")</f>
        <v>17</v>
      </c>
      <c r="V7" s="204" t="str">
        <f ca="1">IFERROR(__xludf.DUMMYFUNCTION("""COMPUTED_VALUE"""),"Superluigi")</f>
        <v>Superluigi</v>
      </c>
      <c r="W7" s="116">
        <f ca="1">IFERROR(__xludf.DUMMYFUNCTION("""COMPUTED_VALUE"""),120)</f>
        <v>120</v>
      </c>
      <c r="Y7" s="204" t="str">
        <f ca="1">IFERROR(__xludf.DUMMYFUNCTION("""COMPUTED_VALUE"""),"Nengja")</f>
        <v>Nengja</v>
      </c>
      <c r="Z7" s="116">
        <f ca="1">IFERROR(__xludf.DUMMYFUNCTION("""COMPUTED_VALUE"""),2644196)</f>
        <v>2644196</v>
      </c>
    </row>
    <row r="8" spans="1:26" ht="22.5" customHeight="1">
      <c r="A8" s="115">
        <v>17</v>
      </c>
      <c r="B8" s="115" t="s">
        <v>25</v>
      </c>
      <c r="C8" s="115" t="s">
        <v>23</v>
      </c>
      <c r="D8" s="115" t="s">
        <v>7</v>
      </c>
      <c r="E8" s="98" t="s">
        <v>22</v>
      </c>
      <c r="F8" s="115" t="s">
        <v>476</v>
      </c>
      <c r="G8" s="115">
        <v>20</v>
      </c>
      <c r="H8" s="115">
        <v>86</v>
      </c>
      <c r="I8" s="194">
        <v>106</v>
      </c>
      <c r="J8" s="116">
        <v>2288801</v>
      </c>
      <c r="K8" s="116">
        <v>910307</v>
      </c>
      <c r="L8" s="116">
        <v>43988</v>
      </c>
      <c r="M8" s="195">
        <v>4.2793702058942271E-2</v>
      </c>
      <c r="N8" s="195">
        <v>6.0557676478533495E-2</v>
      </c>
      <c r="O8" s="195">
        <v>3.1522932020833304E-2</v>
      </c>
      <c r="P8" s="195">
        <v>2.1480222086002632E-3</v>
      </c>
      <c r="R8" s="223" t="s">
        <v>468</v>
      </c>
      <c r="S8" s="207">
        <f>SUMIFS(Scoreboard_11[Damage Dealt],Scoreboard_11[Team],"Yellow")</f>
        <v>37795390</v>
      </c>
      <c r="T8" s="219">
        <f>SUMIFS(Scoreboard_11[Damage Dealt],Scoreboard_11[Team],"Red")</f>
        <v>29161054</v>
      </c>
      <c r="V8" s="204" t="str">
        <f ca="1">IFERROR(__xludf.DUMMYFUNCTION("""COMPUTED_VALUE"""),"Nengja")</f>
        <v>Nengja</v>
      </c>
      <c r="W8" s="116">
        <f ca="1">IFERROR(__xludf.DUMMYFUNCTION("""COMPUTED_VALUE"""),114)</f>
        <v>114</v>
      </c>
      <c r="Y8" s="204" t="str">
        <f ca="1">IFERROR(__xludf.DUMMYFUNCTION("""COMPUTED_VALUE"""),"Syfei")</f>
        <v>Syfei</v>
      </c>
      <c r="Z8" s="116">
        <f ca="1">IFERROR(__xludf.DUMMYFUNCTION("""COMPUTED_VALUE"""),2479922)</f>
        <v>2479922</v>
      </c>
    </row>
    <row r="9" spans="1:26" ht="22.5" customHeight="1">
      <c r="A9" s="115">
        <v>9</v>
      </c>
      <c r="B9" s="115" t="s">
        <v>25</v>
      </c>
      <c r="C9" s="115" t="s">
        <v>23</v>
      </c>
      <c r="D9" s="115" t="s">
        <v>7</v>
      </c>
      <c r="E9" s="98" t="s">
        <v>850</v>
      </c>
      <c r="F9" s="115" t="s">
        <v>476</v>
      </c>
      <c r="G9" s="115">
        <v>27</v>
      </c>
      <c r="H9" s="115">
        <v>65</v>
      </c>
      <c r="I9" s="194">
        <v>92</v>
      </c>
      <c r="J9" s="116">
        <v>2197446</v>
      </c>
      <c r="K9" s="116">
        <v>670208</v>
      </c>
      <c r="L9" s="116">
        <v>30107</v>
      </c>
      <c r="M9" s="195">
        <v>3.7141703673798952E-2</v>
      </c>
      <c r="N9" s="195">
        <v>5.8140582753610955E-2</v>
      </c>
      <c r="O9" s="195">
        <v>2.320856724579581E-2</v>
      </c>
      <c r="P9" s="195">
        <v>1.4701851558226817E-3</v>
      </c>
      <c r="R9" s="223" t="s">
        <v>470</v>
      </c>
      <c r="S9" s="207">
        <f>SUMIFS(Scoreboard_11[Amount Healed],Scoreboard_11[Team],"Yellow")</f>
        <v>20478373</v>
      </c>
      <c r="T9" s="219">
        <f>SUMIFS(Scoreboard_11[Amount Healed],Scoreboard_11[Team],"Red")</f>
        <v>22691049</v>
      </c>
      <c r="V9" s="204" t="str">
        <f ca="1">IFERROR(__xludf.DUMMYFUNCTION("""COMPUTED_VALUE"""),"Kiefblunt")</f>
        <v>Kiefblunt</v>
      </c>
      <c r="W9" s="116">
        <f ca="1">IFERROR(__xludf.DUMMYFUNCTION("""COMPUTED_VALUE"""),111)</f>
        <v>111</v>
      </c>
      <c r="Y9" s="204" t="str">
        <f ca="1">IFERROR(__xludf.DUMMYFUNCTION("""COMPUTED_VALUE"""),"Superluigi")</f>
        <v>Superluigi</v>
      </c>
      <c r="Z9" s="116">
        <f ca="1">IFERROR(__xludf.DUMMYFUNCTION("""COMPUTED_VALUE"""),2326980)</f>
        <v>2326980</v>
      </c>
    </row>
    <row r="10" spans="1:26" ht="22.5" customHeight="1">
      <c r="A10" s="115">
        <v>13</v>
      </c>
      <c r="B10" s="115" t="s">
        <v>25</v>
      </c>
      <c r="C10" s="115" t="s">
        <v>23</v>
      </c>
      <c r="D10" s="115" t="s">
        <v>7</v>
      </c>
      <c r="E10" s="98" t="s">
        <v>666</v>
      </c>
      <c r="F10" s="115" t="s">
        <v>476</v>
      </c>
      <c r="G10" s="115">
        <v>25</v>
      </c>
      <c r="H10" s="115">
        <v>63</v>
      </c>
      <c r="I10" s="194">
        <v>88</v>
      </c>
      <c r="J10" s="116">
        <v>1697998</v>
      </c>
      <c r="K10" s="116">
        <v>984785</v>
      </c>
      <c r="L10" s="116">
        <v>47725</v>
      </c>
      <c r="M10" s="195">
        <v>3.5526846992329428E-2</v>
      </c>
      <c r="N10" s="195">
        <v>4.492606108840258E-2</v>
      </c>
      <c r="O10" s="195">
        <v>3.4102023394455193E-2</v>
      </c>
      <c r="P10" s="195">
        <v>2.3305074089626163E-3</v>
      </c>
      <c r="R10" s="223" t="s">
        <v>469</v>
      </c>
      <c r="S10" s="207">
        <f>SUMIFS(Scoreboard_11[Damage Taken],Scoreboard_11[Team],"Yellow")</f>
        <v>28877612</v>
      </c>
      <c r="T10" s="219">
        <f>SUMIFS(Scoreboard_11[Damage Taken],Scoreboard_11[Team],"Red")</f>
        <v>36621757</v>
      </c>
      <c r="V10" s="204" t="str">
        <f ca="1">IFERROR(__xludf.DUMMYFUNCTION("""COMPUTED_VALUE"""),"Baozer")</f>
        <v>Baozer</v>
      </c>
      <c r="W10" s="116">
        <f ca="1">IFERROR(__xludf.DUMMYFUNCTION("""COMPUTED_VALUE"""),106)</f>
        <v>106</v>
      </c>
      <c r="Y10" s="204" t="str">
        <f ca="1">IFERROR(__xludf.DUMMYFUNCTION("""COMPUTED_VALUE"""),"Baozer")</f>
        <v>Baozer</v>
      </c>
      <c r="Z10" s="116">
        <f ca="1">IFERROR(__xludf.DUMMYFUNCTION("""COMPUTED_VALUE"""),2288801)</f>
        <v>2288801</v>
      </c>
    </row>
    <row r="11" spans="1:26" ht="22.5" customHeight="1">
      <c r="A11" s="115">
        <v>7</v>
      </c>
      <c r="B11" s="115" t="s">
        <v>39</v>
      </c>
      <c r="C11" s="115" t="s">
        <v>54</v>
      </c>
      <c r="D11" s="115" t="s">
        <v>714</v>
      </c>
      <c r="E11" s="98" t="s">
        <v>716</v>
      </c>
      <c r="F11" s="115" t="s">
        <v>483</v>
      </c>
      <c r="G11" s="115">
        <v>32</v>
      </c>
      <c r="H11" s="115">
        <v>51</v>
      </c>
      <c r="I11" s="194">
        <v>83</v>
      </c>
      <c r="J11" s="116">
        <v>1274758</v>
      </c>
      <c r="K11" s="116">
        <v>632435</v>
      </c>
      <c r="L11" s="116">
        <v>0</v>
      </c>
      <c r="M11" s="195">
        <v>5.341055341055341E-2</v>
      </c>
      <c r="N11" s="195">
        <v>4.3714400720906731E-2</v>
      </c>
      <c r="O11" s="195">
        <v>1.7269378965078054E-2</v>
      </c>
      <c r="P11" s="195">
        <v>0</v>
      </c>
      <c r="R11" s="223" t="s">
        <v>495</v>
      </c>
      <c r="S11" s="207">
        <f ca="1">IFERROR(DIVIDE(SUMIFS(Scoreboard_11[Amount Healed],Scoreboard_11[Team],"Yellow"), SUMIFS(Scoreboard_11[Damage Taken],Scoreboard_11[Team],"Yellow"))*(100),0)</f>
        <v>0</v>
      </c>
      <c r="T11" s="219">
        <f ca="1">IFERROR(DIVIDE(SUMIFS(Scoreboard_11[Amount Healed],Scoreboard_11[Team],"Red"), SUMIFS(Scoreboard_11[Damage Taken],Scoreboard_11[Team],"Red"))*(100),0)</f>
        <v>0</v>
      </c>
      <c r="V11" s="204" t="str">
        <f ca="1">IFERROR(__xludf.DUMMYFUNCTION("""COMPUTED_VALUE"""),"KyurleZ")</f>
        <v>KyurleZ</v>
      </c>
      <c r="W11" s="116">
        <f ca="1">IFERROR(__xludf.DUMMYFUNCTION("""COMPUTED_VALUE"""),92)</f>
        <v>92</v>
      </c>
      <c r="Y11" s="204" t="str">
        <f ca="1">IFERROR(__xludf.DUMMYFUNCTION("""COMPUTED_VALUE"""),"Kiefblunt")</f>
        <v>Kiefblunt</v>
      </c>
      <c r="Z11" s="116">
        <f ca="1">IFERROR(__xludf.DUMMYFUNCTION("""COMPUTED_VALUE"""),2214771)</f>
        <v>2214771</v>
      </c>
    </row>
    <row r="12" spans="1:26" ht="22.5" customHeight="1">
      <c r="A12" s="115">
        <v>6</v>
      </c>
      <c r="B12" s="115" t="s">
        <v>25</v>
      </c>
      <c r="C12" s="115" t="s">
        <v>69</v>
      </c>
      <c r="D12" s="115" t="s">
        <v>714</v>
      </c>
      <c r="E12" s="98" t="s">
        <v>334</v>
      </c>
      <c r="F12" s="115" t="s">
        <v>483</v>
      </c>
      <c r="G12" s="115">
        <v>34</v>
      </c>
      <c r="H12" s="115">
        <v>48</v>
      </c>
      <c r="I12" s="194">
        <v>82</v>
      </c>
      <c r="J12" s="116">
        <v>1434238</v>
      </c>
      <c r="K12" s="116">
        <v>781881</v>
      </c>
      <c r="L12" s="116">
        <v>11631</v>
      </c>
      <c r="M12" s="195">
        <v>5.276705276705277E-2</v>
      </c>
      <c r="N12" s="195">
        <v>4.9183338846394233E-2</v>
      </c>
      <c r="O12" s="195">
        <v>2.1350177163810026E-2</v>
      </c>
      <c r="P12" s="195">
        <v>5.1258097411009955E-4</v>
      </c>
      <c r="R12" s="223" t="s">
        <v>465</v>
      </c>
      <c r="S12" s="207">
        <f>SUMIFS(Scoreboard_11[Kills],Scoreboard_11[Team],"Yellow")</f>
        <v>470</v>
      </c>
      <c r="T12" s="219">
        <f>SUMIFS(Scoreboard_11[Kills],Scoreboard_11[Team],"Red")</f>
        <v>322</v>
      </c>
      <c r="V12" s="204" t="str">
        <f ca="1">IFERROR(__xludf.DUMMYFUNCTION("""COMPUTED_VALUE"""),"Feelix✗")</f>
        <v>Feelix✗</v>
      </c>
      <c r="W12" s="116">
        <f ca="1">IFERROR(__xludf.DUMMYFUNCTION("""COMPUTED_VALUE"""),88)</f>
        <v>88</v>
      </c>
      <c r="Y12" s="204" t="str">
        <f ca="1">IFERROR(__xludf.DUMMYFUNCTION("""COMPUTED_VALUE"""),"KyurleZ")</f>
        <v>KyurleZ</v>
      </c>
      <c r="Z12" s="116">
        <f ca="1">IFERROR(__xludf.DUMMYFUNCTION("""COMPUTED_VALUE"""),2197446)</f>
        <v>2197446</v>
      </c>
    </row>
    <row r="13" spans="1:26" ht="22.5" customHeight="1">
      <c r="A13" s="115">
        <v>48</v>
      </c>
      <c r="B13" s="115" t="s">
        <v>11</v>
      </c>
      <c r="C13" s="115" t="s">
        <v>10</v>
      </c>
      <c r="D13" s="115" t="s">
        <v>7</v>
      </c>
      <c r="E13" s="98" t="s">
        <v>115</v>
      </c>
      <c r="F13" s="115" t="s">
        <v>476</v>
      </c>
      <c r="G13" s="115">
        <v>1</v>
      </c>
      <c r="H13" s="115">
        <v>73</v>
      </c>
      <c r="I13" s="194">
        <v>74</v>
      </c>
      <c r="J13" s="116">
        <v>99434</v>
      </c>
      <c r="K13" s="116">
        <v>400401</v>
      </c>
      <c r="L13" s="116">
        <v>1610059</v>
      </c>
      <c r="M13" s="195">
        <v>2.9874848607186113E-2</v>
      </c>
      <c r="N13" s="195">
        <v>2.630849952864622E-3</v>
      </c>
      <c r="O13" s="195">
        <v>1.3865447045967651E-2</v>
      </c>
      <c r="P13" s="195">
        <v>7.8622408137599603E-2</v>
      </c>
      <c r="R13" s="223" t="s">
        <v>466</v>
      </c>
      <c r="S13" s="207">
        <f>SUMIFS(Scoreboard_11[Assists],Scoreboard_11[Team],"Yellow")</f>
        <v>2007</v>
      </c>
      <c r="T13" s="219">
        <f>SUMIFS(Scoreboard_11[Assists],Scoreboard_11[Team],"Red")</f>
        <v>1232</v>
      </c>
      <c r="V13" s="204" t="str">
        <f ca="1">IFERROR(__xludf.DUMMYFUNCTION("""COMPUTED_VALUE"""),"Comfies")</f>
        <v>Comfies</v>
      </c>
      <c r="W13" s="116">
        <f ca="1">IFERROR(__xludf.DUMMYFUNCTION("""COMPUTED_VALUE"""),83)</f>
        <v>83</v>
      </c>
      <c r="Y13" s="204" t="str">
        <f ca="1">IFERROR(__xludf.DUMMYFUNCTION("""COMPUTED_VALUE"""),"Geechi")</f>
        <v>Geechi</v>
      </c>
      <c r="Z13" s="116">
        <f ca="1">IFERROR(__xludf.DUMMYFUNCTION("""COMPUTED_VALUE"""),2017188)</f>
        <v>2017188</v>
      </c>
    </row>
    <row r="14" spans="1:26" ht="22.5" customHeight="1">
      <c r="A14" s="115">
        <v>5</v>
      </c>
      <c r="B14" s="115" t="s">
        <v>39</v>
      </c>
      <c r="C14" s="115" t="s">
        <v>54</v>
      </c>
      <c r="D14" s="115" t="s">
        <v>714</v>
      </c>
      <c r="E14" s="98" t="s">
        <v>718</v>
      </c>
      <c r="F14" s="115" t="s">
        <v>483</v>
      </c>
      <c r="G14" s="115">
        <v>40</v>
      </c>
      <c r="H14" s="115">
        <v>31</v>
      </c>
      <c r="I14" s="194">
        <v>71</v>
      </c>
      <c r="J14" s="116">
        <v>1341795</v>
      </c>
      <c r="K14" s="116">
        <v>387618</v>
      </c>
      <c r="L14" s="116">
        <v>0</v>
      </c>
      <c r="M14" s="195">
        <v>4.568854568854569E-2</v>
      </c>
      <c r="N14" s="195">
        <v>4.6013254527768443E-2</v>
      </c>
      <c r="O14" s="195">
        <v>1.0584363825034391E-2</v>
      </c>
      <c r="P14" s="195">
        <v>0</v>
      </c>
    </row>
    <row r="15" spans="1:26" ht="22.5" customHeight="1">
      <c r="A15" s="115">
        <v>60</v>
      </c>
      <c r="B15" s="115" t="s">
        <v>11</v>
      </c>
      <c r="C15" s="115" t="s">
        <v>10</v>
      </c>
      <c r="D15" s="115" t="s">
        <v>714</v>
      </c>
      <c r="E15" s="98" t="s">
        <v>715</v>
      </c>
      <c r="F15" s="115" t="s">
        <v>483</v>
      </c>
      <c r="G15" s="115">
        <v>0</v>
      </c>
      <c r="H15" s="115">
        <v>71</v>
      </c>
      <c r="I15" s="194">
        <v>71</v>
      </c>
      <c r="J15" s="116">
        <v>24626</v>
      </c>
      <c r="K15" s="116">
        <v>488100</v>
      </c>
      <c r="L15" s="116">
        <v>1389968</v>
      </c>
      <c r="M15" s="195">
        <v>4.568854568854569E-2</v>
      </c>
      <c r="N15" s="195">
        <v>8.4448250738810746E-4</v>
      </c>
      <c r="O15" s="195">
        <v>1.3328142612054358E-2</v>
      </c>
      <c r="P15" s="195">
        <v>6.1256224866466071E-2</v>
      </c>
      <c r="R15" s="232" t="s">
        <v>25</v>
      </c>
      <c r="S15" s="228"/>
      <c r="T15" s="228"/>
      <c r="V15" s="233" t="s">
        <v>496</v>
      </c>
      <c r="W15" s="228"/>
      <c r="Y15" s="233" t="s">
        <v>497</v>
      </c>
      <c r="Z15" s="228"/>
    </row>
    <row r="16" spans="1:26" ht="22.5" customHeight="1">
      <c r="A16" s="115">
        <v>96</v>
      </c>
      <c r="B16" s="115" t="s">
        <v>11</v>
      </c>
      <c r="C16" s="115" t="s">
        <v>9</v>
      </c>
      <c r="D16" s="115" t="s">
        <v>7</v>
      </c>
      <c r="E16" s="98" t="s">
        <v>851</v>
      </c>
      <c r="F16" s="115" t="s">
        <v>476</v>
      </c>
      <c r="G16" s="115">
        <v>0</v>
      </c>
      <c r="H16" s="115">
        <v>67</v>
      </c>
      <c r="I16" s="194">
        <v>67</v>
      </c>
      <c r="J16" s="116">
        <v>5065</v>
      </c>
      <c r="K16" s="116">
        <v>365281</v>
      </c>
      <c r="L16" s="116">
        <v>643042</v>
      </c>
      <c r="M16" s="195">
        <v>2.7048849414614454E-2</v>
      </c>
      <c r="N16" s="195">
        <v>1.3401105267070931E-4</v>
      </c>
      <c r="O16" s="195">
        <v>1.2649280002792475E-2</v>
      </c>
      <c r="P16" s="195">
        <v>3.1401029759541933E-2</v>
      </c>
      <c r="R16" s="190" t="s">
        <v>482</v>
      </c>
      <c r="S16" s="222" t="s">
        <v>476</v>
      </c>
      <c r="T16" s="222" t="s">
        <v>483</v>
      </c>
      <c r="V16" s="199" t="s">
        <v>1</v>
      </c>
      <c r="W16" s="200" t="s">
        <v>498</v>
      </c>
      <c r="Y16" s="199" t="s">
        <v>1</v>
      </c>
      <c r="Z16" s="200" t="s">
        <v>499</v>
      </c>
    </row>
    <row r="17" spans="1:26" ht="22.5" customHeight="1">
      <c r="A17" s="115">
        <v>61</v>
      </c>
      <c r="B17" s="115" t="s">
        <v>11</v>
      </c>
      <c r="C17" s="115" t="s">
        <v>9</v>
      </c>
      <c r="D17" s="115" t="s">
        <v>7</v>
      </c>
      <c r="E17" s="98" t="s">
        <v>8</v>
      </c>
      <c r="F17" s="115" t="s">
        <v>476</v>
      </c>
      <c r="G17" s="115">
        <v>0</v>
      </c>
      <c r="H17" s="115">
        <v>67</v>
      </c>
      <c r="I17" s="194">
        <v>67</v>
      </c>
      <c r="J17" s="116">
        <v>5065</v>
      </c>
      <c r="K17" s="116">
        <v>365281</v>
      </c>
      <c r="L17" s="116">
        <v>643042</v>
      </c>
      <c r="M17" s="195">
        <v>2.7048849414614454E-2</v>
      </c>
      <c r="N17" s="195">
        <v>1.3401105267070931E-4</v>
      </c>
      <c r="O17" s="195">
        <v>1.2649280002792475E-2</v>
      </c>
      <c r="P17" s="195">
        <v>3.1401029759541933E-2</v>
      </c>
      <c r="R17" s="223" t="s">
        <v>468</v>
      </c>
      <c r="S17" s="207">
        <f>SUMIFS(Scoreboard_11[Damage Dealt],Scoreboard_11[Role],"Melee DPS",Scoreboard_11[Team],"Yellow")</f>
        <v>17314051</v>
      </c>
      <c r="T17" s="219">
        <f>SUMIFS(Scoreboard_11[Damage Dealt],Scoreboard_11[Role],"Melee DPS",Scoreboard_11[Team],"Red")</f>
        <v>6725916</v>
      </c>
      <c r="V17" s="204" t="str">
        <f ca="1">IFERROR(__xludf.DUMMYFUNCTION("query(A1:P239, ""Select E,K Order by K Desc Limit 10"", 0)"),"Valnash")</f>
        <v>Valnash</v>
      </c>
      <c r="W17" s="116">
        <f ca="1">IFERROR(__xludf.DUMMYFUNCTION("""COMPUTED_VALUE"""),1678856)</f>
        <v>1678856</v>
      </c>
      <c r="Y17" s="204" t="str">
        <f ca="1">IFERROR(__xludf.DUMMYFUNCTION("query(A1:P239, ""Select E,L Order by L Desc Limit 10"", 0)"),"Purple")</f>
        <v>Purple</v>
      </c>
      <c r="Z17" s="116">
        <f ca="1">IFERROR(__xludf.DUMMYFUNCTION("""COMPUTED_VALUE"""),2198310)</f>
        <v>2198310</v>
      </c>
    </row>
    <row r="18" spans="1:26" ht="22.5" customHeight="1">
      <c r="A18" s="115">
        <v>18</v>
      </c>
      <c r="B18" s="115" t="s">
        <v>39</v>
      </c>
      <c r="C18" s="115" t="s">
        <v>43</v>
      </c>
      <c r="D18" s="115" t="s">
        <v>714</v>
      </c>
      <c r="E18" s="98" t="s">
        <v>719</v>
      </c>
      <c r="F18" s="115" t="s">
        <v>483</v>
      </c>
      <c r="G18" s="115">
        <v>19</v>
      </c>
      <c r="H18" s="115">
        <v>48</v>
      </c>
      <c r="I18" s="194">
        <v>67</v>
      </c>
      <c r="J18" s="116">
        <v>887370</v>
      </c>
      <c r="K18" s="116">
        <v>459655</v>
      </c>
      <c r="L18" s="116">
        <v>17331</v>
      </c>
      <c r="M18" s="195">
        <v>4.3114543114543116E-2</v>
      </c>
      <c r="N18" s="195">
        <v>3.0429970055266178E-2</v>
      </c>
      <c r="O18" s="195">
        <v>1.2551418546084504E-2</v>
      </c>
      <c r="P18" s="195">
        <v>7.6378134831933068E-4</v>
      </c>
      <c r="R18" s="223" t="s">
        <v>469</v>
      </c>
      <c r="S18" s="207">
        <f>SUMIFS(Scoreboard_11[Damage Taken],Scoreboard_11[Role],"Melee DPS",Scoreboard_11[Team],"Yellow")</f>
        <v>8007941</v>
      </c>
      <c r="T18" s="219">
        <f>SUMIFS(Scoreboard_11[Damage Taken],Scoreboard_11[Role],"Melee DPS",Scoreboard_11[Team],"Red")</f>
        <v>5391521</v>
      </c>
      <c r="V18" s="204" t="str">
        <f ca="1">IFERROR(__xludf.DUMMYFUNCTION("""COMPUTED_VALUE"""),"KataokaYuu")</f>
        <v>KataokaYuu</v>
      </c>
      <c r="W18" s="116">
        <f ca="1">IFERROR(__xludf.DUMMYFUNCTION("""COMPUTED_VALUE"""),1658223)</f>
        <v>1658223</v>
      </c>
      <c r="Y18" s="204" t="str">
        <f ca="1">IFERROR(__xludf.DUMMYFUNCTION("""COMPUTED_VALUE"""),"ShiPhu")</f>
        <v>ShiPhu</v>
      </c>
      <c r="Z18" s="116">
        <f ca="1">IFERROR(__xludf.DUMMYFUNCTION("""COMPUTED_VALUE"""),2147535)</f>
        <v>2147535</v>
      </c>
    </row>
    <row r="19" spans="1:26" ht="22.5" customHeight="1">
      <c r="A19" s="115">
        <v>14</v>
      </c>
      <c r="B19" s="115" t="s">
        <v>25</v>
      </c>
      <c r="C19" s="115" t="s">
        <v>23</v>
      </c>
      <c r="D19" s="115" t="s">
        <v>714</v>
      </c>
      <c r="E19" s="98" t="s">
        <v>723</v>
      </c>
      <c r="F19" s="115" t="s">
        <v>483</v>
      </c>
      <c r="G19" s="115">
        <v>25</v>
      </c>
      <c r="H19" s="115">
        <v>41</v>
      </c>
      <c r="I19" s="194">
        <v>66</v>
      </c>
      <c r="J19" s="116">
        <v>1906826</v>
      </c>
      <c r="K19" s="116">
        <v>1275680</v>
      </c>
      <c r="L19" s="116">
        <v>88853</v>
      </c>
      <c r="M19" s="195">
        <v>4.2471042471042469E-2</v>
      </c>
      <c r="N19" s="195">
        <v>6.538947460541035E-2</v>
      </c>
      <c r="O19" s="195">
        <v>3.4833937650779564E-2</v>
      </c>
      <c r="P19" s="195">
        <v>3.91577313151102E-3</v>
      </c>
      <c r="R19" s="223" t="s">
        <v>470</v>
      </c>
      <c r="S19" s="207">
        <f>SUMIFS(Scoreboard_11[Amount Healed],Scoreboard_11[Role],"Melee DPS",Scoreboard_11[Team],"Yellow")</f>
        <v>392608</v>
      </c>
      <c r="T19" s="219">
        <f>SUMIFS(Scoreboard_11[Amount Healed],Scoreboard_11[Role],"Melee DPS",Scoreboard_11[Team],"Red")</f>
        <v>276330</v>
      </c>
      <c r="V19" s="204" t="str">
        <f ca="1">IFERROR(__xludf.DUMMYFUNCTION("""COMPUTED_VALUE"""),"ShacoBoxs")</f>
        <v>ShacoBoxs</v>
      </c>
      <c r="W19" s="116">
        <f ca="1">IFERROR(__xludf.DUMMYFUNCTION("""COMPUTED_VALUE"""),1361850)</f>
        <v>1361850</v>
      </c>
      <c r="Y19" s="204" t="str">
        <f ca="1">IFERROR(__xludf.DUMMYFUNCTION("""COMPUTED_VALUE"""),"Adaneth")</f>
        <v>Adaneth</v>
      </c>
      <c r="Z19" s="116">
        <f ca="1">IFERROR(__xludf.DUMMYFUNCTION("""COMPUTED_VALUE"""),2092621)</f>
        <v>2092621</v>
      </c>
    </row>
    <row r="20" spans="1:26" ht="22.5" customHeight="1">
      <c r="A20" s="115">
        <v>62</v>
      </c>
      <c r="B20" s="115" t="s">
        <v>11</v>
      </c>
      <c r="C20" s="115" t="s">
        <v>10</v>
      </c>
      <c r="D20" s="115" t="s">
        <v>7</v>
      </c>
      <c r="E20" s="98" t="s">
        <v>91</v>
      </c>
      <c r="F20" s="115" t="s">
        <v>476</v>
      </c>
      <c r="G20" s="115">
        <v>0</v>
      </c>
      <c r="H20" s="115">
        <v>62</v>
      </c>
      <c r="I20" s="194">
        <v>62</v>
      </c>
      <c r="J20" s="116">
        <v>11680</v>
      </c>
      <c r="K20" s="116">
        <v>395309</v>
      </c>
      <c r="L20" s="116">
        <v>2198310</v>
      </c>
      <c r="M20" s="195">
        <v>2.5030278562777553E-2</v>
      </c>
      <c r="N20" s="195">
        <v>3.090323978665123E-4</v>
      </c>
      <c r="O20" s="195">
        <v>1.3689116676268107E-2</v>
      </c>
      <c r="P20" s="195">
        <v>0.10734788354524064</v>
      </c>
      <c r="R20" s="223" t="s">
        <v>465</v>
      </c>
      <c r="S20" s="207">
        <f>SUMIFS(Scoreboard_11[Kills],Scoreboard_11[Role],"Melee DPS",Scoreboard_11[Team],"Yellow")</f>
        <v>249</v>
      </c>
      <c r="T20" s="219">
        <f>SUMIFS(Scoreboard_11[Kills],Scoreboard_11[Role],"Melee DPS",Scoreboard_11[Team],"Red")</f>
        <v>92</v>
      </c>
      <c r="V20" s="204" t="str">
        <f ca="1">IFERROR(__xludf.DUMMYFUNCTION("""COMPUTED_VALUE"""),"boujee°")</f>
        <v>boujee°</v>
      </c>
      <c r="W20" s="116">
        <f ca="1">IFERROR(__xludf.DUMMYFUNCTION("""COMPUTED_VALUE"""),1322750)</f>
        <v>1322750</v>
      </c>
      <c r="Y20" s="204" t="str">
        <f ca="1">IFERROR(__xludf.DUMMYFUNCTION("""COMPUTED_VALUE"""),"ProfessorOuk")</f>
        <v>ProfessorOuk</v>
      </c>
      <c r="Z20" s="116">
        <f ca="1">IFERROR(__xludf.DUMMYFUNCTION("""COMPUTED_VALUE"""),1799441)</f>
        <v>1799441</v>
      </c>
    </row>
    <row r="21" spans="1:26" ht="22.5" customHeight="1">
      <c r="A21" s="115">
        <v>28</v>
      </c>
      <c r="B21" s="115" t="s">
        <v>39</v>
      </c>
      <c r="C21" s="115" t="s">
        <v>56</v>
      </c>
      <c r="D21" s="115" t="s">
        <v>7</v>
      </c>
      <c r="E21" s="98" t="s">
        <v>852</v>
      </c>
      <c r="F21" s="115" t="s">
        <v>476</v>
      </c>
      <c r="G21" s="115">
        <v>11</v>
      </c>
      <c r="H21" s="115">
        <v>49</v>
      </c>
      <c r="I21" s="194">
        <v>60</v>
      </c>
      <c r="J21" s="116">
        <v>1400655</v>
      </c>
      <c r="K21" s="116">
        <v>303777</v>
      </c>
      <c r="L21" s="116">
        <v>0</v>
      </c>
      <c r="M21" s="195">
        <v>2.4222850222042795E-2</v>
      </c>
      <c r="N21" s="195">
        <v>3.7058884694667789E-2</v>
      </c>
      <c r="O21" s="195">
        <v>1.0519464005541733E-2</v>
      </c>
      <c r="P21" s="195">
        <v>0</v>
      </c>
      <c r="R21" s="223" t="s">
        <v>466</v>
      </c>
      <c r="S21" s="207">
        <f>SUMIFS(Scoreboard_11[Assists],Scoreboard_11[Role],"Melee DPS",Scoreboard_11[Team],"Yellow")</f>
        <v>551</v>
      </c>
      <c r="T21" s="219">
        <f>SUMIFS(Scoreboard_11[Assists],Scoreboard_11[Role],"Melee DPS",Scoreboard_11[Team],"Red")</f>
        <v>172</v>
      </c>
      <c r="V21" s="204" t="str">
        <f ca="1">IFERROR(__xludf.DUMMYFUNCTION("""COMPUTED_VALUE"""),"Astrixx")</f>
        <v>Astrixx</v>
      </c>
      <c r="W21" s="116">
        <f ca="1">IFERROR(__xludf.DUMMYFUNCTION("""COMPUTED_VALUE"""),1292549)</f>
        <v>1292549</v>
      </c>
      <c r="Y21" s="204" t="str">
        <f ca="1">IFERROR(__xludf.DUMMYFUNCTION("""COMPUTED_VALUE"""),"Duskstorm")</f>
        <v>Duskstorm</v>
      </c>
      <c r="Z21" s="116">
        <f ca="1">IFERROR(__xludf.DUMMYFUNCTION("""COMPUTED_VALUE"""),1704557)</f>
        <v>1704557</v>
      </c>
    </row>
    <row r="22" spans="1:26" ht="22.5" customHeight="1">
      <c r="A22" s="115">
        <v>10</v>
      </c>
      <c r="B22" s="115" t="s">
        <v>39</v>
      </c>
      <c r="C22" s="115" t="s">
        <v>54</v>
      </c>
      <c r="D22" s="115" t="s">
        <v>714</v>
      </c>
      <c r="E22" s="98" t="s">
        <v>762</v>
      </c>
      <c r="F22" s="115" t="s">
        <v>483</v>
      </c>
      <c r="G22" s="115">
        <v>27</v>
      </c>
      <c r="H22" s="115">
        <v>33</v>
      </c>
      <c r="I22" s="194">
        <v>60</v>
      </c>
      <c r="J22" s="116">
        <v>878895</v>
      </c>
      <c r="K22" s="116">
        <v>330134</v>
      </c>
      <c r="L22" s="116">
        <v>13586</v>
      </c>
      <c r="M22" s="195">
        <v>3.8610038610038609E-2</v>
      </c>
      <c r="N22" s="195">
        <v>3.0139342700027234E-2</v>
      </c>
      <c r="O22" s="195">
        <v>9.014695826855058E-3</v>
      </c>
      <c r="P22" s="195">
        <v>5.9873829543975689E-4</v>
      </c>
      <c r="V22" s="204" t="str">
        <f ca="1">IFERROR(__xludf.DUMMYFUNCTION("""COMPUTED_VALUE"""),"RedCamper")</f>
        <v>RedCamper</v>
      </c>
      <c r="W22" s="116">
        <f ca="1">IFERROR(__xludf.DUMMYFUNCTION("""COMPUTED_VALUE"""),1288037)</f>
        <v>1288037</v>
      </c>
      <c r="Y22" s="204" t="str">
        <f ca="1">IFERROR(__xludf.DUMMYFUNCTION("""COMPUTED_VALUE"""),"Teensy")</f>
        <v>Teensy</v>
      </c>
      <c r="Z22" s="116">
        <f ca="1">IFERROR(__xludf.DUMMYFUNCTION("""COMPUTED_VALUE"""),1677597)</f>
        <v>1677597</v>
      </c>
    </row>
    <row r="23" spans="1:26" ht="22.5" customHeight="1">
      <c r="A23" s="115">
        <v>31</v>
      </c>
      <c r="B23" s="115" t="s">
        <v>39</v>
      </c>
      <c r="C23" s="115" t="s">
        <v>32</v>
      </c>
      <c r="D23" s="115" t="s">
        <v>714</v>
      </c>
      <c r="E23" s="98" t="s">
        <v>763</v>
      </c>
      <c r="F23" s="115" t="s">
        <v>483</v>
      </c>
      <c r="G23" s="115">
        <v>10</v>
      </c>
      <c r="H23" s="115">
        <v>50</v>
      </c>
      <c r="I23" s="194">
        <v>60</v>
      </c>
      <c r="J23" s="116">
        <v>2017188</v>
      </c>
      <c r="K23" s="116">
        <v>536565</v>
      </c>
      <c r="L23" s="116">
        <v>14495</v>
      </c>
      <c r="M23" s="195">
        <v>3.8610038610038609E-2</v>
      </c>
      <c r="N23" s="195">
        <v>6.9174042886104181E-2</v>
      </c>
      <c r="O23" s="195">
        <v>1.4651536243878195E-2</v>
      </c>
      <c r="P23" s="195">
        <v>6.3879814458996586E-4</v>
      </c>
      <c r="R23" s="232" t="s">
        <v>39</v>
      </c>
      <c r="S23" s="228"/>
      <c r="T23" s="228"/>
      <c r="V23" s="204" t="str">
        <f ca="1">IFERROR(__xludf.DUMMYFUNCTION("""COMPUTED_VALUE"""),"Gunnex")</f>
        <v>Gunnex</v>
      </c>
      <c r="W23" s="116">
        <f ca="1">IFERROR(__xludf.DUMMYFUNCTION("""COMPUTED_VALUE"""),1275680)</f>
        <v>1275680</v>
      </c>
      <c r="Y23" s="204" t="str">
        <f ca="1">IFERROR(__xludf.DUMMYFUNCTION("""COMPUTED_VALUE"""),"Riikuuシ")</f>
        <v>Riikuuシ</v>
      </c>
      <c r="Z23" s="116">
        <f ca="1">IFERROR(__xludf.DUMMYFUNCTION("""COMPUTED_VALUE"""),1674565)</f>
        <v>1674565</v>
      </c>
    </row>
    <row r="24" spans="1:26" ht="22.5" customHeight="1">
      <c r="A24" s="115">
        <v>25</v>
      </c>
      <c r="B24" s="115" t="s">
        <v>39</v>
      </c>
      <c r="C24" s="115" t="s">
        <v>32</v>
      </c>
      <c r="D24" s="115" t="s">
        <v>714</v>
      </c>
      <c r="E24" s="98" t="s">
        <v>853</v>
      </c>
      <c r="F24" s="115" t="s">
        <v>483</v>
      </c>
      <c r="G24" s="115">
        <v>12</v>
      </c>
      <c r="H24" s="115">
        <v>45</v>
      </c>
      <c r="I24" s="194">
        <v>57</v>
      </c>
      <c r="J24" s="116">
        <v>2479922</v>
      </c>
      <c r="K24" s="116">
        <v>585544</v>
      </c>
      <c r="L24" s="116">
        <v>9415</v>
      </c>
      <c r="M24" s="195">
        <v>3.6679536679536683E-2</v>
      </c>
      <c r="N24" s="195">
        <v>8.5042262189837167E-2</v>
      </c>
      <c r="O24" s="195">
        <v>1.5988965248172008E-2</v>
      </c>
      <c r="P24" s="195">
        <v>4.1492131985612478E-4</v>
      </c>
      <c r="R24" s="190" t="s">
        <v>482</v>
      </c>
      <c r="S24" s="222" t="s">
        <v>476</v>
      </c>
      <c r="T24" s="222" t="s">
        <v>483</v>
      </c>
      <c r="V24" s="204" t="str">
        <f ca="1">IFERROR(__xludf.DUMMYFUNCTION("""COMPUTED_VALUE"""),"Revvvy")</f>
        <v>Revvvy</v>
      </c>
      <c r="W24" s="116">
        <f ca="1">IFERROR(__xludf.DUMMYFUNCTION("""COMPUTED_VALUE"""),1246235)</f>
        <v>1246235</v>
      </c>
      <c r="Y24" s="204" t="str">
        <f ca="1">IFERROR(__xludf.DUMMYFUNCTION("""COMPUTED_VALUE"""),"soft")</f>
        <v>soft</v>
      </c>
      <c r="Z24" s="116">
        <f ca="1">IFERROR(__xludf.DUMMYFUNCTION("""COMPUTED_VALUE"""),1670489)</f>
        <v>1670489</v>
      </c>
    </row>
    <row r="25" spans="1:26" ht="22.5" customHeight="1">
      <c r="A25" s="115">
        <v>63</v>
      </c>
      <c r="B25" s="115" t="s">
        <v>11</v>
      </c>
      <c r="C25" s="115" t="s">
        <v>10</v>
      </c>
      <c r="D25" s="115" t="s">
        <v>714</v>
      </c>
      <c r="E25" s="98" t="s">
        <v>717</v>
      </c>
      <c r="F25" s="115" t="s">
        <v>483</v>
      </c>
      <c r="G25" s="115">
        <v>0</v>
      </c>
      <c r="H25" s="115">
        <v>57</v>
      </c>
      <c r="I25" s="194">
        <v>57</v>
      </c>
      <c r="J25" s="116">
        <v>14742</v>
      </c>
      <c r="K25" s="116">
        <v>427433</v>
      </c>
      <c r="L25" s="116">
        <v>751632</v>
      </c>
      <c r="M25" s="195">
        <v>3.6679536679536683E-2</v>
      </c>
      <c r="N25" s="195">
        <v>5.055372827058994E-4</v>
      </c>
      <c r="O25" s="195">
        <v>1.1671559068015223E-2</v>
      </c>
      <c r="P25" s="195">
        <v>3.3124603450461899E-2</v>
      </c>
      <c r="R25" s="223" t="s">
        <v>468</v>
      </c>
      <c r="S25" s="207">
        <f>SUMIFS(Scoreboard_11[Damage Dealt],Scoreboard_11[Role],"Ranged DPS",Scoreboard_11[Team],"Yellow")</f>
        <v>15489387</v>
      </c>
      <c r="T25" s="219">
        <f>SUMIFS(Scoreboard_11[Damage Dealt],Scoreboard_11[Role],"Ranged DPS",Scoreboard_11[Team],"Red")</f>
        <v>16298237</v>
      </c>
      <c r="V25" s="204" t="str">
        <f ca="1">IFERROR(__xludf.DUMMYFUNCTION("""COMPUTED_VALUE"""),"DopaMinn")</f>
        <v>DopaMinn</v>
      </c>
      <c r="W25" s="116">
        <f ca="1">IFERROR(__xludf.DUMMYFUNCTION("""COMPUTED_VALUE"""),1227145)</f>
        <v>1227145</v>
      </c>
      <c r="Y25" s="204" t="str">
        <f ca="1">IFERROR(__xludf.DUMMYFUNCTION("""COMPUTED_VALUE"""),"mgmt")</f>
        <v>mgmt</v>
      </c>
      <c r="Z25" s="116">
        <f ca="1">IFERROR(__xludf.DUMMYFUNCTION("""COMPUTED_VALUE"""),1652608)</f>
        <v>1652608</v>
      </c>
    </row>
    <row r="26" spans="1:26" ht="22.5" customHeight="1">
      <c r="A26" s="115">
        <v>49</v>
      </c>
      <c r="B26" s="115" t="s">
        <v>11</v>
      </c>
      <c r="C26" s="115" t="s">
        <v>10</v>
      </c>
      <c r="D26" s="115" t="s">
        <v>7</v>
      </c>
      <c r="E26" s="98" t="s">
        <v>102</v>
      </c>
      <c r="F26" s="115" t="s">
        <v>476</v>
      </c>
      <c r="G26" s="115">
        <v>1</v>
      </c>
      <c r="H26" s="115">
        <v>55</v>
      </c>
      <c r="I26" s="194">
        <v>56</v>
      </c>
      <c r="J26" s="116">
        <v>101758</v>
      </c>
      <c r="K26" s="116">
        <v>473241</v>
      </c>
      <c r="L26" s="116">
        <v>1605970</v>
      </c>
      <c r="M26" s="195">
        <v>2.2607993540573273E-2</v>
      </c>
      <c r="N26" s="195">
        <v>2.6923389333990203E-3</v>
      </c>
      <c r="O26" s="195">
        <v>1.6387816277883365E-2</v>
      </c>
      <c r="P26" s="195">
        <v>7.8422734071696032E-2</v>
      </c>
      <c r="R26" s="223" t="s">
        <v>469</v>
      </c>
      <c r="S26" s="207">
        <f>SUMIFS(Scoreboard_11[Damage Taken],Scoreboard_11[Role],"Ranged DPS",Scoreboard_11[Team],"Yellow")</f>
        <v>4243859</v>
      </c>
      <c r="T26" s="219">
        <f>SUMIFS(Scoreboard_11[Damage Taken],Scoreboard_11[Role],"Ranged DPS",Scoreboard_11[Team],"Red")</f>
        <v>6898794</v>
      </c>
      <c r="V26" s="204" t="str">
        <f ca="1">IFERROR(__xludf.DUMMYFUNCTION("""COMPUTED_VALUE"""),"CGeass")</f>
        <v>CGeass</v>
      </c>
      <c r="W26" s="116">
        <f ca="1">IFERROR(__xludf.DUMMYFUNCTION("""COMPUTED_VALUE"""),1212431)</f>
        <v>1212431</v>
      </c>
      <c r="Y26" s="204" t="str">
        <f ca="1">IFERROR(__xludf.DUMMYFUNCTION("""COMPUTED_VALUE"""),"V0icES")</f>
        <v>V0icES</v>
      </c>
      <c r="Z26" s="116">
        <f ca="1">IFERROR(__xludf.DUMMYFUNCTION("""COMPUTED_VALUE"""),1620438)</f>
        <v>1620438</v>
      </c>
    </row>
    <row r="27" spans="1:26" ht="22.5" customHeight="1">
      <c r="A27" s="115">
        <v>64</v>
      </c>
      <c r="B27" s="115" t="s">
        <v>11</v>
      </c>
      <c r="C27" s="115" t="s">
        <v>10</v>
      </c>
      <c r="D27" s="115" t="s">
        <v>7</v>
      </c>
      <c r="E27" s="98" t="s">
        <v>100</v>
      </c>
      <c r="F27" s="115" t="s">
        <v>476</v>
      </c>
      <c r="G27" s="115">
        <v>0</v>
      </c>
      <c r="H27" s="115">
        <v>55</v>
      </c>
      <c r="I27" s="194">
        <v>55</v>
      </c>
      <c r="J27" s="116">
        <v>7887</v>
      </c>
      <c r="K27" s="116">
        <v>395597</v>
      </c>
      <c r="L27" s="116">
        <v>722898</v>
      </c>
      <c r="M27" s="195">
        <v>2.2204279370205894E-2</v>
      </c>
      <c r="N27" s="195">
        <v>2.0867624331962178E-4</v>
      </c>
      <c r="O27" s="195">
        <v>1.3699089800084578E-2</v>
      </c>
      <c r="P27" s="195">
        <v>3.5300558301189257E-2</v>
      </c>
      <c r="R27" s="223" t="s">
        <v>470</v>
      </c>
      <c r="S27" s="207">
        <f>SUMIFS(Scoreboard_11[Amount Healed],Scoreboard_11[Role],"Ranged DPS",Scoreboard_11[Team],"Yellow")</f>
        <v>670672</v>
      </c>
      <c r="T27" s="219">
        <f>SUMIFS(Scoreboard_11[Amount Healed],Scoreboard_11[Role],"Ranged DPS",Scoreboard_11[Team],"Red")</f>
        <v>236045</v>
      </c>
    </row>
    <row r="28" spans="1:26" ht="22.5" customHeight="1">
      <c r="A28" s="115">
        <v>65</v>
      </c>
      <c r="B28" s="115" t="s">
        <v>11</v>
      </c>
      <c r="C28" s="115" t="s">
        <v>10</v>
      </c>
      <c r="D28" s="115" t="s">
        <v>7</v>
      </c>
      <c r="E28" s="98" t="s">
        <v>41</v>
      </c>
      <c r="F28" s="115" t="s">
        <v>476</v>
      </c>
      <c r="G28" s="115">
        <v>0</v>
      </c>
      <c r="H28" s="115">
        <v>55</v>
      </c>
      <c r="I28" s="194">
        <v>55</v>
      </c>
      <c r="J28" s="116">
        <v>1896</v>
      </c>
      <c r="K28" s="116">
        <v>637008</v>
      </c>
      <c r="L28" s="116">
        <v>1704557</v>
      </c>
      <c r="M28" s="195">
        <v>2.2204279370205894E-2</v>
      </c>
      <c r="N28" s="195">
        <v>5.0164848146824253E-5</v>
      </c>
      <c r="O28" s="195">
        <v>2.2058887694730436E-2</v>
      </c>
      <c r="P28" s="195">
        <v>8.3236934887356534E-2</v>
      </c>
      <c r="R28" s="223" t="s">
        <v>465</v>
      </c>
      <c r="S28" s="207">
        <f>SUMIFS(Scoreboard_11[Kills],Scoreboard_11[Role],"Ranged DPS",Scoreboard_11[Team],"Yellow")</f>
        <v>179</v>
      </c>
      <c r="T28" s="219">
        <f>SUMIFS(Scoreboard_11[Kills],Scoreboard_11[Role],"Ranged DPS",Scoreboard_11[Team],"Red")</f>
        <v>207</v>
      </c>
    </row>
    <row r="29" spans="1:26" ht="22.5" customHeight="1">
      <c r="A29" s="115">
        <v>19</v>
      </c>
      <c r="B29" s="115" t="s">
        <v>39</v>
      </c>
      <c r="C29" s="115" t="s">
        <v>56</v>
      </c>
      <c r="D29" s="115" t="s">
        <v>7</v>
      </c>
      <c r="E29" s="98" t="s">
        <v>854</v>
      </c>
      <c r="F29" s="115" t="s">
        <v>476</v>
      </c>
      <c r="G29" s="115">
        <v>19</v>
      </c>
      <c r="H29" s="115">
        <v>35</v>
      </c>
      <c r="I29" s="194">
        <v>54</v>
      </c>
      <c r="J29" s="116">
        <v>997954</v>
      </c>
      <c r="K29" s="116">
        <v>754425</v>
      </c>
      <c r="L29" s="116">
        <v>54524</v>
      </c>
      <c r="M29" s="195">
        <v>2.1800565199838515E-2</v>
      </c>
      <c r="N29" s="195">
        <v>2.6404119655862791E-2</v>
      </c>
      <c r="O29" s="195">
        <v>2.6124909497364256E-2</v>
      </c>
      <c r="P29" s="195">
        <v>2.6625162067318532E-3</v>
      </c>
      <c r="R29" s="223" t="s">
        <v>466</v>
      </c>
      <c r="S29" s="207">
        <f>SUMIFS(Scoreboard_11[Assists],Scoreboard_11[Role],"Ranged DPS",Scoreboard_11[Team],"Yellow")</f>
        <v>471</v>
      </c>
      <c r="T29" s="219">
        <f>SUMIFS(Scoreboard_11[Assists],Scoreboard_11[Role],"Ranged DPS",Scoreboard_11[Team],"Red")</f>
        <v>401</v>
      </c>
    </row>
    <row r="30" spans="1:26" ht="22.5" customHeight="1">
      <c r="A30" s="115">
        <v>66</v>
      </c>
      <c r="B30" s="115" t="s">
        <v>11</v>
      </c>
      <c r="C30" s="115" t="s">
        <v>10</v>
      </c>
      <c r="D30" s="115" t="s">
        <v>7</v>
      </c>
      <c r="E30" s="98" t="s">
        <v>87</v>
      </c>
      <c r="F30" s="115" t="s">
        <v>476</v>
      </c>
      <c r="G30" s="115">
        <v>0</v>
      </c>
      <c r="H30" s="115">
        <v>54</v>
      </c>
      <c r="I30" s="194">
        <v>54</v>
      </c>
      <c r="J30" s="116">
        <v>59989</v>
      </c>
      <c r="K30" s="116">
        <v>498161</v>
      </c>
      <c r="L30" s="116">
        <v>920241</v>
      </c>
      <c r="M30" s="195">
        <v>2.1800565199838515E-2</v>
      </c>
      <c r="N30" s="195">
        <v>1.587204153734093E-3</v>
      </c>
      <c r="O30" s="195">
        <v>1.7250768519225204E-2</v>
      </c>
      <c r="P30" s="195">
        <v>4.4937212541250222E-2</v>
      </c>
      <c r="R30" s="6"/>
      <c r="S30" s="6"/>
      <c r="T30" s="6"/>
    </row>
    <row r="31" spans="1:26" ht="22.5" customHeight="1">
      <c r="A31" s="115">
        <v>22</v>
      </c>
      <c r="B31" s="115" t="s">
        <v>25</v>
      </c>
      <c r="C31" s="115" t="s">
        <v>23</v>
      </c>
      <c r="D31" s="115" t="s">
        <v>7</v>
      </c>
      <c r="E31" s="98" t="s">
        <v>113</v>
      </c>
      <c r="F31" s="115" t="s">
        <v>476</v>
      </c>
      <c r="G31" s="115">
        <v>15</v>
      </c>
      <c r="H31" s="115">
        <v>38</v>
      </c>
      <c r="I31" s="194">
        <v>53</v>
      </c>
      <c r="J31" s="116">
        <v>1213986</v>
      </c>
      <c r="K31" s="116">
        <v>593327</v>
      </c>
      <c r="L31" s="116">
        <v>35137</v>
      </c>
      <c r="M31" s="195">
        <v>2.1396851029471135E-2</v>
      </c>
      <c r="N31" s="195">
        <v>3.2119949020237654E-2</v>
      </c>
      <c r="O31" s="195">
        <v>2.0546262620330241E-2</v>
      </c>
      <c r="P31" s="195">
        <v>1.7158101378464002E-3</v>
      </c>
      <c r="R31" s="232" t="s">
        <v>67</v>
      </c>
      <c r="S31" s="228"/>
      <c r="T31" s="228"/>
    </row>
    <row r="32" spans="1:26" ht="22.5" customHeight="1">
      <c r="A32" s="115">
        <v>29</v>
      </c>
      <c r="B32" s="115" t="s">
        <v>39</v>
      </c>
      <c r="C32" s="115" t="s">
        <v>52</v>
      </c>
      <c r="D32" s="115" t="s">
        <v>7</v>
      </c>
      <c r="E32" s="98" t="s">
        <v>99</v>
      </c>
      <c r="F32" s="115" t="s">
        <v>476</v>
      </c>
      <c r="G32" s="115">
        <v>11</v>
      </c>
      <c r="H32" s="115">
        <v>42</v>
      </c>
      <c r="I32" s="194">
        <v>53</v>
      </c>
      <c r="J32" s="116">
        <v>1672768</v>
      </c>
      <c r="K32" s="116">
        <v>293935</v>
      </c>
      <c r="L32" s="116">
        <v>99212</v>
      </c>
      <c r="M32" s="195">
        <v>2.1396851029471135E-2</v>
      </c>
      <c r="N32" s="195">
        <v>4.4258519359107025E-2</v>
      </c>
      <c r="O32" s="195">
        <v>1.0178646350674702E-2</v>
      </c>
      <c r="P32" s="195">
        <v>4.8447208183970475E-3</v>
      </c>
      <c r="R32" s="190" t="s">
        <v>482</v>
      </c>
      <c r="S32" s="222" t="s">
        <v>476</v>
      </c>
      <c r="T32" s="222" t="s">
        <v>483</v>
      </c>
    </row>
    <row r="33" spans="1:20" ht="22.5" customHeight="1">
      <c r="A33" s="115">
        <v>20</v>
      </c>
      <c r="B33" s="115" t="s">
        <v>39</v>
      </c>
      <c r="C33" s="115" t="s">
        <v>45</v>
      </c>
      <c r="D33" s="115" t="s">
        <v>714</v>
      </c>
      <c r="E33" s="98" t="s">
        <v>399</v>
      </c>
      <c r="F33" s="115" t="s">
        <v>483</v>
      </c>
      <c r="G33" s="115">
        <v>17</v>
      </c>
      <c r="H33" s="115">
        <v>34</v>
      </c>
      <c r="I33" s="194">
        <v>51</v>
      </c>
      <c r="J33" s="116">
        <v>1967688</v>
      </c>
      <c r="K33" s="116">
        <v>927330</v>
      </c>
      <c r="L33" s="116">
        <v>75509</v>
      </c>
      <c r="M33" s="195">
        <v>3.2818532818532815E-2</v>
      </c>
      <c r="N33" s="195">
        <v>6.747657337762894E-2</v>
      </c>
      <c r="O33" s="195">
        <v>2.5321832592576046E-2</v>
      </c>
      <c r="P33" s="195">
        <v>3.327699834414883E-3</v>
      </c>
      <c r="R33" s="223" t="s">
        <v>468</v>
      </c>
      <c r="S33" s="207">
        <f>SUMIFS(Scoreboard_11[Damage Dealt],Scoreboard_11[Role],"Tank",Scoreboard_11[Team],"Yellow")</f>
        <v>4065333</v>
      </c>
      <c r="T33" s="219">
        <f>SUMIFS(Scoreboard_11[Damage Dealt],Scoreboard_11[Role],"Tank",Scoreboard_11[Team],"Red")</f>
        <v>4611159</v>
      </c>
    </row>
    <row r="34" spans="1:20" ht="22.5" customHeight="1">
      <c r="A34" s="115">
        <v>16</v>
      </c>
      <c r="B34" s="115" t="s">
        <v>39</v>
      </c>
      <c r="C34" s="115" t="s">
        <v>54</v>
      </c>
      <c r="D34" s="115" t="s">
        <v>714</v>
      </c>
      <c r="E34" s="98" t="s">
        <v>770</v>
      </c>
      <c r="F34" s="115" t="s">
        <v>483</v>
      </c>
      <c r="G34" s="115">
        <v>21</v>
      </c>
      <c r="H34" s="115">
        <v>29</v>
      </c>
      <c r="I34" s="194">
        <v>50</v>
      </c>
      <c r="J34" s="116">
        <v>735692</v>
      </c>
      <c r="K34" s="116">
        <v>359763</v>
      </c>
      <c r="L34" s="116">
        <v>6264</v>
      </c>
      <c r="M34" s="195">
        <v>3.2175032175032175E-2</v>
      </c>
      <c r="N34" s="195">
        <v>2.5228580558165011E-2</v>
      </c>
      <c r="O34" s="195">
        <v>9.8237504006156769E-3</v>
      </c>
      <c r="P34" s="195">
        <v>2.7605599018361824E-4</v>
      </c>
      <c r="R34" s="223" t="s">
        <v>469</v>
      </c>
      <c r="S34" s="207">
        <f>SUMIFS(Scoreboard_11[Damage Taken],Scoreboard_11[Role],"Tank",Scoreboard_11[Team],"Yellow")</f>
        <v>8669293</v>
      </c>
      <c r="T34" s="219">
        <f>SUMIFS(Scoreboard_11[Damage Taken],Scoreboard_11[Role],"Tank",Scoreboard_11[Team],"Red")</f>
        <v>15113708</v>
      </c>
    </row>
    <row r="35" spans="1:20" ht="22.5" customHeight="1">
      <c r="A35" s="115">
        <v>33</v>
      </c>
      <c r="B35" s="115" t="s">
        <v>39</v>
      </c>
      <c r="C35" s="115" t="s">
        <v>45</v>
      </c>
      <c r="D35" s="115" t="s">
        <v>7</v>
      </c>
      <c r="E35" s="98" t="s">
        <v>855</v>
      </c>
      <c r="F35" s="115" t="s">
        <v>476</v>
      </c>
      <c r="G35" s="115">
        <v>8</v>
      </c>
      <c r="H35" s="115">
        <v>41</v>
      </c>
      <c r="I35" s="194">
        <v>49</v>
      </c>
      <c r="J35" s="116">
        <v>895652</v>
      </c>
      <c r="K35" s="116">
        <v>343261</v>
      </c>
      <c r="L35" s="116">
        <v>8037</v>
      </c>
      <c r="M35" s="195">
        <v>1.9781994348001614E-2</v>
      </c>
      <c r="N35" s="195">
        <v>2.3697387432700126E-2</v>
      </c>
      <c r="O35" s="195">
        <v>1.1886751577658153E-2</v>
      </c>
      <c r="P35" s="195">
        <v>3.9246281918978621E-4</v>
      </c>
      <c r="R35" s="223" t="s">
        <v>470</v>
      </c>
      <c r="S35" s="207">
        <f>SUMIFS(Scoreboard_11[Amount Healed],Scoreboard_11[Role],"Tank",Scoreboard_11[Team],"Yellow")</f>
        <v>650602</v>
      </c>
      <c r="T35" s="219">
        <f>SUMIFS(Scoreboard_11[Amount Healed],Scoreboard_11[Role],"Tank",Scoreboard_11[Team],"Red")</f>
        <v>1081219</v>
      </c>
    </row>
    <row r="36" spans="1:20" ht="22.5" customHeight="1">
      <c r="A36" s="115">
        <v>67</v>
      </c>
      <c r="B36" s="115" t="s">
        <v>11</v>
      </c>
      <c r="C36" s="115" t="s">
        <v>9</v>
      </c>
      <c r="D36" s="115" t="s">
        <v>714</v>
      </c>
      <c r="E36" s="98" t="s">
        <v>765</v>
      </c>
      <c r="F36" s="115" t="s">
        <v>483</v>
      </c>
      <c r="G36" s="115">
        <v>0</v>
      </c>
      <c r="H36" s="115">
        <v>49</v>
      </c>
      <c r="I36" s="194">
        <v>49</v>
      </c>
      <c r="J36" s="116">
        <v>1676</v>
      </c>
      <c r="K36" s="116">
        <v>168300</v>
      </c>
      <c r="L36" s="116">
        <v>499184</v>
      </c>
      <c r="M36" s="195">
        <v>3.1531531531531529E-2</v>
      </c>
      <c r="N36" s="195">
        <v>5.7473917095040531E-5</v>
      </c>
      <c r="O36" s="195">
        <v>4.5956287678933592E-3</v>
      </c>
      <c r="P36" s="195">
        <v>2.1999159227940497E-2</v>
      </c>
      <c r="R36" s="223" t="s">
        <v>465</v>
      </c>
      <c r="S36" s="207">
        <f>SUMIFS(Scoreboard_11[Kills],Scoreboard_11[Role],"Tank",Scoreboard_11[Team],"Yellow")</f>
        <v>37</v>
      </c>
      <c r="T36" s="219">
        <f>SUMIFS(Scoreboard_11[Kills],Scoreboard_11[Role],"Tank",Scoreboard_11[Team],"Red")</f>
        <v>21</v>
      </c>
    </row>
    <row r="37" spans="1:20" ht="22.5" customHeight="1">
      <c r="A37" s="115">
        <v>8</v>
      </c>
      <c r="B37" s="115" t="s">
        <v>39</v>
      </c>
      <c r="C37" s="115" t="s">
        <v>54</v>
      </c>
      <c r="D37" s="115" t="s">
        <v>7</v>
      </c>
      <c r="E37" s="98" t="s">
        <v>88</v>
      </c>
      <c r="F37" s="115" t="s">
        <v>476</v>
      </c>
      <c r="G37" s="115">
        <v>32</v>
      </c>
      <c r="H37" s="115">
        <v>16</v>
      </c>
      <c r="I37" s="194">
        <v>48</v>
      </c>
      <c r="J37" s="116">
        <v>1020546</v>
      </c>
      <c r="K37" s="116">
        <v>459431</v>
      </c>
      <c r="L37" s="116">
        <v>5347</v>
      </c>
      <c r="M37" s="195">
        <v>1.9378280177634235E-2</v>
      </c>
      <c r="N37" s="195">
        <v>2.7001864513105964E-2</v>
      </c>
      <c r="O37" s="195">
        <v>1.5909591139322738E-2</v>
      </c>
      <c r="P37" s="195">
        <v>2.6110472741169426E-4</v>
      </c>
      <c r="R37" s="223" t="s">
        <v>466</v>
      </c>
      <c r="S37" s="207">
        <f>SUMIFS(Scoreboard_11[Assists],Scoreboard_11[Role],"Tank",Scoreboard_11[Team],"Yellow")</f>
        <v>237</v>
      </c>
      <c r="T37" s="219">
        <f>SUMIFS(Scoreboard_11[Assists],Scoreboard_11[Role],"Tank",Scoreboard_11[Team],"Red")</f>
        <v>228</v>
      </c>
    </row>
    <row r="38" spans="1:20" ht="22.5" customHeight="1">
      <c r="A38" s="115">
        <v>68</v>
      </c>
      <c r="B38" s="115" t="s">
        <v>11</v>
      </c>
      <c r="C38" s="115" t="s">
        <v>10</v>
      </c>
      <c r="D38" s="115" t="s">
        <v>7</v>
      </c>
      <c r="E38" s="98" t="s">
        <v>49</v>
      </c>
      <c r="F38" s="115" t="s">
        <v>476</v>
      </c>
      <c r="G38" s="115">
        <v>0</v>
      </c>
      <c r="H38" s="115">
        <v>48</v>
      </c>
      <c r="I38" s="194">
        <v>48</v>
      </c>
      <c r="J38" s="116">
        <v>95507</v>
      </c>
      <c r="K38" s="116">
        <v>728024</v>
      </c>
      <c r="L38" s="116">
        <v>1394274</v>
      </c>
      <c r="M38" s="195">
        <v>1.9378280177634235E-2</v>
      </c>
      <c r="N38" s="195">
        <v>2.526948392383304E-3</v>
      </c>
      <c r="O38" s="195">
        <v>2.5210671851952301E-2</v>
      </c>
      <c r="P38" s="195">
        <v>6.8085194072790844E-2</v>
      </c>
    </row>
    <row r="39" spans="1:20" ht="22.5" customHeight="1">
      <c r="A39" s="115">
        <v>21</v>
      </c>
      <c r="B39" s="115" t="s">
        <v>25</v>
      </c>
      <c r="C39" s="115" t="s">
        <v>24</v>
      </c>
      <c r="D39" s="115" t="s">
        <v>714</v>
      </c>
      <c r="E39" s="98" t="s">
        <v>729</v>
      </c>
      <c r="F39" s="115" t="s">
        <v>483</v>
      </c>
      <c r="G39" s="115">
        <v>16</v>
      </c>
      <c r="H39" s="115">
        <v>32</v>
      </c>
      <c r="I39" s="194">
        <v>48</v>
      </c>
      <c r="J39" s="116">
        <v>1336336</v>
      </c>
      <c r="K39" s="116">
        <v>1083727</v>
      </c>
      <c r="L39" s="116">
        <v>19473</v>
      </c>
      <c r="M39" s="195">
        <v>3.0888030888030889E-2</v>
      </c>
      <c r="N39" s="195">
        <v>4.5826052789449928E-2</v>
      </c>
      <c r="O39" s="195">
        <v>2.959243599371816E-2</v>
      </c>
      <c r="P39" s="195">
        <v>8.5817980473269437E-4</v>
      </c>
      <c r="R39" s="232" t="s">
        <v>11</v>
      </c>
      <c r="S39" s="228"/>
      <c r="T39" s="228"/>
    </row>
    <row r="40" spans="1:20" ht="22.5" customHeight="1">
      <c r="A40" s="115">
        <v>34</v>
      </c>
      <c r="B40" s="115" t="s">
        <v>67</v>
      </c>
      <c r="C40" s="115" t="s">
        <v>14</v>
      </c>
      <c r="D40" s="115" t="s">
        <v>7</v>
      </c>
      <c r="E40" s="98" t="s">
        <v>856</v>
      </c>
      <c r="F40" s="115" t="s">
        <v>476</v>
      </c>
      <c r="G40" s="115">
        <v>5</v>
      </c>
      <c r="H40" s="115">
        <v>41</v>
      </c>
      <c r="I40" s="194">
        <v>46</v>
      </c>
      <c r="J40" s="116">
        <v>345292</v>
      </c>
      <c r="K40" s="116">
        <v>459696</v>
      </c>
      <c r="L40" s="116">
        <v>91653</v>
      </c>
      <c r="M40" s="195">
        <v>1.8570851836899476E-2</v>
      </c>
      <c r="N40" s="195">
        <v>9.1358231784352539E-3</v>
      </c>
      <c r="O40" s="195">
        <v>1.5918767798389976E-2</v>
      </c>
      <c r="P40" s="195">
        <v>4.475599697300171E-3</v>
      </c>
      <c r="R40" s="190" t="s">
        <v>482</v>
      </c>
      <c r="S40" s="222" t="s">
        <v>476</v>
      </c>
      <c r="T40" s="222" t="s">
        <v>483</v>
      </c>
    </row>
    <row r="41" spans="1:20" ht="22.5" customHeight="1">
      <c r="A41" s="115">
        <v>69</v>
      </c>
      <c r="B41" s="115" t="s">
        <v>11</v>
      </c>
      <c r="C41" s="115" t="s">
        <v>10</v>
      </c>
      <c r="D41" s="115" t="s">
        <v>714</v>
      </c>
      <c r="E41" s="98" t="s">
        <v>857</v>
      </c>
      <c r="F41" s="115" t="s">
        <v>483</v>
      </c>
      <c r="G41" s="115">
        <v>0</v>
      </c>
      <c r="H41" s="115">
        <v>46</v>
      </c>
      <c r="I41" s="194">
        <v>46</v>
      </c>
      <c r="J41" s="116">
        <v>6262</v>
      </c>
      <c r="K41" s="116">
        <v>46896</v>
      </c>
      <c r="L41" s="116">
        <v>279561</v>
      </c>
      <c r="M41" s="195">
        <v>2.9601029601029602E-2</v>
      </c>
      <c r="N41" s="195">
        <v>2.1473846590044378E-4</v>
      </c>
      <c r="O41" s="195">
        <v>1.2805502477666487E-3</v>
      </c>
      <c r="P41" s="195">
        <v>1.2320320669176644E-2</v>
      </c>
      <c r="R41" s="223" t="s">
        <v>468</v>
      </c>
      <c r="S41" s="207">
        <f>SUMIFS(Scoreboard_11[Damage Dealt],Scoreboard_11[Role],"Healer",Scoreboard_11[Team],"Yellow")</f>
        <v>926619</v>
      </c>
      <c r="T41" s="219">
        <f>SUMIFS(Scoreboard_11[Damage Dealt],Scoreboard_11[Role],"Healer",Scoreboard_11[Team],"Red")</f>
        <v>1525742</v>
      </c>
    </row>
    <row r="42" spans="1:20" ht="22.5" customHeight="1">
      <c r="A42" s="115">
        <v>50</v>
      </c>
      <c r="B42" s="115" t="s">
        <v>11</v>
      </c>
      <c r="C42" s="115" t="s">
        <v>10</v>
      </c>
      <c r="D42" s="115" t="s">
        <v>7</v>
      </c>
      <c r="E42" s="98" t="s">
        <v>858</v>
      </c>
      <c r="F42" s="115" t="s">
        <v>476</v>
      </c>
      <c r="G42" s="115">
        <v>1</v>
      </c>
      <c r="H42" s="115">
        <v>43</v>
      </c>
      <c r="I42" s="194">
        <v>44</v>
      </c>
      <c r="J42" s="116">
        <v>54946</v>
      </c>
      <c r="K42" s="116">
        <v>569849</v>
      </c>
      <c r="L42" s="116">
        <v>914684</v>
      </c>
      <c r="M42" s="195">
        <v>1.7763423496164714E-2</v>
      </c>
      <c r="N42" s="195">
        <v>1.4537751826347075E-3</v>
      </c>
      <c r="O42" s="195">
        <v>1.9733245255875036E-2</v>
      </c>
      <c r="P42" s="195">
        <v>4.4665853092919053E-2</v>
      </c>
      <c r="R42" s="223" t="s">
        <v>469</v>
      </c>
      <c r="S42" s="207">
        <f>SUMIFS(Scoreboard_11[Damage Taken],Scoreboard_11[Role],"Healer",Scoreboard_11[Team],"Yellow")</f>
        <v>7956519</v>
      </c>
      <c r="T42" s="219">
        <f>SUMIFS(Scoreboard_11[Damage Taken],Scoreboard_11[Role],"Healer",Scoreboard_11[Team],"Red")</f>
        <v>9217734</v>
      </c>
    </row>
    <row r="43" spans="1:20" ht="22.5" customHeight="1">
      <c r="A43" s="115">
        <v>15</v>
      </c>
      <c r="B43" s="115" t="s">
        <v>25</v>
      </c>
      <c r="C43" s="115" t="s">
        <v>69</v>
      </c>
      <c r="D43" s="115" t="s">
        <v>7</v>
      </c>
      <c r="E43" s="98" t="s">
        <v>98</v>
      </c>
      <c r="F43" s="115" t="s">
        <v>476</v>
      </c>
      <c r="G43" s="115">
        <v>23</v>
      </c>
      <c r="H43" s="115">
        <v>20</v>
      </c>
      <c r="I43" s="194">
        <v>43</v>
      </c>
      <c r="J43" s="116">
        <v>1230488</v>
      </c>
      <c r="K43" s="116">
        <v>1089685</v>
      </c>
      <c r="L43" s="116">
        <v>28366</v>
      </c>
      <c r="M43" s="195">
        <v>1.7359709325797335E-2</v>
      </c>
      <c r="N43" s="195">
        <v>3.2556563115237067E-2</v>
      </c>
      <c r="O43" s="195">
        <v>3.7734595228996082E-2</v>
      </c>
      <c r="P43" s="195">
        <v>1.3851686361997606E-3</v>
      </c>
      <c r="R43" s="223" t="s">
        <v>470</v>
      </c>
      <c r="S43" s="207">
        <f>SUMIFS(Scoreboard_11[Amount Healed],Scoreboard_11[Role],"Healer",Scoreboard_11[Team],"Yellow")</f>
        <v>18764491</v>
      </c>
      <c r="T43" s="219">
        <f>SUMIFS(Scoreboard_11[Amount Healed],Scoreboard_11[Role],"Healer",Scoreboard_11[Team],"Red")</f>
        <v>21097455</v>
      </c>
    </row>
    <row r="44" spans="1:20" ht="22.5" customHeight="1">
      <c r="A44" s="115">
        <v>23</v>
      </c>
      <c r="B44" s="115" t="s">
        <v>39</v>
      </c>
      <c r="C44" s="115" t="s">
        <v>45</v>
      </c>
      <c r="D44" s="115" t="s">
        <v>714</v>
      </c>
      <c r="E44" s="98" t="s">
        <v>727</v>
      </c>
      <c r="F44" s="115" t="s">
        <v>483</v>
      </c>
      <c r="G44" s="115">
        <v>14</v>
      </c>
      <c r="H44" s="115">
        <v>28</v>
      </c>
      <c r="I44" s="194">
        <v>42</v>
      </c>
      <c r="J44" s="116">
        <v>1565920</v>
      </c>
      <c r="K44" s="116">
        <v>870363</v>
      </c>
      <c r="L44" s="116">
        <v>35002</v>
      </c>
      <c r="M44" s="195">
        <v>2.7027027027027029E-2</v>
      </c>
      <c r="N44" s="195">
        <v>5.369901924669801E-2</v>
      </c>
      <c r="O44" s="195">
        <v>2.3766281885383052E-2</v>
      </c>
      <c r="P44" s="195">
        <v>1.5425465786090364E-3</v>
      </c>
      <c r="R44" s="223" t="s">
        <v>465</v>
      </c>
      <c r="S44" s="207">
        <f>SUMIFS(Scoreboard_11[Kills],Scoreboard_11[Role],"Healer",Scoreboard_11[Team],"Yellow")</f>
        <v>5</v>
      </c>
      <c r="T44" s="219">
        <f>SUMIFS(Scoreboard_11[Kills],Scoreboard_11[Role],"Healer",Scoreboard_11[Team],"Red")</f>
        <v>2</v>
      </c>
    </row>
    <row r="45" spans="1:20" ht="22.5" customHeight="1">
      <c r="A45" s="115">
        <v>70</v>
      </c>
      <c r="B45" s="115" t="s">
        <v>11</v>
      </c>
      <c r="C45" s="115" t="s">
        <v>10</v>
      </c>
      <c r="D45" s="115" t="s">
        <v>7</v>
      </c>
      <c r="E45" s="98" t="s">
        <v>108</v>
      </c>
      <c r="F45" s="115" t="s">
        <v>476</v>
      </c>
      <c r="G45" s="115">
        <v>0</v>
      </c>
      <c r="H45" s="115">
        <v>41</v>
      </c>
      <c r="I45" s="194">
        <v>41</v>
      </c>
      <c r="J45" s="116">
        <v>98949</v>
      </c>
      <c r="K45" s="116">
        <v>667294</v>
      </c>
      <c r="L45" s="116">
        <v>1677597</v>
      </c>
      <c r="M45" s="195">
        <v>1.6552280985062576E-2</v>
      </c>
      <c r="N45" s="195">
        <v>2.618017700042254E-3</v>
      </c>
      <c r="O45" s="195">
        <v>2.3107658624958324E-2</v>
      </c>
      <c r="P45" s="195">
        <v>8.1920424049312907E-2</v>
      </c>
      <c r="R45" s="223" t="s">
        <v>466</v>
      </c>
      <c r="S45" s="207">
        <f>SUMIFS(Scoreboard_11[Assists],Scoreboard_11[Role],"Healer",Scoreboard_11[Team],"Yellow")</f>
        <v>748</v>
      </c>
      <c r="T45" s="219">
        <f>SUMIFS(Scoreboard_11[Assists],Scoreboard_11[Role],"Healer",Scoreboard_11[Team],"Red")</f>
        <v>431</v>
      </c>
    </row>
    <row r="46" spans="1:20" ht="22.5" customHeight="1">
      <c r="A46" s="115">
        <v>51</v>
      </c>
      <c r="B46" s="115" t="s">
        <v>67</v>
      </c>
      <c r="C46" s="115" t="s">
        <v>14</v>
      </c>
      <c r="D46" s="115" t="s">
        <v>714</v>
      </c>
      <c r="E46" s="98" t="s">
        <v>720</v>
      </c>
      <c r="F46" s="115" t="s">
        <v>483</v>
      </c>
      <c r="G46" s="115">
        <v>1</v>
      </c>
      <c r="H46" s="115">
        <v>40</v>
      </c>
      <c r="I46" s="194">
        <v>41</v>
      </c>
      <c r="J46" s="116">
        <v>261861</v>
      </c>
      <c r="K46" s="116">
        <v>680534</v>
      </c>
      <c r="L46" s="116">
        <v>104147</v>
      </c>
      <c r="M46" s="195">
        <v>2.6383526383526385E-2</v>
      </c>
      <c r="N46" s="195">
        <v>8.9798194537138477E-3</v>
      </c>
      <c r="O46" s="195">
        <v>1.8582778537905759E-2</v>
      </c>
      <c r="P46" s="195">
        <v>4.5897833987313674E-3</v>
      </c>
    </row>
    <row r="47" spans="1:20" ht="22.5" customHeight="1">
      <c r="A47" s="115">
        <v>32</v>
      </c>
      <c r="B47" s="115" t="s">
        <v>39</v>
      </c>
      <c r="C47" s="115" t="s">
        <v>52</v>
      </c>
      <c r="D47" s="115" t="s">
        <v>7</v>
      </c>
      <c r="E47" s="98" t="s">
        <v>66</v>
      </c>
      <c r="F47" s="115" t="s">
        <v>476</v>
      </c>
      <c r="G47" s="115">
        <v>9</v>
      </c>
      <c r="H47" s="115">
        <v>31</v>
      </c>
      <c r="I47" s="194">
        <v>40</v>
      </c>
      <c r="J47" s="116">
        <v>1196517</v>
      </c>
      <c r="K47" s="116">
        <v>576454</v>
      </c>
      <c r="L47" s="116">
        <v>319703</v>
      </c>
      <c r="M47" s="195">
        <v>1.6148566814695196E-2</v>
      </c>
      <c r="N47" s="195">
        <v>3.1657749794353228E-2</v>
      </c>
      <c r="O47" s="195">
        <v>1.9961969154513193E-2</v>
      </c>
      <c r="P47" s="195">
        <v>1.5611738295810902E-2</v>
      </c>
    </row>
    <row r="48" spans="1:20" ht="22.5" customHeight="1">
      <c r="A48" s="115">
        <v>35</v>
      </c>
      <c r="B48" s="115" t="s">
        <v>67</v>
      </c>
      <c r="C48" s="115" t="s">
        <v>14</v>
      </c>
      <c r="D48" s="115" t="s">
        <v>714</v>
      </c>
      <c r="E48" s="98" t="s">
        <v>859</v>
      </c>
      <c r="F48" s="115" t="s">
        <v>483</v>
      </c>
      <c r="G48" s="115">
        <v>5</v>
      </c>
      <c r="H48" s="115">
        <v>35</v>
      </c>
      <c r="I48" s="194">
        <v>40</v>
      </c>
      <c r="J48" s="116">
        <v>1216234</v>
      </c>
      <c r="K48" s="116">
        <v>1322750</v>
      </c>
      <c r="L48" s="116">
        <v>64692</v>
      </c>
      <c r="M48" s="195">
        <v>2.5740025740025738E-2</v>
      </c>
      <c r="N48" s="195">
        <v>4.1707477377189453E-2</v>
      </c>
      <c r="O48" s="195">
        <v>3.6119239172495189E-2</v>
      </c>
      <c r="P48" s="195">
        <v>2.8509920365515054E-3</v>
      </c>
    </row>
    <row r="49" spans="1:16" ht="22.5" customHeight="1">
      <c r="A49" s="115">
        <v>26</v>
      </c>
      <c r="B49" s="115" t="s">
        <v>25</v>
      </c>
      <c r="C49" s="115" t="s">
        <v>24</v>
      </c>
      <c r="D49" s="115" t="s">
        <v>714</v>
      </c>
      <c r="E49" s="98" t="s">
        <v>860</v>
      </c>
      <c r="F49" s="115" t="s">
        <v>483</v>
      </c>
      <c r="G49" s="115">
        <v>12</v>
      </c>
      <c r="H49" s="115">
        <v>26</v>
      </c>
      <c r="I49" s="194">
        <v>38</v>
      </c>
      <c r="J49" s="116">
        <v>1235580</v>
      </c>
      <c r="K49" s="116">
        <v>1003998</v>
      </c>
      <c r="L49" s="116">
        <v>36744</v>
      </c>
      <c r="M49" s="195">
        <v>2.4453024453024452E-2</v>
      </c>
      <c r="N49" s="195">
        <v>4.2370896470340202E-2</v>
      </c>
      <c r="O49" s="195">
        <v>2.7415342196716559E-2</v>
      </c>
      <c r="P49" s="195">
        <v>1.6193169385866648E-3</v>
      </c>
    </row>
    <row r="50" spans="1:16" ht="22.5" customHeight="1">
      <c r="A50" s="115">
        <v>36</v>
      </c>
      <c r="B50" s="115" t="s">
        <v>67</v>
      </c>
      <c r="C50" s="115" t="s">
        <v>14</v>
      </c>
      <c r="D50" s="115" t="s">
        <v>7</v>
      </c>
      <c r="E50" s="98" t="s">
        <v>55</v>
      </c>
      <c r="F50" s="115" t="s">
        <v>476</v>
      </c>
      <c r="G50" s="115">
        <v>5</v>
      </c>
      <c r="H50" s="115">
        <v>31</v>
      </c>
      <c r="I50" s="194">
        <v>36</v>
      </c>
      <c r="J50" s="116">
        <v>620754</v>
      </c>
      <c r="K50" s="116">
        <v>638109</v>
      </c>
      <c r="L50" s="116">
        <v>62598</v>
      </c>
      <c r="M50" s="195">
        <v>1.4533710133225677E-2</v>
      </c>
      <c r="N50" s="195">
        <v>1.6424066532981934E-2</v>
      </c>
      <c r="O50" s="195">
        <v>2.2097014115987152E-2</v>
      </c>
      <c r="P50" s="195">
        <v>3.0567858100836428E-3</v>
      </c>
    </row>
    <row r="51" spans="1:16" ht="22.5" customHeight="1">
      <c r="A51" s="115">
        <v>39</v>
      </c>
      <c r="B51" s="115" t="s">
        <v>39</v>
      </c>
      <c r="C51" s="115" t="s">
        <v>32</v>
      </c>
      <c r="D51" s="115" t="s">
        <v>714</v>
      </c>
      <c r="E51" s="98" t="s">
        <v>736</v>
      </c>
      <c r="F51" s="115" t="s">
        <v>483</v>
      </c>
      <c r="G51" s="115">
        <v>4</v>
      </c>
      <c r="H51" s="115">
        <v>32</v>
      </c>
      <c r="I51" s="194">
        <v>36</v>
      </c>
      <c r="J51" s="116">
        <v>1393065</v>
      </c>
      <c r="K51" s="116">
        <v>596956</v>
      </c>
      <c r="L51" s="116">
        <v>11740</v>
      </c>
      <c r="M51" s="195">
        <v>2.3166023166023165E-2</v>
      </c>
      <c r="N51" s="195">
        <v>4.7771421430789163E-2</v>
      </c>
      <c r="O51" s="195">
        <v>1.630058328441205E-2</v>
      </c>
      <c r="P51" s="195">
        <v>5.1738463038883745E-4</v>
      </c>
    </row>
    <row r="52" spans="1:16" ht="22.5" customHeight="1">
      <c r="A52" s="115">
        <v>24</v>
      </c>
      <c r="B52" s="115" t="s">
        <v>25</v>
      </c>
      <c r="C52" s="115" t="s">
        <v>69</v>
      </c>
      <c r="D52" s="115" t="s">
        <v>7</v>
      </c>
      <c r="E52" s="98" t="s">
        <v>110</v>
      </c>
      <c r="F52" s="115" t="s">
        <v>476</v>
      </c>
      <c r="G52" s="115">
        <v>14</v>
      </c>
      <c r="H52" s="115">
        <v>18</v>
      </c>
      <c r="I52" s="194">
        <v>32</v>
      </c>
      <c r="J52" s="116">
        <v>479609</v>
      </c>
      <c r="K52" s="116">
        <v>1116554</v>
      </c>
      <c r="L52" s="116">
        <v>68654</v>
      </c>
      <c r="M52" s="195">
        <v>1.2918853451756156E-2</v>
      </c>
      <c r="N52" s="195">
        <v>1.2689616379140419E-2</v>
      </c>
      <c r="O52" s="195">
        <v>3.8665039200609798E-2</v>
      </c>
      <c r="P52" s="195">
        <v>3.3525124285996746E-3</v>
      </c>
    </row>
    <row r="53" spans="1:16" ht="22.5" customHeight="1">
      <c r="A53" s="115">
        <v>71</v>
      </c>
      <c r="B53" s="115" t="s">
        <v>11</v>
      </c>
      <c r="C53" s="115" t="s">
        <v>10</v>
      </c>
      <c r="D53" s="115" t="s">
        <v>7</v>
      </c>
      <c r="E53" s="98" t="s">
        <v>96</v>
      </c>
      <c r="F53" s="115" t="s">
        <v>476</v>
      </c>
      <c r="G53" s="115">
        <v>0</v>
      </c>
      <c r="H53" s="115">
        <v>32</v>
      </c>
      <c r="I53" s="194">
        <v>32</v>
      </c>
      <c r="J53" s="116">
        <v>72317</v>
      </c>
      <c r="K53" s="116">
        <v>267031</v>
      </c>
      <c r="L53" s="116">
        <v>622540</v>
      </c>
      <c r="M53" s="195">
        <v>1.2918853451756156E-2</v>
      </c>
      <c r="N53" s="195">
        <v>1.9133814997014185E-3</v>
      </c>
      <c r="O53" s="195">
        <v>9.2469903674860642E-3</v>
      </c>
      <c r="P53" s="195">
        <v>3.0399876005774481E-2</v>
      </c>
    </row>
    <row r="54" spans="1:16" ht="22.5" customHeight="1">
      <c r="A54" s="115">
        <v>27</v>
      </c>
      <c r="B54" s="115" t="s">
        <v>67</v>
      </c>
      <c r="C54" s="115" t="s">
        <v>14</v>
      </c>
      <c r="D54" s="115" t="s">
        <v>7</v>
      </c>
      <c r="E54" s="98" t="s">
        <v>37</v>
      </c>
      <c r="F54" s="115" t="s">
        <v>476</v>
      </c>
      <c r="G54" s="115">
        <v>12</v>
      </c>
      <c r="H54" s="115">
        <v>19</v>
      </c>
      <c r="I54" s="194">
        <v>31</v>
      </c>
      <c r="J54" s="116">
        <v>619345</v>
      </c>
      <c r="K54" s="116">
        <v>1227145</v>
      </c>
      <c r="L54" s="116">
        <v>36561</v>
      </c>
      <c r="M54" s="195">
        <v>1.2515139281388777E-2</v>
      </c>
      <c r="N54" s="195">
        <v>1.6386786854163959E-2</v>
      </c>
      <c r="O54" s="195">
        <v>4.2494684117232409E-2</v>
      </c>
      <c r="P54" s="195">
        <v>1.7853469120813455E-3</v>
      </c>
    </row>
    <row r="55" spans="1:16" ht="22.5" customHeight="1">
      <c r="A55" s="115">
        <v>30</v>
      </c>
      <c r="B55" s="115" t="s">
        <v>39</v>
      </c>
      <c r="C55" s="115" t="s">
        <v>60</v>
      </c>
      <c r="D55" s="115" t="s">
        <v>714</v>
      </c>
      <c r="E55" s="98" t="s">
        <v>764</v>
      </c>
      <c r="F55" s="115" t="s">
        <v>483</v>
      </c>
      <c r="G55" s="115">
        <v>11</v>
      </c>
      <c r="H55" s="115">
        <v>20</v>
      </c>
      <c r="I55" s="194">
        <v>31</v>
      </c>
      <c r="J55" s="116">
        <v>1755944</v>
      </c>
      <c r="K55" s="116">
        <v>1212431</v>
      </c>
      <c r="L55" s="116">
        <v>52703</v>
      </c>
      <c r="M55" s="195">
        <v>1.9948519948519948E-2</v>
      </c>
      <c r="N55" s="195">
        <v>6.0215381789698E-2</v>
      </c>
      <c r="O55" s="195">
        <v>3.3106849570325093E-2</v>
      </c>
      <c r="P55" s="195">
        <v>2.3226339161314226E-3</v>
      </c>
    </row>
    <row r="56" spans="1:16" ht="22.5" customHeight="1">
      <c r="A56" s="115">
        <v>72</v>
      </c>
      <c r="B56" s="115" t="s">
        <v>11</v>
      </c>
      <c r="C56" s="115" t="s">
        <v>10</v>
      </c>
      <c r="D56" s="115" t="s">
        <v>7</v>
      </c>
      <c r="E56" s="98" t="s">
        <v>105</v>
      </c>
      <c r="F56" s="115" t="s">
        <v>476</v>
      </c>
      <c r="G56" s="115">
        <v>0</v>
      </c>
      <c r="H56" s="115">
        <v>30</v>
      </c>
      <c r="I56" s="194">
        <v>30</v>
      </c>
      <c r="J56" s="116">
        <v>59804</v>
      </c>
      <c r="K56" s="116">
        <v>555699</v>
      </c>
      <c r="L56" s="116">
        <v>969027</v>
      </c>
      <c r="M56" s="195">
        <v>1.2111425111021397E-2</v>
      </c>
      <c r="N56" s="195">
        <v>1.5823093768843237E-3</v>
      </c>
      <c r="O56" s="195">
        <v>1.9243246290586633E-2</v>
      </c>
      <c r="P56" s="195">
        <v>4.7319530706858404E-2</v>
      </c>
    </row>
    <row r="57" spans="1:16" ht="22.5" customHeight="1">
      <c r="A57" s="115">
        <v>37</v>
      </c>
      <c r="B57" s="115" t="s">
        <v>25</v>
      </c>
      <c r="C57" s="115" t="s">
        <v>69</v>
      </c>
      <c r="D57" s="115" t="s">
        <v>714</v>
      </c>
      <c r="E57" s="98" t="s">
        <v>861</v>
      </c>
      <c r="F57" s="115" t="s">
        <v>483</v>
      </c>
      <c r="G57" s="115">
        <v>5</v>
      </c>
      <c r="H57" s="115">
        <v>25</v>
      </c>
      <c r="I57" s="194">
        <v>30</v>
      </c>
      <c r="J57" s="116">
        <v>812936</v>
      </c>
      <c r="K57" s="116">
        <v>1246235</v>
      </c>
      <c r="L57" s="116">
        <v>119629</v>
      </c>
      <c r="M57" s="195">
        <v>1.9305019305019305E-2</v>
      </c>
      <c r="N57" s="195">
        <v>2.7877456006905648E-2</v>
      </c>
      <c r="O57" s="195">
        <v>3.4029907412689131E-2</v>
      </c>
      <c r="P57" s="195">
        <v>5.2720788712765105E-3</v>
      </c>
    </row>
    <row r="58" spans="1:16" ht="22.5" customHeight="1">
      <c r="A58" s="115">
        <v>73</v>
      </c>
      <c r="B58" s="115" t="s">
        <v>11</v>
      </c>
      <c r="C58" s="115" t="s">
        <v>10</v>
      </c>
      <c r="D58" s="115" t="s">
        <v>7</v>
      </c>
      <c r="E58" s="98" t="s">
        <v>72</v>
      </c>
      <c r="F58" s="115" t="s">
        <v>476</v>
      </c>
      <c r="G58" s="115">
        <v>0</v>
      </c>
      <c r="H58" s="115">
        <v>29</v>
      </c>
      <c r="I58" s="194">
        <v>29</v>
      </c>
      <c r="J58" s="116">
        <v>21169</v>
      </c>
      <c r="K58" s="116">
        <v>366485</v>
      </c>
      <c r="L58" s="116">
        <v>500037</v>
      </c>
      <c r="M58" s="195">
        <v>1.1707710940654016E-2</v>
      </c>
      <c r="N58" s="195">
        <v>5.6009476287981154E-4</v>
      </c>
      <c r="O58" s="195">
        <v>1.2690973200969664E-2</v>
      </c>
      <c r="P58" s="195">
        <v>2.4417808973398424E-2</v>
      </c>
    </row>
    <row r="59" spans="1:16" ht="22.5" customHeight="1">
      <c r="A59" s="115">
        <v>52</v>
      </c>
      <c r="B59" s="115" t="s">
        <v>11</v>
      </c>
      <c r="C59" s="115" t="s">
        <v>10</v>
      </c>
      <c r="D59" s="115" t="s">
        <v>7</v>
      </c>
      <c r="E59" s="98" t="s">
        <v>106</v>
      </c>
      <c r="F59" s="115" t="s">
        <v>476</v>
      </c>
      <c r="G59" s="115">
        <v>1</v>
      </c>
      <c r="H59" s="115">
        <v>27</v>
      </c>
      <c r="I59" s="194">
        <v>28</v>
      </c>
      <c r="J59" s="116">
        <v>124684</v>
      </c>
      <c r="K59" s="116">
        <v>326484</v>
      </c>
      <c r="L59" s="116">
        <v>753174</v>
      </c>
      <c r="M59" s="195">
        <v>1.1303996770286637E-2</v>
      </c>
      <c r="N59" s="195">
        <v>3.2989208472250188E-3</v>
      </c>
      <c r="O59" s="195">
        <v>1.1305782486446593E-2</v>
      </c>
      <c r="P59" s="195">
        <v>3.6778996065751905E-2</v>
      </c>
    </row>
    <row r="60" spans="1:16" ht="22.5" customHeight="1">
      <c r="A60" s="115">
        <v>74</v>
      </c>
      <c r="B60" s="115" t="s">
        <v>67</v>
      </c>
      <c r="C60" s="115" t="s">
        <v>14</v>
      </c>
      <c r="D60" s="115" t="s">
        <v>714</v>
      </c>
      <c r="E60" s="98" t="s">
        <v>862</v>
      </c>
      <c r="F60" s="115" t="s">
        <v>483</v>
      </c>
      <c r="G60" s="115">
        <v>0</v>
      </c>
      <c r="H60" s="115">
        <v>28</v>
      </c>
      <c r="I60" s="194">
        <v>28</v>
      </c>
      <c r="J60" s="116">
        <v>53529</v>
      </c>
      <c r="K60" s="116">
        <v>163956</v>
      </c>
      <c r="L60" s="116">
        <v>33098</v>
      </c>
      <c r="M60" s="195">
        <v>1.8018018018018018E-2</v>
      </c>
      <c r="N60" s="195">
        <v>1.8356332387711363E-3</v>
      </c>
      <c r="O60" s="195">
        <v>4.4770107562015658E-3</v>
      </c>
      <c r="P60" s="195">
        <v>1.4586368395749355E-3</v>
      </c>
    </row>
    <row r="61" spans="1:16" ht="22.5" customHeight="1">
      <c r="A61" s="115">
        <v>53</v>
      </c>
      <c r="B61" s="115" t="s">
        <v>11</v>
      </c>
      <c r="C61" s="115" t="s">
        <v>10</v>
      </c>
      <c r="D61" s="115" t="s">
        <v>714</v>
      </c>
      <c r="E61" s="98" t="s">
        <v>863</v>
      </c>
      <c r="F61" s="115" t="s">
        <v>483</v>
      </c>
      <c r="G61" s="115">
        <v>1</v>
      </c>
      <c r="H61" s="115">
        <v>26</v>
      </c>
      <c r="I61" s="194">
        <v>27</v>
      </c>
      <c r="J61" s="116">
        <v>881194</v>
      </c>
      <c r="K61" s="116">
        <v>932761</v>
      </c>
      <c r="L61" s="116">
        <v>2092621</v>
      </c>
      <c r="M61" s="195">
        <v>1.7374517374517374E-2</v>
      </c>
      <c r="N61" s="195">
        <v>3.021818072830975E-2</v>
      </c>
      <c r="O61" s="195">
        <v>2.5470132413362909E-2</v>
      </c>
      <c r="P61" s="195">
        <v>9.2222311978613247E-2</v>
      </c>
    </row>
    <row r="62" spans="1:16" ht="22.5" customHeight="1">
      <c r="A62" s="115">
        <v>75</v>
      </c>
      <c r="B62" s="115" t="s">
        <v>11</v>
      </c>
      <c r="C62" s="115" t="s">
        <v>10</v>
      </c>
      <c r="D62" s="115" t="s">
        <v>714</v>
      </c>
      <c r="E62" s="98" t="s">
        <v>735</v>
      </c>
      <c r="F62" s="115" t="s">
        <v>483</v>
      </c>
      <c r="G62" s="115">
        <v>0</v>
      </c>
      <c r="H62" s="115">
        <v>27</v>
      </c>
      <c r="I62" s="194">
        <v>27</v>
      </c>
      <c r="J62" s="116">
        <v>187292</v>
      </c>
      <c r="K62" s="116">
        <v>592902</v>
      </c>
      <c r="L62" s="116">
        <v>2147535</v>
      </c>
      <c r="M62" s="195">
        <v>1.7374517374517374E-2</v>
      </c>
      <c r="N62" s="195">
        <v>6.4226759430574768E-3</v>
      </c>
      <c r="O62" s="195">
        <v>1.6189884062635225E-2</v>
      </c>
      <c r="P62" s="195">
        <v>9.4642385197793194E-2</v>
      </c>
    </row>
    <row r="63" spans="1:16" ht="22.5" customHeight="1">
      <c r="A63" s="115">
        <v>76</v>
      </c>
      <c r="B63" s="115" t="s">
        <v>11</v>
      </c>
      <c r="C63" s="115" t="s">
        <v>9</v>
      </c>
      <c r="D63" s="115" t="s">
        <v>714</v>
      </c>
      <c r="E63" s="98" t="s">
        <v>749</v>
      </c>
      <c r="F63" s="115" t="s">
        <v>483</v>
      </c>
      <c r="G63" s="115">
        <v>0</v>
      </c>
      <c r="H63" s="115">
        <v>26</v>
      </c>
      <c r="I63" s="194">
        <v>26</v>
      </c>
      <c r="J63" s="116">
        <v>4953</v>
      </c>
      <c r="K63" s="116">
        <v>352925</v>
      </c>
      <c r="L63" s="116">
        <v>1670489</v>
      </c>
      <c r="M63" s="195">
        <v>1.6731016731016731E-2</v>
      </c>
      <c r="N63" s="195">
        <v>1.6984982778743183E-4</v>
      </c>
      <c r="O63" s="195">
        <v>9.6370307956551628E-3</v>
      </c>
      <c r="P63" s="195">
        <v>7.3618852967088477E-2</v>
      </c>
    </row>
    <row r="64" spans="1:16" ht="22.5" customHeight="1">
      <c r="A64" s="115">
        <v>40</v>
      </c>
      <c r="B64" s="115" t="s">
        <v>67</v>
      </c>
      <c r="C64" s="115" t="s">
        <v>14</v>
      </c>
      <c r="D64" s="115" t="s">
        <v>7</v>
      </c>
      <c r="E64" s="98" t="s">
        <v>123</v>
      </c>
      <c r="F64" s="115" t="s">
        <v>476</v>
      </c>
      <c r="G64" s="115">
        <v>3</v>
      </c>
      <c r="H64" s="115">
        <v>21</v>
      </c>
      <c r="I64" s="194">
        <v>24</v>
      </c>
      <c r="J64" s="116">
        <v>282129</v>
      </c>
      <c r="K64" s="116">
        <v>592182</v>
      </c>
      <c r="L64" s="116">
        <v>37409</v>
      </c>
      <c r="M64" s="195">
        <v>9.6891400888171175E-3</v>
      </c>
      <c r="N64" s="195">
        <v>7.4646405289110658E-3</v>
      </c>
      <c r="O64" s="195">
        <v>2.0506612527379342E-2</v>
      </c>
      <c r="P64" s="195">
        <v>1.8267564517942905E-3</v>
      </c>
    </row>
    <row r="65" spans="1:16" ht="22.5" customHeight="1">
      <c r="A65" s="115">
        <v>77</v>
      </c>
      <c r="B65" s="115" t="s">
        <v>67</v>
      </c>
      <c r="C65" s="115" t="s">
        <v>14</v>
      </c>
      <c r="D65" s="115" t="s">
        <v>714</v>
      </c>
      <c r="E65" s="98" t="s">
        <v>864</v>
      </c>
      <c r="F65" s="115" t="s">
        <v>483</v>
      </c>
      <c r="G65" s="115">
        <v>0</v>
      </c>
      <c r="H65" s="115">
        <v>24</v>
      </c>
      <c r="I65" s="194">
        <v>24</v>
      </c>
      <c r="J65" s="116">
        <v>584695</v>
      </c>
      <c r="K65" s="116">
        <v>1361850</v>
      </c>
      <c r="L65" s="116">
        <v>66126</v>
      </c>
      <c r="M65" s="195">
        <v>1.5444015444015444E-2</v>
      </c>
      <c r="N65" s="195">
        <v>2.0050544126422865E-2</v>
      </c>
      <c r="O65" s="195">
        <v>3.7186910502409812E-2</v>
      </c>
      <c r="P65" s="195">
        <v>2.9141887622736173E-3</v>
      </c>
    </row>
    <row r="66" spans="1:16" ht="22.5" customHeight="1">
      <c r="A66" s="115">
        <v>41</v>
      </c>
      <c r="B66" s="115" t="s">
        <v>67</v>
      </c>
      <c r="C66" s="115" t="s">
        <v>794</v>
      </c>
      <c r="D66" s="115" t="s">
        <v>7</v>
      </c>
      <c r="E66" s="98" t="s">
        <v>61</v>
      </c>
      <c r="F66" s="115" t="s">
        <v>476</v>
      </c>
      <c r="G66" s="115">
        <v>3</v>
      </c>
      <c r="H66" s="115">
        <v>20</v>
      </c>
      <c r="I66" s="194">
        <v>23</v>
      </c>
      <c r="J66" s="116">
        <v>491212</v>
      </c>
      <c r="K66" s="116">
        <v>432941</v>
      </c>
      <c r="L66" s="116">
        <v>23762</v>
      </c>
      <c r="M66" s="195">
        <v>9.2854259184497381E-3</v>
      </c>
      <c r="N66" s="195">
        <v>1.2996611491507298E-2</v>
      </c>
      <c r="O66" s="195">
        <v>1.4992271521620278E-2</v>
      </c>
      <c r="P66" s="195">
        <v>1.1603460880412716E-3</v>
      </c>
    </row>
    <row r="67" spans="1:16" ht="22.5" customHeight="1">
      <c r="A67" s="115">
        <v>78</v>
      </c>
      <c r="B67" s="115" t="s">
        <v>11</v>
      </c>
      <c r="C67" s="115" t="s">
        <v>9</v>
      </c>
      <c r="D67" s="115" t="s">
        <v>714</v>
      </c>
      <c r="E67" s="98" t="s">
        <v>734</v>
      </c>
      <c r="F67" s="115" t="s">
        <v>483</v>
      </c>
      <c r="G67" s="115">
        <v>0</v>
      </c>
      <c r="H67" s="115">
        <v>23</v>
      </c>
      <c r="I67" s="194">
        <v>23</v>
      </c>
      <c r="J67" s="116">
        <v>3600</v>
      </c>
      <c r="K67" s="116">
        <v>528316</v>
      </c>
      <c r="L67" s="116">
        <v>708520</v>
      </c>
      <c r="M67" s="195">
        <v>1.4800514800514801E-2</v>
      </c>
      <c r="N67" s="195">
        <v>1.2345232788910855E-4</v>
      </c>
      <c r="O67" s="195">
        <v>1.4426287630055544E-2</v>
      </c>
      <c r="P67" s="195">
        <v>3.1224647216618325E-2</v>
      </c>
    </row>
    <row r="68" spans="1:16" ht="22.5" customHeight="1">
      <c r="A68" s="115">
        <v>38</v>
      </c>
      <c r="B68" s="115" t="s">
        <v>67</v>
      </c>
      <c r="C68" s="115" t="s">
        <v>14</v>
      </c>
      <c r="D68" s="115" t="s">
        <v>714</v>
      </c>
      <c r="E68" s="98" t="s">
        <v>741</v>
      </c>
      <c r="F68" s="115" t="s">
        <v>483</v>
      </c>
      <c r="G68" s="115">
        <v>5</v>
      </c>
      <c r="H68" s="115">
        <v>16</v>
      </c>
      <c r="I68" s="194">
        <v>21</v>
      </c>
      <c r="J68" s="116">
        <v>739988</v>
      </c>
      <c r="K68" s="116">
        <v>1658223</v>
      </c>
      <c r="L68" s="116">
        <v>46484</v>
      </c>
      <c r="M68" s="195">
        <v>1.3513513513513514E-2</v>
      </c>
      <c r="N68" s="195">
        <v>2.5375900336112679E-2</v>
      </c>
      <c r="O68" s="195">
        <v>4.5279722652302019E-2</v>
      </c>
      <c r="P68" s="195">
        <v>2.0485610867968245E-3</v>
      </c>
    </row>
    <row r="69" spans="1:16" ht="22.5" customHeight="1">
      <c r="A69" s="115">
        <v>42</v>
      </c>
      <c r="B69" s="115" t="s">
        <v>67</v>
      </c>
      <c r="C69" s="115" t="s">
        <v>14</v>
      </c>
      <c r="D69" s="115" t="s">
        <v>7</v>
      </c>
      <c r="E69" s="98" t="s">
        <v>773</v>
      </c>
      <c r="F69" s="115" t="s">
        <v>476</v>
      </c>
      <c r="G69" s="115">
        <v>3</v>
      </c>
      <c r="H69" s="115">
        <v>17</v>
      </c>
      <c r="I69" s="194">
        <v>20</v>
      </c>
      <c r="J69" s="116">
        <v>375227</v>
      </c>
      <c r="K69" s="116">
        <v>1084518</v>
      </c>
      <c r="L69" s="116">
        <v>61636</v>
      </c>
      <c r="M69" s="195">
        <v>8.0742834073475982E-3</v>
      </c>
      <c r="N69" s="195">
        <v>9.9278509892344012E-3</v>
      </c>
      <c r="O69" s="195">
        <v>3.7555667691635999E-2</v>
      </c>
      <c r="P69" s="195">
        <v>3.009809421871552E-3</v>
      </c>
    </row>
    <row r="70" spans="1:16" ht="22.5" customHeight="1">
      <c r="A70" s="115">
        <v>54</v>
      </c>
      <c r="B70" s="115" t="s">
        <v>67</v>
      </c>
      <c r="C70" s="115" t="s">
        <v>14</v>
      </c>
      <c r="D70" s="115" t="s">
        <v>714</v>
      </c>
      <c r="E70" s="98" t="s">
        <v>737</v>
      </c>
      <c r="F70" s="115" t="s">
        <v>483</v>
      </c>
      <c r="G70" s="115">
        <v>1</v>
      </c>
      <c r="H70" s="115">
        <v>19</v>
      </c>
      <c r="I70" s="194">
        <v>20</v>
      </c>
      <c r="J70" s="116">
        <v>533712</v>
      </c>
      <c r="K70" s="116">
        <v>1678856</v>
      </c>
      <c r="L70" s="116">
        <v>148030</v>
      </c>
      <c r="M70" s="195">
        <v>1.2870012870012869E-2</v>
      </c>
      <c r="N70" s="195">
        <v>1.8302219117319971E-2</v>
      </c>
      <c r="O70" s="195">
        <v>4.5843130901665911E-2</v>
      </c>
      <c r="P70" s="195">
        <v>6.5237177884548223E-3</v>
      </c>
    </row>
    <row r="71" spans="1:16" ht="22.5" customHeight="1">
      <c r="A71" s="115">
        <v>79</v>
      </c>
      <c r="B71" s="115" t="s">
        <v>11</v>
      </c>
      <c r="C71" s="115" t="s">
        <v>10</v>
      </c>
      <c r="D71" s="115" t="s">
        <v>714</v>
      </c>
      <c r="E71" s="98" t="s">
        <v>743</v>
      </c>
      <c r="F71" s="115" t="s">
        <v>483</v>
      </c>
      <c r="G71" s="115">
        <v>0</v>
      </c>
      <c r="H71" s="115">
        <v>20</v>
      </c>
      <c r="I71" s="194">
        <v>20</v>
      </c>
      <c r="J71" s="116">
        <v>63778</v>
      </c>
      <c r="K71" s="116">
        <v>762381</v>
      </c>
      <c r="L71" s="116">
        <v>1401834</v>
      </c>
      <c r="M71" s="195">
        <v>1.2870012870012869E-2</v>
      </c>
      <c r="N71" s="195">
        <v>2.1870951578087678E-3</v>
      </c>
      <c r="O71" s="195">
        <v>2.0817706807458747E-2</v>
      </c>
      <c r="P71" s="195">
        <v>6.1779162347232165E-2</v>
      </c>
    </row>
    <row r="72" spans="1:16" ht="22.5" customHeight="1">
      <c r="A72" s="115">
        <v>55</v>
      </c>
      <c r="B72" s="115" t="s">
        <v>67</v>
      </c>
      <c r="C72" s="115" t="s">
        <v>14</v>
      </c>
      <c r="D72" s="115" t="s">
        <v>7</v>
      </c>
      <c r="E72" s="98" t="s">
        <v>85</v>
      </c>
      <c r="F72" s="115" t="s">
        <v>476</v>
      </c>
      <c r="G72" s="115">
        <v>1</v>
      </c>
      <c r="H72" s="115">
        <v>18</v>
      </c>
      <c r="I72" s="194">
        <v>19</v>
      </c>
      <c r="J72" s="116">
        <v>192491</v>
      </c>
      <c r="K72" s="116">
        <v>310395</v>
      </c>
      <c r="L72" s="116">
        <v>70051</v>
      </c>
      <c r="M72" s="195">
        <v>7.6705692369802179E-3</v>
      </c>
      <c r="N72" s="195">
        <v>5.0929756248050354E-3</v>
      </c>
      <c r="O72" s="195">
        <v>1.0748638079907715E-2</v>
      </c>
      <c r="P72" s="195">
        <v>3.4207307387164008E-3</v>
      </c>
    </row>
    <row r="73" spans="1:16" ht="22.5" customHeight="1">
      <c r="A73" s="115">
        <v>81</v>
      </c>
      <c r="B73" s="115" t="s">
        <v>11</v>
      </c>
      <c r="C73" s="115" t="s">
        <v>10</v>
      </c>
      <c r="D73" s="115" t="s">
        <v>714</v>
      </c>
      <c r="E73" s="98" t="s">
        <v>865</v>
      </c>
      <c r="F73" s="115" t="s">
        <v>483</v>
      </c>
      <c r="G73" s="115">
        <v>0</v>
      </c>
      <c r="H73" s="115">
        <v>17</v>
      </c>
      <c r="I73" s="194">
        <v>17</v>
      </c>
      <c r="J73" s="116">
        <v>17004</v>
      </c>
      <c r="K73" s="116">
        <v>324442</v>
      </c>
      <c r="L73" s="116">
        <v>1039019</v>
      </c>
      <c r="M73" s="195">
        <v>1.0939510939510939E-2</v>
      </c>
      <c r="N73" s="195">
        <v>5.8310649539622264E-4</v>
      </c>
      <c r="O73" s="195">
        <v>8.8592690951447249E-3</v>
      </c>
      <c r="P73" s="195">
        <v>4.5789817826403706E-2</v>
      </c>
    </row>
    <row r="74" spans="1:16" ht="22.5" customHeight="1">
      <c r="A74" s="115">
        <v>80</v>
      </c>
      <c r="B74" s="115" t="s">
        <v>11</v>
      </c>
      <c r="C74" s="115" t="s">
        <v>9</v>
      </c>
      <c r="D74" s="115" t="s">
        <v>714</v>
      </c>
      <c r="E74" s="98" t="s">
        <v>724</v>
      </c>
      <c r="F74" s="115" t="s">
        <v>483</v>
      </c>
      <c r="G74" s="115">
        <v>0</v>
      </c>
      <c r="H74" s="115">
        <v>17</v>
      </c>
      <c r="I74" s="194">
        <v>17</v>
      </c>
      <c r="J74" s="116">
        <v>47558</v>
      </c>
      <c r="K74" s="116">
        <v>387247</v>
      </c>
      <c r="L74" s="116">
        <v>972837</v>
      </c>
      <c r="M74" s="195">
        <v>1.0939510939510939E-2</v>
      </c>
      <c r="N74" s="195">
        <v>1.6308738360417288E-3</v>
      </c>
      <c r="O74" s="195">
        <v>1.0574233235177657E-2</v>
      </c>
      <c r="P74" s="195">
        <v>4.2873161130629084E-2</v>
      </c>
    </row>
    <row r="75" spans="1:16" ht="22.5" customHeight="1">
      <c r="A75" s="115">
        <v>82</v>
      </c>
      <c r="B75" s="115" t="s">
        <v>67</v>
      </c>
      <c r="C75" s="115" t="s">
        <v>70</v>
      </c>
      <c r="D75" s="115" t="s">
        <v>7</v>
      </c>
      <c r="E75" s="98" t="s">
        <v>64</v>
      </c>
      <c r="F75" s="115" t="s">
        <v>476</v>
      </c>
      <c r="G75" s="115">
        <v>0</v>
      </c>
      <c r="H75" s="115">
        <v>16</v>
      </c>
      <c r="I75" s="194">
        <v>16</v>
      </c>
      <c r="J75" s="116">
        <v>333077</v>
      </c>
      <c r="K75" s="116">
        <v>448805</v>
      </c>
      <c r="L75" s="116">
        <v>49040</v>
      </c>
      <c r="M75" s="195">
        <v>6.459426725878078E-3</v>
      </c>
      <c r="N75" s="195">
        <v>8.8126356150842727E-3</v>
      </c>
      <c r="O75" s="195">
        <v>1.5541624425177539E-2</v>
      </c>
      <c r="P75" s="195">
        <v>2.394721494720308E-3</v>
      </c>
    </row>
    <row r="76" spans="1:16" ht="22.5" customHeight="1">
      <c r="A76" s="115">
        <v>83</v>
      </c>
      <c r="B76" s="115" t="s">
        <v>67</v>
      </c>
      <c r="C76" s="115" t="s">
        <v>14</v>
      </c>
      <c r="D76" s="115" t="s">
        <v>7</v>
      </c>
      <c r="E76" s="98" t="s">
        <v>93</v>
      </c>
      <c r="F76" s="115" t="s">
        <v>476</v>
      </c>
      <c r="G76" s="115">
        <v>0</v>
      </c>
      <c r="H76" s="115">
        <v>14</v>
      </c>
      <c r="I76" s="194">
        <v>14</v>
      </c>
      <c r="J76" s="116">
        <v>172068</v>
      </c>
      <c r="K76" s="116">
        <v>1288037</v>
      </c>
      <c r="L76" s="116">
        <v>62825</v>
      </c>
      <c r="M76" s="195">
        <v>5.6519983851433184E-3</v>
      </c>
      <c r="N76" s="195">
        <v>4.5526187188437532E-3</v>
      </c>
      <c r="O76" s="195">
        <v>4.4603307226373151E-2</v>
      </c>
      <c r="P76" s="195">
        <v>3.0678706750775562E-3</v>
      </c>
    </row>
    <row r="77" spans="1:16" ht="22.5" customHeight="1">
      <c r="A77" s="115">
        <v>84</v>
      </c>
      <c r="B77" s="115" t="s">
        <v>67</v>
      </c>
      <c r="C77" s="115" t="s">
        <v>62</v>
      </c>
      <c r="D77" s="115" t="s">
        <v>7</v>
      </c>
      <c r="E77" s="98" t="s">
        <v>114</v>
      </c>
      <c r="F77" s="115" t="s">
        <v>476</v>
      </c>
      <c r="G77" s="115">
        <v>0</v>
      </c>
      <c r="H77" s="115">
        <v>14</v>
      </c>
      <c r="I77" s="194">
        <v>14</v>
      </c>
      <c r="J77" s="116">
        <v>172640</v>
      </c>
      <c r="K77" s="116">
        <v>260812</v>
      </c>
      <c r="L77" s="116">
        <v>11459</v>
      </c>
      <c r="M77" s="195">
        <v>5.6519983851433184E-3</v>
      </c>
      <c r="N77" s="195">
        <v>4.5677528396981752E-3</v>
      </c>
      <c r="O77" s="195">
        <v>9.031633225074151E-3</v>
      </c>
      <c r="P77" s="195">
        <v>5.5956593817292025E-4</v>
      </c>
    </row>
    <row r="78" spans="1:16" ht="22.5" customHeight="1">
      <c r="A78" s="115">
        <v>85</v>
      </c>
      <c r="B78" s="115" t="s">
        <v>11</v>
      </c>
      <c r="C78" s="115" t="s">
        <v>9</v>
      </c>
      <c r="D78" s="115" t="s">
        <v>714</v>
      </c>
      <c r="E78" s="98" t="s">
        <v>739</v>
      </c>
      <c r="F78" s="115" t="s">
        <v>483</v>
      </c>
      <c r="G78" s="115">
        <v>0</v>
      </c>
      <c r="H78" s="115">
        <v>14</v>
      </c>
      <c r="I78" s="194">
        <v>14</v>
      </c>
      <c r="J78" s="116">
        <v>39553</v>
      </c>
      <c r="K78" s="116">
        <v>427938</v>
      </c>
      <c r="L78" s="116">
        <v>1010728</v>
      </c>
      <c r="M78" s="195">
        <v>9.0090090090090089E-3</v>
      </c>
      <c r="N78" s="195">
        <v>1.3563638680549749E-3</v>
      </c>
      <c r="O78" s="195">
        <v>1.1685348684936116E-2</v>
      </c>
      <c r="P78" s="195">
        <v>4.454302663574522E-2</v>
      </c>
    </row>
    <row r="79" spans="1:16" ht="22.5" customHeight="1">
      <c r="A79" s="115">
        <v>86</v>
      </c>
      <c r="B79" s="115" t="s">
        <v>67</v>
      </c>
      <c r="C79" s="115" t="s">
        <v>14</v>
      </c>
      <c r="D79" s="115" t="s">
        <v>714</v>
      </c>
      <c r="E79" s="98" t="s">
        <v>866</v>
      </c>
      <c r="F79" s="115" t="s">
        <v>483</v>
      </c>
      <c r="G79" s="115">
        <v>0</v>
      </c>
      <c r="H79" s="115">
        <v>13</v>
      </c>
      <c r="I79" s="194">
        <v>13</v>
      </c>
      <c r="J79" s="116">
        <v>289327</v>
      </c>
      <c r="K79" s="116">
        <v>1292549</v>
      </c>
      <c r="L79" s="116">
        <v>108699</v>
      </c>
      <c r="M79" s="195">
        <v>8.3655083655083656E-3</v>
      </c>
      <c r="N79" s="195">
        <v>9.9216921308811403E-3</v>
      </c>
      <c r="O79" s="195">
        <v>3.5294565468281601E-2</v>
      </c>
      <c r="P79" s="195">
        <v>4.7903911361700377E-3</v>
      </c>
    </row>
    <row r="80" spans="1:16" ht="22.5" customHeight="1">
      <c r="A80" s="115">
        <v>56</v>
      </c>
      <c r="B80" s="115" t="s">
        <v>67</v>
      </c>
      <c r="C80" s="115" t="s">
        <v>794</v>
      </c>
      <c r="D80" s="115" t="s">
        <v>7</v>
      </c>
      <c r="E80" s="98" t="s">
        <v>79</v>
      </c>
      <c r="F80" s="115" t="s">
        <v>476</v>
      </c>
      <c r="G80" s="115">
        <v>1</v>
      </c>
      <c r="H80" s="115">
        <v>11</v>
      </c>
      <c r="I80" s="194">
        <v>12</v>
      </c>
      <c r="J80" s="116">
        <v>176387</v>
      </c>
      <c r="K80" s="116">
        <v>495943</v>
      </c>
      <c r="L80" s="116">
        <v>47994</v>
      </c>
      <c r="M80" s="195">
        <v>4.8445700444085587E-3</v>
      </c>
      <c r="N80" s="195">
        <v>4.6668919145959331E-3</v>
      </c>
      <c r="O80" s="195">
        <v>1.7173961614277523E-2</v>
      </c>
      <c r="P80" s="195">
        <v>2.3436432181404257E-3</v>
      </c>
    </row>
    <row r="81" spans="1:16" ht="22.5" customHeight="1">
      <c r="A81" s="115">
        <v>87</v>
      </c>
      <c r="B81" s="115" t="s">
        <v>11</v>
      </c>
      <c r="C81" s="115" t="s">
        <v>10</v>
      </c>
      <c r="D81" s="115" t="s">
        <v>714</v>
      </c>
      <c r="E81" s="98" t="s">
        <v>744</v>
      </c>
      <c r="F81" s="115" t="s">
        <v>483</v>
      </c>
      <c r="G81" s="115">
        <v>0</v>
      </c>
      <c r="H81" s="115">
        <v>12</v>
      </c>
      <c r="I81" s="194">
        <v>12</v>
      </c>
      <c r="J81" s="116">
        <v>66840</v>
      </c>
      <c r="K81" s="116">
        <v>949832</v>
      </c>
      <c r="L81" s="116">
        <v>1674565</v>
      </c>
      <c r="M81" s="195">
        <v>7.7220077220077222E-3</v>
      </c>
      <c r="N81" s="195">
        <v>2.2920982211411152E-3</v>
      </c>
      <c r="O81" s="195">
        <v>2.5936276077633304E-2</v>
      </c>
      <c r="P81" s="195">
        <v>7.3798483269768622E-2</v>
      </c>
    </row>
    <row r="82" spans="1:16" ht="22.5" customHeight="1">
      <c r="A82" s="115">
        <v>43</v>
      </c>
      <c r="B82" s="115" t="s">
        <v>67</v>
      </c>
      <c r="C82" s="115" t="s">
        <v>14</v>
      </c>
      <c r="D82" s="115" t="s">
        <v>714</v>
      </c>
      <c r="E82" s="98" t="s">
        <v>867</v>
      </c>
      <c r="F82" s="115" t="s">
        <v>483</v>
      </c>
      <c r="G82" s="115">
        <v>3</v>
      </c>
      <c r="H82" s="115">
        <v>8</v>
      </c>
      <c r="I82" s="194">
        <v>11</v>
      </c>
      <c r="J82" s="116">
        <v>266343</v>
      </c>
      <c r="K82" s="116">
        <v>1198499</v>
      </c>
      <c r="L82" s="116">
        <v>74751</v>
      </c>
      <c r="M82" s="195">
        <v>7.0785070785070788E-3</v>
      </c>
      <c r="N82" s="195">
        <v>9.1335176019357867E-3</v>
      </c>
      <c r="O82" s="195">
        <v>3.2726419980341197E-2</v>
      </c>
      <c r="P82" s="195">
        <v>3.2942945916691643E-3</v>
      </c>
    </row>
    <row r="83" spans="1:16" ht="22.5" customHeight="1">
      <c r="A83" s="115">
        <v>45</v>
      </c>
      <c r="B83" s="115" t="s">
        <v>67</v>
      </c>
      <c r="C83" s="115" t="s">
        <v>14</v>
      </c>
      <c r="D83" s="115" t="s">
        <v>714</v>
      </c>
      <c r="E83" s="98" t="s">
        <v>868</v>
      </c>
      <c r="F83" s="115" t="s">
        <v>483</v>
      </c>
      <c r="G83" s="115">
        <v>2</v>
      </c>
      <c r="H83" s="115">
        <v>9</v>
      </c>
      <c r="I83" s="194">
        <v>11</v>
      </c>
      <c r="J83" s="116">
        <v>170209</v>
      </c>
      <c r="K83" s="116">
        <v>1013741</v>
      </c>
      <c r="L83" s="116">
        <v>83079</v>
      </c>
      <c r="M83" s="195">
        <v>7.0785070785070788E-3</v>
      </c>
      <c r="N83" s="195">
        <v>5.8368603549103538E-3</v>
      </c>
      <c r="O83" s="195">
        <v>2.7681386231687356E-2</v>
      </c>
      <c r="P83" s="195">
        <v>3.6613115594611779E-3</v>
      </c>
    </row>
    <row r="84" spans="1:16" ht="22.5" customHeight="1">
      <c r="A84" s="115">
        <v>57</v>
      </c>
      <c r="B84" s="115" t="s">
        <v>11</v>
      </c>
      <c r="C84" s="115" t="s">
        <v>10</v>
      </c>
      <c r="D84" s="115" t="s">
        <v>714</v>
      </c>
      <c r="E84" s="98" t="s">
        <v>726</v>
      </c>
      <c r="F84" s="115" t="s">
        <v>483</v>
      </c>
      <c r="G84" s="115">
        <v>1</v>
      </c>
      <c r="H84" s="115">
        <v>9</v>
      </c>
      <c r="I84" s="194">
        <v>10</v>
      </c>
      <c r="J84" s="116">
        <v>76115</v>
      </c>
      <c r="K84" s="116">
        <v>864245</v>
      </c>
      <c r="L84" s="116">
        <v>1620438</v>
      </c>
      <c r="M84" s="195">
        <v>6.4350064350064346E-3</v>
      </c>
      <c r="N84" s="195">
        <v>2.6101594270220821E-3</v>
      </c>
      <c r="O84" s="195">
        <v>2.3599222724349354E-2</v>
      </c>
      <c r="P84" s="195">
        <v>7.1413093330325986E-2</v>
      </c>
    </row>
    <row r="85" spans="1:16" ht="22.5" customHeight="1">
      <c r="A85" s="115">
        <v>44</v>
      </c>
      <c r="B85" s="115" t="s">
        <v>67</v>
      </c>
      <c r="C85" s="115" t="s">
        <v>14</v>
      </c>
      <c r="D85" s="115" t="s">
        <v>714</v>
      </c>
      <c r="E85" s="98" t="s">
        <v>751</v>
      </c>
      <c r="F85" s="115" t="s">
        <v>483</v>
      </c>
      <c r="G85" s="115">
        <v>3</v>
      </c>
      <c r="H85" s="115">
        <v>7</v>
      </c>
      <c r="I85" s="194">
        <v>10</v>
      </c>
      <c r="J85" s="116">
        <v>170143</v>
      </c>
      <c r="K85" s="116">
        <v>1047473</v>
      </c>
      <c r="L85" s="116">
        <v>103280</v>
      </c>
      <c r="M85" s="195">
        <v>6.4350064350064346E-3</v>
      </c>
      <c r="N85" s="195">
        <v>5.8345970622323872E-3</v>
      </c>
      <c r="O85" s="195">
        <v>2.8602478029658707E-2</v>
      </c>
      <c r="P85" s="195">
        <v>4.5515744997069105E-3</v>
      </c>
    </row>
    <row r="86" spans="1:16" ht="22.5" customHeight="1">
      <c r="A86" s="115">
        <v>58</v>
      </c>
      <c r="B86" s="115" t="s">
        <v>67</v>
      </c>
      <c r="C86" s="115" t="s">
        <v>14</v>
      </c>
      <c r="D86" s="115" t="s">
        <v>714</v>
      </c>
      <c r="E86" s="98" t="s">
        <v>376</v>
      </c>
      <c r="F86" s="115" t="s">
        <v>483</v>
      </c>
      <c r="G86" s="115">
        <v>1</v>
      </c>
      <c r="H86" s="115">
        <v>8</v>
      </c>
      <c r="I86" s="194">
        <v>9</v>
      </c>
      <c r="J86" s="116">
        <v>34625</v>
      </c>
      <c r="K86" s="116">
        <v>667909</v>
      </c>
      <c r="L86" s="116">
        <v>47182</v>
      </c>
      <c r="M86" s="195">
        <v>5.7915057915057912E-3</v>
      </c>
      <c r="N86" s="195">
        <v>1.1873713481001065E-3</v>
      </c>
      <c r="O86" s="195">
        <v>1.8238038114883455E-2</v>
      </c>
      <c r="P86" s="195">
        <v>2.0793221150771832E-3</v>
      </c>
    </row>
    <row r="87" spans="1:16" ht="22.5" customHeight="1">
      <c r="A87" s="115">
        <v>88</v>
      </c>
      <c r="B87" s="115" t="s">
        <v>67</v>
      </c>
      <c r="C87" s="115" t="s">
        <v>794</v>
      </c>
      <c r="D87" s="115" t="s">
        <v>714</v>
      </c>
      <c r="E87" s="98" t="s">
        <v>869</v>
      </c>
      <c r="F87" s="115" t="s">
        <v>483</v>
      </c>
      <c r="G87" s="115">
        <v>0</v>
      </c>
      <c r="H87" s="115">
        <v>9</v>
      </c>
      <c r="I87" s="194">
        <v>9</v>
      </c>
      <c r="J87" s="116">
        <v>168741</v>
      </c>
      <c r="K87" s="116">
        <v>836918</v>
      </c>
      <c r="L87" s="116">
        <v>45864</v>
      </c>
      <c r="M87" s="195">
        <v>5.7915057915057912E-3</v>
      </c>
      <c r="N87" s="195">
        <v>5.7865192389822398E-3</v>
      </c>
      <c r="O87" s="195">
        <v>2.2853026958810304E-2</v>
      </c>
      <c r="P87" s="195">
        <v>2.0212375373214347E-3</v>
      </c>
    </row>
    <row r="88" spans="1:16" ht="22.5" customHeight="1">
      <c r="A88" s="115">
        <v>89</v>
      </c>
      <c r="B88" s="115" t="s">
        <v>11</v>
      </c>
      <c r="C88" s="115" t="s">
        <v>10</v>
      </c>
      <c r="D88" s="115" t="s">
        <v>714</v>
      </c>
      <c r="E88" s="98" t="s">
        <v>870</v>
      </c>
      <c r="F88" s="115" t="s">
        <v>483</v>
      </c>
      <c r="G88" s="115">
        <v>0</v>
      </c>
      <c r="H88" s="115">
        <v>8</v>
      </c>
      <c r="I88" s="194">
        <v>8</v>
      </c>
      <c r="J88" s="116">
        <v>57558</v>
      </c>
      <c r="K88" s="116">
        <v>739413</v>
      </c>
      <c r="L88" s="116">
        <v>1799441</v>
      </c>
      <c r="M88" s="195">
        <v>5.1480051480051478E-3</v>
      </c>
      <c r="N88" s="195">
        <v>1.9737969690670305E-3</v>
      </c>
      <c r="O88" s="195">
        <v>2.0190538646193301E-2</v>
      </c>
      <c r="P88" s="195">
        <v>7.9301798696040898E-2</v>
      </c>
    </row>
    <row r="89" spans="1:16" ht="22.5" customHeight="1">
      <c r="A89" s="115">
        <v>46</v>
      </c>
      <c r="B89" s="115" t="s">
        <v>67</v>
      </c>
      <c r="C89" s="115" t="s">
        <v>14</v>
      </c>
      <c r="D89" s="115" t="s">
        <v>7</v>
      </c>
      <c r="E89" s="98" t="s">
        <v>80</v>
      </c>
      <c r="F89" s="115" t="s">
        <v>476</v>
      </c>
      <c r="G89" s="115">
        <v>2</v>
      </c>
      <c r="H89" s="115">
        <v>5</v>
      </c>
      <c r="I89" s="194">
        <v>7</v>
      </c>
      <c r="J89" s="116">
        <v>170112</v>
      </c>
      <c r="K89" s="116">
        <v>458827</v>
      </c>
      <c r="L89" s="116">
        <v>25571</v>
      </c>
      <c r="M89" s="195">
        <v>2.8259991925716592E-3</v>
      </c>
      <c r="N89" s="195">
        <v>4.5008663755024087E-3</v>
      </c>
      <c r="O89" s="195">
        <v>1.5888675282429862E-2</v>
      </c>
      <c r="P89" s="195">
        <v>1.248683183961929E-3</v>
      </c>
    </row>
    <row r="90" spans="1:16" ht="22.5" customHeight="1">
      <c r="A90" s="115">
        <v>47</v>
      </c>
      <c r="B90" s="115" t="s">
        <v>67</v>
      </c>
      <c r="C90" s="115" t="s">
        <v>14</v>
      </c>
      <c r="D90" s="115" t="s">
        <v>7</v>
      </c>
      <c r="E90" s="98" t="s">
        <v>109</v>
      </c>
      <c r="F90" s="115" t="s">
        <v>476</v>
      </c>
      <c r="G90" s="115">
        <v>2</v>
      </c>
      <c r="H90" s="115">
        <v>5</v>
      </c>
      <c r="I90" s="194">
        <v>7</v>
      </c>
      <c r="J90" s="116">
        <v>64498</v>
      </c>
      <c r="K90" s="116">
        <v>539601</v>
      </c>
      <c r="L90" s="116">
        <v>38216</v>
      </c>
      <c r="M90" s="195">
        <v>2.8259991925716592E-3</v>
      </c>
      <c r="N90" s="195">
        <v>1.7065044176022527E-3</v>
      </c>
      <c r="O90" s="195">
        <v>1.8685790223928488E-2</v>
      </c>
      <c r="P90" s="195">
        <v>1.8661638793277182E-3</v>
      </c>
    </row>
    <row r="91" spans="1:16" ht="22.5" customHeight="1">
      <c r="A91" s="115">
        <v>90</v>
      </c>
      <c r="B91" s="115" t="s">
        <v>67</v>
      </c>
      <c r="C91" s="115" t="s">
        <v>14</v>
      </c>
      <c r="D91" s="115" t="s">
        <v>714</v>
      </c>
      <c r="E91" s="98" t="s">
        <v>754</v>
      </c>
      <c r="F91" s="115" t="s">
        <v>483</v>
      </c>
      <c r="G91" s="115">
        <v>0</v>
      </c>
      <c r="H91" s="115">
        <v>7</v>
      </c>
      <c r="I91" s="194">
        <v>7</v>
      </c>
      <c r="J91" s="116">
        <v>23955</v>
      </c>
      <c r="K91" s="116">
        <v>1074827</v>
      </c>
      <c r="L91" s="116">
        <v>71260</v>
      </c>
      <c r="M91" s="195">
        <v>4.5045045045045045E-3</v>
      </c>
      <c r="N91" s="195">
        <v>8.2147236516210971E-4</v>
      </c>
      <c r="O91" s="195">
        <v>2.9349411061845011E-2</v>
      </c>
      <c r="P91" s="195">
        <v>3.1404453800262825E-3</v>
      </c>
    </row>
    <row r="92" spans="1:16" ht="22.5" customHeight="1">
      <c r="A92" s="115">
        <v>59</v>
      </c>
      <c r="B92" s="115" t="s">
        <v>11</v>
      </c>
      <c r="C92" s="115" t="s">
        <v>10</v>
      </c>
      <c r="D92" s="115" t="s">
        <v>7</v>
      </c>
      <c r="E92" s="98" t="s">
        <v>871</v>
      </c>
      <c r="F92" s="115" t="s">
        <v>476</v>
      </c>
      <c r="G92" s="115">
        <v>1</v>
      </c>
      <c r="H92" s="115">
        <v>5</v>
      </c>
      <c r="I92" s="194">
        <v>6</v>
      </c>
      <c r="J92" s="116">
        <v>101804</v>
      </c>
      <c r="K92" s="116">
        <v>446957</v>
      </c>
      <c r="L92" s="116">
        <v>1277561</v>
      </c>
      <c r="M92" s="195">
        <v>2.4222850222042794E-3</v>
      </c>
      <c r="N92" s="195">
        <v>2.6935560130481521E-3</v>
      </c>
      <c r="O92" s="195">
        <v>1.5477630214021851E-2</v>
      </c>
      <c r="P92" s="195">
        <v>6.2385864345766144E-2</v>
      </c>
    </row>
    <row r="93" spans="1:16" ht="22.5" customHeight="1">
      <c r="A93" s="115">
        <v>92</v>
      </c>
      <c r="B93" s="115" t="s">
        <v>67</v>
      </c>
      <c r="C93" s="115" t="s">
        <v>14</v>
      </c>
      <c r="D93" s="115" t="s">
        <v>7</v>
      </c>
      <c r="E93" s="98" t="s">
        <v>712</v>
      </c>
      <c r="F93" s="115" t="s">
        <v>476</v>
      </c>
      <c r="G93" s="115">
        <v>0</v>
      </c>
      <c r="H93" s="115">
        <v>5</v>
      </c>
      <c r="I93" s="194">
        <v>5</v>
      </c>
      <c r="J93" s="116">
        <v>50101</v>
      </c>
      <c r="K93" s="116">
        <v>432282</v>
      </c>
      <c r="L93" s="116">
        <v>31827</v>
      </c>
      <c r="M93" s="195">
        <v>2.0185708518368995E-3</v>
      </c>
      <c r="N93" s="195">
        <v>1.3255849456772374E-3</v>
      </c>
      <c r="O93" s="195">
        <v>1.4969451075109674E-2</v>
      </c>
      <c r="P93" s="195">
        <v>1.5541762033536551E-3</v>
      </c>
    </row>
    <row r="94" spans="1:16" ht="22.5" customHeight="1">
      <c r="A94" s="115">
        <v>94</v>
      </c>
      <c r="B94" s="115" t="s">
        <v>11</v>
      </c>
      <c r="C94" s="115" t="s">
        <v>10</v>
      </c>
      <c r="D94" s="115" t="s">
        <v>7</v>
      </c>
      <c r="E94" s="98" t="s">
        <v>795</v>
      </c>
      <c r="F94" s="115" t="s">
        <v>476</v>
      </c>
      <c r="G94" s="115">
        <v>0</v>
      </c>
      <c r="H94" s="115">
        <v>5</v>
      </c>
      <c r="I94" s="194">
        <v>5</v>
      </c>
      <c r="J94" s="116">
        <v>4665</v>
      </c>
      <c r="K94" s="116">
        <v>498417</v>
      </c>
      <c r="L94" s="116">
        <v>607478</v>
      </c>
      <c r="M94" s="195">
        <v>2.0185708518368995E-3</v>
      </c>
      <c r="N94" s="195">
        <v>1.2342775137391093E-4</v>
      </c>
      <c r="O94" s="195">
        <v>1.7259633518173178E-2</v>
      </c>
      <c r="P94" s="195">
        <v>2.9664368355825924E-2</v>
      </c>
    </row>
    <row r="95" spans="1:16" ht="22.5" customHeight="1">
      <c r="A95" s="115">
        <v>91</v>
      </c>
      <c r="B95" s="115" t="s">
        <v>67</v>
      </c>
      <c r="C95" s="115" t="s">
        <v>14</v>
      </c>
      <c r="D95" s="115" t="s">
        <v>714</v>
      </c>
      <c r="E95" s="98" t="s">
        <v>872</v>
      </c>
      <c r="F95" s="115" t="s">
        <v>483</v>
      </c>
      <c r="G95" s="115">
        <v>0</v>
      </c>
      <c r="H95" s="115">
        <v>5</v>
      </c>
      <c r="I95" s="194">
        <v>5</v>
      </c>
      <c r="J95" s="116">
        <v>97797</v>
      </c>
      <c r="K95" s="116">
        <v>1115623</v>
      </c>
      <c r="L95" s="116">
        <v>84527</v>
      </c>
      <c r="M95" s="195">
        <v>3.2175032175032173E-3</v>
      </c>
      <c r="N95" s="195">
        <v>3.3536853640475412E-3</v>
      </c>
      <c r="O95" s="195">
        <v>3.0463393659676131E-2</v>
      </c>
      <c r="P95" s="195">
        <v>3.7251252685585406E-3</v>
      </c>
    </row>
    <row r="96" spans="1:16" ht="22.5" customHeight="1">
      <c r="A96" s="115">
        <v>93</v>
      </c>
      <c r="B96" s="115" t="s">
        <v>11</v>
      </c>
      <c r="C96" s="115" t="s">
        <v>9</v>
      </c>
      <c r="D96" s="115" t="s">
        <v>714</v>
      </c>
      <c r="E96" s="98" t="s">
        <v>742</v>
      </c>
      <c r="F96" s="115" t="s">
        <v>483</v>
      </c>
      <c r="G96" s="115">
        <v>0</v>
      </c>
      <c r="H96" s="115">
        <v>5</v>
      </c>
      <c r="I96" s="194">
        <v>5</v>
      </c>
      <c r="J96" s="116">
        <v>16191</v>
      </c>
      <c r="K96" s="116">
        <v>706677</v>
      </c>
      <c r="L96" s="116">
        <v>1652608</v>
      </c>
      <c r="M96" s="195">
        <v>3.2175032175032173E-3</v>
      </c>
      <c r="N96" s="195">
        <v>5.5522684468126561E-4</v>
      </c>
      <c r="O96" s="195">
        <v>1.9296643795654041E-2</v>
      </c>
      <c r="P96" s="195">
        <v>7.2830832986170005E-2</v>
      </c>
    </row>
    <row r="97" spans="1:16" ht="22.5" customHeight="1">
      <c r="A97" s="115">
        <v>95</v>
      </c>
      <c r="B97" s="115" t="s">
        <v>11</v>
      </c>
      <c r="C97" s="115" t="s">
        <v>10</v>
      </c>
      <c r="D97" s="115" t="s">
        <v>714</v>
      </c>
      <c r="E97" s="98" t="s">
        <v>873</v>
      </c>
      <c r="F97" s="115" t="s">
        <v>483</v>
      </c>
      <c r="G97" s="115">
        <v>0</v>
      </c>
      <c r="H97" s="115">
        <v>4</v>
      </c>
      <c r="I97" s="194">
        <v>4</v>
      </c>
      <c r="J97" s="116">
        <v>16800</v>
      </c>
      <c r="K97" s="116">
        <v>517926</v>
      </c>
      <c r="L97" s="116">
        <v>386475</v>
      </c>
      <c r="M97" s="195">
        <v>2.5740025740025739E-3</v>
      </c>
      <c r="N97" s="195">
        <v>5.7611086348250654E-4</v>
      </c>
      <c r="O97" s="195">
        <v>1.4142576501722733E-2</v>
      </c>
      <c r="P97" s="195">
        <v>1.7032046425002213E-2</v>
      </c>
    </row>
    <row r="98" spans="1:16" ht="22.5" hidden="1" customHeight="1">
      <c r="A98" s="115"/>
      <c r="B98" s="115" t="e">
        <f>VLOOKUP(C98,Lists!I:J,2,FALSE)</f>
        <v>#N/A</v>
      </c>
      <c r="C98" s="115" t="e">
        <f>VLOOKUP(E98,Lists!E:F,2,FALSE)</f>
        <v>#N/A</v>
      </c>
      <c r="D98" s="115"/>
      <c r="E98" s="98"/>
      <c r="F98" s="115"/>
      <c r="G98" s="115"/>
      <c r="H98" s="115"/>
      <c r="I98" s="194">
        <f t="shared" ref="I98:I103" si="0">SUM(G98:H98)</f>
        <v>0</v>
      </c>
      <c r="J98" s="116"/>
      <c r="K98" s="116"/>
      <c r="L98" s="116"/>
      <c r="M98" s="195" t="e">
        <f>I98/(HLOOKUP(F98,Team_Composition_11[[#All],[Yellow]:[Red]],10,FALSE)+HLOOKUP(F98,Team_Composition_11[[#All],[Yellow]:[Red]],11,FALSE))</f>
        <v>#N/A</v>
      </c>
      <c r="N98" s="195" t="e">
        <f>J98/HLOOKUP(F98,Team_Composition_11[[#All],[Yellow]:[Red]],6,FALSE)</f>
        <v>#N/A</v>
      </c>
      <c r="O98" s="195" t="e">
        <f>K98/HLOOKUP(F98,Team_Composition_11[[#All],[Yellow]:[Red]],8,FALSE)</f>
        <v>#N/A</v>
      </c>
      <c r="P98" s="195" t="e">
        <f>L98/HLOOKUP(F98,Team_Composition_11[[#All],[Yellow]:[Red]],7,FALSE)</f>
        <v>#N/A</v>
      </c>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95" t="e">
        <f>I99/(HLOOKUP(F99,Team_Composition_11[[#All],[Yellow]:[Red]],10,FALSE)+HLOOKUP(F99,Team_Composition_11[[#All],[Yellow]:[Red]],11,FALSE))</f>
        <v>#N/A</v>
      </c>
      <c r="N99" s="195" t="e">
        <f>J99/HLOOKUP(F99,Team_Composition_11[[#All],[Yellow]:[Red]],6,FALSE)</f>
        <v>#N/A</v>
      </c>
      <c r="O99" s="195" t="e">
        <f>K99/HLOOKUP(F99,Team_Composition_11[[#All],[Yellow]:[Red]],8,FALSE)</f>
        <v>#N/A</v>
      </c>
      <c r="P99" s="195" t="e">
        <f>L99/HLOOKUP(F99,Team_Composition_11[[#All],[Yellow]:[Red]],7,FALSE)</f>
        <v>#N/A</v>
      </c>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95" t="e">
        <f>I100/(HLOOKUP(F100,Team_Composition_11[[#All],[Yellow]:[Red]],10,FALSE)+HLOOKUP(F100,Team_Composition_11[[#All],[Yellow]:[Red]],11,FALSE))</f>
        <v>#N/A</v>
      </c>
      <c r="N100" s="195" t="e">
        <f>J100/HLOOKUP(F100,Team_Composition_11[[#All],[Yellow]:[Red]],6,FALSE)</f>
        <v>#N/A</v>
      </c>
      <c r="O100" s="195" t="e">
        <f>K100/HLOOKUP(F100,Team_Composition_11[[#All],[Yellow]:[Red]],8,FALSE)</f>
        <v>#N/A</v>
      </c>
      <c r="P100" s="195" t="e">
        <f>L100/HLOOKUP(F100,Team_Composition_11[[#All],[Yellow]:[Red]],7,FALSE)</f>
        <v>#N/A</v>
      </c>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95" t="e">
        <f>I101/(HLOOKUP(F101,Team_Composition_11[[#All],[Yellow]:[Red]],10,FALSE)+HLOOKUP(F101,Team_Composition_11[[#All],[Yellow]:[Red]],11,FALSE))</f>
        <v>#N/A</v>
      </c>
      <c r="N101" s="195" t="e">
        <f>J101/HLOOKUP(F101,Team_Composition_11[[#All],[Yellow]:[Red]],6,FALSE)</f>
        <v>#N/A</v>
      </c>
      <c r="O101" s="195" t="e">
        <f>K101/HLOOKUP(F101,Team_Composition_11[[#All],[Yellow]:[Red]],8,FALSE)</f>
        <v>#N/A</v>
      </c>
      <c r="P101" s="195" t="e">
        <f>L101/HLOOKUP(F101,Team_Composition_11[[#All],[Yellow]:[Red]],7,FALSE)</f>
        <v>#N/A</v>
      </c>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95" t="e">
        <f>I102/(HLOOKUP(F102,Team_Composition_11[[#All],[Yellow]:[Red]],10,FALSE)+HLOOKUP(F102,Team_Composition_11[[#All],[Yellow]:[Red]],11,FALSE))</f>
        <v>#N/A</v>
      </c>
      <c r="N102" s="195" t="e">
        <f>J102/HLOOKUP(F102,Team_Composition_11[[#All],[Yellow]:[Red]],6,FALSE)</f>
        <v>#N/A</v>
      </c>
      <c r="O102" s="195" t="e">
        <f>K102/HLOOKUP(F102,Team_Composition_11[[#All],[Yellow]:[Red]],8,FALSE)</f>
        <v>#N/A</v>
      </c>
      <c r="P102" s="195" t="e">
        <f>L102/HLOOKUP(F102,Team_Composition_11[[#All],[Yellow]:[Red]],7,FALSE)</f>
        <v>#N/A</v>
      </c>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95" t="e">
        <f>I103/(HLOOKUP(F103,Team_Composition_11[[#All],[Yellow]:[Red]],10,FALSE)+HLOOKUP(F103,Team_Composition_11[[#All],[Yellow]:[Red]],11,FALSE))</f>
        <v>#N/A</v>
      </c>
      <c r="N103" s="195" t="e">
        <f>J103/HLOOKUP(F103,Team_Composition_11[[#All],[Yellow]:[Red]],6,FALSE)</f>
        <v>#N/A</v>
      </c>
      <c r="O103" s="195" t="e">
        <f>K103/HLOOKUP(F103,Team_Composition_11[[#All],[Yellow]:[Red]],8,FALSE)</f>
        <v>#N/A</v>
      </c>
      <c r="P103" s="195" t="e">
        <f>L103/HLOOKUP(F103,Team_Composition_11[[#All],[Yellow]:[Red]],7,FALSE)</f>
        <v>#N/A</v>
      </c>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200-000000000000}">
      <formula1>#REF!</formula1>
    </dataValidation>
    <dataValidation type="list" allowBlank="1" sqref="F2:F103" xr:uid="{00000000-0002-0000-2200-000002000000}">
      <formula1>"Yellow,Red"</formula1>
    </dataValidation>
    <dataValidation type="custom" allowBlank="1" showDropDown="1" sqref="S4:T13 S17:T21 S25:T29 S33:T37 S41:T45 A2:A103 G2:L103" xr:uid="{00000000-0002-0000-2200-000003000000}">
      <formula1>AND(ISNUMBER(A2),(NOT(OR(NOT(ISERROR(DATEVALUE(A2))), AND(ISNUMBER(A2), LEFT(CELL("format", A2))="D")))))</formula1>
    </dataValidation>
    <dataValidation allowBlank="1" showDropDown="1" sqref="E2:E103" xr:uid="{00000000-0002-0000-22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
        <v>39</v>
      </c>
      <c r="C2" s="115" t="s">
        <v>58</v>
      </c>
      <c r="D2" s="115" t="s">
        <v>714</v>
      </c>
      <c r="E2" s="98" t="s">
        <v>874</v>
      </c>
      <c r="F2" s="115" t="s">
        <v>483</v>
      </c>
      <c r="G2" s="115">
        <v>53</v>
      </c>
      <c r="H2" s="115">
        <v>100</v>
      </c>
      <c r="I2" s="194">
        <v>153</v>
      </c>
      <c r="J2" s="116">
        <v>5477908</v>
      </c>
      <c r="K2" s="116">
        <v>531295</v>
      </c>
      <c r="L2" s="116">
        <v>0</v>
      </c>
      <c r="M2" s="195">
        <v>6.769911504424779E-2</v>
      </c>
      <c r="N2" s="195">
        <v>0.13187388205938849</v>
      </c>
      <c r="O2" s="195">
        <v>1.327013429637167E-2</v>
      </c>
      <c r="P2" s="195">
        <v>0</v>
      </c>
      <c r="R2" s="232" t="s">
        <v>477</v>
      </c>
      <c r="S2" s="228"/>
      <c r="T2" s="228"/>
      <c r="V2" s="233" t="s">
        <v>478</v>
      </c>
      <c r="W2" s="228"/>
      <c r="X2" s="196"/>
      <c r="Y2" s="233" t="s">
        <v>479</v>
      </c>
      <c r="Z2" s="228"/>
    </row>
    <row r="3" spans="1:26" ht="22.5" customHeight="1">
      <c r="A3" s="115">
        <v>18</v>
      </c>
      <c r="B3" s="115" t="s">
        <v>39</v>
      </c>
      <c r="C3" s="115" t="s">
        <v>56</v>
      </c>
      <c r="D3" s="115" t="s">
        <v>7</v>
      </c>
      <c r="E3" s="98" t="s">
        <v>842</v>
      </c>
      <c r="F3" s="115" t="s">
        <v>476</v>
      </c>
      <c r="G3" s="115">
        <v>24</v>
      </c>
      <c r="H3" s="115">
        <v>118</v>
      </c>
      <c r="I3" s="194">
        <v>142</v>
      </c>
      <c r="J3" s="116">
        <v>2903768</v>
      </c>
      <c r="K3" s="116">
        <v>518429</v>
      </c>
      <c r="L3" s="116">
        <v>19062</v>
      </c>
      <c r="M3" s="195">
        <v>5.4552439492892818E-2</v>
      </c>
      <c r="N3" s="195">
        <v>7.2436711723206995E-2</v>
      </c>
      <c r="O3" s="195">
        <v>1.2465486791627144E-2</v>
      </c>
      <c r="P3" s="195">
        <v>6.6987229834513924E-4</v>
      </c>
      <c r="R3" s="190" t="s">
        <v>482</v>
      </c>
      <c r="S3" s="222" t="s">
        <v>476</v>
      </c>
      <c r="T3" s="222" t="s">
        <v>483</v>
      </c>
      <c r="V3" s="199" t="s">
        <v>1</v>
      </c>
      <c r="W3" s="200" t="s">
        <v>467</v>
      </c>
      <c r="Y3" s="199" t="s">
        <v>1</v>
      </c>
      <c r="Z3" s="200" t="s">
        <v>484</v>
      </c>
    </row>
    <row r="4" spans="1:26" ht="22.5" customHeight="1">
      <c r="A4" s="115">
        <v>2</v>
      </c>
      <c r="B4" s="115" t="s">
        <v>39</v>
      </c>
      <c r="C4" s="115" t="s">
        <v>45</v>
      </c>
      <c r="D4" s="115" t="s">
        <v>7</v>
      </c>
      <c r="E4" s="98" t="s">
        <v>84</v>
      </c>
      <c r="F4" s="115" t="s">
        <v>476</v>
      </c>
      <c r="G4" s="115">
        <v>50</v>
      </c>
      <c r="H4" s="115">
        <v>76</v>
      </c>
      <c r="I4" s="194">
        <v>126</v>
      </c>
      <c r="J4" s="116">
        <v>3367256</v>
      </c>
      <c r="K4" s="116">
        <v>675314</v>
      </c>
      <c r="L4" s="116">
        <v>14503</v>
      </c>
      <c r="M4" s="195">
        <v>4.8405685747214752E-2</v>
      </c>
      <c r="N4" s="195">
        <v>8.3998774065365781E-2</v>
      </c>
      <c r="O4" s="195">
        <v>1.6237744700240326E-2</v>
      </c>
      <c r="P4" s="195">
        <v>5.0966099794877526E-4</v>
      </c>
      <c r="R4" s="223" t="s">
        <v>25</v>
      </c>
      <c r="S4" s="207">
        <f>COUNTIFS(Scoreboard_10[Role],R4,Scoreboard_10[Team],"Yellow")</f>
        <v>9</v>
      </c>
      <c r="T4" s="219">
        <f>COUNTIFS(Scoreboard_10[Role],R4,Scoreboard_10[Team],"Red")</f>
        <v>7</v>
      </c>
      <c r="V4" s="204" t="str">
        <f ca="1">IFERROR(__xludf.DUMMYFUNCTION("query(A1:P239, ""Select E,I where B!='Healer' Order by I Desc Limit 10"", 0)"),"Auhrynn")</f>
        <v>Auhrynn</v>
      </c>
      <c r="W4" s="116">
        <f ca="1">IFERROR(__xludf.DUMMYFUNCTION("""COMPUTED_VALUE"""),153)</f>
        <v>153</v>
      </c>
      <c r="Y4" s="204" t="str">
        <f ca="1">IFERROR(__xludf.DUMMYFUNCTION("query(A1:P239, ""Select E,J Order by J Desc Limit 10"", 0)"),"Auhrynn")</f>
        <v>Auhrynn</v>
      </c>
      <c r="Z4" s="116">
        <f ca="1">IFERROR(__xludf.DUMMYFUNCTION("""COMPUTED_VALUE"""),5477908)</f>
        <v>5477908</v>
      </c>
    </row>
    <row r="5" spans="1:26" ht="22.5" customHeight="1">
      <c r="A5" s="115">
        <v>8</v>
      </c>
      <c r="B5" s="115" t="s">
        <v>39</v>
      </c>
      <c r="C5" s="115" t="s">
        <v>58</v>
      </c>
      <c r="D5" s="115" t="s">
        <v>714</v>
      </c>
      <c r="E5" s="98" t="s">
        <v>759</v>
      </c>
      <c r="F5" s="115" t="s">
        <v>483</v>
      </c>
      <c r="G5" s="115">
        <v>38</v>
      </c>
      <c r="H5" s="115">
        <v>87</v>
      </c>
      <c r="I5" s="194">
        <v>125</v>
      </c>
      <c r="J5" s="116">
        <v>4255999</v>
      </c>
      <c r="K5" s="116">
        <v>844149</v>
      </c>
      <c r="L5" s="116">
        <v>0</v>
      </c>
      <c r="M5" s="195">
        <v>5.5309734513274339E-2</v>
      </c>
      <c r="N5" s="195">
        <v>0.10245792922606137</v>
      </c>
      <c r="O5" s="195">
        <v>2.1084276336400396E-2</v>
      </c>
      <c r="P5" s="195">
        <v>0</v>
      </c>
      <c r="R5" s="223" t="s">
        <v>39</v>
      </c>
      <c r="S5" s="207">
        <f>COUNTIFS(Scoreboard_10[Role],R5,Scoreboard_10[Team],"Yellow")</f>
        <v>9</v>
      </c>
      <c r="T5" s="219">
        <f>COUNTIFS(Scoreboard_10[Role],R5,Scoreboard_10[Team],"Red")</f>
        <v>10</v>
      </c>
      <c r="V5" s="204" t="str">
        <f ca="1">IFERROR(__xludf.DUMMYFUNCTION("""COMPUTED_VALUE"""),"Adversed")</f>
        <v>Adversed</v>
      </c>
      <c r="W5" s="116">
        <f ca="1">IFERROR(__xludf.DUMMYFUNCTION("""COMPUTED_VALUE"""),142)</f>
        <v>142</v>
      </c>
      <c r="Y5" s="204" t="str">
        <f ca="1">IFERROR(__xludf.DUMMYFUNCTION("""COMPUTED_VALUE"""),"Arisce")</f>
        <v>Arisce</v>
      </c>
      <c r="Z5" s="116">
        <f ca="1">IFERROR(__xludf.DUMMYFUNCTION("""COMPUTED_VALUE"""),4255999)</f>
        <v>4255999</v>
      </c>
    </row>
    <row r="6" spans="1:26" ht="22.5" customHeight="1">
      <c r="A6" s="115">
        <v>4</v>
      </c>
      <c r="B6" s="115" t="s">
        <v>39</v>
      </c>
      <c r="C6" s="115" t="s">
        <v>58</v>
      </c>
      <c r="D6" s="115" t="s">
        <v>7</v>
      </c>
      <c r="E6" s="98" t="s">
        <v>875</v>
      </c>
      <c r="F6" s="115" t="s">
        <v>476</v>
      </c>
      <c r="G6" s="115">
        <v>41</v>
      </c>
      <c r="H6" s="115">
        <v>79</v>
      </c>
      <c r="I6" s="194">
        <v>120</v>
      </c>
      <c r="J6" s="116">
        <v>3009072</v>
      </c>
      <c r="K6" s="116">
        <v>897106</v>
      </c>
      <c r="L6" s="116">
        <v>1165</v>
      </c>
      <c r="M6" s="195">
        <v>4.6100653092585479E-2</v>
      </c>
      <c r="N6" s="195">
        <v>7.5063600473031553E-2</v>
      </c>
      <c r="O6" s="195">
        <v>2.1570674082062268E-2</v>
      </c>
      <c r="P6" s="195">
        <v>4.0940154630788335E-5</v>
      </c>
      <c r="R6" s="223" t="s">
        <v>67</v>
      </c>
      <c r="S6" s="207">
        <f>COUNTIFS(Scoreboard_10[Role],R6,Scoreboard_10[Team],"Yellow")</f>
        <v>14</v>
      </c>
      <c r="T6" s="219">
        <f>COUNTIFS(Scoreboard_10[Role],R6,Scoreboard_10[Team],"Red")</f>
        <v>13</v>
      </c>
      <c r="V6" s="204" t="str">
        <f ca="1">IFERROR(__xludf.DUMMYFUNCTION("""COMPUTED_VALUE"""),"Nengja")</f>
        <v>Nengja</v>
      </c>
      <c r="W6" s="116">
        <f ca="1">IFERROR(__xludf.DUMMYFUNCTION("""COMPUTED_VALUE"""),126)</f>
        <v>126</v>
      </c>
      <c r="Y6" s="204" t="str">
        <f ca="1">IFERROR(__xludf.DUMMYFUNCTION("""COMPUTED_VALUE"""),"Nengja")</f>
        <v>Nengja</v>
      </c>
      <c r="Z6" s="116">
        <f ca="1">IFERROR(__xludf.DUMMYFUNCTION("""COMPUTED_VALUE"""),3367256)</f>
        <v>3367256</v>
      </c>
    </row>
    <row r="7" spans="1:26" ht="22.5" customHeight="1">
      <c r="A7" s="115">
        <v>9</v>
      </c>
      <c r="B7" s="115" t="s">
        <v>25</v>
      </c>
      <c r="C7" s="115" t="s">
        <v>23</v>
      </c>
      <c r="D7" s="115" t="s">
        <v>7</v>
      </c>
      <c r="E7" s="98" t="s">
        <v>47</v>
      </c>
      <c r="F7" s="115" t="s">
        <v>476</v>
      </c>
      <c r="G7" s="115">
        <v>36</v>
      </c>
      <c r="H7" s="115">
        <v>80</v>
      </c>
      <c r="I7" s="194">
        <v>116</v>
      </c>
      <c r="J7" s="116">
        <v>1994980</v>
      </c>
      <c r="K7" s="116">
        <v>1059311</v>
      </c>
      <c r="L7" s="116">
        <v>55406</v>
      </c>
      <c r="M7" s="195">
        <v>4.4563964656165959E-2</v>
      </c>
      <c r="N7" s="195">
        <v>4.9766300597555824E-2</v>
      </c>
      <c r="O7" s="195">
        <v>2.5470849969282852E-2</v>
      </c>
      <c r="P7" s="195">
        <v>1.9470645557712089E-3</v>
      </c>
      <c r="R7" s="223" t="s">
        <v>11</v>
      </c>
      <c r="S7" s="207">
        <f>COUNTIFS(Scoreboard_10[Role],R7,Scoreboard_10[Team],"Yellow")</f>
        <v>16</v>
      </c>
      <c r="T7" s="219">
        <f>COUNTIFS(Scoreboard_10[Role],R7,Scoreboard_10[Team],"Red")</f>
        <v>18</v>
      </c>
      <c r="V7" s="204" t="str">
        <f ca="1">IFERROR(__xludf.DUMMYFUNCTION("""COMPUTED_VALUE"""),"Arisce")</f>
        <v>Arisce</v>
      </c>
      <c r="W7" s="116">
        <f ca="1">IFERROR(__xludf.DUMMYFUNCTION("""COMPUTED_VALUE"""),125)</f>
        <v>125</v>
      </c>
      <c r="Y7" s="204" t="str">
        <f ca="1">IFERROR(__xludf.DUMMYFUNCTION("""COMPUTED_VALUE"""),"HEALERTANKDPS")</f>
        <v>HEALERTANKDPS</v>
      </c>
      <c r="Z7" s="116">
        <f ca="1">IFERROR(__xludf.DUMMYFUNCTION("""COMPUTED_VALUE"""),3156494)</f>
        <v>3156494</v>
      </c>
    </row>
    <row r="8" spans="1:26" ht="22.5" customHeight="1">
      <c r="A8" s="115">
        <v>14</v>
      </c>
      <c r="B8" s="115" t="s">
        <v>39</v>
      </c>
      <c r="C8" s="115" t="s">
        <v>45</v>
      </c>
      <c r="D8" s="115" t="s">
        <v>714</v>
      </c>
      <c r="E8" s="98" t="s">
        <v>399</v>
      </c>
      <c r="F8" s="115" t="s">
        <v>483</v>
      </c>
      <c r="G8" s="115">
        <v>30</v>
      </c>
      <c r="H8" s="115">
        <v>85</v>
      </c>
      <c r="I8" s="194">
        <v>115</v>
      </c>
      <c r="J8" s="116">
        <v>3156494</v>
      </c>
      <c r="K8" s="116">
        <v>799658</v>
      </c>
      <c r="L8" s="116">
        <v>40356</v>
      </c>
      <c r="M8" s="195">
        <v>5.0884955752212392E-2</v>
      </c>
      <c r="N8" s="195">
        <v>7.5988701795862104E-2</v>
      </c>
      <c r="O8" s="195">
        <v>1.9973026381140378E-2</v>
      </c>
      <c r="P8" s="195">
        <v>1.5165682716149873E-3</v>
      </c>
      <c r="R8" s="223" t="s">
        <v>468</v>
      </c>
      <c r="S8" s="207">
        <f>SUMIFS(Scoreboard_10[Damage Dealt],Scoreboard_10[Team],"Yellow")</f>
        <v>40086966</v>
      </c>
      <c r="T8" s="219">
        <f>SUMIFS(Scoreboard_10[Damage Dealt],Scoreboard_10[Team],"Red")</f>
        <v>41538991</v>
      </c>
      <c r="V8" s="204" t="str">
        <f ca="1">IFERROR(__xludf.DUMMYFUNCTION("""COMPUTED_VALUE"""),"CLEMˣ")</f>
        <v>CLEMˣ</v>
      </c>
      <c r="W8" s="116">
        <f ca="1">IFERROR(__xludf.DUMMYFUNCTION("""COMPUTED_VALUE"""),120)</f>
        <v>120</v>
      </c>
      <c r="Y8" s="204" t="str">
        <f ca="1">IFERROR(__xludf.DUMMYFUNCTION("""COMPUTED_VALUE"""),"CLEMˣ")</f>
        <v>CLEMˣ</v>
      </c>
      <c r="Z8" s="116">
        <f ca="1">IFERROR(__xludf.DUMMYFUNCTION("""COMPUTED_VALUE"""),3009072)</f>
        <v>3009072</v>
      </c>
    </row>
    <row r="9" spans="1:26" ht="22.5" customHeight="1">
      <c r="A9" s="115">
        <v>21</v>
      </c>
      <c r="B9" s="115" t="s">
        <v>25</v>
      </c>
      <c r="C9" s="115" t="s">
        <v>23</v>
      </c>
      <c r="D9" s="115" t="s">
        <v>7</v>
      </c>
      <c r="E9" s="98" t="s">
        <v>22</v>
      </c>
      <c r="F9" s="115" t="s">
        <v>476</v>
      </c>
      <c r="G9" s="115">
        <v>18</v>
      </c>
      <c r="H9" s="115">
        <v>92</v>
      </c>
      <c r="I9" s="194">
        <v>110</v>
      </c>
      <c r="J9" s="116">
        <v>2009937</v>
      </c>
      <c r="K9" s="116">
        <v>1467431</v>
      </c>
      <c r="L9" s="116">
        <v>86254</v>
      </c>
      <c r="M9" s="195">
        <v>4.2258932001536686E-2</v>
      </c>
      <c r="N9" s="195">
        <v>5.0139414392199197E-2</v>
      </c>
      <c r="O9" s="195">
        <v>3.5283986328164915E-2</v>
      </c>
      <c r="P9" s="195">
        <v>3.0311176802781258E-3</v>
      </c>
      <c r="R9" s="223" t="s">
        <v>470</v>
      </c>
      <c r="S9" s="207">
        <f>SUMIFS(Scoreboard_10[Amount Healed],Scoreboard_10[Team],"Yellow")</f>
        <v>28456170</v>
      </c>
      <c r="T9" s="219">
        <f>SUMIFS(Scoreboard_10[Amount Healed],Scoreboard_10[Team],"Red")</f>
        <v>26610078</v>
      </c>
      <c r="V9" s="204" t="str">
        <f ca="1">IFERROR(__xludf.DUMMYFUNCTION("""COMPUTED_VALUE"""),"Fadeふち")</f>
        <v>Fadeふち</v>
      </c>
      <c r="W9" s="116">
        <f ca="1">IFERROR(__xludf.DUMMYFUNCTION("""COMPUTED_VALUE"""),116)</f>
        <v>116</v>
      </c>
      <c r="Y9" s="204" t="str">
        <f ca="1">IFERROR(__xludf.DUMMYFUNCTION("""COMPUTED_VALUE"""),"Adversed")</f>
        <v>Adversed</v>
      </c>
      <c r="Z9" s="116">
        <f ca="1">IFERROR(__xludf.DUMMYFUNCTION("""COMPUTED_VALUE"""),2903768)</f>
        <v>2903768</v>
      </c>
    </row>
    <row r="10" spans="1:26" ht="22.5" customHeight="1">
      <c r="A10" s="115">
        <v>5</v>
      </c>
      <c r="B10" s="115" t="s">
        <v>39</v>
      </c>
      <c r="C10" s="115" t="s">
        <v>54</v>
      </c>
      <c r="D10" s="115" t="s">
        <v>7</v>
      </c>
      <c r="E10" s="98" t="s">
        <v>88</v>
      </c>
      <c r="F10" s="115" t="s">
        <v>476</v>
      </c>
      <c r="G10" s="115">
        <v>40</v>
      </c>
      <c r="H10" s="115">
        <v>63</v>
      </c>
      <c r="I10" s="194">
        <v>103</v>
      </c>
      <c r="J10" s="116">
        <v>2743502</v>
      </c>
      <c r="K10" s="116">
        <v>959441</v>
      </c>
      <c r="L10" s="116">
        <v>16577</v>
      </c>
      <c r="M10" s="195">
        <v>3.9569727237802534E-2</v>
      </c>
      <c r="N10" s="195">
        <v>6.8438753883244746E-2</v>
      </c>
      <c r="O10" s="195">
        <v>2.3069502502455569E-2</v>
      </c>
      <c r="P10" s="195">
        <v>5.82545015720668E-4</v>
      </c>
      <c r="R10" s="223" t="s">
        <v>469</v>
      </c>
      <c r="S10" s="207">
        <f>SUMIFS(Scoreboard_10[Damage Taken],Scoreboard_10[Team],"Yellow")</f>
        <v>41589150</v>
      </c>
      <c r="T10" s="219">
        <f>SUMIFS(Scoreboard_10[Damage Taken],Scoreboard_10[Team],"Red")</f>
        <v>40036897</v>
      </c>
      <c r="V10" s="204" t="str">
        <f ca="1">IFERROR(__xludf.DUMMYFUNCTION("""COMPUTED_VALUE"""),"HEALERTANKDPS")</f>
        <v>HEALERTANKDPS</v>
      </c>
      <c r="W10" s="116">
        <f ca="1">IFERROR(__xludf.DUMMYFUNCTION("""COMPUTED_VALUE"""),115)</f>
        <v>115</v>
      </c>
      <c r="Y10" s="204" t="str">
        <f ca="1">IFERROR(__xludf.DUMMYFUNCTION("""COMPUTED_VALUE"""),"Syfei")</f>
        <v>Syfei</v>
      </c>
      <c r="Z10" s="116">
        <f ca="1">IFERROR(__xludf.DUMMYFUNCTION("""COMPUTED_VALUE"""),2876959)</f>
        <v>2876959</v>
      </c>
    </row>
    <row r="11" spans="1:26" ht="22.5" customHeight="1">
      <c r="A11" s="115">
        <v>10</v>
      </c>
      <c r="B11" s="115" t="s">
        <v>25</v>
      </c>
      <c r="C11" s="115" t="s">
        <v>24</v>
      </c>
      <c r="D11" s="115" t="s">
        <v>7</v>
      </c>
      <c r="E11" s="98" t="s">
        <v>104</v>
      </c>
      <c r="F11" s="115" t="s">
        <v>476</v>
      </c>
      <c r="G11" s="115">
        <v>34</v>
      </c>
      <c r="H11" s="115">
        <v>69</v>
      </c>
      <c r="I11" s="194">
        <v>103</v>
      </c>
      <c r="J11" s="116">
        <v>2283482</v>
      </c>
      <c r="K11" s="116">
        <v>693933</v>
      </c>
      <c r="L11" s="116">
        <v>43870</v>
      </c>
      <c r="M11" s="195">
        <v>3.9569727237802534E-2</v>
      </c>
      <c r="N11" s="195">
        <v>5.696320345121654E-2</v>
      </c>
      <c r="O11" s="195">
        <v>1.6685433580633409E-2</v>
      </c>
      <c r="P11" s="195">
        <v>1.5416691705173254E-3</v>
      </c>
      <c r="R11" s="223" t="s">
        <v>495</v>
      </c>
      <c r="S11" s="207">
        <f ca="1">IFERROR(DIVIDE(SUMIFS(Scoreboard_10[Amount Healed],Scoreboard_10[Team],"Yellow"), SUMIFS(Scoreboard_10[Damage Taken],Scoreboard_10[Team],"Yellow"))*(100),0)</f>
        <v>0</v>
      </c>
      <c r="T11" s="219">
        <f ca="1">IFERROR(DIVIDE(SUMIFS(Scoreboard_10[Amount Healed],Scoreboard_10[Team],"Red"), SUMIFS(Scoreboard_10[Damage Taken],Scoreboard_10[Team],"Red"))*(100),0)</f>
        <v>0</v>
      </c>
      <c r="V11" s="204" t="str">
        <f ca="1">IFERROR(__xludf.DUMMYFUNCTION("""COMPUTED_VALUE"""),"Baozer")</f>
        <v>Baozer</v>
      </c>
      <c r="W11" s="116">
        <f ca="1">IFERROR(__xludf.DUMMYFUNCTION("""COMPUTED_VALUE"""),110)</f>
        <v>110</v>
      </c>
      <c r="Y11" s="204" t="str">
        <f ca="1">IFERROR(__xludf.DUMMYFUNCTION("""COMPUTED_VALUE"""),"PercTaker")</f>
        <v>PercTaker</v>
      </c>
      <c r="Z11" s="116">
        <f ca="1">IFERROR(__xludf.DUMMYFUNCTION("""COMPUTED_VALUE"""),2743502)</f>
        <v>2743502</v>
      </c>
    </row>
    <row r="12" spans="1:26" ht="22.5" customHeight="1">
      <c r="A12" s="115">
        <v>6</v>
      </c>
      <c r="B12" s="115" t="s">
        <v>25</v>
      </c>
      <c r="C12" s="115" t="s">
        <v>23</v>
      </c>
      <c r="D12" s="115" t="s">
        <v>7</v>
      </c>
      <c r="E12" s="98" t="s">
        <v>27</v>
      </c>
      <c r="F12" s="115" t="s">
        <v>476</v>
      </c>
      <c r="G12" s="115">
        <v>40</v>
      </c>
      <c r="H12" s="115">
        <v>56</v>
      </c>
      <c r="I12" s="194">
        <v>96</v>
      </c>
      <c r="J12" s="116">
        <v>2313802</v>
      </c>
      <c r="K12" s="116">
        <v>1681049</v>
      </c>
      <c r="L12" s="116">
        <v>43304</v>
      </c>
      <c r="M12" s="195">
        <v>3.6880522474068381E-2</v>
      </c>
      <c r="N12" s="195">
        <v>5.7719559020755026E-2</v>
      </c>
      <c r="O12" s="195">
        <v>4.0420374063908499E-2</v>
      </c>
      <c r="P12" s="195">
        <v>1.5217789323018524E-3</v>
      </c>
      <c r="R12" s="223" t="s">
        <v>465</v>
      </c>
      <c r="S12" s="207">
        <f>SUMIFS(Scoreboard_10[Kills],Scoreboard_10[Team],"Yellow")</f>
        <v>521</v>
      </c>
      <c r="T12" s="219">
        <f>SUMIFS(Scoreboard_10[Kills],Scoreboard_10[Team],"Red")</f>
        <v>457</v>
      </c>
      <c r="V12" s="204" t="str">
        <f ca="1">IFERROR(__xludf.DUMMYFUNCTION("""COMPUTED_VALUE"""),"PercTaker")</f>
        <v>PercTaker</v>
      </c>
      <c r="W12" s="116">
        <f ca="1">IFERROR(__xludf.DUMMYFUNCTION("""COMPUTED_VALUE"""),103)</f>
        <v>103</v>
      </c>
      <c r="Y12" s="204" t="str">
        <f ca="1">IFERROR(__xludf.DUMMYFUNCTION("""COMPUTED_VALUE"""),"SchlonkBonk")</f>
        <v>SchlonkBonk</v>
      </c>
      <c r="Z12" s="116">
        <f ca="1">IFERROR(__xludf.DUMMYFUNCTION("""COMPUTED_VALUE"""),2529233)</f>
        <v>2529233</v>
      </c>
    </row>
    <row r="13" spans="1:26" ht="22.5" customHeight="1">
      <c r="A13" s="115">
        <v>26</v>
      </c>
      <c r="B13" s="115" t="s">
        <v>39</v>
      </c>
      <c r="C13" s="115" t="s">
        <v>32</v>
      </c>
      <c r="D13" s="115" t="s">
        <v>714</v>
      </c>
      <c r="E13" s="98" t="s">
        <v>876</v>
      </c>
      <c r="F13" s="115" t="s">
        <v>483</v>
      </c>
      <c r="G13" s="115">
        <v>15</v>
      </c>
      <c r="H13" s="115">
        <v>81</v>
      </c>
      <c r="I13" s="194">
        <v>96</v>
      </c>
      <c r="J13" s="116">
        <v>2316945</v>
      </c>
      <c r="K13" s="116">
        <v>1009790</v>
      </c>
      <c r="L13" s="116">
        <v>4468</v>
      </c>
      <c r="M13" s="195">
        <v>4.247787610619469E-2</v>
      </c>
      <c r="N13" s="195">
        <v>5.5777594597808115E-2</v>
      </c>
      <c r="O13" s="195">
        <v>2.5221485071632799E-2</v>
      </c>
      <c r="P13" s="195">
        <v>1.6790630978233135E-4</v>
      </c>
      <c r="R13" s="223" t="s">
        <v>466</v>
      </c>
      <c r="S13" s="207">
        <f>SUMIFS(Scoreboard_10[Assists],Scoreboard_10[Team],"Yellow")</f>
        <v>2082</v>
      </c>
      <c r="T13" s="219">
        <f>SUMIFS(Scoreboard_10[Assists],Scoreboard_10[Team],"Red")</f>
        <v>1803</v>
      </c>
      <c r="V13" s="204" t="str">
        <f ca="1">IFERROR(__xludf.DUMMYFUNCTION("""COMPUTED_VALUE"""),"Superluigi")</f>
        <v>Superluigi</v>
      </c>
      <c r="W13" s="116">
        <f ca="1">IFERROR(__xludf.DUMMYFUNCTION("""COMPUTED_VALUE"""),103)</f>
        <v>103</v>
      </c>
      <c r="Y13" s="204" t="str">
        <f ca="1">IFERROR(__xludf.DUMMYFUNCTION("""COMPUTED_VALUE"""),"Asyre")</f>
        <v>Asyre</v>
      </c>
      <c r="Z13" s="116">
        <f ca="1">IFERROR(__xludf.DUMMYFUNCTION("""COMPUTED_VALUE"""),2326723)</f>
        <v>2326723</v>
      </c>
    </row>
    <row r="14" spans="1:26" ht="22.5" customHeight="1">
      <c r="A14" s="115">
        <v>11</v>
      </c>
      <c r="B14" s="115" t="s">
        <v>25</v>
      </c>
      <c r="C14" s="115" t="s">
        <v>23</v>
      </c>
      <c r="D14" s="115" t="s">
        <v>7</v>
      </c>
      <c r="E14" s="98" t="s">
        <v>850</v>
      </c>
      <c r="F14" s="115" t="s">
        <v>476</v>
      </c>
      <c r="G14" s="115">
        <v>34</v>
      </c>
      <c r="H14" s="115">
        <v>61</v>
      </c>
      <c r="I14" s="194">
        <v>95</v>
      </c>
      <c r="J14" s="116">
        <v>1827377</v>
      </c>
      <c r="K14" s="116">
        <v>1078167</v>
      </c>
      <c r="L14" s="116">
        <v>36532</v>
      </c>
      <c r="M14" s="195">
        <v>3.6496350364963501E-2</v>
      </c>
      <c r="N14" s="195">
        <v>4.5585315685901497E-2</v>
      </c>
      <c r="O14" s="195">
        <v>2.5924237451354498E-2</v>
      </c>
      <c r="P14" s="195">
        <v>1.2837989089888064E-3</v>
      </c>
    </row>
    <row r="15" spans="1:26" ht="22.5" customHeight="1">
      <c r="A15" s="115">
        <v>19</v>
      </c>
      <c r="B15" s="115" t="s">
        <v>39</v>
      </c>
      <c r="C15" s="115" t="s">
        <v>56</v>
      </c>
      <c r="D15" s="115" t="s">
        <v>7</v>
      </c>
      <c r="E15" s="98" t="s">
        <v>76</v>
      </c>
      <c r="F15" s="115" t="s">
        <v>476</v>
      </c>
      <c r="G15" s="115">
        <v>23</v>
      </c>
      <c r="H15" s="115">
        <v>65</v>
      </c>
      <c r="I15" s="194">
        <v>88</v>
      </c>
      <c r="J15" s="116">
        <v>1851073</v>
      </c>
      <c r="K15" s="116">
        <v>840342</v>
      </c>
      <c r="L15" s="116">
        <v>168610</v>
      </c>
      <c r="M15" s="195">
        <v>3.3807145601229348E-2</v>
      </c>
      <c r="N15" s="195">
        <v>4.6176430513598862E-2</v>
      </c>
      <c r="O15" s="195">
        <v>2.0205798868214424E-2</v>
      </c>
      <c r="P15" s="195">
        <v>5.9252527659203608E-3</v>
      </c>
      <c r="R15" s="232" t="s">
        <v>25</v>
      </c>
      <c r="S15" s="228"/>
      <c r="T15" s="228"/>
      <c r="V15" s="233" t="s">
        <v>496</v>
      </c>
      <c r="W15" s="228"/>
      <c r="Y15" s="233" t="s">
        <v>497</v>
      </c>
      <c r="Z15" s="228"/>
    </row>
    <row r="16" spans="1:26" ht="22.5" customHeight="1">
      <c r="A16" s="115">
        <v>13</v>
      </c>
      <c r="B16" s="115" t="s">
        <v>39</v>
      </c>
      <c r="C16" s="115" t="s">
        <v>45</v>
      </c>
      <c r="D16" s="115" t="s">
        <v>714</v>
      </c>
      <c r="E16" s="98" t="s">
        <v>727</v>
      </c>
      <c r="F16" s="115" t="s">
        <v>483</v>
      </c>
      <c r="G16" s="115">
        <v>32</v>
      </c>
      <c r="H16" s="115">
        <v>53</v>
      </c>
      <c r="I16" s="194">
        <v>85</v>
      </c>
      <c r="J16" s="116">
        <v>2529233</v>
      </c>
      <c r="K16" s="116">
        <v>742527</v>
      </c>
      <c r="L16" s="116">
        <v>27702</v>
      </c>
      <c r="M16" s="195">
        <v>3.7610619469026552E-2</v>
      </c>
      <c r="N16" s="195">
        <v>6.0888166493981523E-2</v>
      </c>
      <c r="O16" s="195">
        <v>1.8546067643553894E-2</v>
      </c>
      <c r="P16" s="195">
        <v>1.0410341525492711E-3</v>
      </c>
      <c r="R16" s="190" t="s">
        <v>482</v>
      </c>
      <c r="S16" s="222" t="s">
        <v>476</v>
      </c>
      <c r="T16" s="222" t="s">
        <v>483</v>
      </c>
      <c r="V16" s="199" t="s">
        <v>1</v>
      </c>
      <c r="W16" s="200" t="s">
        <v>498</v>
      </c>
      <c r="Y16" s="199" t="s">
        <v>1</v>
      </c>
      <c r="Z16" s="200" t="s">
        <v>499</v>
      </c>
    </row>
    <row r="17" spans="1:26" ht="22.5" customHeight="1">
      <c r="A17" s="115">
        <v>27</v>
      </c>
      <c r="B17" s="115" t="s">
        <v>39</v>
      </c>
      <c r="C17" s="115" t="s">
        <v>32</v>
      </c>
      <c r="D17" s="115" t="s">
        <v>7</v>
      </c>
      <c r="E17" s="98" t="s">
        <v>877</v>
      </c>
      <c r="F17" s="115" t="s">
        <v>476</v>
      </c>
      <c r="G17" s="115">
        <v>15</v>
      </c>
      <c r="H17" s="115">
        <v>69</v>
      </c>
      <c r="I17" s="194">
        <v>84</v>
      </c>
      <c r="J17" s="116">
        <v>1559563</v>
      </c>
      <c r="K17" s="116">
        <v>463591</v>
      </c>
      <c r="L17" s="116">
        <v>15446</v>
      </c>
      <c r="M17" s="195">
        <v>3.2270457164809835E-2</v>
      </c>
      <c r="N17" s="195">
        <v>3.8904490801324298E-2</v>
      </c>
      <c r="O17" s="195">
        <v>1.1146921733192431E-2</v>
      </c>
      <c r="P17" s="195">
        <v>5.4279968105335331E-4</v>
      </c>
      <c r="R17" s="223" t="s">
        <v>468</v>
      </c>
      <c r="S17" s="207">
        <f>SUMIFS(Scoreboard_10[Damage Dealt],Scoreboard_10[Role],"Melee DPS",Scoreboard_10[Team],"Yellow")</f>
        <v>16105656</v>
      </c>
      <c r="T17" s="219">
        <f>SUMIFS(Scoreboard_10[Damage Dealt],Scoreboard_10[Role],"Melee DPS",Scoreboard_10[Team],"Red")</f>
        <v>11076862</v>
      </c>
      <c r="V17" s="204" t="str">
        <f ca="1">IFERROR(__xludf.DUMMYFUNCTION("query(A1:P239, ""Select E,K Order by K Desc Limit 10"", 0)"),"Asyre")</f>
        <v>Asyre</v>
      </c>
      <c r="W17" s="116">
        <f ca="1">IFERROR(__xludf.DUMMYFUNCTION("""COMPUTED_VALUE"""),1714689)</f>
        <v>1714689</v>
      </c>
      <c r="Y17" s="204" t="str">
        <f ca="1">IFERROR(__xludf.DUMMYFUNCTION("query(A1:P239, ""Select E,L Order by L Desc Limit 10"", 0)"),"Purple")</f>
        <v>Purple</v>
      </c>
      <c r="Z17" s="116">
        <f ca="1">IFERROR(__xludf.DUMMYFUNCTION("""COMPUTED_VALUE"""),3481189)</f>
        <v>3481189</v>
      </c>
    </row>
    <row r="18" spans="1:26" ht="22.5" customHeight="1">
      <c r="A18" s="115">
        <v>16</v>
      </c>
      <c r="B18" s="115" t="s">
        <v>25</v>
      </c>
      <c r="C18" s="115" t="s">
        <v>69</v>
      </c>
      <c r="D18" s="115" t="s">
        <v>714</v>
      </c>
      <c r="E18" s="98" t="s">
        <v>334</v>
      </c>
      <c r="F18" s="115" t="s">
        <v>483</v>
      </c>
      <c r="G18" s="115">
        <v>29</v>
      </c>
      <c r="H18" s="115">
        <v>54</v>
      </c>
      <c r="I18" s="194">
        <v>83</v>
      </c>
      <c r="J18" s="116">
        <v>1523672</v>
      </c>
      <c r="K18" s="116">
        <v>1136515</v>
      </c>
      <c r="L18" s="116">
        <v>21134</v>
      </c>
      <c r="M18" s="195">
        <v>3.6725663716814162E-2</v>
      </c>
      <c r="N18" s="195">
        <v>3.6680525051751976E-2</v>
      </c>
      <c r="O18" s="195">
        <v>2.838669040710123E-2</v>
      </c>
      <c r="P18" s="195">
        <v>7.9421037397936229E-4</v>
      </c>
      <c r="R18" s="223" t="s">
        <v>469</v>
      </c>
      <c r="S18" s="207">
        <f>SUMIFS(Scoreboard_10[Damage Taken],Scoreboard_10[Role],"Melee DPS",Scoreboard_10[Team],"Yellow")</f>
        <v>9924538</v>
      </c>
      <c r="T18" s="219">
        <f>SUMIFS(Scoreboard_10[Damage Taken],Scoreboard_10[Role],"Melee DPS",Scoreboard_10[Team],"Red")</f>
        <v>8560679</v>
      </c>
      <c r="V18" s="204" t="str">
        <f ca="1">IFERROR(__xludf.DUMMYFUNCTION("""COMPUTED_VALUE"""),"火IllahuAkbar")</f>
        <v>火IllahuAkbar</v>
      </c>
      <c r="W18" s="116">
        <f ca="1">IFERROR(__xludf.DUMMYFUNCTION("""COMPUTED_VALUE"""),1701508)</f>
        <v>1701508</v>
      </c>
      <c r="Y18" s="204" t="str">
        <f ca="1">IFERROR(__xludf.DUMMYFUNCTION("""COMPUTED_VALUE"""),"LaneyToo")</f>
        <v>LaneyToo</v>
      </c>
      <c r="Z18" s="116">
        <f ca="1">IFERROR(__xludf.DUMMYFUNCTION("""COMPUTED_VALUE"""),3284847)</f>
        <v>3284847</v>
      </c>
    </row>
    <row r="19" spans="1:26" ht="22.5" customHeight="1">
      <c r="A19" s="115">
        <v>3</v>
      </c>
      <c r="B19" s="115" t="s">
        <v>25</v>
      </c>
      <c r="C19" s="115" t="s">
        <v>69</v>
      </c>
      <c r="D19" s="115" t="s">
        <v>7</v>
      </c>
      <c r="E19" s="98" t="s">
        <v>98</v>
      </c>
      <c r="F19" s="115" t="s">
        <v>476</v>
      </c>
      <c r="G19" s="115">
        <v>44</v>
      </c>
      <c r="H19" s="115">
        <v>38</v>
      </c>
      <c r="I19" s="194">
        <v>82</v>
      </c>
      <c r="J19" s="116">
        <v>1871322</v>
      </c>
      <c r="K19" s="116">
        <v>859666</v>
      </c>
      <c r="L19" s="116">
        <v>32657</v>
      </c>
      <c r="M19" s="195">
        <v>3.1502112946600075E-2</v>
      </c>
      <c r="N19" s="195">
        <v>4.6681557292213134E-2</v>
      </c>
      <c r="O19" s="195">
        <v>2.0670439285246273E-2</v>
      </c>
      <c r="P19" s="195">
        <v>1.1476245749164416E-3</v>
      </c>
      <c r="R19" s="223" t="s">
        <v>470</v>
      </c>
      <c r="S19" s="207">
        <f>SUMIFS(Scoreboard_10[Amount Healed],Scoreboard_10[Role],"Melee DPS",Scoreboard_10[Team],"Yellow")</f>
        <v>448714</v>
      </c>
      <c r="T19" s="219">
        <f>SUMIFS(Scoreboard_10[Amount Healed],Scoreboard_10[Role],"Melee DPS",Scoreboard_10[Team],"Red")</f>
        <v>310380</v>
      </c>
      <c r="V19" s="204" t="str">
        <f ca="1">IFERROR(__xludf.DUMMYFUNCTION("""COMPUTED_VALUE"""),"Gunnex")</f>
        <v>Gunnex</v>
      </c>
      <c r="W19" s="116">
        <f ca="1">IFERROR(__xludf.DUMMYFUNCTION("""COMPUTED_VALUE"""),1692794)</f>
        <v>1692794</v>
      </c>
      <c r="Y19" s="204" t="str">
        <f ca="1">IFERROR(__xludf.DUMMYFUNCTION("""COMPUTED_VALUE"""),"ShiPhu")</f>
        <v>ShiPhu</v>
      </c>
      <c r="Z19" s="116">
        <f ca="1">IFERROR(__xludf.DUMMYFUNCTION("""COMPUTED_VALUE"""),3162339)</f>
        <v>3162339</v>
      </c>
    </row>
    <row r="20" spans="1:26" ht="22.5" customHeight="1">
      <c r="A20" s="115">
        <v>7</v>
      </c>
      <c r="B20" s="115" t="s">
        <v>39</v>
      </c>
      <c r="C20" s="115" t="s">
        <v>54</v>
      </c>
      <c r="D20" s="115" t="s">
        <v>714</v>
      </c>
      <c r="E20" s="98" t="s">
        <v>716</v>
      </c>
      <c r="F20" s="115" t="s">
        <v>483</v>
      </c>
      <c r="G20" s="115">
        <v>40</v>
      </c>
      <c r="H20" s="115">
        <v>41</v>
      </c>
      <c r="I20" s="194">
        <v>81</v>
      </c>
      <c r="J20" s="116">
        <v>1495914</v>
      </c>
      <c r="K20" s="116">
        <v>708144</v>
      </c>
      <c r="L20" s="116">
        <v>0</v>
      </c>
      <c r="M20" s="195">
        <v>3.5840707964601773E-2</v>
      </c>
      <c r="N20" s="195">
        <v>3.6012285421184162E-2</v>
      </c>
      <c r="O20" s="195">
        <v>1.7687284806312539E-2</v>
      </c>
      <c r="P20" s="195">
        <v>0</v>
      </c>
      <c r="R20" s="223" t="s">
        <v>465</v>
      </c>
      <c r="S20" s="207">
        <f>SUMIFS(Scoreboard_10[Kills],Scoreboard_10[Role],"Melee DPS",Scoreboard_10[Team],"Yellow")</f>
        <v>256</v>
      </c>
      <c r="T20" s="219">
        <f>SUMIFS(Scoreboard_10[Kills],Scoreboard_10[Role],"Melee DPS",Scoreboard_10[Team],"Red")</f>
        <v>116</v>
      </c>
      <c r="V20" s="204" t="str">
        <f ca="1">IFERROR(__xludf.DUMMYFUNCTION("""COMPUTED_VALUE"""),"Blee")</f>
        <v>Blee</v>
      </c>
      <c r="W20" s="116">
        <f ca="1">IFERROR(__xludf.DUMMYFUNCTION("""COMPUTED_VALUE"""),1681049)</f>
        <v>1681049</v>
      </c>
      <c r="Y20" s="204" t="str">
        <f ca="1">IFERROR(__xludf.DUMMYFUNCTION("""COMPUTED_VALUE"""),"Zanax")</f>
        <v>Zanax</v>
      </c>
      <c r="Z20" s="116">
        <f ca="1">IFERROR(__xludf.DUMMYFUNCTION("""COMPUTED_VALUE"""),2533072)</f>
        <v>2533072</v>
      </c>
    </row>
    <row r="21" spans="1:26" ht="22.5" customHeight="1">
      <c r="A21" s="115">
        <v>24</v>
      </c>
      <c r="B21" s="115" t="s">
        <v>39</v>
      </c>
      <c r="C21" s="115" t="s">
        <v>32</v>
      </c>
      <c r="D21" s="115" t="s">
        <v>714</v>
      </c>
      <c r="E21" s="98" t="s">
        <v>853</v>
      </c>
      <c r="F21" s="115" t="s">
        <v>483</v>
      </c>
      <c r="G21" s="115">
        <v>16</v>
      </c>
      <c r="H21" s="115">
        <v>65</v>
      </c>
      <c r="I21" s="194">
        <v>81</v>
      </c>
      <c r="J21" s="116">
        <v>2876959</v>
      </c>
      <c r="K21" s="116">
        <v>1265903</v>
      </c>
      <c r="L21" s="116">
        <v>0</v>
      </c>
      <c r="M21" s="195">
        <v>3.5840707964601773E-2</v>
      </c>
      <c r="N21" s="195">
        <v>6.9259241275263519E-2</v>
      </c>
      <c r="O21" s="195">
        <v>3.1618409388719612E-2</v>
      </c>
      <c r="P21" s="195">
        <v>0</v>
      </c>
      <c r="R21" s="223" t="s">
        <v>466</v>
      </c>
      <c r="S21" s="207">
        <f>SUMIFS(Scoreboard_10[Assists],Scoreboard_10[Role],"Melee DPS",Scoreboard_10[Team],"Yellow")</f>
        <v>538</v>
      </c>
      <c r="T21" s="219">
        <f>SUMIFS(Scoreboard_10[Assists],Scoreboard_10[Role],"Melee DPS",Scoreboard_10[Team],"Red")</f>
        <v>336</v>
      </c>
      <c r="V21" s="204" t="str">
        <f ca="1">IFERROR(__xludf.DUMMYFUNCTION("""COMPUTED_VALUE"""),"RedCamper")</f>
        <v>RedCamper</v>
      </c>
      <c r="W21" s="116">
        <f ca="1">IFERROR(__xludf.DUMMYFUNCTION("""COMPUTED_VALUE"""),1614300)</f>
        <v>1614300</v>
      </c>
      <c r="Y21" s="204" t="str">
        <f ca="1">IFERROR(__xludf.DUMMYFUNCTION("""COMPUTED_VALUE"""),"EgirlWaifu")</f>
        <v>EgirlWaifu</v>
      </c>
      <c r="Z21" s="116">
        <f ca="1">IFERROR(__xludf.DUMMYFUNCTION("""COMPUTED_VALUE"""),2518740)</f>
        <v>2518740</v>
      </c>
    </row>
    <row r="22" spans="1:26" ht="22.5" customHeight="1">
      <c r="A22" s="115">
        <v>67</v>
      </c>
      <c r="B22" s="115" t="s">
        <v>11</v>
      </c>
      <c r="C22" s="115" t="s">
        <v>10</v>
      </c>
      <c r="D22" s="115" t="s">
        <v>714</v>
      </c>
      <c r="E22" s="98" t="s">
        <v>715</v>
      </c>
      <c r="F22" s="115" t="s">
        <v>483</v>
      </c>
      <c r="G22" s="115">
        <v>0</v>
      </c>
      <c r="H22" s="115">
        <v>81</v>
      </c>
      <c r="I22" s="194">
        <v>81</v>
      </c>
      <c r="J22" s="116">
        <v>45207</v>
      </c>
      <c r="K22" s="116">
        <v>661655</v>
      </c>
      <c r="L22" s="116">
        <v>1799287</v>
      </c>
      <c r="M22" s="195">
        <v>3.5840707964601773E-2</v>
      </c>
      <c r="N22" s="195">
        <v>1.0883027948367836E-3</v>
      </c>
      <c r="O22" s="195">
        <v>1.6526130883719584E-2</v>
      </c>
      <c r="P22" s="195">
        <v>6.7616750315425606E-2</v>
      </c>
      <c r="V22" s="204" t="str">
        <f ca="1">IFERROR(__xludf.DUMMYFUNCTION("""COMPUTED_VALUE"""),"DopaMinn")</f>
        <v>DopaMinn</v>
      </c>
      <c r="W22" s="116">
        <f ca="1">IFERROR(__xludf.DUMMYFUNCTION("""COMPUTED_VALUE"""),1577251)</f>
        <v>1577251</v>
      </c>
      <c r="Y22" s="204" t="str">
        <f ca="1">IFERROR(__xludf.DUMMYFUNCTION("""COMPUTED_VALUE"""),"Spicyparrot")</f>
        <v>Spicyparrot</v>
      </c>
      <c r="Z22" s="116">
        <f ca="1">IFERROR(__xludf.DUMMYFUNCTION("""COMPUTED_VALUE"""),2202281)</f>
        <v>2202281</v>
      </c>
    </row>
    <row r="23" spans="1:26" ht="22.5" customHeight="1">
      <c r="A23" s="115">
        <v>31</v>
      </c>
      <c r="B23" s="115" t="s">
        <v>25</v>
      </c>
      <c r="C23" s="115" t="s">
        <v>24</v>
      </c>
      <c r="D23" s="115" t="s">
        <v>714</v>
      </c>
      <c r="E23" s="98" t="s">
        <v>722</v>
      </c>
      <c r="F23" s="115" t="s">
        <v>483</v>
      </c>
      <c r="G23" s="115">
        <v>14</v>
      </c>
      <c r="H23" s="115">
        <v>62</v>
      </c>
      <c r="I23" s="194">
        <v>76</v>
      </c>
      <c r="J23" s="116">
        <v>2326723</v>
      </c>
      <c r="K23" s="116">
        <v>1714689</v>
      </c>
      <c r="L23" s="116">
        <v>66670</v>
      </c>
      <c r="M23" s="195">
        <v>3.3628318584070796E-2</v>
      </c>
      <c r="N23" s="195">
        <v>5.6012987893711716E-2</v>
      </c>
      <c r="O23" s="195">
        <v>4.2827719640710415E-2</v>
      </c>
      <c r="P23" s="195">
        <v>2.5054417352703738E-3</v>
      </c>
      <c r="R23" s="232" t="s">
        <v>39</v>
      </c>
      <c r="S23" s="228"/>
      <c r="T23" s="228"/>
      <c r="V23" s="204" t="str">
        <f ca="1">IFERROR(__xludf.DUMMYFUNCTION("""COMPUTED_VALUE"""),"NeoBahamut")</f>
        <v>NeoBahamut</v>
      </c>
      <c r="W23" s="116">
        <f ca="1">IFERROR(__xludf.DUMMYFUNCTION("""COMPUTED_VALUE"""),1502994)</f>
        <v>1502994</v>
      </c>
      <c r="Y23" s="204" t="str">
        <f ca="1">IFERROR(__xludf.DUMMYFUNCTION("""COMPUTED_VALUE"""),"Reinnier")</f>
        <v>Reinnier</v>
      </c>
      <c r="Z23" s="116">
        <f ca="1">IFERROR(__xludf.DUMMYFUNCTION("""COMPUTED_VALUE"""),2145486)</f>
        <v>2145486</v>
      </c>
    </row>
    <row r="24" spans="1:26" ht="22.5" customHeight="1">
      <c r="A24" s="115">
        <v>17</v>
      </c>
      <c r="B24" s="115" t="s">
        <v>39</v>
      </c>
      <c r="C24" s="115" t="s">
        <v>54</v>
      </c>
      <c r="D24" s="115" t="s">
        <v>714</v>
      </c>
      <c r="E24" s="98" t="s">
        <v>718</v>
      </c>
      <c r="F24" s="115" t="s">
        <v>483</v>
      </c>
      <c r="G24" s="115">
        <v>29</v>
      </c>
      <c r="H24" s="115">
        <v>39</v>
      </c>
      <c r="I24" s="194">
        <v>68</v>
      </c>
      <c r="J24" s="116">
        <v>1514182</v>
      </c>
      <c r="K24" s="116">
        <v>662643</v>
      </c>
      <c r="L24" s="116">
        <v>0</v>
      </c>
      <c r="M24" s="195">
        <v>3.0088495575221239E-2</v>
      </c>
      <c r="N24" s="195">
        <v>3.6452065000808519E-2</v>
      </c>
      <c r="O24" s="195">
        <v>1.6550808120819153E-2</v>
      </c>
      <c r="P24" s="195">
        <v>0</v>
      </c>
      <c r="R24" s="190" t="s">
        <v>482</v>
      </c>
      <c r="S24" s="222" t="s">
        <v>476</v>
      </c>
      <c r="T24" s="222" t="s">
        <v>483</v>
      </c>
      <c r="V24" s="204" t="str">
        <f ca="1">IFERROR(__xludf.DUMMYFUNCTION("""COMPUTED_VALUE"""),"Baozer")</f>
        <v>Baozer</v>
      </c>
      <c r="W24" s="116">
        <f ca="1">IFERROR(__xludf.DUMMYFUNCTION("""COMPUTED_VALUE"""),1467431)</f>
        <v>1467431</v>
      </c>
      <c r="Y24" s="204" t="str">
        <f ca="1">IFERROR(__xludf.DUMMYFUNCTION("""COMPUTED_VALUE"""),"Teensy")</f>
        <v>Teensy</v>
      </c>
      <c r="Z24" s="116">
        <f ca="1">IFERROR(__xludf.DUMMYFUNCTION("""COMPUTED_VALUE"""),1982567)</f>
        <v>1982567</v>
      </c>
    </row>
    <row r="25" spans="1:26" ht="22.5" customHeight="1">
      <c r="A25" s="115">
        <v>28</v>
      </c>
      <c r="B25" s="115" t="s">
        <v>25</v>
      </c>
      <c r="C25" s="115" t="s">
        <v>24</v>
      </c>
      <c r="D25" s="115" t="s">
        <v>714</v>
      </c>
      <c r="E25" s="98" t="s">
        <v>729</v>
      </c>
      <c r="F25" s="115" t="s">
        <v>483</v>
      </c>
      <c r="G25" s="115">
        <v>15</v>
      </c>
      <c r="H25" s="115">
        <v>53</v>
      </c>
      <c r="I25" s="194">
        <v>68</v>
      </c>
      <c r="J25" s="116">
        <v>1715531</v>
      </c>
      <c r="K25" s="116">
        <v>1280283</v>
      </c>
      <c r="L25" s="116">
        <v>47201</v>
      </c>
      <c r="M25" s="195">
        <v>3.0088495575221239E-2</v>
      </c>
      <c r="N25" s="195">
        <v>4.1299293957332762E-2</v>
      </c>
      <c r="O25" s="195">
        <v>3.1977578082537213E-2</v>
      </c>
      <c r="P25" s="195">
        <v>1.773801640115448E-3</v>
      </c>
      <c r="R25" s="223" t="s">
        <v>468</v>
      </c>
      <c r="S25" s="207">
        <f>SUMIFS(Scoreboard_10[Damage Dealt],Scoreboard_10[Role],"Ranged DPS",Scoreboard_10[Team],"Yellow")</f>
        <v>18975880</v>
      </c>
      <c r="T25" s="219">
        <f>SUMIFS(Scoreboard_10[Damage Dealt],Scoreboard_10[Role],"Ranged DPS",Scoreboard_10[Team],"Red")</f>
        <v>25918671</v>
      </c>
      <c r="V25" s="204" t="str">
        <f ca="1">IFERROR(__xludf.DUMMYFUNCTION("""COMPUTED_VALUE"""),"Gravez")</f>
        <v>Gravez</v>
      </c>
      <c r="W25" s="116">
        <f ca="1">IFERROR(__xludf.DUMMYFUNCTION("""COMPUTED_VALUE"""),1324799)</f>
        <v>1324799</v>
      </c>
      <c r="Y25" s="204" t="str">
        <f ca="1">IFERROR(__xludf.DUMMYFUNCTION("""COMPUTED_VALUE"""),"Duskstorm")</f>
        <v>Duskstorm</v>
      </c>
      <c r="Z25" s="116">
        <f ca="1">IFERROR(__xludf.DUMMYFUNCTION("""COMPUTED_VALUE"""),1958698)</f>
        <v>1958698</v>
      </c>
    </row>
    <row r="26" spans="1:26" ht="22.5" customHeight="1">
      <c r="A26" s="115">
        <v>12</v>
      </c>
      <c r="B26" s="115" t="s">
        <v>39</v>
      </c>
      <c r="C26" s="115" t="s">
        <v>54</v>
      </c>
      <c r="D26" s="115" t="s">
        <v>714</v>
      </c>
      <c r="E26" s="98" t="s">
        <v>762</v>
      </c>
      <c r="F26" s="115" t="s">
        <v>483</v>
      </c>
      <c r="G26" s="115">
        <v>34</v>
      </c>
      <c r="H26" s="115">
        <v>33</v>
      </c>
      <c r="I26" s="194">
        <v>67</v>
      </c>
      <c r="J26" s="116">
        <v>1337765</v>
      </c>
      <c r="K26" s="116">
        <v>521991</v>
      </c>
      <c r="L26" s="116">
        <v>12749</v>
      </c>
      <c r="M26" s="195">
        <v>2.9646017699115044E-2</v>
      </c>
      <c r="N26" s="195">
        <v>3.2205043208680728E-2</v>
      </c>
      <c r="O26" s="195">
        <v>1.3037748654697191E-2</v>
      </c>
      <c r="P26" s="195">
        <v>4.7910419503467824E-4</v>
      </c>
      <c r="R26" s="223" t="s">
        <v>469</v>
      </c>
      <c r="S26" s="207">
        <f>SUMIFS(Scoreboard_10[Damage Taken],Scoreboard_10[Role],"Ranged DPS",Scoreboard_10[Team],"Yellow")</f>
        <v>6656922</v>
      </c>
      <c r="T26" s="219">
        <f>SUMIFS(Scoreboard_10[Damage Taken],Scoreboard_10[Role],"Ranged DPS",Scoreboard_10[Team],"Red")</f>
        <v>7386725</v>
      </c>
      <c r="V26" s="204" t="str">
        <f ca="1">IFERROR(__xludf.DUMMYFUNCTION("""COMPUTED_VALUE"""),"Navaj6699")</f>
        <v>Navaj6699</v>
      </c>
      <c r="W26" s="116">
        <f ca="1">IFERROR(__xludf.DUMMYFUNCTION("""COMPUTED_VALUE"""),1305115)</f>
        <v>1305115</v>
      </c>
      <c r="Y26" s="204" t="str">
        <f ca="1">IFERROR(__xludf.DUMMYFUNCTION("""COMPUTED_VALUE"""),"FarseerRain")</f>
        <v>FarseerRain</v>
      </c>
      <c r="Z26" s="116">
        <f ca="1">IFERROR(__xludf.DUMMYFUNCTION("""COMPUTED_VALUE"""),1853119)</f>
        <v>1853119</v>
      </c>
    </row>
    <row r="27" spans="1:26" ht="22.5" customHeight="1">
      <c r="A27" s="115">
        <v>15</v>
      </c>
      <c r="B27" s="115" t="s">
        <v>39</v>
      </c>
      <c r="C27" s="115" t="s">
        <v>54</v>
      </c>
      <c r="D27" s="115" t="s">
        <v>714</v>
      </c>
      <c r="E27" s="98" t="s">
        <v>770</v>
      </c>
      <c r="F27" s="115" t="s">
        <v>483</v>
      </c>
      <c r="G27" s="115">
        <v>30</v>
      </c>
      <c r="H27" s="115">
        <v>37</v>
      </c>
      <c r="I27" s="194">
        <v>67</v>
      </c>
      <c r="J27" s="116">
        <v>957272</v>
      </c>
      <c r="K27" s="116">
        <v>300625</v>
      </c>
      <c r="L27" s="116">
        <v>14177</v>
      </c>
      <c r="M27" s="195">
        <v>2.9646017699115044E-2</v>
      </c>
      <c r="N27" s="195">
        <v>2.3045143296812384E-2</v>
      </c>
      <c r="O27" s="195">
        <v>7.5086987885199996E-3</v>
      </c>
      <c r="P27" s="195">
        <v>5.327680738102308E-4</v>
      </c>
      <c r="R27" s="223" t="s">
        <v>470</v>
      </c>
      <c r="S27" s="207">
        <f>SUMIFS(Scoreboard_10[Amount Healed],Scoreboard_10[Role],"Ranged DPS",Scoreboard_10[Team],"Yellow")</f>
        <v>1070819</v>
      </c>
      <c r="T27" s="219">
        <f>SUMIFS(Scoreboard_10[Amount Healed],Scoreboard_10[Role],"Ranged DPS",Scoreboard_10[Team],"Red")</f>
        <v>99452</v>
      </c>
    </row>
    <row r="28" spans="1:26" ht="22.5" customHeight="1">
      <c r="A28" s="115">
        <v>22</v>
      </c>
      <c r="B28" s="115" t="s">
        <v>25</v>
      </c>
      <c r="C28" s="115" t="s">
        <v>23</v>
      </c>
      <c r="D28" s="115" t="s">
        <v>7</v>
      </c>
      <c r="E28" s="98" t="s">
        <v>843</v>
      </c>
      <c r="F28" s="115" t="s">
        <v>476</v>
      </c>
      <c r="G28" s="115">
        <v>17</v>
      </c>
      <c r="H28" s="115">
        <v>48</v>
      </c>
      <c r="I28" s="194">
        <v>65</v>
      </c>
      <c r="J28" s="116">
        <v>1680352</v>
      </c>
      <c r="K28" s="116">
        <v>1015082</v>
      </c>
      <c r="L28" s="116">
        <v>46971</v>
      </c>
      <c r="M28" s="195">
        <v>2.4971187091817133E-2</v>
      </c>
      <c r="N28" s="195">
        <v>4.1917664709272336E-2</v>
      </c>
      <c r="O28" s="195">
        <v>2.4407375481345497E-2</v>
      </c>
      <c r="P28" s="195">
        <v>1.6506437795388487E-3</v>
      </c>
      <c r="R28" s="223" t="s">
        <v>465</v>
      </c>
      <c r="S28" s="207">
        <f>SUMIFS(Scoreboard_10[Kills],Scoreboard_10[Role],"Ranged DPS",Scoreboard_10[Team],"Yellow")</f>
        <v>225</v>
      </c>
      <c r="T28" s="219">
        <f>SUMIFS(Scoreboard_10[Kills],Scoreboard_10[Role],"Ranged DPS",Scoreboard_10[Team],"Red")</f>
        <v>317</v>
      </c>
    </row>
    <row r="29" spans="1:26" ht="22.5" customHeight="1">
      <c r="A29" s="115">
        <v>20</v>
      </c>
      <c r="B29" s="115" t="s">
        <v>25</v>
      </c>
      <c r="C29" s="115" t="s">
        <v>69</v>
      </c>
      <c r="D29" s="115" t="s">
        <v>7</v>
      </c>
      <c r="E29" s="98" t="s">
        <v>110</v>
      </c>
      <c r="F29" s="115" t="s">
        <v>476</v>
      </c>
      <c r="G29" s="115">
        <v>21</v>
      </c>
      <c r="H29" s="115">
        <v>43</v>
      </c>
      <c r="I29" s="194">
        <v>64</v>
      </c>
      <c r="J29" s="116">
        <v>955938</v>
      </c>
      <c r="K29" s="116">
        <v>1145766</v>
      </c>
      <c r="L29" s="116">
        <v>77195</v>
      </c>
      <c r="M29" s="195">
        <v>2.4587014982712256E-2</v>
      </c>
      <c r="N29" s="195">
        <v>2.3846603906117515E-2</v>
      </c>
      <c r="O29" s="195">
        <v>2.7549637345317228E-2</v>
      </c>
      <c r="P29" s="195">
        <v>2.7127684435396611E-3</v>
      </c>
      <c r="R29" s="223" t="s">
        <v>466</v>
      </c>
      <c r="S29" s="207">
        <f>SUMIFS(Scoreboard_10[Assists],Scoreboard_10[Role],"Ranged DPS",Scoreboard_10[Team],"Yellow")</f>
        <v>562</v>
      </c>
      <c r="T29" s="219">
        <f>SUMIFS(Scoreboard_10[Assists],Scoreboard_10[Role],"Ranged DPS",Scoreboard_10[Team],"Red")</f>
        <v>621</v>
      </c>
    </row>
    <row r="30" spans="1:26" ht="22.5" customHeight="1">
      <c r="A30" s="115">
        <v>68</v>
      </c>
      <c r="B30" s="115" t="s">
        <v>11</v>
      </c>
      <c r="C30" s="115" t="s">
        <v>9</v>
      </c>
      <c r="D30" s="115" t="s">
        <v>714</v>
      </c>
      <c r="E30" s="98" t="s">
        <v>765</v>
      </c>
      <c r="F30" s="115" t="s">
        <v>483</v>
      </c>
      <c r="G30" s="115">
        <v>0</v>
      </c>
      <c r="H30" s="115">
        <v>64</v>
      </c>
      <c r="I30" s="194">
        <v>64</v>
      </c>
      <c r="J30" s="116">
        <v>6027</v>
      </c>
      <c r="K30" s="116">
        <v>198334</v>
      </c>
      <c r="L30" s="116">
        <v>610013</v>
      </c>
      <c r="M30" s="195">
        <v>2.831858407079646E-2</v>
      </c>
      <c r="N30" s="195">
        <v>1.4509259505123752E-4</v>
      </c>
      <c r="O30" s="195">
        <v>4.953780509013973E-3</v>
      </c>
      <c r="P30" s="195">
        <v>2.292413423215069E-2</v>
      </c>
      <c r="R30" s="6"/>
      <c r="S30" s="6"/>
      <c r="T30" s="6"/>
    </row>
    <row r="31" spans="1:26" ht="22.5" customHeight="1">
      <c r="A31" s="115">
        <v>32</v>
      </c>
      <c r="B31" s="115" t="s">
        <v>25</v>
      </c>
      <c r="C31" s="115" t="s">
        <v>24</v>
      </c>
      <c r="D31" s="115" t="s">
        <v>7</v>
      </c>
      <c r="E31" s="98" t="s">
        <v>95</v>
      </c>
      <c r="F31" s="115" t="s">
        <v>476</v>
      </c>
      <c r="G31" s="115">
        <v>12</v>
      </c>
      <c r="H31" s="115">
        <v>51</v>
      </c>
      <c r="I31" s="194">
        <v>63</v>
      </c>
      <c r="J31" s="116">
        <v>1168466</v>
      </c>
      <c r="K31" s="116">
        <v>924133</v>
      </c>
      <c r="L31" s="116">
        <v>26525</v>
      </c>
      <c r="M31" s="195">
        <v>2.4202842873607376E-2</v>
      </c>
      <c r="N31" s="195">
        <v>2.9148277272966979E-2</v>
      </c>
      <c r="O31" s="195">
        <v>2.2220531076013815E-2</v>
      </c>
      <c r="P31" s="195">
        <v>9.3213528032760559E-4</v>
      </c>
      <c r="R31" s="232" t="s">
        <v>67</v>
      </c>
      <c r="S31" s="228"/>
      <c r="T31" s="228"/>
    </row>
    <row r="32" spans="1:26" ht="22.5" customHeight="1">
      <c r="A32" s="115">
        <v>45</v>
      </c>
      <c r="B32" s="115" t="s">
        <v>11</v>
      </c>
      <c r="C32" s="115" t="s">
        <v>10</v>
      </c>
      <c r="D32" s="115" t="s">
        <v>7</v>
      </c>
      <c r="E32" s="98" t="s">
        <v>115</v>
      </c>
      <c r="F32" s="115" t="s">
        <v>476</v>
      </c>
      <c r="G32" s="115">
        <v>2</v>
      </c>
      <c r="H32" s="115">
        <v>61</v>
      </c>
      <c r="I32" s="194">
        <v>63</v>
      </c>
      <c r="J32" s="116">
        <v>110709</v>
      </c>
      <c r="K32" s="116">
        <v>739887</v>
      </c>
      <c r="L32" s="116">
        <v>2533072</v>
      </c>
      <c r="M32" s="195">
        <v>2.4202842873607376E-2</v>
      </c>
      <c r="N32" s="195">
        <v>2.7617206051463211E-3</v>
      </c>
      <c r="O32" s="195">
        <v>1.7790385232686889E-2</v>
      </c>
      <c r="P32" s="195">
        <v>8.9016617485768459E-2</v>
      </c>
      <c r="R32" s="190" t="s">
        <v>482</v>
      </c>
      <c r="S32" s="222" t="s">
        <v>476</v>
      </c>
      <c r="T32" s="222" t="s">
        <v>483</v>
      </c>
    </row>
    <row r="33" spans="1:20" ht="22.5" customHeight="1">
      <c r="A33" s="115">
        <v>69</v>
      </c>
      <c r="B33" s="115" t="s">
        <v>11</v>
      </c>
      <c r="C33" s="115" t="s">
        <v>10</v>
      </c>
      <c r="D33" s="115" t="s">
        <v>7</v>
      </c>
      <c r="E33" s="98" t="s">
        <v>87</v>
      </c>
      <c r="F33" s="115" t="s">
        <v>476</v>
      </c>
      <c r="G33" s="115">
        <v>0</v>
      </c>
      <c r="H33" s="115">
        <v>63</v>
      </c>
      <c r="I33" s="194">
        <v>63</v>
      </c>
      <c r="J33" s="116">
        <v>75601</v>
      </c>
      <c r="K33" s="116">
        <v>618253</v>
      </c>
      <c r="L33" s="116">
        <v>1214834</v>
      </c>
      <c r="M33" s="195">
        <v>2.4202842873607376E-2</v>
      </c>
      <c r="N33" s="195">
        <v>1.8859247167770192E-3</v>
      </c>
      <c r="O33" s="195">
        <v>1.4865728200744666E-2</v>
      </c>
      <c r="P33" s="195">
        <v>4.2691409279604388E-2</v>
      </c>
      <c r="R33" s="223" t="s">
        <v>468</v>
      </c>
      <c r="S33" s="207">
        <f>SUMIFS(Scoreboard_10[Damage Dealt],Scoreboard_10[Role],"Tank",Scoreboard_10[Team],"Yellow")</f>
        <v>4077837</v>
      </c>
      <c r="T33" s="219">
        <f>SUMIFS(Scoreboard_10[Damage Dealt],Scoreboard_10[Role],"Tank",Scoreboard_10[Team],"Red")</f>
        <v>3413765</v>
      </c>
    </row>
    <row r="34" spans="1:20" ht="22.5" customHeight="1">
      <c r="A34" s="115">
        <v>29</v>
      </c>
      <c r="B34" s="115" t="s">
        <v>25</v>
      </c>
      <c r="C34" s="115" t="s">
        <v>69</v>
      </c>
      <c r="D34" s="115" t="s">
        <v>714</v>
      </c>
      <c r="E34" s="98" t="s">
        <v>861</v>
      </c>
      <c r="F34" s="115" t="s">
        <v>483</v>
      </c>
      <c r="G34" s="115">
        <v>15</v>
      </c>
      <c r="H34" s="115">
        <v>45</v>
      </c>
      <c r="I34" s="194">
        <v>60</v>
      </c>
      <c r="J34" s="116">
        <v>912105</v>
      </c>
      <c r="K34" s="116">
        <v>502396</v>
      </c>
      <c r="L34" s="116">
        <v>42568</v>
      </c>
      <c r="M34" s="195">
        <v>2.6548672566371681E-2</v>
      </c>
      <c r="N34" s="195">
        <v>2.1957803452664511E-2</v>
      </c>
      <c r="O34" s="195">
        <v>1.2548325111209293E-2</v>
      </c>
      <c r="P34" s="195">
        <v>1.5996946720712355E-3</v>
      </c>
      <c r="R34" s="223" t="s">
        <v>469</v>
      </c>
      <c r="S34" s="207">
        <f>SUMIFS(Scoreboard_10[Damage Taken],Scoreboard_10[Role],"Tank",Scoreboard_10[Team],"Yellow")</f>
        <v>13955805</v>
      </c>
      <c r="T34" s="219">
        <f>SUMIFS(Scoreboard_10[Damage Taken],Scoreboard_10[Role],"Tank",Scoreboard_10[Team],"Red")</f>
        <v>11435350</v>
      </c>
    </row>
    <row r="35" spans="1:20" ht="22.5" customHeight="1">
      <c r="A35" s="115">
        <v>70</v>
      </c>
      <c r="B35" s="115" t="s">
        <v>11</v>
      </c>
      <c r="C35" s="115" t="s">
        <v>10</v>
      </c>
      <c r="D35" s="115" t="s">
        <v>714</v>
      </c>
      <c r="E35" s="98" t="s">
        <v>717</v>
      </c>
      <c r="F35" s="115" t="s">
        <v>483</v>
      </c>
      <c r="G35" s="115">
        <v>0</v>
      </c>
      <c r="H35" s="115">
        <v>59</v>
      </c>
      <c r="I35" s="194">
        <v>59</v>
      </c>
      <c r="J35" s="116">
        <v>47237</v>
      </c>
      <c r="K35" s="116">
        <v>645420</v>
      </c>
      <c r="L35" s="116">
        <v>887520</v>
      </c>
      <c r="M35" s="195">
        <v>2.6106194690265486E-2</v>
      </c>
      <c r="N35" s="195">
        <v>1.1371725422988728E-3</v>
      </c>
      <c r="O35" s="195">
        <v>1.612062992793872E-2</v>
      </c>
      <c r="P35" s="195">
        <v>3.335277709445271E-2</v>
      </c>
      <c r="R35" s="223" t="s">
        <v>470</v>
      </c>
      <c r="S35" s="207">
        <f>SUMIFS(Scoreboard_10[Amount Healed],Scoreboard_10[Role],"Tank",Scoreboard_10[Team],"Yellow")</f>
        <v>974413</v>
      </c>
      <c r="T35" s="219">
        <f>SUMIFS(Scoreboard_10[Amount Healed],Scoreboard_10[Role],"Tank",Scoreboard_10[Team],"Red")</f>
        <v>765346</v>
      </c>
    </row>
    <row r="36" spans="1:20" ht="22.5" customHeight="1">
      <c r="A36" s="115">
        <v>71</v>
      </c>
      <c r="B36" s="115" t="s">
        <v>11</v>
      </c>
      <c r="C36" s="115" t="s">
        <v>9</v>
      </c>
      <c r="D36" s="115" t="s">
        <v>7</v>
      </c>
      <c r="E36" s="98" t="s">
        <v>851</v>
      </c>
      <c r="F36" s="115" t="s">
        <v>476</v>
      </c>
      <c r="G36" s="115">
        <v>0</v>
      </c>
      <c r="H36" s="115">
        <v>58</v>
      </c>
      <c r="I36" s="194">
        <v>58</v>
      </c>
      <c r="J36" s="116">
        <v>5237</v>
      </c>
      <c r="K36" s="116">
        <v>486745</v>
      </c>
      <c r="L36" s="116">
        <v>893164</v>
      </c>
      <c r="M36" s="195">
        <v>2.228198232808298E-2</v>
      </c>
      <c r="N36" s="195">
        <v>1.3064096694172364E-4</v>
      </c>
      <c r="O36" s="195">
        <v>1.1703653476928477E-2</v>
      </c>
      <c r="P36" s="195">
        <v>3.1387358172234703E-2</v>
      </c>
      <c r="R36" s="223" t="s">
        <v>465</v>
      </c>
      <c r="S36" s="207">
        <f>SUMIFS(Scoreboard_10[Kills],Scoreboard_10[Role],"Tank",Scoreboard_10[Team],"Yellow")</f>
        <v>34</v>
      </c>
      <c r="T36" s="219">
        <f>SUMIFS(Scoreboard_10[Kills],Scoreboard_10[Role],"Tank",Scoreboard_10[Team],"Red")</f>
        <v>18</v>
      </c>
    </row>
    <row r="37" spans="1:20" ht="22.5" customHeight="1">
      <c r="A37" s="115">
        <v>23</v>
      </c>
      <c r="B37" s="115" t="s">
        <v>25</v>
      </c>
      <c r="C37" s="115" t="s">
        <v>23</v>
      </c>
      <c r="D37" s="115" t="s">
        <v>714</v>
      </c>
      <c r="E37" s="98" t="s">
        <v>723</v>
      </c>
      <c r="F37" s="115" t="s">
        <v>483</v>
      </c>
      <c r="G37" s="115">
        <v>17</v>
      </c>
      <c r="H37" s="115">
        <v>41</v>
      </c>
      <c r="I37" s="194">
        <v>58</v>
      </c>
      <c r="J37" s="116">
        <v>1514062</v>
      </c>
      <c r="K37" s="116">
        <v>1692794</v>
      </c>
      <c r="L37" s="116">
        <v>62918</v>
      </c>
      <c r="M37" s="195">
        <v>2.5663716814159292E-2</v>
      </c>
      <c r="N37" s="195">
        <v>3.644917614874179E-2</v>
      </c>
      <c r="O37" s="195">
        <v>4.2280849087780202E-2</v>
      </c>
      <c r="P37" s="195">
        <v>2.3644425243699021E-3</v>
      </c>
      <c r="R37" s="223" t="s">
        <v>466</v>
      </c>
      <c r="S37" s="207">
        <f>SUMIFS(Scoreboard_10[Assists],Scoreboard_10[Role],"Tank",Scoreboard_10[Team],"Yellow")</f>
        <v>295</v>
      </c>
      <c r="T37" s="219">
        <f>SUMIFS(Scoreboard_10[Assists],Scoreboard_10[Role],"Tank",Scoreboard_10[Team],"Red")</f>
        <v>236</v>
      </c>
    </row>
    <row r="38" spans="1:20" ht="22.5" customHeight="1">
      <c r="A38" s="115">
        <v>30</v>
      </c>
      <c r="B38" s="115" t="s">
        <v>25</v>
      </c>
      <c r="C38" s="115" t="s">
        <v>24</v>
      </c>
      <c r="D38" s="115" t="s">
        <v>714</v>
      </c>
      <c r="E38" s="98" t="s">
        <v>761</v>
      </c>
      <c r="F38" s="115" t="s">
        <v>483</v>
      </c>
      <c r="G38" s="115">
        <v>15</v>
      </c>
      <c r="H38" s="115">
        <v>40</v>
      </c>
      <c r="I38" s="194">
        <v>55</v>
      </c>
      <c r="J38" s="116">
        <v>1885152</v>
      </c>
      <c r="K38" s="116">
        <v>1177208</v>
      </c>
      <c r="L38" s="116">
        <v>0</v>
      </c>
      <c r="M38" s="195">
        <v>2.4336283185840708E-2</v>
      </c>
      <c r="N38" s="195">
        <v>4.5382710427415054E-2</v>
      </c>
      <c r="O38" s="195">
        <v>2.9403077865899546E-2</v>
      </c>
      <c r="P38" s="195">
        <v>0</v>
      </c>
    </row>
    <row r="39" spans="1:20" ht="22.5" customHeight="1">
      <c r="A39" s="115">
        <v>72</v>
      </c>
      <c r="B39" s="115" t="s">
        <v>11</v>
      </c>
      <c r="C39" s="115" t="s">
        <v>10</v>
      </c>
      <c r="D39" s="115" t="s">
        <v>7</v>
      </c>
      <c r="E39" s="98" t="s">
        <v>100</v>
      </c>
      <c r="F39" s="115" t="s">
        <v>476</v>
      </c>
      <c r="G39" s="115">
        <v>0</v>
      </c>
      <c r="H39" s="115">
        <v>54</v>
      </c>
      <c r="I39" s="194">
        <v>54</v>
      </c>
      <c r="J39" s="116">
        <v>10368</v>
      </c>
      <c r="K39" s="116">
        <v>604584</v>
      </c>
      <c r="L39" s="116">
        <v>859569</v>
      </c>
      <c r="M39" s="195">
        <v>2.0745293891663467E-2</v>
      </c>
      <c r="N39" s="195">
        <v>2.5863768288176262E-4</v>
      </c>
      <c r="O39" s="195">
        <v>1.4537060747815236E-2</v>
      </c>
      <c r="P39" s="195">
        <v>3.0206770623031842E-2</v>
      </c>
      <c r="R39" s="232" t="s">
        <v>11</v>
      </c>
      <c r="S39" s="228"/>
      <c r="T39" s="228"/>
    </row>
    <row r="40" spans="1:20" ht="22.5" customHeight="1">
      <c r="A40" s="115">
        <v>52</v>
      </c>
      <c r="B40" s="115" t="s">
        <v>11</v>
      </c>
      <c r="C40" s="115" t="s">
        <v>10</v>
      </c>
      <c r="D40" s="115" t="s">
        <v>7</v>
      </c>
      <c r="E40" s="98" t="s">
        <v>96</v>
      </c>
      <c r="F40" s="115" t="s">
        <v>476</v>
      </c>
      <c r="G40" s="115">
        <v>1</v>
      </c>
      <c r="H40" s="115">
        <v>52</v>
      </c>
      <c r="I40" s="194">
        <v>53</v>
      </c>
      <c r="J40" s="116">
        <v>63021</v>
      </c>
      <c r="K40" s="116">
        <v>588566</v>
      </c>
      <c r="L40" s="116">
        <v>924134</v>
      </c>
      <c r="M40" s="195">
        <v>2.0361121782558587E-2</v>
      </c>
      <c r="N40" s="195">
        <v>1.5721070035582139E-3</v>
      </c>
      <c r="O40" s="195">
        <v>1.4151912217489418E-2</v>
      </c>
      <c r="P40" s="195">
        <v>3.2475698591904675E-2</v>
      </c>
      <c r="R40" s="190" t="s">
        <v>482</v>
      </c>
      <c r="S40" s="222" t="s">
        <v>476</v>
      </c>
      <c r="T40" s="222" t="s">
        <v>483</v>
      </c>
    </row>
    <row r="41" spans="1:20" ht="22.5" customHeight="1">
      <c r="A41" s="115">
        <v>34</v>
      </c>
      <c r="B41" s="115" t="s">
        <v>39</v>
      </c>
      <c r="C41" s="115" t="s">
        <v>52</v>
      </c>
      <c r="D41" s="115" t="s">
        <v>7</v>
      </c>
      <c r="E41" s="98" t="s">
        <v>65</v>
      </c>
      <c r="F41" s="115" t="s">
        <v>476</v>
      </c>
      <c r="G41" s="115">
        <v>9</v>
      </c>
      <c r="H41" s="115">
        <v>43</v>
      </c>
      <c r="I41" s="194">
        <v>52</v>
      </c>
      <c r="J41" s="116">
        <v>1542732</v>
      </c>
      <c r="K41" s="116">
        <v>840419</v>
      </c>
      <c r="L41" s="116">
        <v>464812</v>
      </c>
      <c r="M41" s="195">
        <v>1.9976949673453707E-2</v>
      </c>
      <c r="N41" s="195">
        <v>3.8484628644632271E-2</v>
      </c>
      <c r="O41" s="195">
        <v>2.0207650312641639E-2</v>
      </c>
      <c r="P41" s="195">
        <v>1.633431343712102E-2</v>
      </c>
      <c r="R41" s="223" t="s">
        <v>468</v>
      </c>
      <c r="S41" s="207">
        <f>SUMIFS(Scoreboard_10[Damage Dealt],Scoreboard_10[Role],"Healer",Scoreboard_10[Team],"Yellow")</f>
        <v>927593</v>
      </c>
      <c r="T41" s="219">
        <f>SUMIFS(Scoreboard_10[Damage Dealt],Scoreboard_10[Role],"Healer",Scoreboard_10[Team],"Red")</f>
        <v>1129693</v>
      </c>
    </row>
    <row r="42" spans="1:20" ht="22.5" customHeight="1">
      <c r="A42" s="115">
        <v>33</v>
      </c>
      <c r="B42" s="115" t="s">
        <v>25</v>
      </c>
      <c r="C42" s="115" t="s">
        <v>23</v>
      </c>
      <c r="D42" s="115" t="s">
        <v>714</v>
      </c>
      <c r="E42" s="98" t="s">
        <v>733</v>
      </c>
      <c r="F42" s="115" t="s">
        <v>483</v>
      </c>
      <c r="G42" s="115">
        <v>11</v>
      </c>
      <c r="H42" s="115">
        <v>41</v>
      </c>
      <c r="I42" s="194">
        <v>52</v>
      </c>
      <c r="J42" s="116">
        <v>1199617</v>
      </c>
      <c r="K42" s="116">
        <v>1056794</v>
      </c>
      <c r="L42" s="116">
        <v>69889</v>
      </c>
      <c r="M42" s="195">
        <v>2.3008849557522124E-2</v>
      </c>
      <c r="N42" s="195">
        <v>2.8879300414398606E-2</v>
      </c>
      <c r="O42" s="195">
        <v>2.6395502128948704E-2</v>
      </c>
      <c r="P42" s="195">
        <v>2.6264109409976175E-3</v>
      </c>
      <c r="R42" s="223" t="s">
        <v>469</v>
      </c>
      <c r="S42" s="207">
        <f>SUMIFS(Scoreboard_10[Damage Taken],Scoreboard_10[Role],"Healer",Scoreboard_10[Team],"Yellow")</f>
        <v>11051885</v>
      </c>
      <c r="T42" s="219">
        <f>SUMIFS(Scoreboard_10[Damage Taken],Scoreboard_10[Role],"Healer",Scoreboard_10[Team],"Red")</f>
        <v>12654143</v>
      </c>
    </row>
    <row r="43" spans="1:20" ht="22.5" customHeight="1">
      <c r="A43" s="115">
        <v>73</v>
      </c>
      <c r="B43" s="115" t="s">
        <v>11</v>
      </c>
      <c r="C43" s="115" t="s">
        <v>10</v>
      </c>
      <c r="D43" s="115" t="s">
        <v>7</v>
      </c>
      <c r="E43" s="98" t="s">
        <v>102</v>
      </c>
      <c r="F43" s="115" t="s">
        <v>476</v>
      </c>
      <c r="G43" s="115">
        <v>0</v>
      </c>
      <c r="H43" s="115">
        <v>51</v>
      </c>
      <c r="I43" s="194">
        <v>51</v>
      </c>
      <c r="J43" s="116">
        <v>72877</v>
      </c>
      <c r="K43" s="116">
        <v>656843</v>
      </c>
      <c r="L43" s="116">
        <v>2202281</v>
      </c>
      <c r="M43" s="195">
        <v>1.9592777564348827E-2</v>
      </c>
      <c r="N43" s="195">
        <v>1.8179724551865561E-3</v>
      </c>
      <c r="O43" s="195">
        <v>1.5793614440304742E-2</v>
      </c>
      <c r="P43" s="195">
        <v>7.7392038352315159E-2</v>
      </c>
      <c r="R43" s="223" t="s">
        <v>470</v>
      </c>
      <c r="S43" s="207">
        <f>SUMIFS(Scoreboard_10[Amount Healed],Scoreboard_10[Role],"Healer",Scoreboard_10[Team],"Yellow")</f>
        <v>25962224</v>
      </c>
      <c r="T43" s="219">
        <f>SUMIFS(Scoreboard_10[Amount Healed],Scoreboard_10[Role],"Healer",Scoreboard_10[Team],"Red")</f>
        <v>25434900</v>
      </c>
    </row>
    <row r="44" spans="1:20" ht="22.5" customHeight="1">
      <c r="A44" s="115">
        <v>37</v>
      </c>
      <c r="B44" s="115" t="s">
        <v>67</v>
      </c>
      <c r="C44" s="115" t="s">
        <v>14</v>
      </c>
      <c r="D44" s="115" t="s">
        <v>7</v>
      </c>
      <c r="E44" s="98" t="s">
        <v>856</v>
      </c>
      <c r="F44" s="115" t="s">
        <v>476</v>
      </c>
      <c r="G44" s="115">
        <v>4</v>
      </c>
      <c r="H44" s="115">
        <v>45</v>
      </c>
      <c r="I44" s="194">
        <v>49</v>
      </c>
      <c r="J44" s="116">
        <v>554967</v>
      </c>
      <c r="K44" s="116">
        <v>562325</v>
      </c>
      <c r="L44" s="116">
        <v>110740</v>
      </c>
      <c r="M44" s="195">
        <v>1.882443334613907E-2</v>
      </c>
      <c r="N44" s="195">
        <v>1.3844075902376848E-2</v>
      </c>
      <c r="O44" s="195">
        <v>1.3520954383535129E-2</v>
      </c>
      <c r="P44" s="195">
        <v>3.891598904560944E-3</v>
      </c>
      <c r="R44" s="223" t="s">
        <v>465</v>
      </c>
      <c r="S44" s="207">
        <f>SUMIFS(Scoreboard_10[Kills],Scoreboard_10[Role],"Healer",Scoreboard_10[Team],"Yellow")</f>
        <v>6</v>
      </c>
      <c r="T44" s="219">
        <f>SUMIFS(Scoreboard_10[Kills],Scoreboard_10[Role],"Healer",Scoreboard_10[Team],"Red")</f>
        <v>6</v>
      </c>
    </row>
    <row r="45" spans="1:20" ht="22.5" customHeight="1">
      <c r="A45" s="115">
        <v>74</v>
      </c>
      <c r="B45" s="115" t="s">
        <v>11</v>
      </c>
      <c r="C45" s="115" t="s">
        <v>10</v>
      </c>
      <c r="D45" s="115" t="s">
        <v>7</v>
      </c>
      <c r="E45" s="98" t="s">
        <v>91</v>
      </c>
      <c r="F45" s="115" t="s">
        <v>476</v>
      </c>
      <c r="G45" s="115">
        <v>0</v>
      </c>
      <c r="H45" s="115">
        <v>48</v>
      </c>
      <c r="I45" s="194">
        <v>48</v>
      </c>
      <c r="J45" s="116">
        <v>1291</v>
      </c>
      <c r="K45" s="116">
        <v>815502</v>
      </c>
      <c r="L45" s="116">
        <v>3481189</v>
      </c>
      <c r="M45" s="195">
        <v>1.844026123703419E-2</v>
      </c>
      <c r="N45" s="195">
        <v>3.2204981539386145E-5</v>
      </c>
      <c r="O45" s="195">
        <v>1.9608527704942275E-2</v>
      </c>
      <c r="P45" s="195">
        <v>0.12233512099484928</v>
      </c>
      <c r="R45" s="223" t="s">
        <v>466</v>
      </c>
      <c r="S45" s="207">
        <f>SUMIFS(Scoreboard_10[Assists],Scoreboard_10[Role],"Healer",Scoreboard_10[Team],"Yellow")</f>
        <v>687</v>
      </c>
      <c r="T45" s="219">
        <f>SUMIFS(Scoreboard_10[Assists],Scoreboard_10[Role],"Healer",Scoreboard_10[Team],"Red")</f>
        <v>610</v>
      </c>
    </row>
    <row r="46" spans="1:20" ht="22.5" customHeight="1">
      <c r="A46" s="115">
        <v>41</v>
      </c>
      <c r="B46" s="115" t="s">
        <v>67</v>
      </c>
      <c r="C46" s="115" t="s">
        <v>14</v>
      </c>
      <c r="D46" s="115" t="s">
        <v>7</v>
      </c>
      <c r="E46" s="98" t="s">
        <v>55</v>
      </c>
      <c r="F46" s="115" t="s">
        <v>476</v>
      </c>
      <c r="G46" s="115">
        <v>3</v>
      </c>
      <c r="H46" s="115">
        <v>43</v>
      </c>
      <c r="I46" s="194">
        <v>46</v>
      </c>
      <c r="J46" s="116">
        <v>704877</v>
      </c>
      <c r="K46" s="116">
        <v>1324799</v>
      </c>
      <c r="L46" s="116">
        <v>125975</v>
      </c>
      <c r="M46" s="195">
        <v>1.7671917018824434E-2</v>
      </c>
      <c r="N46" s="195">
        <v>1.7583695408627333E-2</v>
      </c>
      <c r="O46" s="195">
        <v>3.185443799644859E-2</v>
      </c>
      <c r="P46" s="195">
        <v>4.4269836734880342E-3</v>
      </c>
    </row>
    <row r="47" spans="1:20" ht="22.5" customHeight="1">
      <c r="A47" s="115">
        <v>46</v>
      </c>
      <c r="B47" s="115" t="s">
        <v>11</v>
      </c>
      <c r="C47" s="115" t="s">
        <v>10</v>
      </c>
      <c r="D47" s="115" t="s">
        <v>7</v>
      </c>
      <c r="E47" s="98" t="s">
        <v>44</v>
      </c>
      <c r="F47" s="115" t="s">
        <v>476</v>
      </c>
      <c r="G47" s="115">
        <v>2</v>
      </c>
      <c r="H47" s="115">
        <v>43</v>
      </c>
      <c r="I47" s="194">
        <v>45</v>
      </c>
      <c r="J47" s="116">
        <v>98835</v>
      </c>
      <c r="K47" s="116">
        <v>892935</v>
      </c>
      <c r="L47" s="116">
        <v>2518740</v>
      </c>
      <c r="M47" s="195">
        <v>1.7287744909719554E-2</v>
      </c>
      <c r="N47" s="195">
        <v>2.4655146014293024E-3</v>
      </c>
      <c r="O47" s="195">
        <v>2.1470383501466128E-2</v>
      </c>
      <c r="P47" s="195">
        <v>8.8512965729400692E-2</v>
      </c>
    </row>
    <row r="48" spans="1:20" ht="22.5" customHeight="1">
      <c r="A48" s="115">
        <v>53</v>
      </c>
      <c r="B48" s="115" t="s">
        <v>11</v>
      </c>
      <c r="C48" s="115" t="s">
        <v>10</v>
      </c>
      <c r="D48" s="115" t="s">
        <v>7</v>
      </c>
      <c r="E48" s="98" t="s">
        <v>72</v>
      </c>
      <c r="F48" s="115" t="s">
        <v>476</v>
      </c>
      <c r="G48" s="115">
        <v>1</v>
      </c>
      <c r="H48" s="115">
        <v>42</v>
      </c>
      <c r="I48" s="194">
        <v>43</v>
      </c>
      <c r="J48" s="116">
        <v>41470</v>
      </c>
      <c r="K48" s="116">
        <v>381064</v>
      </c>
      <c r="L48" s="116">
        <v>871731</v>
      </c>
      <c r="M48" s="195">
        <v>1.6519400691509797E-2</v>
      </c>
      <c r="N48" s="195">
        <v>1.0345008399987169E-3</v>
      </c>
      <c r="O48" s="195">
        <v>9.1625820676787088E-3</v>
      </c>
      <c r="P48" s="195">
        <v>3.0634164752319094E-2</v>
      </c>
    </row>
    <row r="49" spans="1:16" ht="22.5" customHeight="1">
      <c r="A49" s="115">
        <v>75</v>
      </c>
      <c r="B49" s="115" t="s">
        <v>11</v>
      </c>
      <c r="C49" s="115" t="s">
        <v>10</v>
      </c>
      <c r="D49" s="115" t="s">
        <v>7</v>
      </c>
      <c r="E49" s="98" t="s">
        <v>49</v>
      </c>
      <c r="F49" s="115" t="s">
        <v>476</v>
      </c>
      <c r="G49" s="115">
        <v>0</v>
      </c>
      <c r="H49" s="115">
        <v>43</v>
      </c>
      <c r="I49" s="194">
        <v>43</v>
      </c>
      <c r="J49" s="116">
        <v>102363</v>
      </c>
      <c r="K49" s="116">
        <v>911273</v>
      </c>
      <c r="L49" s="116">
        <v>1853119</v>
      </c>
      <c r="M49" s="195">
        <v>1.6519400691509797E-2</v>
      </c>
      <c r="N49" s="195">
        <v>2.5535232574099022E-3</v>
      </c>
      <c r="O49" s="195">
        <v>2.1911315811936526E-2</v>
      </c>
      <c r="P49" s="195">
        <v>6.5121869879186126E-2</v>
      </c>
    </row>
    <row r="50" spans="1:16" ht="22.5" customHeight="1">
      <c r="A50" s="115">
        <v>76</v>
      </c>
      <c r="B50" s="115" t="s">
        <v>11</v>
      </c>
      <c r="C50" s="115" t="s">
        <v>10</v>
      </c>
      <c r="D50" s="115" t="s">
        <v>7</v>
      </c>
      <c r="E50" s="98" t="s">
        <v>108</v>
      </c>
      <c r="F50" s="115" t="s">
        <v>476</v>
      </c>
      <c r="G50" s="115">
        <v>0</v>
      </c>
      <c r="H50" s="115">
        <v>42</v>
      </c>
      <c r="I50" s="194">
        <v>42</v>
      </c>
      <c r="J50" s="116">
        <v>60903</v>
      </c>
      <c r="K50" s="116">
        <v>816126</v>
      </c>
      <c r="L50" s="116">
        <v>1982567</v>
      </c>
      <c r="M50" s="195">
        <v>1.6135228582404917E-2</v>
      </c>
      <c r="N50" s="195">
        <v>1.5192718750528537E-3</v>
      </c>
      <c r="O50" s="195">
        <v>1.9623531618222542E-2</v>
      </c>
      <c r="P50" s="195">
        <v>6.9670900897766633E-2</v>
      </c>
    </row>
    <row r="51" spans="1:16" ht="22.5" customHeight="1">
      <c r="A51" s="115">
        <v>38</v>
      </c>
      <c r="B51" s="115" t="s">
        <v>67</v>
      </c>
      <c r="C51" s="115" t="s">
        <v>794</v>
      </c>
      <c r="D51" s="115" t="s">
        <v>7</v>
      </c>
      <c r="E51" s="98" t="s">
        <v>61</v>
      </c>
      <c r="F51" s="115" t="s">
        <v>476</v>
      </c>
      <c r="G51" s="115">
        <v>4</v>
      </c>
      <c r="H51" s="115">
        <v>37</v>
      </c>
      <c r="I51" s="194">
        <v>41</v>
      </c>
      <c r="J51" s="116">
        <v>596410</v>
      </c>
      <c r="K51" s="116">
        <v>703641</v>
      </c>
      <c r="L51" s="116">
        <v>28660</v>
      </c>
      <c r="M51" s="195">
        <v>1.5751056473300037E-2</v>
      </c>
      <c r="N51" s="195">
        <v>1.487790320674306E-2</v>
      </c>
      <c r="O51" s="195">
        <v>1.6918859846859098E-2</v>
      </c>
      <c r="P51" s="195">
        <v>1.0071629456810246E-3</v>
      </c>
    </row>
    <row r="52" spans="1:16" ht="22.5" customHeight="1">
      <c r="A52" s="115">
        <v>77</v>
      </c>
      <c r="B52" s="115" t="s">
        <v>11</v>
      </c>
      <c r="C52" s="115" t="s">
        <v>10</v>
      </c>
      <c r="D52" s="115" t="s">
        <v>7</v>
      </c>
      <c r="E52" s="98" t="s">
        <v>858</v>
      </c>
      <c r="F52" s="115" t="s">
        <v>476</v>
      </c>
      <c r="G52" s="115">
        <v>0</v>
      </c>
      <c r="H52" s="115">
        <v>41</v>
      </c>
      <c r="I52" s="194">
        <v>41</v>
      </c>
      <c r="J52" s="116">
        <v>43492</v>
      </c>
      <c r="K52" s="116">
        <v>495514</v>
      </c>
      <c r="L52" s="116">
        <v>741040</v>
      </c>
      <c r="M52" s="195">
        <v>1.5751056473300037E-2</v>
      </c>
      <c r="N52" s="195">
        <v>1.0849411751440606E-3</v>
      </c>
      <c r="O52" s="195">
        <v>1.1914501739035301E-2</v>
      </c>
      <c r="P52" s="195">
        <v>2.6041452521544536E-2</v>
      </c>
    </row>
    <row r="53" spans="1:16" ht="22.5" customHeight="1">
      <c r="A53" s="115">
        <v>54</v>
      </c>
      <c r="B53" s="115" t="s">
        <v>11</v>
      </c>
      <c r="C53" s="115" t="s">
        <v>9</v>
      </c>
      <c r="D53" s="115" t="s">
        <v>714</v>
      </c>
      <c r="E53" s="98" t="s">
        <v>878</v>
      </c>
      <c r="F53" s="115" t="s">
        <v>483</v>
      </c>
      <c r="G53" s="115">
        <v>1</v>
      </c>
      <c r="H53" s="115">
        <v>40</v>
      </c>
      <c r="I53" s="194">
        <v>41</v>
      </c>
      <c r="J53" s="116">
        <v>69449</v>
      </c>
      <c r="K53" s="116">
        <v>442844</v>
      </c>
      <c r="L53" s="116">
        <v>821507</v>
      </c>
      <c r="M53" s="195">
        <v>1.8141592920353982E-2</v>
      </c>
      <c r="N53" s="195">
        <v>1.6718990598495759E-3</v>
      </c>
      <c r="O53" s="195">
        <v>1.1060897151944617E-2</v>
      </c>
      <c r="P53" s="195">
        <v>3.0872025252988735E-2</v>
      </c>
    </row>
    <row r="54" spans="1:16" ht="22.5" customHeight="1">
      <c r="A54" s="115">
        <v>78</v>
      </c>
      <c r="B54" s="115" t="s">
        <v>11</v>
      </c>
      <c r="C54" s="115" t="s">
        <v>9</v>
      </c>
      <c r="D54" s="115" t="s">
        <v>714</v>
      </c>
      <c r="E54" s="98" t="s">
        <v>742</v>
      </c>
      <c r="F54" s="115" t="s">
        <v>483</v>
      </c>
      <c r="G54" s="115">
        <v>0</v>
      </c>
      <c r="H54" s="115">
        <v>41</v>
      </c>
      <c r="I54" s="194">
        <v>41</v>
      </c>
      <c r="J54" s="116">
        <v>11799</v>
      </c>
      <c r="K54" s="116">
        <v>685823</v>
      </c>
      <c r="L54" s="116">
        <v>1537842</v>
      </c>
      <c r="M54" s="195">
        <v>1.8141592920353982E-2</v>
      </c>
      <c r="N54" s="195">
        <v>2.8404637946068551E-4</v>
      </c>
      <c r="O54" s="195">
        <v>1.7129774068155183E-2</v>
      </c>
      <c r="P54" s="195">
        <v>5.7791713350107431E-2</v>
      </c>
    </row>
    <row r="55" spans="1:16" ht="22.5" customHeight="1">
      <c r="A55" s="115">
        <v>79</v>
      </c>
      <c r="B55" s="115" t="s">
        <v>11</v>
      </c>
      <c r="C55" s="115" t="s">
        <v>10</v>
      </c>
      <c r="D55" s="115" t="s">
        <v>7</v>
      </c>
      <c r="E55" s="98" t="s">
        <v>41</v>
      </c>
      <c r="F55" s="115" t="s">
        <v>476</v>
      </c>
      <c r="G55" s="115">
        <v>0</v>
      </c>
      <c r="H55" s="115">
        <v>40</v>
      </c>
      <c r="I55" s="194">
        <v>40</v>
      </c>
      <c r="J55" s="116">
        <v>1098</v>
      </c>
      <c r="K55" s="116">
        <v>889331</v>
      </c>
      <c r="L55" s="116">
        <v>1958698</v>
      </c>
      <c r="M55" s="195">
        <v>1.5366884364195159E-2</v>
      </c>
      <c r="N55" s="195">
        <v>2.7390449055186665E-5</v>
      </c>
      <c r="O55" s="195">
        <v>2.138372628437946E-2</v>
      </c>
      <c r="P55" s="195">
        <v>6.8832102141644508E-2</v>
      </c>
    </row>
    <row r="56" spans="1:16" ht="22.5" customHeight="1">
      <c r="A56" s="115">
        <v>80</v>
      </c>
      <c r="B56" s="115" t="s">
        <v>11</v>
      </c>
      <c r="C56" s="115" t="s">
        <v>10</v>
      </c>
      <c r="D56" s="115" t="s">
        <v>714</v>
      </c>
      <c r="E56" s="98" t="s">
        <v>865</v>
      </c>
      <c r="F56" s="115" t="s">
        <v>483</v>
      </c>
      <c r="G56" s="115">
        <v>0</v>
      </c>
      <c r="H56" s="115">
        <v>39</v>
      </c>
      <c r="I56" s="194">
        <v>39</v>
      </c>
      <c r="J56" s="116">
        <v>127830</v>
      </c>
      <c r="K56" s="116">
        <v>559207</v>
      </c>
      <c r="L56" s="116">
        <v>3284847</v>
      </c>
      <c r="M56" s="195">
        <v>1.7256637168141593E-2</v>
      </c>
      <c r="N56" s="195">
        <v>3.0773496640782634E-3</v>
      </c>
      <c r="O56" s="195">
        <v>1.3967291221395105E-2</v>
      </c>
      <c r="P56" s="195">
        <v>0.1234437193306987</v>
      </c>
    </row>
    <row r="57" spans="1:16" ht="22.5" customHeight="1">
      <c r="A57" s="115">
        <v>47</v>
      </c>
      <c r="B57" s="115" t="s">
        <v>67</v>
      </c>
      <c r="C57" s="115" t="s">
        <v>14</v>
      </c>
      <c r="D57" s="115" t="s">
        <v>714</v>
      </c>
      <c r="E57" s="98" t="s">
        <v>772</v>
      </c>
      <c r="F57" s="115" t="s">
        <v>483</v>
      </c>
      <c r="G57" s="115">
        <v>2</v>
      </c>
      <c r="H57" s="115">
        <v>36</v>
      </c>
      <c r="I57" s="194">
        <v>38</v>
      </c>
      <c r="J57" s="116">
        <v>103221</v>
      </c>
      <c r="K57" s="116">
        <v>167525</v>
      </c>
      <c r="L57" s="116">
        <v>52944</v>
      </c>
      <c r="M57" s="195">
        <v>1.6814159292035398E-2</v>
      </c>
      <c r="N57" s="195">
        <v>2.4849183264947384E-3</v>
      </c>
      <c r="O57" s="195">
        <v>4.1842653290538479E-3</v>
      </c>
      <c r="P57" s="195">
        <v>1.9896221273759513E-3</v>
      </c>
    </row>
    <row r="58" spans="1:16" ht="22.5" customHeight="1">
      <c r="A58" s="115">
        <v>81</v>
      </c>
      <c r="B58" s="115" t="s">
        <v>11</v>
      </c>
      <c r="C58" s="115" t="s">
        <v>10</v>
      </c>
      <c r="D58" s="115" t="s">
        <v>714</v>
      </c>
      <c r="E58" s="98" t="s">
        <v>743</v>
      </c>
      <c r="F58" s="115" t="s">
        <v>483</v>
      </c>
      <c r="G58" s="115">
        <v>0</v>
      </c>
      <c r="H58" s="115">
        <v>38</v>
      </c>
      <c r="I58" s="194">
        <v>38</v>
      </c>
      <c r="J58" s="116">
        <v>80083</v>
      </c>
      <c r="K58" s="116">
        <v>856790</v>
      </c>
      <c r="L58" s="116">
        <v>1280176</v>
      </c>
      <c r="M58" s="195">
        <v>1.6814159292035398E-2</v>
      </c>
      <c r="N58" s="195">
        <v>1.9278995004958113E-3</v>
      </c>
      <c r="O58" s="195">
        <v>2.1400010095687486E-2</v>
      </c>
      <c r="P58" s="195">
        <v>4.8108690248859852E-2</v>
      </c>
    </row>
    <row r="59" spans="1:16" ht="22.5" customHeight="1">
      <c r="A59" s="115">
        <v>82</v>
      </c>
      <c r="B59" s="115" t="s">
        <v>11</v>
      </c>
      <c r="C59" s="115" t="s">
        <v>9</v>
      </c>
      <c r="D59" s="115" t="s">
        <v>714</v>
      </c>
      <c r="E59" s="98" t="s">
        <v>768</v>
      </c>
      <c r="F59" s="115" t="s">
        <v>483</v>
      </c>
      <c r="G59" s="115">
        <v>0</v>
      </c>
      <c r="H59" s="115">
        <v>38</v>
      </c>
      <c r="I59" s="194">
        <v>38</v>
      </c>
      <c r="J59" s="116">
        <v>21162</v>
      </c>
      <c r="K59" s="116">
        <v>648612</v>
      </c>
      <c r="L59" s="116">
        <v>1314186</v>
      </c>
      <c r="M59" s="195">
        <v>1.6814159292035398E-2</v>
      </c>
      <c r="N59" s="195">
        <v>5.0944906196686386E-4</v>
      </c>
      <c r="O59" s="195">
        <v>1.6200356386260405E-2</v>
      </c>
      <c r="P59" s="195">
        <v>4.9386777445748188E-2</v>
      </c>
    </row>
    <row r="60" spans="1:16" ht="22.5" customHeight="1">
      <c r="A60" s="115">
        <v>25</v>
      </c>
      <c r="B60" s="115" t="s">
        <v>39</v>
      </c>
      <c r="C60" s="115" t="s">
        <v>54</v>
      </c>
      <c r="D60" s="115" t="s">
        <v>7</v>
      </c>
      <c r="E60" s="98" t="s">
        <v>879</v>
      </c>
      <c r="F60" s="115" t="s">
        <v>476</v>
      </c>
      <c r="G60" s="115">
        <v>16</v>
      </c>
      <c r="H60" s="115">
        <v>21</v>
      </c>
      <c r="I60" s="194">
        <v>37</v>
      </c>
      <c r="J60" s="116">
        <v>863191</v>
      </c>
      <c r="K60" s="116">
        <v>621104</v>
      </c>
      <c r="L60" s="116">
        <v>36151</v>
      </c>
      <c r="M60" s="195">
        <v>1.4214368036880523E-2</v>
      </c>
      <c r="N60" s="195">
        <v>2.1532959116935913E-2</v>
      </c>
      <c r="O60" s="195">
        <v>1.4934279734017165E-2</v>
      </c>
      <c r="P60" s="195">
        <v>1.270409897045175E-3</v>
      </c>
    </row>
    <row r="61" spans="1:16" ht="22.5" customHeight="1">
      <c r="A61" s="115">
        <v>39</v>
      </c>
      <c r="B61" s="115" t="s">
        <v>67</v>
      </c>
      <c r="C61" s="115" t="s">
        <v>14</v>
      </c>
      <c r="D61" s="115" t="s">
        <v>714</v>
      </c>
      <c r="E61" s="98" t="s">
        <v>720</v>
      </c>
      <c r="F61" s="115" t="s">
        <v>483</v>
      </c>
      <c r="G61" s="115">
        <v>4</v>
      </c>
      <c r="H61" s="115">
        <v>33</v>
      </c>
      <c r="I61" s="194">
        <v>37</v>
      </c>
      <c r="J61" s="116">
        <v>309836</v>
      </c>
      <c r="K61" s="116">
        <v>683912</v>
      </c>
      <c r="L61" s="116">
        <v>68292</v>
      </c>
      <c r="M61" s="195">
        <v>1.6371681415929203E-2</v>
      </c>
      <c r="N61" s="195">
        <v>7.4589197412137428E-3</v>
      </c>
      <c r="O61" s="195">
        <v>1.7082043096396805E-2</v>
      </c>
      <c r="P61" s="195">
        <v>2.5663960849720171E-3</v>
      </c>
    </row>
    <row r="62" spans="1:16" ht="22.5" customHeight="1">
      <c r="A62" s="115">
        <v>35</v>
      </c>
      <c r="B62" s="115" t="s">
        <v>39</v>
      </c>
      <c r="C62" s="115" t="s">
        <v>52</v>
      </c>
      <c r="D62" s="115" t="s">
        <v>7</v>
      </c>
      <c r="E62" s="98" t="s">
        <v>99</v>
      </c>
      <c r="F62" s="115" t="s">
        <v>476</v>
      </c>
      <c r="G62" s="115">
        <v>7</v>
      </c>
      <c r="H62" s="115">
        <v>28</v>
      </c>
      <c r="I62" s="194">
        <v>35</v>
      </c>
      <c r="J62" s="116">
        <v>1135723</v>
      </c>
      <c r="K62" s="116">
        <v>841176</v>
      </c>
      <c r="L62" s="116">
        <v>334493</v>
      </c>
      <c r="M62" s="195">
        <v>1.3446023818670765E-2</v>
      </c>
      <c r="N62" s="195">
        <v>2.8331478116852247E-2</v>
      </c>
      <c r="O62" s="195">
        <v>2.0225852175387089E-2</v>
      </c>
      <c r="P62" s="195">
        <v>1.1754673942417408E-2</v>
      </c>
    </row>
    <row r="63" spans="1:16" ht="22.5" customHeight="1">
      <c r="A63" s="115">
        <v>83</v>
      </c>
      <c r="B63" s="115" t="s">
        <v>11</v>
      </c>
      <c r="C63" s="115" t="s">
        <v>10</v>
      </c>
      <c r="D63" s="115" t="s">
        <v>7</v>
      </c>
      <c r="E63" s="98" t="s">
        <v>105</v>
      </c>
      <c r="F63" s="115" t="s">
        <v>476</v>
      </c>
      <c r="G63" s="115">
        <v>0</v>
      </c>
      <c r="H63" s="115">
        <v>33</v>
      </c>
      <c r="I63" s="194">
        <v>33</v>
      </c>
      <c r="J63" s="116">
        <v>70225</v>
      </c>
      <c r="K63" s="116">
        <v>664906</v>
      </c>
      <c r="L63" s="116">
        <v>976432</v>
      </c>
      <c r="M63" s="195">
        <v>1.2677679600461006E-2</v>
      </c>
      <c r="N63" s="195">
        <v>1.7518162886161052E-3</v>
      </c>
      <c r="O63" s="195">
        <v>1.5987487121039982E-2</v>
      </c>
      <c r="P63" s="195">
        <v>3.4313542546308938E-2</v>
      </c>
    </row>
    <row r="64" spans="1:16" ht="22.5" customHeight="1">
      <c r="A64" s="115">
        <v>84</v>
      </c>
      <c r="B64" s="115" t="s">
        <v>11</v>
      </c>
      <c r="C64" s="115" t="s">
        <v>10</v>
      </c>
      <c r="D64" s="115" t="s">
        <v>714</v>
      </c>
      <c r="E64" s="98" t="s">
        <v>857</v>
      </c>
      <c r="F64" s="115" t="s">
        <v>483</v>
      </c>
      <c r="G64" s="115">
        <v>0</v>
      </c>
      <c r="H64" s="115">
        <v>33</v>
      </c>
      <c r="I64" s="194">
        <v>33</v>
      </c>
      <c r="J64" s="116">
        <v>6467</v>
      </c>
      <c r="K64" s="116">
        <v>354942</v>
      </c>
      <c r="L64" s="116">
        <v>406091</v>
      </c>
      <c r="M64" s="195">
        <v>1.4601769911504425E-2</v>
      </c>
      <c r="N64" s="195">
        <v>1.5568505262922731E-4</v>
      </c>
      <c r="O64" s="195">
        <v>8.8653723589018404E-3</v>
      </c>
      <c r="P64" s="195">
        <v>1.5260797055912425E-2</v>
      </c>
    </row>
    <row r="65" spans="1:16" ht="22.5" customHeight="1">
      <c r="A65" s="115">
        <v>55</v>
      </c>
      <c r="B65" s="115" t="s">
        <v>11</v>
      </c>
      <c r="C65" s="115" t="s">
        <v>10</v>
      </c>
      <c r="D65" s="115" t="s">
        <v>714</v>
      </c>
      <c r="E65" s="98" t="s">
        <v>735</v>
      </c>
      <c r="F65" s="115" t="s">
        <v>483</v>
      </c>
      <c r="G65" s="115">
        <v>1</v>
      </c>
      <c r="H65" s="115">
        <v>31</v>
      </c>
      <c r="I65" s="194">
        <v>32</v>
      </c>
      <c r="J65" s="116">
        <v>206305</v>
      </c>
      <c r="K65" s="116">
        <v>837076</v>
      </c>
      <c r="L65" s="116">
        <v>3162339</v>
      </c>
      <c r="M65" s="195">
        <v>1.415929203539823E-2</v>
      </c>
      <c r="N65" s="195">
        <v>4.9665385468799662E-3</v>
      </c>
      <c r="O65" s="195">
        <v>2.0907614293884963E-2</v>
      </c>
      <c r="P65" s="195">
        <v>0.11883989968011367</v>
      </c>
    </row>
    <row r="66" spans="1:16" ht="22.5" customHeight="1">
      <c r="A66" s="115">
        <v>85</v>
      </c>
      <c r="B66" s="115" t="s">
        <v>11</v>
      </c>
      <c r="C66" s="115" t="s">
        <v>10</v>
      </c>
      <c r="D66" s="115" t="s">
        <v>714</v>
      </c>
      <c r="E66" s="98" t="s">
        <v>870</v>
      </c>
      <c r="F66" s="115" t="s">
        <v>483</v>
      </c>
      <c r="G66" s="115">
        <v>0</v>
      </c>
      <c r="H66" s="115">
        <v>32</v>
      </c>
      <c r="I66" s="194">
        <v>32</v>
      </c>
      <c r="J66" s="116">
        <v>21127</v>
      </c>
      <c r="K66" s="116">
        <v>510795</v>
      </c>
      <c r="L66" s="116">
        <v>1411870</v>
      </c>
      <c r="M66" s="195">
        <v>1.415929203539823E-2</v>
      </c>
      <c r="N66" s="195">
        <v>5.0860648011406926E-4</v>
      </c>
      <c r="O66" s="195">
        <v>1.2758106603516251E-2</v>
      </c>
      <c r="P66" s="195">
        <v>5.3057717455769954E-2</v>
      </c>
    </row>
    <row r="67" spans="1:16" ht="22.5" customHeight="1">
      <c r="A67" s="115">
        <v>86</v>
      </c>
      <c r="B67" s="115" t="s">
        <v>67</v>
      </c>
      <c r="C67" s="115" t="s">
        <v>794</v>
      </c>
      <c r="D67" s="115" t="s">
        <v>7</v>
      </c>
      <c r="E67" s="98" t="s">
        <v>79</v>
      </c>
      <c r="F67" s="115" t="s">
        <v>476</v>
      </c>
      <c r="G67" s="115">
        <v>0</v>
      </c>
      <c r="H67" s="115">
        <v>31</v>
      </c>
      <c r="I67" s="194">
        <v>31</v>
      </c>
      <c r="J67" s="116">
        <v>218316</v>
      </c>
      <c r="K67" s="116">
        <v>741334</v>
      </c>
      <c r="L67" s="116">
        <v>31464</v>
      </c>
      <c r="M67" s="195">
        <v>1.1909335382251248E-2</v>
      </c>
      <c r="N67" s="195">
        <v>5.4460594498471149E-3</v>
      </c>
      <c r="O67" s="195">
        <v>1.7825177961078791E-2</v>
      </c>
      <c r="P67" s="195">
        <v>1.1057004509039692E-3</v>
      </c>
    </row>
    <row r="68" spans="1:16" ht="22.5" customHeight="1">
      <c r="A68" s="115">
        <v>87</v>
      </c>
      <c r="B68" s="115" t="s">
        <v>11</v>
      </c>
      <c r="C68" s="115" t="s">
        <v>10</v>
      </c>
      <c r="D68" s="115" t="s">
        <v>714</v>
      </c>
      <c r="E68" s="98" t="s">
        <v>726</v>
      </c>
      <c r="F68" s="115" t="s">
        <v>483</v>
      </c>
      <c r="G68" s="115">
        <v>0</v>
      </c>
      <c r="H68" s="115">
        <v>30</v>
      </c>
      <c r="I68" s="194">
        <v>30</v>
      </c>
      <c r="J68" s="116">
        <v>34856</v>
      </c>
      <c r="K68" s="116">
        <v>830774</v>
      </c>
      <c r="L68" s="116">
        <v>1238839</v>
      </c>
      <c r="M68" s="195">
        <v>1.3274336283185841E-2</v>
      </c>
      <c r="N68" s="195">
        <v>8.391152303145736E-4</v>
      </c>
      <c r="O68" s="195">
        <v>2.0750209488013021E-2</v>
      </c>
      <c r="P68" s="195">
        <v>4.6555256245396949E-2</v>
      </c>
    </row>
    <row r="69" spans="1:16" ht="22.5" customHeight="1">
      <c r="A69" s="115">
        <v>88</v>
      </c>
      <c r="B69" s="115" t="s">
        <v>11</v>
      </c>
      <c r="C69" s="115" t="s">
        <v>10</v>
      </c>
      <c r="D69" s="115" t="s">
        <v>714</v>
      </c>
      <c r="E69" s="98" t="s">
        <v>873</v>
      </c>
      <c r="F69" s="115" t="s">
        <v>483</v>
      </c>
      <c r="G69" s="115">
        <v>0</v>
      </c>
      <c r="H69" s="115">
        <v>29</v>
      </c>
      <c r="I69" s="194">
        <v>29</v>
      </c>
      <c r="J69" s="116">
        <v>42791</v>
      </c>
      <c r="K69" s="116">
        <v>1208556</v>
      </c>
      <c r="L69" s="116">
        <v>1103352</v>
      </c>
      <c r="M69" s="195">
        <v>1.2831858407079646E-2</v>
      </c>
      <c r="N69" s="195">
        <v>1.0301405732267305E-3</v>
      </c>
      <c r="O69" s="195">
        <v>3.0186055627637678E-2</v>
      </c>
      <c r="P69" s="195">
        <v>4.1463689057957664E-2</v>
      </c>
    </row>
    <row r="70" spans="1:16" ht="22.5" customHeight="1">
      <c r="A70" s="115">
        <v>48</v>
      </c>
      <c r="B70" s="115" t="s">
        <v>67</v>
      </c>
      <c r="C70" s="115" t="s">
        <v>14</v>
      </c>
      <c r="D70" s="115" t="s">
        <v>714</v>
      </c>
      <c r="E70" s="98" t="s">
        <v>755</v>
      </c>
      <c r="F70" s="115" t="s">
        <v>483</v>
      </c>
      <c r="G70" s="115">
        <v>2</v>
      </c>
      <c r="H70" s="115">
        <v>26</v>
      </c>
      <c r="I70" s="194">
        <v>28</v>
      </c>
      <c r="J70" s="116">
        <v>395815</v>
      </c>
      <c r="K70" s="116">
        <v>1502994</v>
      </c>
      <c r="L70" s="116">
        <v>104582</v>
      </c>
      <c r="M70" s="195">
        <v>1.2389380530973451E-2</v>
      </c>
      <c r="N70" s="195">
        <v>9.5287581732546173E-3</v>
      </c>
      <c r="O70" s="195">
        <v>3.7540221960757847E-2</v>
      </c>
      <c r="P70" s="195">
        <v>3.9301651051154383E-3</v>
      </c>
    </row>
    <row r="71" spans="1:16" ht="22.5" customHeight="1">
      <c r="A71" s="115">
        <v>40</v>
      </c>
      <c r="B71" s="115" t="s">
        <v>67</v>
      </c>
      <c r="C71" s="115" t="s">
        <v>14</v>
      </c>
      <c r="D71" s="115" t="s">
        <v>7</v>
      </c>
      <c r="E71" s="98" t="s">
        <v>85</v>
      </c>
      <c r="F71" s="115" t="s">
        <v>476</v>
      </c>
      <c r="G71" s="115">
        <v>4</v>
      </c>
      <c r="H71" s="115">
        <v>23</v>
      </c>
      <c r="I71" s="194">
        <v>27</v>
      </c>
      <c r="J71" s="116">
        <v>263015</v>
      </c>
      <c r="K71" s="116">
        <v>730316</v>
      </c>
      <c r="L71" s="116">
        <v>72250</v>
      </c>
      <c r="M71" s="195">
        <v>1.0372646945831733E-2</v>
      </c>
      <c r="N71" s="195">
        <v>6.5611101623405475E-3</v>
      </c>
      <c r="O71" s="195">
        <v>1.7560253094857672E-2</v>
      </c>
      <c r="P71" s="195">
        <v>2.5389924223815081E-3</v>
      </c>
    </row>
    <row r="72" spans="1:16" ht="22.5" customHeight="1">
      <c r="A72" s="115">
        <v>56</v>
      </c>
      <c r="B72" s="115" t="s">
        <v>67</v>
      </c>
      <c r="C72" s="115" t="s">
        <v>14</v>
      </c>
      <c r="D72" s="115" t="s">
        <v>714</v>
      </c>
      <c r="E72" s="98" t="s">
        <v>741</v>
      </c>
      <c r="F72" s="115" t="s">
        <v>483</v>
      </c>
      <c r="G72" s="115">
        <v>1</v>
      </c>
      <c r="H72" s="115">
        <v>25</v>
      </c>
      <c r="I72" s="194">
        <v>26</v>
      </c>
      <c r="J72" s="116">
        <v>746886</v>
      </c>
      <c r="K72" s="116">
        <v>1194921</v>
      </c>
      <c r="L72" s="116">
        <v>35410</v>
      </c>
      <c r="M72" s="195">
        <v>1.1504424778761062E-2</v>
      </c>
      <c r="N72" s="195">
        <v>1.7980359705896565E-2</v>
      </c>
      <c r="O72" s="195">
        <v>2.9845494769487255E-2</v>
      </c>
      <c r="P72" s="195">
        <v>1.3306988427467218E-3</v>
      </c>
    </row>
    <row r="73" spans="1:16" ht="22.5" customHeight="1">
      <c r="A73" s="115">
        <v>89</v>
      </c>
      <c r="B73" s="115" t="s">
        <v>11</v>
      </c>
      <c r="C73" s="115" t="s">
        <v>9</v>
      </c>
      <c r="D73" s="115" t="s">
        <v>714</v>
      </c>
      <c r="E73" s="98" t="s">
        <v>734</v>
      </c>
      <c r="F73" s="115" t="s">
        <v>483</v>
      </c>
      <c r="G73" s="115">
        <v>0</v>
      </c>
      <c r="H73" s="115">
        <v>26</v>
      </c>
      <c r="I73" s="194">
        <v>26</v>
      </c>
      <c r="J73" s="116">
        <v>18998</v>
      </c>
      <c r="K73" s="116">
        <v>1009267</v>
      </c>
      <c r="L73" s="116">
        <v>1136856</v>
      </c>
      <c r="M73" s="195">
        <v>1.1504424778761062E-2</v>
      </c>
      <c r="N73" s="195">
        <v>4.5735342969693219E-4</v>
      </c>
      <c r="O73" s="195">
        <v>2.520842212122483E-2</v>
      </c>
      <c r="P73" s="195">
        <v>4.2722760902842903E-2</v>
      </c>
    </row>
    <row r="74" spans="1:16" ht="22.5" customHeight="1">
      <c r="A74" s="115">
        <v>49</v>
      </c>
      <c r="B74" s="115" t="s">
        <v>67</v>
      </c>
      <c r="C74" s="115" t="s">
        <v>14</v>
      </c>
      <c r="D74" s="115" t="s">
        <v>714</v>
      </c>
      <c r="E74" s="98" t="s">
        <v>880</v>
      </c>
      <c r="F74" s="115" t="s">
        <v>483</v>
      </c>
      <c r="G74" s="115">
        <v>2</v>
      </c>
      <c r="H74" s="115">
        <v>23</v>
      </c>
      <c r="I74" s="194">
        <v>25</v>
      </c>
      <c r="J74" s="116">
        <v>439772</v>
      </c>
      <c r="K74" s="116">
        <v>514342</v>
      </c>
      <c r="L74" s="116">
        <v>34968</v>
      </c>
      <c r="M74" s="195">
        <v>1.1061946902654867E-2</v>
      </c>
      <c r="N74" s="195">
        <v>1.0586968759063021E-2</v>
      </c>
      <c r="O74" s="195">
        <v>1.2846699882860552E-2</v>
      </c>
      <c r="P74" s="195">
        <v>1.3140885945542888E-3</v>
      </c>
    </row>
    <row r="75" spans="1:16" ht="22.5" customHeight="1">
      <c r="A75" s="115">
        <v>36</v>
      </c>
      <c r="B75" s="115" t="s">
        <v>67</v>
      </c>
      <c r="C75" s="115" t="s">
        <v>14</v>
      </c>
      <c r="D75" s="115" t="s">
        <v>7</v>
      </c>
      <c r="E75" s="98" t="s">
        <v>37</v>
      </c>
      <c r="F75" s="115" t="s">
        <v>476</v>
      </c>
      <c r="G75" s="115">
        <v>7</v>
      </c>
      <c r="H75" s="115">
        <v>17</v>
      </c>
      <c r="I75" s="194">
        <v>24</v>
      </c>
      <c r="J75" s="116">
        <v>421694</v>
      </c>
      <c r="K75" s="116">
        <v>1577251</v>
      </c>
      <c r="L75" s="116">
        <v>93024</v>
      </c>
      <c r="M75" s="195">
        <v>9.2201306185170952E-3</v>
      </c>
      <c r="N75" s="195">
        <v>1.0519479074570024E-2</v>
      </c>
      <c r="O75" s="195">
        <v>3.7924578886560555E-2</v>
      </c>
      <c r="P75" s="195">
        <v>3.2690274200639089E-3</v>
      </c>
    </row>
    <row r="76" spans="1:16" ht="22.5" customHeight="1">
      <c r="A76" s="115">
        <v>42</v>
      </c>
      <c r="B76" s="115" t="s">
        <v>67</v>
      </c>
      <c r="C76" s="115" t="s">
        <v>70</v>
      </c>
      <c r="D76" s="115" t="s">
        <v>7</v>
      </c>
      <c r="E76" s="98" t="s">
        <v>64</v>
      </c>
      <c r="F76" s="115" t="s">
        <v>476</v>
      </c>
      <c r="G76" s="115">
        <v>3</v>
      </c>
      <c r="H76" s="115">
        <v>17</v>
      </c>
      <c r="I76" s="194">
        <v>20</v>
      </c>
      <c r="J76" s="116">
        <v>205798</v>
      </c>
      <c r="K76" s="116">
        <v>753061</v>
      </c>
      <c r="L76" s="116">
        <v>64164</v>
      </c>
      <c r="M76" s="195">
        <v>7.6834421820975796E-3</v>
      </c>
      <c r="N76" s="195">
        <v>5.1337883740066531E-3</v>
      </c>
      <c r="O76" s="195">
        <v>1.8107150542869956E-2</v>
      </c>
      <c r="P76" s="195">
        <v>2.2548361216565686E-3</v>
      </c>
    </row>
    <row r="77" spans="1:16" ht="22.5" customHeight="1">
      <c r="A77" s="115">
        <v>57</v>
      </c>
      <c r="B77" s="115" t="s">
        <v>67</v>
      </c>
      <c r="C77" s="115" t="s">
        <v>14</v>
      </c>
      <c r="D77" s="115" t="s">
        <v>7</v>
      </c>
      <c r="E77" s="98" t="s">
        <v>93</v>
      </c>
      <c r="F77" s="115" t="s">
        <v>476</v>
      </c>
      <c r="G77" s="115">
        <v>1</v>
      </c>
      <c r="H77" s="115">
        <v>19</v>
      </c>
      <c r="I77" s="194">
        <v>20</v>
      </c>
      <c r="J77" s="116">
        <v>215999</v>
      </c>
      <c r="K77" s="116">
        <v>1614300</v>
      </c>
      <c r="L77" s="116">
        <v>102998</v>
      </c>
      <c r="M77" s="195">
        <v>7.6834421820975796E-3</v>
      </c>
      <c r="N77" s="195">
        <v>5.3882601142725547E-3</v>
      </c>
      <c r="O77" s="195">
        <v>3.8815412192843568E-2</v>
      </c>
      <c r="P77" s="195">
        <v>3.6195313705252676E-3</v>
      </c>
    </row>
    <row r="78" spans="1:16" ht="22.5" customHeight="1">
      <c r="A78" s="115">
        <v>43</v>
      </c>
      <c r="B78" s="115" t="s">
        <v>67</v>
      </c>
      <c r="C78" s="115" t="s">
        <v>14</v>
      </c>
      <c r="D78" s="115" t="s">
        <v>714</v>
      </c>
      <c r="E78" s="98" t="s">
        <v>867</v>
      </c>
      <c r="F78" s="115" t="s">
        <v>483</v>
      </c>
      <c r="G78" s="115">
        <v>3</v>
      </c>
      <c r="H78" s="115">
        <v>16</v>
      </c>
      <c r="I78" s="194">
        <v>19</v>
      </c>
      <c r="J78" s="116">
        <v>282178</v>
      </c>
      <c r="K78" s="116">
        <v>1088280</v>
      </c>
      <c r="L78" s="116">
        <v>61052</v>
      </c>
      <c r="M78" s="195">
        <v>8.407079646017699E-3</v>
      </c>
      <c r="N78" s="195">
        <v>6.7930874873681933E-3</v>
      </c>
      <c r="O78" s="195">
        <v>2.7181926711253371E-2</v>
      </c>
      <c r="P78" s="195">
        <v>2.2943187163900836E-3</v>
      </c>
    </row>
    <row r="79" spans="1:16" ht="22.5" customHeight="1">
      <c r="A79" s="115">
        <v>44</v>
      </c>
      <c r="B79" s="115" t="s">
        <v>67</v>
      </c>
      <c r="C79" s="115" t="s">
        <v>794</v>
      </c>
      <c r="D79" s="115" t="s">
        <v>7</v>
      </c>
      <c r="E79" s="98" t="s">
        <v>881</v>
      </c>
      <c r="F79" s="115" t="s">
        <v>476</v>
      </c>
      <c r="G79" s="115">
        <v>3</v>
      </c>
      <c r="H79" s="115">
        <v>14</v>
      </c>
      <c r="I79" s="194">
        <v>17</v>
      </c>
      <c r="J79" s="116">
        <v>336646</v>
      </c>
      <c r="K79" s="116">
        <v>1701508</v>
      </c>
      <c r="L79" s="116">
        <v>47988</v>
      </c>
      <c r="M79" s="195">
        <v>6.5309258547829431E-3</v>
      </c>
      <c r="N79" s="195">
        <v>8.3978917237088977E-3</v>
      </c>
      <c r="O79" s="195">
        <v>4.0912305252692106E-2</v>
      </c>
      <c r="P79" s="195">
        <v>1.6863829531521635E-3</v>
      </c>
    </row>
    <row r="80" spans="1:16" ht="22.5" customHeight="1">
      <c r="A80" s="115">
        <v>59</v>
      </c>
      <c r="B80" s="115" t="s">
        <v>67</v>
      </c>
      <c r="C80" s="115" t="s">
        <v>14</v>
      </c>
      <c r="D80" s="115" t="s">
        <v>7</v>
      </c>
      <c r="E80" s="98" t="s">
        <v>109</v>
      </c>
      <c r="F80" s="115" t="s">
        <v>476</v>
      </c>
      <c r="G80" s="115">
        <v>1</v>
      </c>
      <c r="H80" s="115">
        <v>15</v>
      </c>
      <c r="I80" s="194">
        <v>16</v>
      </c>
      <c r="J80" s="116">
        <v>104427</v>
      </c>
      <c r="K80" s="116">
        <v>1003516</v>
      </c>
      <c r="L80" s="116">
        <v>38327</v>
      </c>
      <c r="M80" s="195">
        <v>6.146753745678064E-3</v>
      </c>
      <c r="N80" s="195">
        <v>2.6050113146502533E-3</v>
      </c>
      <c r="O80" s="195">
        <v>2.4129274101538502E-2</v>
      </c>
      <c r="P80" s="195">
        <v>1.3468783747074887E-3</v>
      </c>
    </row>
    <row r="81" spans="1:16" ht="22.5" customHeight="1">
      <c r="A81" s="115">
        <v>58</v>
      </c>
      <c r="B81" s="115" t="s">
        <v>67</v>
      </c>
      <c r="C81" s="115" t="s">
        <v>62</v>
      </c>
      <c r="D81" s="115" t="s">
        <v>714</v>
      </c>
      <c r="E81" s="98" t="s">
        <v>882</v>
      </c>
      <c r="F81" s="115" t="s">
        <v>483</v>
      </c>
      <c r="G81" s="115">
        <v>1</v>
      </c>
      <c r="H81" s="115">
        <v>15</v>
      </c>
      <c r="I81" s="194">
        <v>16</v>
      </c>
      <c r="J81" s="116">
        <v>299253</v>
      </c>
      <c r="K81" s="116">
        <v>841887</v>
      </c>
      <c r="L81" s="116">
        <v>72618</v>
      </c>
      <c r="M81" s="195">
        <v>7.0796460176991149E-3</v>
      </c>
      <c r="N81" s="195">
        <v>7.204147062695866E-3</v>
      </c>
      <c r="O81" s="195">
        <v>2.102777845146191E-2</v>
      </c>
      <c r="P81" s="195">
        <v>2.7289660706744266E-3</v>
      </c>
    </row>
    <row r="82" spans="1:16" ht="22.5" customHeight="1">
      <c r="A82" s="115">
        <v>50</v>
      </c>
      <c r="B82" s="115" t="s">
        <v>67</v>
      </c>
      <c r="C82" s="115" t="s">
        <v>14</v>
      </c>
      <c r="D82" s="115" t="s">
        <v>7</v>
      </c>
      <c r="E82" s="98" t="s">
        <v>123</v>
      </c>
      <c r="F82" s="115" t="s">
        <v>476</v>
      </c>
      <c r="G82" s="115">
        <v>2</v>
      </c>
      <c r="H82" s="115">
        <v>13</v>
      </c>
      <c r="I82" s="194">
        <v>15</v>
      </c>
      <c r="J82" s="116">
        <v>130609</v>
      </c>
      <c r="K82" s="116">
        <v>989010</v>
      </c>
      <c r="L82" s="116">
        <v>90019</v>
      </c>
      <c r="M82" s="195">
        <v>5.7625816365731849E-3</v>
      </c>
      <c r="N82" s="195">
        <v>3.258141312066371E-3</v>
      </c>
      <c r="O82" s="195">
        <v>2.3780481207237945E-2</v>
      </c>
      <c r="P82" s="195">
        <v>3.163426420351017E-3</v>
      </c>
    </row>
    <row r="83" spans="1:16" ht="22.5" customHeight="1">
      <c r="A83" s="115">
        <v>90</v>
      </c>
      <c r="B83" s="115" t="s">
        <v>67</v>
      </c>
      <c r="C83" s="115" t="s">
        <v>14</v>
      </c>
      <c r="D83" s="115" t="s">
        <v>714</v>
      </c>
      <c r="E83" s="98" t="s">
        <v>872</v>
      </c>
      <c r="F83" s="115" t="s">
        <v>483</v>
      </c>
      <c r="G83" s="115">
        <v>0</v>
      </c>
      <c r="H83" s="115">
        <v>14</v>
      </c>
      <c r="I83" s="194">
        <v>14</v>
      </c>
      <c r="J83" s="116">
        <v>150823</v>
      </c>
      <c r="K83" s="116">
        <v>643023</v>
      </c>
      <c r="L83" s="116">
        <v>50156</v>
      </c>
      <c r="M83" s="195">
        <v>6.1946902654867256E-3</v>
      </c>
      <c r="N83" s="195">
        <v>3.6308777938298983E-3</v>
      </c>
      <c r="O83" s="195">
        <v>1.6060760153315579E-2</v>
      </c>
      <c r="P83" s="195">
        <v>1.8848497926236818E-3</v>
      </c>
    </row>
    <row r="84" spans="1:16" ht="22.5" customHeight="1">
      <c r="A84" s="115">
        <v>60</v>
      </c>
      <c r="B84" s="115" t="s">
        <v>67</v>
      </c>
      <c r="C84" s="115" t="s">
        <v>14</v>
      </c>
      <c r="D84" s="115" t="s">
        <v>714</v>
      </c>
      <c r="E84" s="98" t="s">
        <v>737</v>
      </c>
      <c r="F84" s="115" t="s">
        <v>483</v>
      </c>
      <c r="G84" s="115">
        <v>1</v>
      </c>
      <c r="H84" s="115">
        <v>12</v>
      </c>
      <c r="I84" s="194">
        <v>13</v>
      </c>
      <c r="J84" s="116">
        <v>293974</v>
      </c>
      <c r="K84" s="116">
        <v>1041557</v>
      </c>
      <c r="L84" s="116">
        <v>85184</v>
      </c>
      <c r="M84" s="195">
        <v>5.7522123893805309E-3</v>
      </c>
      <c r="N84" s="195">
        <v>7.0770616455272106E-3</v>
      </c>
      <c r="O84" s="195">
        <v>2.6014928179873682E-2</v>
      </c>
      <c r="P84" s="195">
        <v>3.2011931720004731E-3</v>
      </c>
    </row>
    <row r="85" spans="1:16" ht="22.5" customHeight="1">
      <c r="A85" s="115">
        <v>61</v>
      </c>
      <c r="B85" s="115" t="s">
        <v>67</v>
      </c>
      <c r="C85" s="115" t="s">
        <v>62</v>
      </c>
      <c r="D85" s="115" t="s">
        <v>714</v>
      </c>
      <c r="E85" s="98" t="s">
        <v>175</v>
      </c>
      <c r="F85" s="115" t="s">
        <v>483</v>
      </c>
      <c r="G85" s="115">
        <v>1</v>
      </c>
      <c r="H85" s="115">
        <v>12</v>
      </c>
      <c r="I85" s="194">
        <v>13</v>
      </c>
      <c r="J85" s="116">
        <v>231550</v>
      </c>
      <c r="K85" s="116">
        <v>834803</v>
      </c>
      <c r="L85" s="116">
        <v>24775</v>
      </c>
      <c r="M85" s="195">
        <v>5.7522123893805309E-3</v>
      </c>
      <c r="N85" s="195">
        <v>5.574280800417131E-3</v>
      </c>
      <c r="O85" s="195">
        <v>2.085084166237958E-2</v>
      </c>
      <c r="P85" s="195">
        <v>9.3103823295820484E-4</v>
      </c>
    </row>
    <row r="86" spans="1:16" ht="22.5" customHeight="1">
      <c r="A86" s="115">
        <v>62</v>
      </c>
      <c r="B86" s="115" t="s">
        <v>67</v>
      </c>
      <c r="C86" s="115" t="s">
        <v>62</v>
      </c>
      <c r="D86" s="115" t="s">
        <v>714</v>
      </c>
      <c r="E86" s="98" t="s">
        <v>756</v>
      </c>
      <c r="F86" s="115" t="s">
        <v>483</v>
      </c>
      <c r="G86" s="115">
        <v>1</v>
      </c>
      <c r="H86" s="115">
        <v>11</v>
      </c>
      <c r="I86" s="194">
        <v>12</v>
      </c>
      <c r="J86" s="116">
        <v>79234</v>
      </c>
      <c r="K86" s="116">
        <v>664387</v>
      </c>
      <c r="L86" s="116">
        <v>41912</v>
      </c>
      <c r="M86" s="195">
        <v>5.3097345132743362E-3</v>
      </c>
      <c r="N86" s="195">
        <v>1.9074608721237356E-3</v>
      </c>
      <c r="O86" s="195">
        <v>1.6594367940152805E-2</v>
      </c>
      <c r="P86" s="195">
        <v>1.575042358011878E-3</v>
      </c>
    </row>
    <row r="87" spans="1:16" ht="22.5" customHeight="1">
      <c r="A87" s="115">
        <v>91</v>
      </c>
      <c r="B87" s="115" t="s">
        <v>11</v>
      </c>
      <c r="C87" s="115" t="s">
        <v>10</v>
      </c>
      <c r="D87" s="115" t="s">
        <v>7</v>
      </c>
      <c r="E87" s="98" t="s">
        <v>165</v>
      </c>
      <c r="F87" s="115" t="s">
        <v>476</v>
      </c>
      <c r="G87" s="115">
        <v>0</v>
      </c>
      <c r="H87" s="115">
        <v>11</v>
      </c>
      <c r="I87" s="194">
        <v>11</v>
      </c>
      <c r="J87" s="116">
        <v>167585</v>
      </c>
      <c r="K87" s="116">
        <v>1018014</v>
      </c>
      <c r="L87" s="116">
        <v>2145486</v>
      </c>
      <c r="M87" s="195">
        <v>4.2258932001536685E-3</v>
      </c>
      <c r="N87" s="195">
        <v>4.1805358878993235E-3</v>
      </c>
      <c r="O87" s="195">
        <v>2.4477874637976491E-2</v>
      </c>
      <c r="P87" s="195">
        <v>7.5396161886859686E-2</v>
      </c>
    </row>
    <row r="88" spans="1:16" ht="22.5" customHeight="1">
      <c r="A88" s="115">
        <v>63</v>
      </c>
      <c r="B88" s="115" t="s">
        <v>67</v>
      </c>
      <c r="C88" s="115" t="s">
        <v>62</v>
      </c>
      <c r="D88" s="115" t="s">
        <v>7</v>
      </c>
      <c r="E88" s="98" t="s">
        <v>114</v>
      </c>
      <c r="F88" s="115" t="s">
        <v>476</v>
      </c>
      <c r="G88" s="115">
        <v>1</v>
      </c>
      <c r="H88" s="115">
        <v>9</v>
      </c>
      <c r="I88" s="194">
        <v>10</v>
      </c>
      <c r="J88" s="116">
        <v>91444</v>
      </c>
      <c r="K88" s="116">
        <v>361513</v>
      </c>
      <c r="L88" s="116">
        <v>19465</v>
      </c>
      <c r="M88" s="195">
        <v>3.8417210910487898E-3</v>
      </c>
      <c r="N88" s="195">
        <v>2.2811404584722125E-3</v>
      </c>
      <c r="O88" s="195">
        <v>8.6924834962965099E-3</v>
      </c>
      <c r="P88" s="195">
        <v>6.8403442908866513E-4</v>
      </c>
    </row>
    <row r="89" spans="1:16" ht="22.5" customHeight="1">
      <c r="A89" s="115">
        <v>51</v>
      </c>
      <c r="B89" s="115" t="s">
        <v>11</v>
      </c>
      <c r="C89" s="115" t="s">
        <v>10</v>
      </c>
      <c r="D89" s="115" t="s">
        <v>714</v>
      </c>
      <c r="E89" s="98" t="s">
        <v>752</v>
      </c>
      <c r="F89" s="115" t="s">
        <v>483</v>
      </c>
      <c r="G89" s="115">
        <v>2</v>
      </c>
      <c r="H89" s="115">
        <v>8</v>
      </c>
      <c r="I89" s="194">
        <v>10</v>
      </c>
      <c r="J89" s="116">
        <v>145432</v>
      </c>
      <c r="K89" s="116">
        <v>840850</v>
      </c>
      <c r="L89" s="116">
        <v>1722341</v>
      </c>
      <c r="M89" s="195">
        <v>4.4247787610619468E-3</v>
      </c>
      <c r="N89" s="195">
        <v>3.5010961147323005E-3</v>
      </c>
      <c r="O89" s="195">
        <v>2.1001877343291613E-2</v>
      </c>
      <c r="P89" s="195">
        <v>6.4725139099554685E-2</v>
      </c>
    </row>
    <row r="90" spans="1:16" ht="22.5" customHeight="1">
      <c r="A90" s="115">
        <v>92</v>
      </c>
      <c r="B90" s="115" t="s">
        <v>11</v>
      </c>
      <c r="C90" s="115" t="s">
        <v>10</v>
      </c>
      <c r="D90" s="115" t="s">
        <v>714</v>
      </c>
      <c r="E90" s="98" t="s">
        <v>863</v>
      </c>
      <c r="F90" s="115" t="s">
        <v>483</v>
      </c>
      <c r="G90" s="115">
        <v>0</v>
      </c>
      <c r="H90" s="115">
        <v>9</v>
      </c>
      <c r="I90" s="194">
        <v>9</v>
      </c>
      <c r="J90" s="116">
        <v>128129</v>
      </c>
      <c r="K90" s="116">
        <v>859725</v>
      </c>
      <c r="L90" s="116">
        <v>1465385</v>
      </c>
      <c r="M90" s="195">
        <v>3.9823008849557522E-3</v>
      </c>
      <c r="N90" s="195">
        <v>3.0845477204778518E-3</v>
      </c>
      <c r="O90" s="195">
        <v>2.1473317475128005E-2</v>
      </c>
      <c r="P90" s="195">
        <v>5.506879761870672E-2</v>
      </c>
    </row>
    <row r="91" spans="1:16" ht="22.5" customHeight="1">
      <c r="A91" s="115">
        <v>64</v>
      </c>
      <c r="B91" s="115" t="s">
        <v>11</v>
      </c>
      <c r="C91" s="115" t="s">
        <v>9</v>
      </c>
      <c r="D91" s="115" t="s">
        <v>714</v>
      </c>
      <c r="E91" s="98" t="s">
        <v>749</v>
      </c>
      <c r="F91" s="115" t="s">
        <v>483</v>
      </c>
      <c r="G91" s="115">
        <v>1</v>
      </c>
      <c r="H91" s="115">
        <v>7</v>
      </c>
      <c r="I91" s="194">
        <v>8</v>
      </c>
      <c r="J91" s="116">
        <v>13391</v>
      </c>
      <c r="K91" s="116">
        <v>460533</v>
      </c>
      <c r="L91" s="116">
        <v>1004819</v>
      </c>
      <c r="M91" s="195">
        <v>3.5398230088495575E-3</v>
      </c>
      <c r="N91" s="195">
        <v>3.2237181687923039E-4</v>
      </c>
      <c r="O91" s="195">
        <v>1.1502714608477276E-2</v>
      </c>
      <c r="P91" s="195">
        <v>3.776084384269749E-2</v>
      </c>
    </row>
    <row r="92" spans="1:16" ht="22.5" customHeight="1">
      <c r="A92" s="115">
        <v>93</v>
      </c>
      <c r="B92" s="115" t="s">
        <v>67</v>
      </c>
      <c r="C92" s="115" t="s">
        <v>14</v>
      </c>
      <c r="D92" s="115" t="s">
        <v>714</v>
      </c>
      <c r="E92" s="98" t="s">
        <v>754</v>
      </c>
      <c r="F92" s="115" t="s">
        <v>483</v>
      </c>
      <c r="G92" s="115">
        <v>0</v>
      </c>
      <c r="H92" s="115">
        <v>8</v>
      </c>
      <c r="I92" s="194">
        <v>8</v>
      </c>
      <c r="J92" s="116">
        <v>41926</v>
      </c>
      <c r="K92" s="116">
        <v>1305115</v>
      </c>
      <c r="L92" s="116">
        <v>71277</v>
      </c>
      <c r="M92" s="195">
        <v>3.5398230088495575E-3</v>
      </c>
      <c r="N92" s="195">
        <v>1.0093167645790916E-3</v>
      </c>
      <c r="O92" s="195">
        <v>3.2597805968829205E-2</v>
      </c>
      <c r="P92" s="195">
        <v>2.6785716298915021E-3</v>
      </c>
    </row>
    <row r="93" spans="1:16" ht="22.5" customHeight="1">
      <c r="A93" s="115">
        <v>94</v>
      </c>
      <c r="B93" s="115" t="s">
        <v>67</v>
      </c>
      <c r="C93" s="115" t="s">
        <v>14</v>
      </c>
      <c r="D93" s="115" t="s">
        <v>7</v>
      </c>
      <c r="E93" s="98" t="s">
        <v>712</v>
      </c>
      <c r="F93" s="115" t="s">
        <v>476</v>
      </c>
      <c r="G93" s="115">
        <v>0</v>
      </c>
      <c r="H93" s="115">
        <v>7</v>
      </c>
      <c r="I93" s="194">
        <v>7</v>
      </c>
      <c r="J93" s="116">
        <v>58958</v>
      </c>
      <c r="K93" s="116">
        <v>1094943</v>
      </c>
      <c r="L93" s="116">
        <v>88175</v>
      </c>
      <c r="M93" s="195">
        <v>2.6892047637341529E-3</v>
      </c>
      <c r="N93" s="195">
        <v>1.4707523637483566E-3</v>
      </c>
      <c r="O93" s="195">
        <v>2.6327611889158591E-2</v>
      </c>
      <c r="P93" s="195">
        <v>3.0986250082143873E-3</v>
      </c>
    </row>
    <row r="94" spans="1:16" ht="22.5" customHeight="1">
      <c r="A94" s="115">
        <v>65</v>
      </c>
      <c r="B94" s="115" t="s">
        <v>67</v>
      </c>
      <c r="C94" s="115" t="s">
        <v>14</v>
      </c>
      <c r="D94" s="115" t="s">
        <v>7</v>
      </c>
      <c r="E94" s="98" t="s">
        <v>80</v>
      </c>
      <c r="F94" s="115" t="s">
        <v>476</v>
      </c>
      <c r="G94" s="115">
        <v>1</v>
      </c>
      <c r="H94" s="115">
        <v>5</v>
      </c>
      <c r="I94" s="194">
        <v>6</v>
      </c>
      <c r="J94" s="116">
        <v>174677</v>
      </c>
      <c r="K94" s="116">
        <v>798288</v>
      </c>
      <c r="L94" s="116">
        <v>61164</v>
      </c>
      <c r="M94" s="195">
        <v>2.3050326546292738E-3</v>
      </c>
      <c r="N94" s="195">
        <v>4.3574512473705295E-3</v>
      </c>
      <c r="O94" s="195">
        <v>1.9194621674162613E-2</v>
      </c>
      <c r="P94" s="195">
        <v>2.1494108307618348E-3</v>
      </c>
    </row>
    <row r="95" spans="1:16" ht="22.5" customHeight="1">
      <c r="A95" s="115">
        <v>66</v>
      </c>
      <c r="B95" s="115" t="s">
        <v>11</v>
      </c>
      <c r="C95" s="115" t="s">
        <v>10</v>
      </c>
      <c r="D95" s="115" t="s">
        <v>714</v>
      </c>
      <c r="E95" s="98" t="s">
        <v>744</v>
      </c>
      <c r="F95" s="115" t="s">
        <v>483</v>
      </c>
      <c r="G95" s="115">
        <v>1</v>
      </c>
      <c r="H95" s="115">
        <v>5</v>
      </c>
      <c r="I95" s="194">
        <v>6</v>
      </c>
      <c r="J95" s="116">
        <v>103403</v>
      </c>
      <c r="K95" s="116">
        <v>1042940</v>
      </c>
      <c r="L95" s="116">
        <v>1247630</v>
      </c>
      <c r="M95" s="195">
        <v>2.6548672566371681E-3</v>
      </c>
      <c r="N95" s="195">
        <v>2.4892997521292707E-3</v>
      </c>
      <c r="O95" s="195">
        <v>2.604947131642095E-2</v>
      </c>
      <c r="P95" s="195">
        <v>4.688561980164057E-2</v>
      </c>
    </row>
    <row r="96" spans="1:16" ht="22.5" customHeight="1">
      <c r="A96" s="115">
        <v>96</v>
      </c>
      <c r="B96" s="115" t="s">
        <v>11</v>
      </c>
      <c r="C96" s="115" t="s">
        <v>10</v>
      </c>
      <c r="D96" s="115" t="s">
        <v>7</v>
      </c>
      <c r="E96" s="98" t="s">
        <v>795</v>
      </c>
      <c r="F96" s="115" t="s">
        <v>476</v>
      </c>
      <c r="G96" s="115">
        <v>0</v>
      </c>
      <c r="H96" s="115">
        <v>5</v>
      </c>
      <c r="I96" s="194">
        <v>5</v>
      </c>
      <c r="J96" s="116">
        <v>2518</v>
      </c>
      <c r="K96" s="116">
        <v>472342</v>
      </c>
      <c r="L96" s="116">
        <v>806168</v>
      </c>
      <c r="M96" s="195">
        <v>1.9208605455243949E-3</v>
      </c>
      <c r="N96" s="195">
        <v>6.2813434172094744E-5</v>
      </c>
      <c r="O96" s="195">
        <v>1.1357337190108478E-2</v>
      </c>
      <c r="P96" s="195">
        <v>2.8330165303341946E-2</v>
      </c>
    </row>
    <row r="97" spans="1:16" ht="22.5" customHeight="1">
      <c r="A97" s="115">
        <v>95</v>
      </c>
      <c r="B97" s="115" t="s">
        <v>67</v>
      </c>
      <c r="C97" s="115" t="s">
        <v>14</v>
      </c>
      <c r="D97" s="115" t="s">
        <v>714</v>
      </c>
      <c r="E97" s="98" t="s">
        <v>376</v>
      </c>
      <c r="F97" s="115" t="s">
        <v>483</v>
      </c>
      <c r="G97" s="115">
        <v>0</v>
      </c>
      <c r="H97" s="115">
        <v>5</v>
      </c>
      <c r="I97" s="194">
        <v>5</v>
      </c>
      <c r="J97" s="116">
        <v>39297</v>
      </c>
      <c r="K97" s="116">
        <v>952604</v>
      </c>
      <c r="L97" s="116">
        <v>62176</v>
      </c>
      <c r="M97" s="195">
        <v>2.2123893805309734E-3</v>
      </c>
      <c r="N97" s="195">
        <v>9.4602683055060245E-4</v>
      </c>
      <c r="O97" s="195">
        <v>2.3793152601211828E-2</v>
      </c>
      <c r="P97" s="195">
        <v>2.3365583520649582E-3</v>
      </c>
    </row>
    <row r="98" spans="1:16" ht="22.5" hidden="1" customHeight="1">
      <c r="A98" s="115"/>
      <c r="B98" s="115" t="e">
        <f>VLOOKUP(C98,Lists!I:J,2,FALSE)</f>
        <v>#N/A</v>
      </c>
      <c r="C98" s="115" t="e">
        <f>VLOOKUP(E98,Lists!E:F,2,FALSE)</f>
        <v>#N/A</v>
      </c>
      <c r="D98" s="115"/>
      <c r="E98" s="98"/>
      <c r="F98" s="115"/>
      <c r="G98" s="115"/>
      <c r="H98" s="115"/>
      <c r="I98" s="194">
        <f t="shared" ref="I98:I103" si="0">SUM(G98:H98)</f>
        <v>0</v>
      </c>
      <c r="J98" s="116"/>
      <c r="K98" s="116"/>
      <c r="L98" s="116"/>
      <c r="M98" s="195" t="e">
        <f>I98/(HLOOKUP(F98,Team_Composition_10[[#All],[Yellow]:[Red]],10,FALSE)+HLOOKUP(F98,Team_Composition_10[[#All],[Yellow]:[Red]],11,FALSE))</f>
        <v>#N/A</v>
      </c>
      <c r="N98" s="195" t="e">
        <f>J98/HLOOKUP(F98,Team_Composition_10[[#All],[Yellow]:[Red]],6,FALSE)</f>
        <v>#N/A</v>
      </c>
      <c r="O98" s="195" t="e">
        <f>K98/HLOOKUP(F98,Team_Composition_10[[#All],[Yellow]:[Red]],8,FALSE)</f>
        <v>#N/A</v>
      </c>
      <c r="P98" s="195" t="e">
        <f>L98/HLOOKUP(F98,Team_Composition_10[[#All],[Yellow]:[Red]],7,FALSE)</f>
        <v>#N/A</v>
      </c>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95" t="e">
        <f>I99/(HLOOKUP(F99,Team_Composition_10[[#All],[Yellow]:[Red]],10,FALSE)+HLOOKUP(F99,Team_Composition_10[[#All],[Yellow]:[Red]],11,FALSE))</f>
        <v>#N/A</v>
      </c>
      <c r="N99" s="195" t="e">
        <f>J99/HLOOKUP(F99,Team_Composition_10[[#All],[Yellow]:[Red]],6,FALSE)</f>
        <v>#N/A</v>
      </c>
      <c r="O99" s="195" t="e">
        <f>K99/HLOOKUP(F99,Team_Composition_10[[#All],[Yellow]:[Red]],8,FALSE)</f>
        <v>#N/A</v>
      </c>
      <c r="P99" s="195" t="e">
        <f>L99/HLOOKUP(F99,Team_Composition_10[[#All],[Yellow]:[Red]],7,FALSE)</f>
        <v>#N/A</v>
      </c>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95" t="e">
        <f>I100/(HLOOKUP(F100,Team_Composition_10[[#All],[Yellow]:[Red]],10,FALSE)+HLOOKUP(F100,Team_Composition_10[[#All],[Yellow]:[Red]],11,FALSE))</f>
        <v>#N/A</v>
      </c>
      <c r="N100" s="195" t="e">
        <f>J100/HLOOKUP(F100,Team_Composition_10[[#All],[Yellow]:[Red]],6,FALSE)</f>
        <v>#N/A</v>
      </c>
      <c r="O100" s="195" t="e">
        <f>K100/HLOOKUP(F100,Team_Composition_10[[#All],[Yellow]:[Red]],8,FALSE)</f>
        <v>#N/A</v>
      </c>
      <c r="P100" s="195" t="e">
        <f>L100/HLOOKUP(F100,Team_Composition_10[[#All],[Yellow]:[Red]],7,FALSE)</f>
        <v>#N/A</v>
      </c>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95" t="e">
        <f>I101/(HLOOKUP(F101,Team_Composition_10[[#All],[Yellow]:[Red]],10,FALSE)+HLOOKUP(F101,Team_Composition_10[[#All],[Yellow]:[Red]],11,FALSE))</f>
        <v>#N/A</v>
      </c>
      <c r="N101" s="195" t="e">
        <f>J101/HLOOKUP(F101,Team_Composition_10[[#All],[Yellow]:[Red]],6,FALSE)</f>
        <v>#N/A</v>
      </c>
      <c r="O101" s="195" t="e">
        <f>K101/HLOOKUP(F101,Team_Composition_10[[#All],[Yellow]:[Red]],8,FALSE)</f>
        <v>#N/A</v>
      </c>
      <c r="P101" s="195" t="e">
        <f>L101/HLOOKUP(F101,Team_Composition_10[[#All],[Yellow]:[Red]],7,FALSE)</f>
        <v>#N/A</v>
      </c>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95" t="e">
        <f>I102/(HLOOKUP(F102,Team_Composition_10[[#All],[Yellow]:[Red]],10,FALSE)+HLOOKUP(F102,Team_Composition_10[[#All],[Yellow]:[Red]],11,FALSE))</f>
        <v>#N/A</v>
      </c>
      <c r="N102" s="195" t="e">
        <f>J102/HLOOKUP(F102,Team_Composition_10[[#All],[Yellow]:[Red]],6,FALSE)</f>
        <v>#N/A</v>
      </c>
      <c r="O102" s="195" t="e">
        <f>K102/HLOOKUP(F102,Team_Composition_10[[#All],[Yellow]:[Red]],8,FALSE)</f>
        <v>#N/A</v>
      </c>
      <c r="P102" s="195" t="e">
        <f>L102/HLOOKUP(F102,Team_Composition_10[[#All],[Yellow]:[Red]],7,FALSE)</f>
        <v>#N/A</v>
      </c>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95" t="e">
        <f>I103/(HLOOKUP(F103,Team_Composition_10[[#All],[Yellow]:[Red]],10,FALSE)+HLOOKUP(F103,Team_Composition_10[[#All],[Yellow]:[Red]],11,FALSE))</f>
        <v>#N/A</v>
      </c>
      <c r="N103" s="195" t="e">
        <f>J103/HLOOKUP(F103,Team_Composition_10[[#All],[Yellow]:[Red]],6,FALSE)</f>
        <v>#N/A</v>
      </c>
      <c r="O103" s="195" t="e">
        <f>K103/HLOOKUP(F103,Team_Composition_10[[#All],[Yellow]:[Red]],8,FALSE)</f>
        <v>#N/A</v>
      </c>
      <c r="P103" s="195" t="e">
        <f>L103/HLOOKUP(F103,Team_Composition_10[[#All],[Yellow]:[Red]],7,FALSE)</f>
        <v>#N/A</v>
      </c>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300-000000000000}">
      <formula1>#REF!</formula1>
    </dataValidation>
    <dataValidation type="list" allowBlank="1" sqref="F2:F103" xr:uid="{00000000-0002-0000-2300-000002000000}">
      <formula1>"Yellow,Red"</formula1>
    </dataValidation>
    <dataValidation type="custom" allowBlank="1" showDropDown="1" sqref="S4:T13 S17:T21 S25:T29 S33:T37 S41:T45 A2:A103 G2:L103" xr:uid="{00000000-0002-0000-2300-000003000000}">
      <formula1>AND(ISNUMBER(A2),(NOT(OR(NOT(ISERROR(DATEVALUE(A2))), AND(ISNUMBER(A2), LEFT(CELL("format", A2))="D")))))</formula1>
    </dataValidation>
    <dataValidation allowBlank="1" showDropDown="1" sqref="E2:E103" xr:uid="{00000000-0002-0000-23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
        <v>39</v>
      </c>
      <c r="C2" s="115" t="s">
        <v>56</v>
      </c>
      <c r="D2" s="115" t="s">
        <v>7</v>
      </c>
      <c r="E2" s="98" t="s">
        <v>76</v>
      </c>
      <c r="F2" s="115" t="s">
        <v>476</v>
      </c>
      <c r="G2" s="115">
        <v>62</v>
      </c>
      <c r="H2" s="115">
        <v>124</v>
      </c>
      <c r="I2" s="194">
        <v>186</v>
      </c>
      <c r="J2" s="116">
        <v>4234005</v>
      </c>
      <c r="K2" s="116">
        <v>1993154</v>
      </c>
      <c r="L2" s="116">
        <v>275984</v>
      </c>
      <c r="M2" s="195">
        <v>5.1211453744493395E-2</v>
      </c>
      <c r="N2" s="195">
        <v>7.8081812086032265E-2</v>
      </c>
      <c r="O2" s="195">
        <v>4.1577067152497385E-2</v>
      </c>
      <c r="P2" s="195">
        <v>8.1971378627937585E-3</v>
      </c>
      <c r="R2" s="232" t="s">
        <v>477</v>
      </c>
      <c r="S2" s="228"/>
      <c r="T2" s="228"/>
      <c r="V2" s="233" t="s">
        <v>478</v>
      </c>
      <c r="W2" s="228"/>
      <c r="X2" s="196"/>
      <c r="Y2" s="233" t="s">
        <v>479</v>
      </c>
      <c r="Z2" s="228"/>
    </row>
    <row r="3" spans="1:26" ht="22.5" customHeight="1">
      <c r="A3" s="115">
        <v>4</v>
      </c>
      <c r="B3" s="115" t="s">
        <v>25</v>
      </c>
      <c r="C3" s="115" t="s">
        <v>23</v>
      </c>
      <c r="D3" s="115" t="s">
        <v>7</v>
      </c>
      <c r="E3" s="98" t="s">
        <v>47</v>
      </c>
      <c r="F3" s="115" t="s">
        <v>476</v>
      </c>
      <c r="G3" s="115">
        <v>55</v>
      </c>
      <c r="H3" s="115">
        <v>113</v>
      </c>
      <c r="I3" s="194">
        <v>168</v>
      </c>
      <c r="J3" s="116">
        <v>3435233</v>
      </c>
      <c r="K3" s="116">
        <v>1423134</v>
      </c>
      <c r="L3" s="116">
        <v>37209</v>
      </c>
      <c r="M3" s="195">
        <v>4.6255506607929514E-2</v>
      </c>
      <c r="N3" s="195">
        <v>6.3351181110493926E-2</v>
      </c>
      <c r="O3" s="195">
        <v>2.968648578333747E-2</v>
      </c>
      <c r="P3" s="195">
        <v>1.1051629903787645E-3</v>
      </c>
      <c r="R3" s="190" t="s">
        <v>482</v>
      </c>
      <c r="S3" s="222" t="s">
        <v>476</v>
      </c>
      <c r="T3" s="222" t="s">
        <v>483</v>
      </c>
      <c r="V3" s="199" t="s">
        <v>1</v>
      </c>
      <c r="W3" s="200" t="s">
        <v>467</v>
      </c>
      <c r="Y3" s="199" t="s">
        <v>1</v>
      </c>
      <c r="Z3" s="200" t="s">
        <v>484</v>
      </c>
    </row>
    <row r="4" spans="1:26" ht="22.5" customHeight="1">
      <c r="A4" s="115">
        <v>16</v>
      </c>
      <c r="B4" s="115" t="s">
        <v>39</v>
      </c>
      <c r="C4" s="115" t="s">
        <v>32</v>
      </c>
      <c r="D4" s="115" t="s">
        <v>7</v>
      </c>
      <c r="E4" s="98" t="s">
        <v>107</v>
      </c>
      <c r="F4" s="115" t="s">
        <v>476</v>
      </c>
      <c r="G4" s="115">
        <v>30</v>
      </c>
      <c r="H4" s="115">
        <v>123</v>
      </c>
      <c r="I4" s="194">
        <v>153</v>
      </c>
      <c r="J4" s="116">
        <v>3450027</v>
      </c>
      <c r="K4" s="116">
        <v>1482284</v>
      </c>
      <c r="L4" s="116">
        <v>2254</v>
      </c>
      <c r="M4" s="195">
        <v>4.2125550660792953E-2</v>
      </c>
      <c r="N4" s="195">
        <v>6.3624006090152854E-2</v>
      </c>
      <c r="O4" s="195">
        <v>3.0920351065232506E-2</v>
      </c>
      <c r="P4" s="195">
        <v>6.6947173541716663E-5</v>
      </c>
      <c r="R4" s="223" t="s">
        <v>25</v>
      </c>
      <c r="S4" s="207">
        <f>COUNTIFS(Scoreboard_9[Role],R4,Scoreboard_9[Team],"Yellow")</f>
        <v>7</v>
      </c>
      <c r="T4" s="219">
        <f>COUNTIFS(Scoreboard_9[Role],R4,Scoreboard_9[Team],"Red")</f>
        <v>10</v>
      </c>
      <c r="V4" s="204" t="str">
        <f ca="1">IFERROR(__xludf.DUMMYFUNCTION("query(A1:P239, ""Select E,I where B!='Healer' Order by I Desc Limit 10"", 0)"),"Kiefblunt")</f>
        <v>Kiefblunt</v>
      </c>
      <c r="W4" s="116">
        <f ca="1">IFERROR(__xludf.DUMMYFUNCTION("""COMPUTED_VALUE"""),186)</f>
        <v>186</v>
      </c>
      <c r="Y4" s="204" t="str">
        <f ca="1">IFERROR(__xludf.DUMMYFUNCTION("query(A1:P239, ""Select E,J Order by J Desc Limit 10"", 0)"),"edmun")</f>
        <v>edmun</v>
      </c>
      <c r="Z4" s="116">
        <f ca="1">IFERROR(__xludf.DUMMYFUNCTION("""COMPUTED_VALUE"""),4854218)</f>
        <v>4854218</v>
      </c>
    </row>
    <row r="5" spans="1:26" ht="22.5" customHeight="1">
      <c r="A5" s="115">
        <v>2</v>
      </c>
      <c r="B5" s="115" t="s">
        <v>25</v>
      </c>
      <c r="C5" s="115" t="s">
        <v>23</v>
      </c>
      <c r="D5" s="115" t="s">
        <v>7</v>
      </c>
      <c r="E5" s="98" t="s">
        <v>113</v>
      </c>
      <c r="F5" s="115" t="s">
        <v>476</v>
      </c>
      <c r="G5" s="115">
        <v>58</v>
      </c>
      <c r="H5" s="115">
        <v>89</v>
      </c>
      <c r="I5" s="194">
        <v>147</v>
      </c>
      <c r="J5" s="116">
        <v>2955165</v>
      </c>
      <c r="K5" s="116">
        <v>1355912</v>
      </c>
      <c r="L5" s="116">
        <v>53717</v>
      </c>
      <c r="M5" s="195">
        <v>4.0473568281938328E-2</v>
      </c>
      <c r="N5" s="195">
        <v>5.449796072825127E-2</v>
      </c>
      <c r="O5" s="195">
        <v>2.8284239088839615E-2</v>
      </c>
      <c r="P5" s="195">
        <v>1.5954752977552767E-3</v>
      </c>
      <c r="R5" s="223" t="s">
        <v>39</v>
      </c>
      <c r="S5" s="207">
        <f>COUNTIFS(Scoreboard_9[Role],R5,Scoreboard_9[Team],"Yellow")</f>
        <v>11</v>
      </c>
      <c r="T5" s="219">
        <f>COUNTIFS(Scoreboard_9[Role],R5,Scoreboard_9[Team],"Red")</f>
        <v>9</v>
      </c>
      <c r="V5" s="204" t="str">
        <f ca="1">IFERROR(__xludf.DUMMYFUNCTION("""COMPUTED_VALUE"""),"Fadeふち")</f>
        <v>Fadeふち</v>
      </c>
      <c r="W5" s="116">
        <f ca="1">IFERROR(__xludf.DUMMYFUNCTION("""COMPUTED_VALUE"""),168)</f>
        <v>168</v>
      </c>
      <c r="Y5" s="204" t="str">
        <f ca="1">IFERROR(__xludf.DUMMYFUNCTION("""COMPUTED_VALUE"""),"Nengja")</f>
        <v>Nengja</v>
      </c>
      <c r="Z5" s="116">
        <f ca="1">IFERROR(__xludf.DUMMYFUNCTION("""COMPUTED_VALUE"""),4288601)</f>
        <v>4288601</v>
      </c>
    </row>
    <row r="6" spans="1:26" ht="22.5" customHeight="1">
      <c r="A6" s="115">
        <v>5</v>
      </c>
      <c r="B6" s="115" t="s">
        <v>25</v>
      </c>
      <c r="C6" s="115" t="s">
        <v>23</v>
      </c>
      <c r="D6" s="115" t="s">
        <v>7</v>
      </c>
      <c r="E6" s="98" t="s">
        <v>850</v>
      </c>
      <c r="F6" s="115" t="s">
        <v>476</v>
      </c>
      <c r="G6" s="115">
        <v>53</v>
      </c>
      <c r="H6" s="115">
        <v>94</v>
      </c>
      <c r="I6" s="194">
        <v>147</v>
      </c>
      <c r="J6" s="116">
        <v>3021378</v>
      </c>
      <c r="K6" s="116">
        <v>1760162</v>
      </c>
      <c r="L6" s="116">
        <v>82814</v>
      </c>
      <c r="M6" s="195">
        <v>4.0473568281938328E-2</v>
      </c>
      <c r="N6" s="195">
        <v>5.5719034161951148E-2</v>
      </c>
      <c r="O6" s="195">
        <v>3.6716868678122259E-2</v>
      </c>
      <c r="P6" s="195">
        <v>2.45969974697592E-3</v>
      </c>
      <c r="R6" s="223" t="s">
        <v>67</v>
      </c>
      <c r="S6" s="207">
        <f>COUNTIFS(Scoreboard_9[Role],R6,Scoreboard_9[Team],"Yellow")</f>
        <v>14</v>
      </c>
      <c r="T6" s="219">
        <f>COUNTIFS(Scoreboard_9[Role],R6,Scoreboard_9[Team],"Red")</f>
        <v>13</v>
      </c>
      <c r="V6" s="204" t="str">
        <f ca="1">IFERROR(__xludf.DUMMYFUNCTION("""COMPUTED_VALUE"""),"TanksVicious")</f>
        <v>TanksVicious</v>
      </c>
      <c r="W6" s="116">
        <f ca="1">IFERROR(__xludf.DUMMYFUNCTION("""COMPUTED_VALUE"""),153)</f>
        <v>153</v>
      </c>
      <c r="Y6" s="204" t="str">
        <f ca="1">IFERROR(__xludf.DUMMYFUNCTION("""COMPUTED_VALUE"""),"Kiefblunt")</f>
        <v>Kiefblunt</v>
      </c>
      <c r="Z6" s="116">
        <f ca="1">IFERROR(__xludf.DUMMYFUNCTION("""COMPUTED_VALUE"""),4234005)</f>
        <v>4234005</v>
      </c>
    </row>
    <row r="7" spans="1:26" ht="22.5" customHeight="1">
      <c r="A7" s="115">
        <v>8</v>
      </c>
      <c r="B7" s="115" t="s">
        <v>39</v>
      </c>
      <c r="C7" s="115" t="s">
        <v>45</v>
      </c>
      <c r="D7" s="115" t="s">
        <v>7</v>
      </c>
      <c r="E7" s="98" t="s">
        <v>84</v>
      </c>
      <c r="F7" s="115" t="s">
        <v>476</v>
      </c>
      <c r="G7" s="115">
        <v>42</v>
      </c>
      <c r="H7" s="115">
        <v>100</v>
      </c>
      <c r="I7" s="194">
        <v>142</v>
      </c>
      <c r="J7" s="116">
        <v>4288601</v>
      </c>
      <c r="K7" s="116">
        <v>781112</v>
      </c>
      <c r="L7" s="116">
        <v>15592</v>
      </c>
      <c r="M7" s="195">
        <v>3.909691629955947E-2</v>
      </c>
      <c r="N7" s="195">
        <v>7.9088649492376609E-2</v>
      </c>
      <c r="O7" s="195">
        <v>1.6293947220145325E-2</v>
      </c>
      <c r="P7" s="195">
        <v>4.6310573640747391E-4</v>
      </c>
      <c r="R7" s="223" t="s">
        <v>11</v>
      </c>
      <c r="S7" s="207">
        <f>COUNTIFS(Scoreboard_9[Role],R7,Scoreboard_9[Team],"Yellow")</f>
        <v>16</v>
      </c>
      <c r="T7" s="219">
        <f>COUNTIFS(Scoreboard_9[Role],R7,Scoreboard_9[Team],"Red")</f>
        <v>16</v>
      </c>
      <c r="V7" s="204" t="str">
        <f ca="1">IFERROR(__xludf.DUMMYFUNCTION("""COMPUTED_VALUE"""),"Willan")</f>
        <v>Willan</v>
      </c>
      <c r="W7" s="116">
        <f ca="1">IFERROR(__xludf.DUMMYFUNCTION("""COMPUTED_VALUE"""),147)</f>
        <v>147</v>
      </c>
      <c r="Y7" s="204" t="str">
        <f ca="1">IFERROR(__xludf.DUMMYFUNCTION("""COMPUTED_VALUE"""),"TOKUL")</f>
        <v>TOKUL</v>
      </c>
      <c r="Z7" s="116">
        <f ca="1">IFERROR(__xludf.DUMMYFUNCTION("""COMPUTED_VALUE"""),4182850)</f>
        <v>4182850</v>
      </c>
    </row>
    <row r="8" spans="1:26" ht="22.5" customHeight="1">
      <c r="A8" s="115">
        <v>12</v>
      </c>
      <c r="B8" s="115" t="s">
        <v>25</v>
      </c>
      <c r="C8" s="115" t="s">
        <v>23</v>
      </c>
      <c r="D8" s="115" t="s">
        <v>7</v>
      </c>
      <c r="E8" s="98" t="s">
        <v>883</v>
      </c>
      <c r="F8" s="115" t="s">
        <v>476</v>
      </c>
      <c r="G8" s="115">
        <v>39</v>
      </c>
      <c r="H8" s="115">
        <v>99</v>
      </c>
      <c r="I8" s="194">
        <v>138</v>
      </c>
      <c r="J8" s="116">
        <v>2752755</v>
      </c>
      <c r="K8" s="116">
        <v>1261585</v>
      </c>
      <c r="L8" s="116">
        <v>71222</v>
      </c>
      <c r="M8" s="195">
        <v>3.7995594713656385E-2</v>
      </c>
      <c r="N8" s="195">
        <v>5.0765197166485573E-2</v>
      </c>
      <c r="O8" s="195">
        <v>2.6316583798132714E-2</v>
      </c>
      <c r="P8" s="195">
        <v>2.1153999973328058E-3</v>
      </c>
      <c r="R8" s="223" t="s">
        <v>468</v>
      </c>
      <c r="S8" s="207">
        <f>SUMIFS(Scoreboard_9[Damage Dealt],Scoreboard_9[Team],"Yellow")</f>
        <v>54225240</v>
      </c>
      <c r="T8" s="219">
        <f>SUMIFS(Scoreboard_9[Damage Dealt],Scoreboard_9[Team],"Red")</f>
        <v>47390790</v>
      </c>
      <c r="V8" s="204" t="str">
        <f ca="1">IFERROR(__xludf.DUMMYFUNCTION("""COMPUTED_VALUE"""),"KyurleZ")</f>
        <v>KyurleZ</v>
      </c>
      <c r="W8" s="116">
        <f ca="1">IFERROR(__xludf.DUMMYFUNCTION("""COMPUTED_VALUE"""),147)</f>
        <v>147</v>
      </c>
      <c r="Y8" s="204" t="str">
        <f ca="1">IFERROR(__xludf.DUMMYFUNCTION("""COMPUTED_VALUE"""),"cba")</f>
        <v>cba</v>
      </c>
      <c r="Z8" s="116">
        <f ca="1">IFERROR(__xludf.DUMMYFUNCTION("""COMPUTED_VALUE"""),3551178)</f>
        <v>3551178</v>
      </c>
    </row>
    <row r="9" spans="1:26" ht="22.5" customHeight="1">
      <c r="A9" s="115">
        <v>19</v>
      </c>
      <c r="B9" s="115" t="s">
        <v>39</v>
      </c>
      <c r="C9" s="115" t="s">
        <v>56</v>
      </c>
      <c r="D9" s="115" t="s">
        <v>19</v>
      </c>
      <c r="E9" s="98" t="s">
        <v>42</v>
      </c>
      <c r="F9" s="115" t="s">
        <v>483</v>
      </c>
      <c r="G9" s="115">
        <v>28</v>
      </c>
      <c r="H9" s="115">
        <v>109</v>
      </c>
      <c r="I9" s="194">
        <v>137</v>
      </c>
      <c r="J9" s="116">
        <v>4854218</v>
      </c>
      <c r="K9" s="116">
        <v>1964896</v>
      </c>
      <c r="L9" s="116">
        <v>241840</v>
      </c>
      <c r="M9" s="195">
        <v>5.5064308681672024E-2</v>
      </c>
      <c r="N9" s="195">
        <v>0.10242956490069062</v>
      </c>
      <c r="O9" s="195">
        <v>3.6101340521989808E-2</v>
      </c>
      <c r="P9" s="195">
        <v>6.8159935948148842E-3</v>
      </c>
      <c r="R9" s="223" t="s">
        <v>470</v>
      </c>
      <c r="S9" s="207">
        <f>SUMIFS(Scoreboard_9[Amount Healed],Scoreboard_9[Team],"Yellow")</f>
        <v>33668337</v>
      </c>
      <c r="T9" s="219">
        <f>SUMIFS(Scoreboard_9[Amount Healed],Scoreboard_9[Team],"Red")</f>
        <v>35481254</v>
      </c>
      <c r="V9" s="204" t="str">
        <f ca="1">IFERROR(__xludf.DUMMYFUNCTION("""COMPUTED_VALUE"""),"Nengja")</f>
        <v>Nengja</v>
      </c>
      <c r="W9" s="116">
        <f ca="1">IFERROR(__xludf.DUMMYFUNCTION("""COMPUTED_VALUE"""),142)</f>
        <v>142</v>
      </c>
      <c r="Y9" s="204" t="str">
        <f ca="1">IFERROR(__xludf.DUMMYFUNCTION("""COMPUTED_VALUE"""),"TanksVicious")</f>
        <v>TanksVicious</v>
      </c>
      <c r="Z9" s="116">
        <f ca="1">IFERROR(__xludf.DUMMYFUNCTION("""COMPUTED_VALUE"""),3450027)</f>
        <v>3450027</v>
      </c>
    </row>
    <row r="10" spans="1:26" ht="22.5" customHeight="1">
      <c r="A10" s="115">
        <v>3</v>
      </c>
      <c r="B10" s="115" t="s">
        <v>25</v>
      </c>
      <c r="C10" s="115" t="s">
        <v>69</v>
      </c>
      <c r="D10" s="115" t="s">
        <v>7</v>
      </c>
      <c r="E10" s="98" t="s">
        <v>98</v>
      </c>
      <c r="F10" s="115" t="s">
        <v>476</v>
      </c>
      <c r="G10" s="115">
        <v>56</v>
      </c>
      <c r="H10" s="115">
        <v>80</v>
      </c>
      <c r="I10" s="194">
        <v>136</v>
      </c>
      <c r="J10" s="116">
        <v>2622617</v>
      </c>
      <c r="K10" s="116">
        <v>683914</v>
      </c>
      <c r="L10" s="116">
        <v>39570</v>
      </c>
      <c r="M10" s="195">
        <v>3.7444933920704845E-2</v>
      </c>
      <c r="N10" s="195">
        <v>4.8365244672038336E-2</v>
      </c>
      <c r="O10" s="195">
        <v>1.4266403049906378E-2</v>
      </c>
      <c r="P10" s="195">
        <v>1.1752882240664278E-3</v>
      </c>
      <c r="R10" s="223" t="s">
        <v>469</v>
      </c>
      <c r="S10" s="207">
        <f>SUMIFS(Scoreboard_9[Damage Taken],Scoreboard_9[Team],"Yellow")</f>
        <v>47938783</v>
      </c>
      <c r="T10" s="219">
        <f>SUMIFS(Scoreboard_9[Damage Taken],Scoreboard_9[Team],"Red")</f>
        <v>54427231</v>
      </c>
      <c r="V10" s="204" t="str">
        <f ca="1">IFERROR(__xludf.DUMMYFUNCTION("""COMPUTED_VALUE"""),"Feelix✘")</f>
        <v>Feelix✘</v>
      </c>
      <c r="W10" s="116">
        <f ca="1">IFERROR(__xludf.DUMMYFUNCTION("""COMPUTED_VALUE"""),138)</f>
        <v>138</v>
      </c>
      <c r="Y10" s="204" t="str">
        <f ca="1">IFERROR(__xludf.DUMMYFUNCTION("""COMPUTED_VALUE"""),"Fadeふち")</f>
        <v>Fadeふち</v>
      </c>
      <c r="Z10" s="116">
        <f ca="1">IFERROR(__xludf.DUMMYFUNCTION("""COMPUTED_VALUE"""),3435233)</f>
        <v>3435233</v>
      </c>
    </row>
    <row r="11" spans="1:26" ht="22.5" customHeight="1">
      <c r="A11" s="115">
        <v>9</v>
      </c>
      <c r="B11" s="115" t="s">
        <v>25</v>
      </c>
      <c r="C11" s="115" t="s">
        <v>24</v>
      </c>
      <c r="D11" s="115" t="s">
        <v>19</v>
      </c>
      <c r="E11" s="98" t="s">
        <v>130</v>
      </c>
      <c r="F11" s="115" t="s">
        <v>483</v>
      </c>
      <c r="G11" s="115">
        <v>41</v>
      </c>
      <c r="H11" s="115">
        <v>93</v>
      </c>
      <c r="I11" s="194">
        <v>134</v>
      </c>
      <c r="J11" s="116">
        <v>3551178</v>
      </c>
      <c r="K11" s="116">
        <v>1591435</v>
      </c>
      <c r="L11" s="116">
        <v>33693</v>
      </c>
      <c r="M11" s="195">
        <v>5.3858520900321546E-2</v>
      </c>
      <c r="N11" s="195">
        <v>7.4933927035189751E-2</v>
      </c>
      <c r="O11" s="195">
        <v>2.9239683348947148E-2</v>
      </c>
      <c r="P11" s="195">
        <v>9.4960003386577031E-4</v>
      </c>
      <c r="R11" s="223" t="s">
        <v>495</v>
      </c>
      <c r="S11" s="207">
        <f ca="1">IFERROR(DIVIDE(SUMIFS(Scoreboard_9[Amount Healed],Scoreboard_9[Team],"Yellow"), SUMIFS(Scoreboard_9[Damage Taken],Scoreboard_9[Team],"Yellow"))*(100),0)</f>
        <v>0</v>
      </c>
      <c r="T11" s="219">
        <f ca="1">IFERROR(DIVIDE(SUMIFS(Scoreboard_9[Amount Healed],Scoreboard_9[Team],"Red"), SUMIFS(Scoreboard_9[Damage Taken],Scoreboard_9[Team],"Red"))*(100),0)</f>
        <v>0</v>
      </c>
      <c r="V11" s="204" t="str">
        <f ca="1">IFERROR(__xludf.DUMMYFUNCTION("""COMPUTED_VALUE"""),"edmun")</f>
        <v>edmun</v>
      </c>
      <c r="W11" s="116">
        <f ca="1">IFERROR(__xludf.DUMMYFUNCTION("""COMPUTED_VALUE"""),137)</f>
        <v>137</v>
      </c>
      <c r="Y11" s="204" t="str">
        <f ca="1">IFERROR(__xludf.DUMMYFUNCTION("""COMPUTED_VALUE"""),"Jmunnie")</f>
        <v>Jmunnie</v>
      </c>
      <c r="Z11" s="116">
        <f ca="1">IFERROR(__xludf.DUMMYFUNCTION("""COMPUTED_VALUE"""),3181280)</f>
        <v>3181280</v>
      </c>
    </row>
    <row r="12" spans="1:26" ht="22.5" customHeight="1">
      <c r="A12" s="115">
        <v>17</v>
      </c>
      <c r="B12" s="115" t="s">
        <v>39</v>
      </c>
      <c r="C12" s="115" t="s">
        <v>56</v>
      </c>
      <c r="D12" s="115" t="s">
        <v>7</v>
      </c>
      <c r="E12" s="98" t="s">
        <v>852</v>
      </c>
      <c r="F12" s="115" t="s">
        <v>476</v>
      </c>
      <c r="G12" s="115">
        <v>30</v>
      </c>
      <c r="H12" s="115">
        <v>100</v>
      </c>
      <c r="I12" s="194">
        <v>130</v>
      </c>
      <c r="J12" s="116">
        <v>2832060</v>
      </c>
      <c r="K12" s="116">
        <v>1010330</v>
      </c>
      <c r="L12" s="116">
        <v>0</v>
      </c>
      <c r="M12" s="195">
        <v>3.5792951541850221E-2</v>
      </c>
      <c r="N12" s="195">
        <v>5.2227707982481955E-2</v>
      </c>
      <c r="O12" s="195">
        <v>2.107542029175E-2</v>
      </c>
      <c r="P12" s="195">
        <v>0</v>
      </c>
      <c r="R12" s="223" t="s">
        <v>465</v>
      </c>
      <c r="S12" s="207">
        <f>SUMIFS(Scoreboard_9[Kills],Scoreboard_9[Team],"Yellow")</f>
        <v>683</v>
      </c>
      <c r="T12" s="219">
        <f>SUMIFS(Scoreboard_9[Kills],Scoreboard_9[Team],"Red")</f>
        <v>508</v>
      </c>
      <c r="V12" s="204" t="str">
        <f ca="1">IFERROR(__xludf.DUMMYFUNCTION("""COMPUTED_VALUE"""),"ShawarmaShuffle")</f>
        <v>ShawarmaShuffle</v>
      </c>
      <c r="W12" s="116">
        <f ca="1">IFERROR(__xludf.DUMMYFUNCTION("""COMPUTED_VALUE"""),136)</f>
        <v>136</v>
      </c>
      <c r="Y12" s="204" t="str">
        <f ca="1">IFERROR(__xludf.DUMMYFUNCTION("""COMPUTED_VALUE"""),"Jehoo")</f>
        <v>Jehoo</v>
      </c>
      <c r="Z12" s="116">
        <f ca="1">IFERROR(__xludf.DUMMYFUNCTION("""COMPUTED_VALUE"""),3159333)</f>
        <v>3159333</v>
      </c>
    </row>
    <row r="13" spans="1:26" ht="22.5" customHeight="1">
      <c r="A13" s="115">
        <v>55</v>
      </c>
      <c r="B13" s="115" t="s">
        <v>11</v>
      </c>
      <c r="C13" s="115" t="s">
        <v>10</v>
      </c>
      <c r="D13" s="115" t="s">
        <v>7</v>
      </c>
      <c r="E13" s="98" t="s">
        <v>87</v>
      </c>
      <c r="F13" s="115" t="s">
        <v>476</v>
      </c>
      <c r="G13" s="115">
        <v>1</v>
      </c>
      <c r="H13" s="115">
        <v>121</v>
      </c>
      <c r="I13" s="194">
        <v>122</v>
      </c>
      <c r="J13" s="116">
        <v>91764</v>
      </c>
      <c r="K13" s="116">
        <v>180760</v>
      </c>
      <c r="L13" s="116">
        <v>1155899</v>
      </c>
      <c r="M13" s="195">
        <v>3.359030837004405E-2</v>
      </c>
      <c r="N13" s="195">
        <v>1.6922746676639882E-3</v>
      </c>
      <c r="O13" s="195">
        <v>3.7706422376220941E-3</v>
      </c>
      <c r="P13" s="195">
        <v>3.4331930323734133E-2</v>
      </c>
      <c r="R13" s="223" t="s">
        <v>466</v>
      </c>
      <c r="S13" s="207">
        <f>SUMIFS(Scoreboard_9[Assists],Scoreboard_9[Team],"Yellow")</f>
        <v>2949</v>
      </c>
      <c r="T13" s="219">
        <f>SUMIFS(Scoreboard_9[Assists],Scoreboard_9[Team],"Red")</f>
        <v>1980</v>
      </c>
      <c r="V13" s="204" t="str">
        <f ca="1">IFERROR(__xludf.DUMMYFUNCTION("""COMPUTED_VALUE"""),"cba")</f>
        <v>cba</v>
      </c>
      <c r="W13" s="116">
        <f ca="1">IFERROR(__xludf.DUMMYFUNCTION("""COMPUTED_VALUE"""),134)</f>
        <v>134</v>
      </c>
      <c r="Y13" s="204" t="str">
        <f ca="1">IFERROR(__xludf.DUMMYFUNCTION("""COMPUTED_VALUE"""),"KyurleZ")</f>
        <v>KyurleZ</v>
      </c>
      <c r="Z13" s="116">
        <f ca="1">IFERROR(__xludf.DUMMYFUNCTION("""COMPUTED_VALUE"""),3021378)</f>
        <v>3021378</v>
      </c>
    </row>
    <row r="14" spans="1:26" ht="22.5" customHeight="1">
      <c r="A14" s="115">
        <v>11</v>
      </c>
      <c r="B14" s="115" t="s">
        <v>39</v>
      </c>
      <c r="C14" s="115" t="s">
        <v>32</v>
      </c>
      <c r="D14" s="115" t="s">
        <v>19</v>
      </c>
      <c r="E14" s="98" t="s">
        <v>112</v>
      </c>
      <c r="F14" s="115" t="s">
        <v>483</v>
      </c>
      <c r="G14" s="115">
        <v>40</v>
      </c>
      <c r="H14" s="115">
        <v>68</v>
      </c>
      <c r="I14" s="194">
        <v>108</v>
      </c>
      <c r="J14" s="116">
        <v>4182850</v>
      </c>
      <c r="K14" s="116">
        <v>1138436</v>
      </c>
      <c r="L14" s="116">
        <v>17711</v>
      </c>
      <c r="M14" s="195">
        <v>4.3408360128617367E-2</v>
      </c>
      <c r="N14" s="195">
        <v>8.8262930413272281E-2</v>
      </c>
      <c r="O14" s="195">
        <v>2.0916662102468522E-2</v>
      </c>
      <c r="P14" s="195">
        <v>4.9916499569040032E-4</v>
      </c>
    </row>
    <row r="15" spans="1:26" ht="22.5" customHeight="1">
      <c r="A15" s="115">
        <v>20</v>
      </c>
      <c r="B15" s="115" t="s">
        <v>39</v>
      </c>
      <c r="C15" s="115" t="s">
        <v>52</v>
      </c>
      <c r="D15" s="115" t="s">
        <v>7</v>
      </c>
      <c r="E15" s="98" t="s">
        <v>94</v>
      </c>
      <c r="F15" s="115" t="s">
        <v>476</v>
      </c>
      <c r="G15" s="115">
        <v>27</v>
      </c>
      <c r="H15" s="115">
        <v>80</v>
      </c>
      <c r="I15" s="194">
        <v>107</v>
      </c>
      <c r="J15" s="116">
        <v>2925792</v>
      </c>
      <c r="K15" s="116">
        <v>918106</v>
      </c>
      <c r="L15" s="116">
        <v>440652</v>
      </c>
      <c r="M15" s="195">
        <v>2.9460352422907489E-2</v>
      </c>
      <c r="N15" s="195">
        <v>5.3956275712196015E-2</v>
      </c>
      <c r="O15" s="195">
        <v>1.9151633448850798E-2</v>
      </c>
      <c r="P15" s="195">
        <v>1.3088023919922151E-2</v>
      </c>
      <c r="R15" s="232" t="s">
        <v>25</v>
      </c>
      <c r="S15" s="228"/>
      <c r="T15" s="228"/>
      <c r="V15" s="233" t="s">
        <v>496</v>
      </c>
      <c r="W15" s="228"/>
      <c r="Y15" s="233" t="s">
        <v>497</v>
      </c>
      <c r="Z15" s="228"/>
    </row>
    <row r="16" spans="1:26" ht="22.5" customHeight="1">
      <c r="A16" s="115">
        <v>13</v>
      </c>
      <c r="B16" s="115" t="s">
        <v>25</v>
      </c>
      <c r="C16" s="115" t="s">
        <v>23</v>
      </c>
      <c r="D16" s="115" t="s">
        <v>19</v>
      </c>
      <c r="E16" s="98" t="s">
        <v>884</v>
      </c>
      <c r="F16" s="115" t="s">
        <v>483</v>
      </c>
      <c r="G16" s="115">
        <v>34</v>
      </c>
      <c r="H16" s="115">
        <v>69</v>
      </c>
      <c r="I16" s="194">
        <v>103</v>
      </c>
      <c r="J16" s="116">
        <v>2791564</v>
      </c>
      <c r="K16" s="116">
        <v>1877046</v>
      </c>
      <c r="L16" s="116">
        <v>168285</v>
      </c>
      <c r="M16" s="195">
        <v>4.1398713826366562E-2</v>
      </c>
      <c r="N16" s="195">
        <v>5.8905200778463493E-2</v>
      </c>
      <c r="O16" s="195">
        <v>3.4487258776769295E-2</v>
      </c>
      <c r="P16" s="195">
        <v>4.7429270679102834E-3</v>
      </c>
      <c r="R16" s="190" t="s">
        <v>482</v>
      </c>
      <c r="S16" s="222" t="s">
        <v>476</v>
      </c>
      <c r="T16" s="222" t="s">
        <v>483</v>
      </c>
      <c r="V16" s="199" t="s">
        <v>1</v>
      </c>
      <c r="W16" s="200" t="s">
        <v>498</v>
      </c>
      <c r="Y16" s="199" t="s">
        <v>1</v>
      </c>
      <c r="Z16" s="200" t="s">
        <v>499</v>
      </c>
    </row>
    <row r="17" spans="1:26" ht="22.5" customHeight="1">
      <c r="A17" s="115">
        <v>26</v>
      </c>
      <c r="B17" s="115" t="s">
        <v>25</v>
      </c>
      <c r="C17" s="115" t="s">
        <v>24</v>
      </c>
      <c r="D17" s="115" t="s">
        <v>19</v>
      </c>
      <c r="E17" s="98" t="s">
        <v>885</v>
      </c>
      <c r="F17" s="115" t="s">
        <v>483</v>
      </c>
      <c r="G17" s="115">
        <v>21</v>
      </c>
      <c r="H17" s="115">
        <v>82</v>
      </c>
      <c r="I17" s="194">
        <v>103</v>
      </c>
      <c r="J17" s="116">
        <v>3181280</v>
      </c>
      <c r="K17" s="116">
        <v>1539277</v>
      </c>
      <c r="L17" s="116">
        <v>29655</v>
      </c>
      <c r="M17" s="195">
        <v>4.1398713826366562E-2</v>
      </c>
      <c r="N17" s="195">
        <v>6.7128655166963883E-2</v>
      </c>
      <c r="O17" s="195">
        <v>2.8281376283867905E-2</v>
      </c>
      <c r="P17" s="195">
        <v>8.357934587092102E-4</v>
      </c>
      <c r="R17" s="223" t="s">
        <v>468</v>
      </c>
      <c r="S17" s="207">
        <f>SUMIFS(Scoreboard_9[Damage Dealt],Scoreboard_9[Role],"Melee DPS",Scoreboard_9[Team],"Yellow")</f>
        <v>18591798</v>
      </c>
      <c r="T17" s="219">
        <f>SUMIFS(Scoreboard_9[Damage Dealt],Scoreboard_9[Role],"Melee DPS",Scoreboard_9[Team],"Red")</f>
        <v>22784234</v>
      </c>
      <c r="V17" s="204" t="str">
        <f ca="1">IFERROR(__xludf.DUMMYFUNCTION("query(A1:P239, ""Select E,K Order by K Desc Limit 10"", 0)"),"Kyno")</f>
        <v>Kyno</v>
      </c>
      <c r="W17" s="116">
        <f ca="1">IFERROR(__xludf.DUMMYFUNCTION("""COMPUTED_VALUE"""),2214472)</f>
        <v>2214472</v>
      </c>
      <c r="Y17" s="204" t="str">
        <f ca="1">IFERROR(__xludf.DUMMYFUNCTION("query(A1:P239, ""Select E,L Order by L Desc Limit 10"", 0)"),"apgonzo")</f>
        <v>apgonzo</v>
      </c>
      <c r="Z17" s="116">
        <f ca="1">IFERROR(__xludf.DUMMYFUNCTION("""COMPUTED_VALUE"""),3867775)</f>
        <v>3867775</v>
      </c>
    </row>
    <row r="18" spans="1:26" ht="22.5" customHeight="1">
      <c r="A18" s="115">
        <v>28</v>
      </c>
      <c r="B18" s="115" t="s">
        <v>25</v>
      </c>
      <c r="C18" s="115" t="s">
        <v>23</v>
      </c>
      <c r="D18" s="115" t="s">
        <v>19</v>
      </c>
      <c r="E18" s="98" t="s">
        <v>886</v>
      </c>
      <c r="F18" s="115" t="s">
        <v>483</v>
      </c>
      <c r="G18" s="115">
        <v>20</v>
      </c>
      <c r="H18" s="115">
        <v>81</v>
      </c>
      <c r="I18" s="194">
        <v>101</v>
      </c>
      <c r="J18" s="116">
        <v>3159333</v>
      </c>
      <c r="K18" s="116">
        <v>2068447</v>
      </c>
      <c r="L18" s="116">
        <v>119144</v>
      </c>
      <c r="M18" s="195">
        <v>4.0594855305466235E-2</v>
      </c>
      <c r="N18" s="195">
        <v>6.6665548305905015E-2</v>
      </c>
      <c r="O18" s="195">
        <v>3.8003899187889975E-2</v>
      </c>
      <c r="P18" s="195">
        <v>3.3579421967442299E-3</v>
      </c>
      <c r="R18" s="223" t="s">
        <v>469</v>
      </c>
      <c r="S18" s="207">
        <f>SUMIFS(Scoreboard_9[Damage Taken],Scoreboard_9[Role],"Melee DPS",Scoreboard_9[Team],"Yellow")</f>
        <v>8965849</v>
      </c>
      <c r="T18" s="219">
        <f>SUMIFS(Scoreboard_9[Damage Taken],Scoreboard_9[Role],"Melee DPS",Scoreboard_9[Team],"Red")</f>
        <v>15464005</v>
      </c>
      <c r="V18" s="204" t="str">
        <f ca="1">IFERROR(__xludf.DUMMYFUNCTION("""COMPUTED_VALUE"""),"Jehoo")</f>
        <v>Jehoo</v>
      </c>
      <c r="W18" s="116">
        <f ca="1">IFERROR(__xludf.DUMMYFUNCTION("""COMPUTED_VALUE"""),2068447)</f>
        <v>2068447</v>
      </c>
      <c r="Y18" s="204" t="str">
        <f ca="1">IFERROR(__xludf.DUMMYFUNCTION("""COMPUTED_VALUE"""),"Natejas")</f>
        <v>Natejas</v>
      </c>
      <c r="Z18" s="116">
        <f ca="1">IFERROR(__xludf.DUMMYFUNCTION("""COMPUTED_VALUE"""),3469865)</f>
        <v>3469865</v>
      </c>
    </row>
    <row r="19" spans="1:26" ht="22.5" customHeight="1">
      <c r="A19" s="115">
        <v>14</v>
      </c>
      <c r="B19" s="115" t="s">
        <v>25</v>
      </c>
      <c r="C19" s="115" t="s">
        <v>24</v>
      </c>
      <c r="D19" s="115" t="s">
        <v>7</v>
      </c>
      <c r="E19" s="98" t="s">
        <v>104</v>
      </c>
      <c r="F19" s="115" t="s">
        <v>476</v>
      </c>
      <c r="G19" s="115">
        <v>34</v>
      </c>
      <c r="H19" s="115">
        <v>66</v>
      </c>
      <c r="I19" s="194">
        <v>100</v>
      </c>
      <c r="J19" s="116">
        <v>2410744</v>
      </c>
      <c r="K19" s="116">
        <v>1435232</v>
      </c>
      <c r="L19" s="116">
        <v>84199</v>
      </c>
      <c r="M19" s="195">
        <v>2.7533039647577091E-2</v>
      </c>
      <c r="N19" s="195">
        <v>4.445796828192923E-2</v>
      </c>
      <c r="O19" s="195">
        <v>2.9938849302870288E-2</v>
      </c>
      <c r="P19" s="195">
        <v>2.5008363198930792E-3</v>
      </c>
      <c r="R19" s="223" t="s">
        <v>470</v>
      </c>
      <c r="S19" s="207">
        <f>SUMIFS(Scoreboard_9[Amount Healed],Scoreboard_9[Role],"Melee DPS",Scoreboard_9[Team],"Yellow")</f>
        <v>400939</v>
      </c>
      <c r="T19" s="219">
        <f>SUMIFS(Scoreboard_9[Amount Healed],Scoreboard_9[Role],"Melee DPS",Scoreboard_9[Team],"Red")</f>
        <v>949310</v>
      </c>
      <c r="V19" s="204" t="str">
        <f ca="1">IFERROR(__xludf.DUMMYFUNCTION("""COMPUTED_VALUE"""),"Kiefblunt")</f>
        <v>Kiefblunt</v>
      </c>
      <c r="W19" s="116">
        <f ca="1">IFERROR(__xludf.DUMMYFUNCTION("""COMPUTED_VALUE"""),1993154)</f>
        <v>1993154</v>
      </c>
      <c r="Y19" s="204" t="str">
        <f ca="1">IFERROR(__xludf.DUMMYFUNCTION("""COMPUTED_VALUE"""),"Purple")</f>
        <v>Purple</v>
      </c>
      <c r="Z19" s="116">
        <f ca="1">IFERROR(__xludf.DUMMYFUNCTION("""COMPUTED_VALUE"""),2935566)</f>
        <v>2935566</v>
      </c>
    </row>
    <row r="20" spans="1:26" ht="22.5" customHeight="1">
      <c r="A20" s="115">
        <v>27</v>
      </c>
      <c r="B20" s="115" t="s">
        <v>39</v>
      </c>
      <c r="C20" s="115" t="s">
        <v>52</v>
      </c>
      <c r="D20" s="115" t="s">
        <v>7</v>
      </c>
      <c r="E20" s="98" t="s">
        <v>65</v>
      </c>
      <c r="F20" s="115" t="s">
        <v>476</v>
      </c>
      <c r="G20" s="115">
        <v>21</v>
      </c>
      <c r="H20" s="115">
        <v>79</v>
      </c>
      <c r="I20" s="194">
        <v>100</v>
      </c>
      <c r="J20" s="116">
        <v>2409619</v>
      </c>
      <c r="K20" s="116">
        <v>1147582</v>
      </c>
      <c r="L20" s="116">
        <v>524936</v>
      </c>
      <c r="M20" s="195">
        <v>2.7533039647577091E-2</v>
      </c>
      <c r="N20" s="195">
        <v>4.4437221485787798E-2</v>
      </c>
      <c r="O20" s="195">
        <v>2.3938488384237872E-2</v>
      </c>
      <c r="P20" s="195">
        <v>1.5591384867033974E-2</v>
      </c>
      <c r="R20" s="223" t="s">
        <v>465</v>
      </c>
      <c r="S20" s="207">
        <f>SUMIFS(Scoreboard_9[Kills],Scoreboard_9[Role],"Melee DPS",Scoreboard_9[Team],"Yellow")</f>
        <v>322</v>
      </c>
      <c r="T20" s="219">
        <f>SUMIFS(Scoreboard_9[Kills],Scoreboard_9[Role],"Melee DPS",Scoreboard_9[Team],"Red")</f>
        <v>268</v>
      </c>
      <c r="V20" s="204" t="str">
        <f ca="1">IFERROR(__xludf.DUMMYFUNCTION("""COMPUTED_VALUE"""),"RedCamper")</f>
        <v>RedCamper</v>
      </c>
      <c r="W20" s="116">
        <f ca="1">IFERROR(__xludf.DUMMYFUNCTION("""COMPUTED_VALUE"""),1968604)</f>
        <v>1968604</v>
      </c>
      <c r="Y20" s="204" t="str">
        <f ca="1">IFERROR(__xludf.DUMMYFUNCTION("""COMPUTED_VALUE"""),"Xskulled")</f>
        <v>Xskulled</v>
      </c>
      <c r="Z20" s="116">
        <f ca="1">IFERROR(__xludf.DUMMYFUNCTION("""COMPUTED_VALUE"""),2851292)</f>
        <v>2851292</v>
      </c>
    </row>
    <row r="21" spans="1:26" ht="22.5" customHeight="1">
      <c r="A21" s="115">
        <v>10</v>
      </c>
      <c r="B21" s="115" t="s">
        <v>25</v>
      </c>
      <c r="C21" s="115" t="s">
        <v>69</v>
      </c>
      <c r="D21" s="115" t="s">
        <v>19</v>
      </c>
      <c r="E21" s="98" t="s">
        <v>68</v>
      </c>
      <c r="F21" s="115" t="s">
        <v>483</v>
      </c>
      <c r="G21" s="115">
        <v>41</v>
      </c>
      <c r="H21" s="115">
        <v>59</v>
      </c>
      <c r="I21" s="194">
        <v>100</v>
      </c>
      <c r="J21" s="116">
        <v>2406717</v>
      </c>
      <c r="K21" s="116">
        <v>1352244</v>
      </c>
      <c r="L21" s="116">
        <v>127034</v>
      </c>
      <c r="M21" s="195">
        <v>4.0192926045016078E-2</v>
      </c>
      <c r="N21" s="195">
        <v>5.0784487872010571E-2</v>
      </c>
      <c r="O21" s="195">
        <v>2.4844989817688869E-2</v>
      </c>
      <c r="P21" s="195">
        <v>3.5803131422581626E-3</v>
      </c>
      <c r="R21" s="223" t="s">
        <v>466</v>
      </c>
      <c r="S21" s="207">
        <f>SUMIFS(Scoreboard_9[Assists],Scoreboard_9[Role],"Melee DPS",Scoreboard_9[Team],"Yellow")</f>
        <v>586</v>
      </c>
      <c r="T21" s="219">
        <f>SUMIFS(Scoreboard_9[Assists],Scoreboard_9[Role],"Melee DPS",Scoreboard_9[Team],"Red")</f>
        <v>613</v>
      </c>
      <c r="V21" s="204" t="str">
        <f ca="1">IFERROR(__xludf.DUMMYFUNCTION("""COMPUTED_VALUE"""),"edmun")</f>
        <v>edmun</v>
      </c>
      <c r="W21" s="116">
        <f ca="1">IFERROR(__xludf.DUMMYFUNCTION("""COMPUTED_VALUE"""),1964896)</f>
        <v>1964896</v>
      </c>
      <c r="Y21" s="204" t="str">
        <f ca="1">IFERROR(__xludf.DUMMYFUNCTION("""COMPUTED_VALUE"""),"Rhythmics")</f>
        <v>Rhythmics</v>
      </c>
      <c r="Z21" s="116">
        <f ca="1">IFERROR(__xludf.DUMMYFUNCTION("""COMPUTED_VALUE"""),2820893)</f>
        <v>2820893</v>
      </c>
    </row>
    <row r="22" spans="1:26" ht="22.5" customHeight="1">
      <c r="A22" s="115">
        <v>67</v>
      </c>
      <c r="B22" s="115" t="s">
        <v>11</v>
      </c>
      <c r="C22" s="115" t="s">
        <v>10</v>
      </c>
      <c r="D22" s="115" t="s">
        <v>7</v>
      </c>
      <c r="E22" s="98" t="s">
        <v>858</v>
      </c>
      <c r="F22" s="115" t="s">
        <v>476</v>
      </c>
      <c r="G22" s="115">
        <v>0</v>
      </c>
      <c r="H22" s="115">
        <v>96</v>
      </c>
      <c r="I22" s="194">
        <v>96</v>
      </c>
      <c r="J22" s="116">
        <v>91073</v>
      </c>
      <c r="K22" s="116">
        <v>277531</v>
      </c>
      <c r="L22" s="116">
        <v>572190</v>
      </c>
      <c r="M22" s="195">
        <v>2.643171806167401E-2</v>
      </c>
      <c r="N22" s="195">
        <v>1.679531524434009E-3</v>
      </c>
      <c r="O22" s="195">
        <v>5.7892792147018002E-3</v>
      </c>
      <c r="P22" s="195">
        <v>1.6994899391674735E-2</v>
      </c>
      <c r="V22" s="204" t="str">
        <f ca="1">IFERROR(__xludf.DUMMYFUNCTION("""COMPUTED_VALUE"""),"Qwazzツ")</f>
        <v>Qwazzツ</v>
      </c>
      <c r="W22" s="116">
        <f ca="1">IFERROR(__xludf.DUMMYFUNCTION("""COMPUTED_VALUE"""),1877046)</f>
        <v>1877046</v>
      </c>
      <c r="Y22" s="204" t="str">
        <f ca="1">IFERROR(__xludf.DUMMYFUNCTION("""COMPUTED_VALUE"""),"Zanax")</f>
        <v>Zanax</v>
      </c>
      <c r="Z22" s="116">
        <f ca="1">IFERROR(__xludf.DUMMYFUNCTION("""COMPUTED_VALUE"""),2564117)</f>
        <v>2564117</v>
      </c>
    </row>
    <row r="23" spans="1:26" ht="22.5" customHeight="1">
      <c r="A23" s="115">
        <v>24</v>
      </c>
      <c r="B23" s="115" t="s">
        <v>25</v>
      </c>
      <c r="C23" s="115" t="s">
        <v>24</v>
      </c>
      <c r="D23" s="115" t="s">
        <v>19</v>
      </c>
      <c r="E23" s="98" t="s">
        <v>887</v>
      </c>
      <c r="F23" s="115" t="s">
        <v>483</v>
      </c>
      <c r="G23" s="115">
        <v>22</v>
      </c>
      <c r="H23" s="115">
        <v>74</v>
      </c>
      <c r="I23" s="194">
        <v>96</v>
      </c>
      <c r="J23" s="116">
        <v>2067442</v>
      </c>
      <c r="K23" s="116">
        <v>1275207</v>
      </c>
      <c r="L23" s="116">
        <v>39929</v>
      </c>
      <c r="M23" s="195">
        <v>3.8585209003215437E-2</v>
      </c>
      <c r="N23" s="195">
        <v>4.3625396411412429E-2</v>
      </c>
      <c r="O23" s="195">
        <v>2.3429577007141884E-2</v>
      </c>
      <c r="P23" s="195">
        <v>1.1253548141224095E-3</v>
      </c>
      <c r="R23" s="232" t="s">
        <v>39</v>
      </c>
      <c r="S23" s="228"/>
      <c r="T23" s="228"/>
      <c r="V23" s="204" t="str">
        <f ca="1">IFERROR(__xludf.DUMMYFUNCTION("""COMPUTED_VALUE"""),"Zyrwolf")</f>
        <v>Zyrwolf</v>
      </c>
      <c r="W23" s="116">
        <f ca="1">IFERROR(__xludf.DUMMYFUNCTION("""COMPUTED_VALUE"""),1838473)</f>
        <v>1838473</v>
      </c>
      <c r="Y23" s="204" t="str">
        <f ca="1">IFERROR(__xludf.DUMMYFUNCTION("""COMPUTED_VALUE"""),"Theodynn")</f>
        <v>Theodynn</v>
      </c>
      <c r="Z23" s="116">
        <f ca="1">IFERROR(__xludf.DUMMYFUNCTION("""COMPUTED_VALUE"""),2522712)</f>
        <v>2522712</v>
      </c>
    </row>
    <row r="24" spans="1:26" ht="22.5" customHeight="1">
      <c r="A24" s="115">
        <v>33</v>
      </c>
      <c r="B24" s="115" t="s">
        <v>39</v>
      </c>
      <c r="C24" s="115" t="s">
        <v>32</v>
      </c>
      <c r="D24" s="115" t="s">
        <v>7</v>
      </c>
      <c r="E24" s="98" t="s">
        <v>877</v>
      </c>
      <c r="F24" s="115" t="s">
        <v>476</v>
      </c>
      <c r="G24" s="115">
        <v>14</v>
      </c>
      <c r="H24" s="115">
        <v>80</v>
      </c>
      <c r="I24" s="194">
        <v>94</v>
      </c>
      <c r="J24" s="116">
        <v>1824304</v>
      </c>
      <c r="K24" s="116">
        <v>1232157</v>
      </c>
      <c r="L24" s="116">
        <v>20344</v>
      </c>
      <c r="M24" s="195">
        <v>2.5881057268722467E-2</v>
      </c>
      <c r="N24" s="195">
        <v>3.364307838932571E-2</v>
      </c>
      <c r="O24" s="195">
        <v>2.5702717567944934E-2</v>
      </c>
      <c r="P24" s="195">
        <v>6.0424724868353311E-4</v>
      </c>
      <c r="R24" s="190" t="s">
        <v>482</v>
      </c>
      <c r="S24" s="222" t="s">
        <v>476</v>
      </c>
      <c r="T24" s="222" t="s">
        <v>483</v>
      </c>
      <c r="V24" s="204" t="str">
        <f ca="1">IFERROR(__xludf.DUMMYFUNCTION("""COMPUTED_VALUE"""),"KyurleZ")</f>
        <v>KyurleZ</v>
      </c>
      <c r="W24" s="116">
        <f ca="1">IFERROR(__xludf.DUMMYFUNCTION("""COMPUTED_VALUE"""),1760162)</f>
        <v>1760162</v>
      </c>
      <c r="Y24" s="204" t="str">
        <f ca="1">IFERROR(__xludf.DUMMYFUNCTION("""COMPUTED_VALUE"""),"Spicyparrot")</f>
        <v>Spicyparrot</v>
      </c>
      <c r="Z24" s="116">
        <f ca="1">IFERROR(__xludf.DUMMYFUNCTION("""COMPUTED_VALUE"""),2457084)</f>
        <v>2457084</v>
      </c>
    </row>
    <row r="25" spans="1:26" ht="22.5" customHeight="1">
      <c r="A25" s="115">
        <v>7</v>
      </c>
      <c r="B25" s="115" t="s">
        <v>25</v>
      </c>
      <c r="C25" s="115" t="s">
        <v>69</v>
      </c>
      <c r="D25" s="115" t="s">
        <v>19</v>
      </c>
      <c r="E25" s="98" t="s">
        <v>90</v>
      </c>
      <c r="F25" s="115" t="s">
        <v>483</v>
      </c>
      <c r="G25" s="115">
        <v>46</v>
      </c>
      <c r="H25" s="115">
        <v>45</v>
      </c>
      <c r="I25" s="194">
        <v>91</v>
      </c>
      <c r="J25" s="116">
        <v>2104505</v>
      </c>
      <c r="K25" s="116">
        <v>1392349</v>
      </c>
      <c r="L25" s="116">
        <v>134862</v>
      </c>
      <c r="M25" s="195">
        <v>3.6575562700964633E-2</v>
      </c>
      <c r="N25" s="195">
        <v>4.4407468202154889E-2</v>
      </c>
      <c r="O25" s="195">
        <v>2.5581845234786977E-2</v>
      </c>
      <c r="P25" s="195">
        <v>3.8009366861723659E-3</v>
      </c>
      <c r="R25" s="223" t="s">
        <v>468</v>
      </c>
      <c r="S25" s="207">
        <f>SUMIFS(Scoreboard_9[Damage Dealt],Scoreboard_9[Role],"Ranged DPS",Scoreboard_9[Team],"Yellow")</f>
        <v>28346147</v>
      </c>
      <c r="T25" s="219">
        <f>SUMIFS(Scoreboard_9[Damage Dealt],Scoreboard_9[Role],"Ranged DPS",Scoreboard_9[Team],"Red")</f>
        <v>20199636</v>
      </c>
      <c r="V25" s="204" t="str">
        <f ca="1">IFERROR(__xludf.DUMMYFUNCTION("""COMPUTED_VALUE"""),"Rhythmics")</f>
        <v>Rhythmics</v>
      </c>
      <c r="W25" s="116">
        <f ca="1">IFERROR(__xludf.DUMMYFUNCTION("""COMPUTED_VALUE"""),1755225)</f>
        <v>1755225</v>
      </c>
      <c r="Y25" s="204" t="str">
        <f ca="1">IFERROR(__xludf.DUMMYFUNCTION("""COMPUTED_VALUE"""),"Staff")</f>
        <v>Staff</v>
      </c>
      <c r="Z25" s="116">
        <f ca="1">IFERROR(__xludf.DUMMYFUNCTION("""COMPUTED_VALUE"""),2453549)</f>
        <v>2453549</v>
      </c>
    </row>
    <row r="26" spans="1:26" ht="22.5" customHeight="1">
      <c r="A26" s="115">
        <v>34</v>
      </c>
      <c r="B26" s="115" t="s">
        <v>39</v>
      </c>
      <c r="C26" s="115" t="s">
        <v>52</v>
      </c>
      <c r="D26" s="115" t="s">
        <v>7</v>
      </c>
      <c r="E26" s="98" t="s">
        <v>99</v>
      </c>
      <c r="F26" s="115" t="s">
        <v>476</v>
      </c>
      <c r="G26" s="115">
        <v>9</v>
      </c>
      <c r="H26" s="115">
        <v>80</v>
      </c>
      <c r="I26" s="194">
        <v>89</v>
      </c>
      <c r="J26" s="116">
        <v>2397276</v>
      </c>
      <c r="K26" s="116">
        <v>586686</v>
      </c>
      <c r="L26" s="116">
        <v>151152</v>
      </c>
      <c r="M26" s="195">
        <v>2.4504405286343612E-2</v>
      </c>
      <c r="N26" s="195">
        <v>4.4209596859322339E-2</v>
      </c>
      <c r="O26" s="195">
        <v>1.2238233081553196E-2</v>
      </c>
      <c r="P26" s="195">
        <v>4.4894406278516222E-3</v>
      </c>
      <c r="R26" s="223" t="s">
        <v>469</v>
      </c>
      <c r="S26" s="207">
        <f>SUMIFS(Scoreboard_9[Damage Taken],Scoreboard_9[Role],"Ranged DPS",Scoreboard_9[Team],"Yellow")</f>
        <v>12114589</v>
      </c>
      <c r="T26" s="219">
        <f>SUMIFS(Scoreboard_9[Damage Taken],Scoreboard_9[Role],"Ranged DPS",Scoreboard_9[Team],"Red")</f>
        <v>9269173</v>
      </c>
      <c r="V26" s="204" t="str">
        <f ca="1">IFERROR(__xludf.DUMMYFUNCTION("""COMPUTED_VALUE"""),"Griimnir")</f>
        <v>Griimnir</v>
      </c>
      <c r="W26" s="116">
        <f ca="1">IFERROR(__xludf.DUMMYFUNCTION("""COMPUTED_VALUE"""),1740083)</f>
        <v>1740083</v>
      </c>
      <c r="Y26" s="204" t="str">
        <f ca="1">IFERROR(__xludf.DUMMYFUNCTION("""COMPUTED_VALUE"""),"백미")</f>
        <v>백미</v>
      </c>
      <c r="Z26" s="116">
        <f ca="1">IFERROR(__xludf.DUMMYFUNCTION("""COMPUTED_VALUE"""),2412178)</f>
        <v>2412178</v>
      </c>
    </row>
    <row r="27" spans="1:26" ht="22.5" customHeight="1">
      <c r="A27" s="115">
        <v>32</v>
      </c>
      <c r="B27" s="115" t="s">
        <v>67</v>
      </c>
      <c r="C27" s="115" t="s">
        <v>14</v>
      </c>
      <c r="D27" s="115" t="s">
        <v>7</v>
      </c>
      <c r="E27" s="98" t="s">
        <v>856</v>
      </c>
      <c r="F27" s="115" t="s">
        <v>476</v>
      </c>
      <c r="G27" s="115">
        <v>15</v>
      </c>
      <c r="H27" s="115">
        <v>72</v>
      </c>
      <c r="I27" s="194">
        <v>87</v>
      </c>
      <c r="J27" s="116">
        <v>887365</v>
      </c>
      <c r="K27" s="116">
        <v>442392</v>
      </c>
      <c r="L27" s="116">
        <v>79337</v>
      </c>
      <c r="M27" s="195">
        <v>2.3953744493392069E-2</v>
      </c>
      <c r="N27" s="195">
        <v>1.6364427340478344E-2</v>
      </c>
      <c r="O27" s="195">
        <v>9.2282693117178207E-3</v>
      </c>
      <c r="P27" s="195">
        <v>2.3564276429810004E-3</v>
      </c>
      <c r="R27" s="223" t="s">
        <v>470</v>
      </c>
      <c r="S27" s="207">
        <f>SUMIFS(Scoreboard_9[Amount Healed],Scoreboard_9[Role],"Ranged DPS",Scoreboard_9[Team],"Yellow")</f>
        <v>1664127</v>
      </c>
      <c r="T27" s="219">
        <f>SUMIFS(Scoreboard_9[Amount Healed],Scoreboard_9[Role],"Ranged DPS",Scoreboard_9[Team],"Red")</f>
        <v>657533</v>
      </c>
    </row>
    <row r="28" spans="1:26" ht="22.5" customHeight="1">
      <c r="A28" s="115">
        <v>68</v>
      </c>
      <c r="B28" s="115" t="s">
        <v>11</v>
      </c>
      <c r="C28" s="115" t="s">
        <v>10</v>
      </c>
      <c r="D28" s="115" t="s">
        <v>19</v>
      </c>
      <c r="E28" s="98" t="s">
        <v>888</v>
      </c>
      <c r="F28" s="115" t="s">
        <v>483</v>
      </c>
      <c r="G28" s="115">
        <v>0</v>
      </c>
      <c r="H28" s="115">
        <v>83</v>
      </c>
      <c r="I28" s="194">
        <v>83</v>
      </c>
      <c r="J28" s="116">
        <v>66010</v>
      </c>
      <c r="K28" s="116">
        <v>592877</v>
      </c>
      <c r="L28" s="116">
        <v>1751938</v>
      </c>
      <c r="M28" s="195">
        <v>3.3360128617363344E-2</v>
      </c>
      <c r="N28" s="195">
        <v>1.3928866769260442E-3</v>
      </c>
      <c r="O28" s="195">
        <v>1.089302154651226E-2</v>
      </c>
      <c r="P28" s="195">
        <v>4.9376439739136614E-2</v>
      </c>
      <c r="R28" s="223" t="s">
        <v>465</v>
      </c>
      <c r="S28" s="207">
        <f>SUMIFS(Scoreboard_9[Kills],Scoreboard_9[Role],"Ranged DPS",Scoreboard_9[Team],"Yellow")</f>
        <v>297</v>
      </c>
      <c r="T28" s="219">
        <f>SUMIFS(Scoreboard_9[Kills],Scoreboard_9[Role],"Ranged DPS",Scoreboard_9[Team],"Red")</f>
        <v>225</v>
      </c>
    </row>
    <row r="29" spans="1:26" ht="22.5" customHeight="1">
      <c r="A29" s="115">
        <v>18</v>
      </c>
      <c r="B29" s="115" t="s">
        <v>39</v>
      </c>
      <c r="C29" s="115" t="s">
        <v>54</v>
      </c>
      <c r="D29" s="115" t="s">
        <v>7</v>
      </c>
      <c r="E29" s="98" t="s">
        <v>879</v>
      </c>
      <c r="F29" s="115" t="s">
        <v>476</v>
      </c>
      <c r="G29" s="115">
        <v>29</v>
      </c>
      <c r="H29" s="115">
        <v>53</v>
      </c>
      <c r="I29" s="194">
        <v>82</v>
      </c>
      <c r="J29" s="116">
        <v>1850156</v>
      </c>
      <c r="K29" s="116">
        <v>554130</v>
      </c>
      <c r="L29" s="116">
        <v>25149</v>
      </c>
      <c r="M29" s="195">
        <v>2.2577092511013214E-2</v>
      </c>
      <c r="N29" s="195">
        <v>3.4119830543857435E-2</v>
      </c>
      <c r="O29" s="195">
        <v>1.1559116967988111E-2</v>
      </c>
      <c r="P29" s="195">
        <v>7.4696294028422016E-4</v>
      </c>
      <c r="R29" s="223" t="s">
        <v>466</v>
      </c>
      <c r="S29" s="207">
        <f>SUMIFS(Scoreboard_9[Assists],Scoreboard_9[Role],"Ranged DPS",Scoreboard_9[Team],"Yellow")</f>
        <v>906</v>
      </c>
      <c r="T29" s="219">
        <f>SUMIFS(Scoreboard_9[Assists],Scoreboard_9[Role],"Ranged DPS",Scoreboard_9[Team],"Red")</f>
        <v>430</v>
      </c>
    </row>
    <row r="30" spans="1:26" ht="22.5" customHeight="1">
      <c r="A30" s="115">
        <v>69</v>
      </c>
      <c r="B30" s="115" t="s">
        <v>11</v>
      </c>
      <c r="C30" s="115" t="s">
        <v>10</v>
      </c>
      <c r="D30" s="115" t="s">
        <v>7</v>
      </c>
      <c r="E30" s="98" t="s">
        <v>51</v>
      </c>
      <c r="F30" s="115" t="s">
        <v>476</v>
      </c>
      <c r="G30" s="115">
        <v>0</v>
      </c>
      <c r="H30" s="115">
        <v>81</v>
      </c>
      <c r="I30" s="194">
        <v>81</v>
      </c>
      <c r="J30" s="116">
        <v>52167</v>
      </c>
      <c r="K30" s="116">
        <v>422341</v>
      </c>
      <c r="L30" s="116">
        <v>1777951</v>
      </c>
      <c r="M30" s="195">
        <v>2.2301762114537445E-2</v>
      </c>
      <c r="N30" s="195">
        <v>9.6204276827543782E-4</v>
      </c>
      <c r="O30" s="195">
        <v>8.8100067121019733E-3</v>
      </c>
      <c r="P30" s="195">
        <v>5.2807805743419999E-2</v>
      </c>
      <c r="R30" s="6"/>
      <c r="S30" s="6"/>
      <c r="T30" s="6"/>
    </row>
    <row r="31" spans="1:26" ht="22.5" customHeight="1">
      <c r="A31" s="115">
        <v>22</v>
      </c>
      <c r="B31" s="115" t="s">
        <v>39</v>
      </c>
      <c r="C31" s="115" t="s">
        <v>56</v>
      </c>
      <c r="D31" s="115" t="s">
        <v>7</v>
      </c>
      <c r="E31" s="98" t="s">
        <v>854</v>
      </c>
      <c r="F31" s="115" t="s">
        <v>476</v>
      </c>
      <c r="G31" s="115">
        <v>25</v>
      </c>
      <c r="H31" s="115">
        <v>55</v>
      </c>
      <c r="I31" s="194">
        <v>80</v>
      </c>
      <c r="J31" s="116">
        <v>1533006</v>
      </c>
      <c r="K31" s="116">
        <v>1705106</v>
      </c>
      <c r="L31" s="116">
        <v>208064</v>
      </c>
      <c r="M31" s="195">
        <v>2.2026431718061675E-2</v>
      </c>
      <c r="N31" s="195">
        <v>2.8271078191631795E-2</v>
      </c>
      <c r="O31" s="195">
        <v>3.556840397888282E-2</v>
      </c>
      <c r="P31" s="195">
        <v>6.1798122075349309E-3</v>
      </c>
      <c r="R31" s="232" t="s">
        <v>67</v>
      </c>
      <c r="S31" s="228"/>
      <c r="T31" s="228"/>
    </row>
    <row r="32" spans="1:26" ht="22.5" customHeight="1">
      <c r="A32" s="115">
        <v>48</v>
      </c>
      <c r="B32" s="115" t="s">
        <v>11</v>
      </c>
      <c r="C32" s="115" t="s">
        <v>10</v>
      </c>
      <c r="D32" s="115" t="s">
        <v>7</v>
      </c>
      <c r="E32" s="98" t="s">
        <v>29</v>
      </c>
      <c r="F32" s="115" t="s">
        <v>476</v>
      </c>
      <c r="G32" s="115">
        <v>2</v>
      </c>
      <c r="H32" s="115">
        <v>78</v>
      </c>
      <c r="I32" s="194">
        <v>80</v>
      </c>
      <c r="J32" s="116">
        <v>185195</v>
      </c>
      <c r="K32" s="116">
        <v>305262</v>
      </c>
      <c r="L32" s="116">
        <v>2046903</v>
      </c>
      <c r="M32" s="195">
        <v>2.2026431718061675E-2</v>
      </c>
      <c r="N32" s="195">
        <v>3.4152914768104301E-3</v>
      </c>
      <c r="O32" s="195">
        <v>6.3677461315611618E-3</v>
      </c>
      <c r="P32" s="195">
        <v>6.0796082681482011E-2</v>
      </c>
      <c r="R32" s="190" t="s">
        <v>482</v>
      </c>
      <c r="S32" s="222" t="s">
        <v>476</v>
      </c>
      <c r="T32" s="222" t="s">
        <v>483</v>
      </c>
    </row>
    <row r="33" spans="1:20" ht="22.5" customHeight="1">
      <c r="A33" s="115">
        <v>70</v>
      </c>
      <c r="B33" s="115" t="s">
        <v>11</v>
      </c>
      <c r="C33" s="115" t="s">
        <v>10</v>
      </c>
      <c r="D33" s="115" t="s">
        <v>7</v>
      </c>
      <c r="E33" s="98" t="s">
        <v>41</v>
      </c>
      <c r="F33" s="115" t="s">
        <v>476</v>
      </c>
      <c r="G33" s="115">
        <v>0</v>
      </c>
      <c r="H33" s="115">
        <v>80</v>
      </c>
      <c r="I33" s="194">
        <v>80</v>
      </c>
      <c r="J33" s="116">
        <v>1308</v>
      </c>
      <c r="K33" s="116">
        <v>1038764</v>
      </c>
      <c r="L33" s="116">
        <v>2337479</v>
      </c>
      <c r="M33" s="195">
        <v>2.2026431718061675E-2</v>
      </c>
      <c r="N33" s="195">
        <v>2.4121608313766799E-5</v>
      </c>
      <c r="O33" s="195">
        <v>2.1668551744419545E-2</v>
      </c>
      <c r="P33" s="195">
        <v>6.9426624783992155E-2</v>
      </c>
      <c r="R33" s="223" t="s">
        <v>468</v>
      </c>
      <c r="S33" s="207">
        <f>SUMIFS(Scoreboard_9[Damage Dealt],Scoreboard_9[Role],"Tank",Scoreboard_9[Team],"Yellow")</f>
        <v>5651008</v>
      </c>
      <c r="T33" s="219">
        <f>SUMIFS(Scoreboard_9[Damage Dealt],Scoreboard_9[Role],"Tank",Scoreboard_9[Team],"Red")</f>
        <v>3020512</v>
      </c>
    </row>
    <row r="34" spans="1:20" ht="22.5" customHeight="1">
      <c r="A34" s="115">
        <v>71</v>
      </c>
      <c r="B34" s="115" t="s">
        <v>11</v>
      </c>
      <c r="C34" s="115" t="s">
        <v>10</v>
      </c>
      <c r="D34" s="115" t="s">
        <v>19</v>
      </c>
      <c r="E34" s="98" t="s">
        <v>101</v>
      </c>
      <c r="F34" s="115" t="s">
        <v>483</v>
      </c>
      <c r="G34" s="115">
        <v>0</v>
      </c>
      <c r="H34" s="115">
        <v>77</v>
      </c>
      <c r="I34" s="194">
        <v>77</v>
      </c>
      <c r="J34" s="116">
        <v>1175</v>
      </c>
      <c r="K34" s="116">
        <v>1135846</v>
      </c>
      <c r="L34" s="116">
        <v>2148382</v>
      </c>
      <c r="M34" s="195">
        <v>3.0948553054662379E-2</v>
      </c>
      <c r="N34" s="195">
        <v>2.4793847074505406E-5</v>
      </c>
      <c r="O34" s="195">
        <v>2.0869075628705051E-2</v>
      </c>
      <c r="P34" s="195">
        <v>6.0549776510153787E-2</v>
      </c>
      <c r="R34" s="223" t="s">
        <v>469</v>
      </c>
      <c r="S34" s="207">
        <f>SUMIFS(Scoreboard_9[Damage Taken],Scoreboard_9[Role],"Tank",Scoreboard_9[Team],"Yellow")</f>
        <v>13789938</v>
      </c>
      <c r="T34" s="219">
        <f>SUMIFS(Scoreboard_9[Damage Taken],Scoreboard_9[Role],"Tank",Scoreboard_9[Team],"Red")</f>
        <v>13171763</v>
      </c>
    </row>
    <row r="35" spans="1:20" ht="22.5" customHeight="1">
      <c r="A35" s="115">
        <v>40</v>
      </c>
      <c r="B35" s="115" t="s">
        <v>11</v>
      </c>
      <c r="C35" s="115" t="s">
        <v>10</v>
      </c>
      <c r="D35" s="115" t="s">
        <v>7</v>
      </c>
      <c r="E35" s="98" t="s">
        <v>17</v>
      </c>
      <c r="F35" s="115" t="s">
        <v>476</v>
      </c>
      <c r="G35" s="115">
        <v>4</v>
      </c>
      <c r="H35" s="115">
        <v>72</v>
      </c>
      <c r="I35" s="194">
        <v>76</v>
      </c>
      <c r="J35" s="116">
        <v>221853</v>
      </c>
      <c r="K35" s="116">
        <v>1248923</v>
      </c>
      <c r="L35" s="116">
        <v>3867775</v>
      </c>
      <c r="M35" s="195">
        <v>2.092511013215859E-2</v>
      </c>
      <c r="N35" s="195">
        <v>4.0913235238792854E-3</v>
      </c>
      <c r="O35" s="195">
        <v>2.6052455274052325E-2</v>
      </c>
      <c r="P35" s="195">
        <v>0.11487870636438027</v>
      </c>
      <c r="R35" s="223" t="s">
        <v>470</v>
      </c>
      <c r="S35" s="207">
        <f>SUMIFS(Scoreboard_9[Amount Healed],Scoreboard_9[Role],"Tank",Scoreboard_9[Team],"Yellow")</f>
        <v>949369</v>
      </c>
      <c r="T35" s="219">
        <f>SUMIFS(Scoreboard_9[Amount Healed],Scoreboard_9[Role],"Tank",Scoreboard_9[Team],"Red")</f>
        <v>1084421</v>
      </c>
    </row>
    <row r="36" spans="1:20" ht="22.5" customHeight="1">
      <c r="A36" s="115">
        <v>72</v>
      </c>
      <c r="B36" s="115" t="s">
        <v>11</v>
      </c>
      <c r="C36" s="115" t="s">
        <v>10</v>
      </c>
      <c r="D36" s="115" t="s">
        <v>7</v>
      </c>
      <c r="E36" s="98" t="s">
        <v>102</v>
      </c>
      <c r="F36" s="115" t="s">
        <v>476</v>
      </c>
      <c r="G36" s="115">
        <v>0</v>
      </c>
      <c r="H36" s="115">
        <v>75</v>
      </c>
      <c r="I36" s="194">
        <v>75</v>
      </c>
      <c r="J36" s="116">
        <v>145807</v>
      </c>
      <c r="K36" s="116">
        <v>943349</v>
      </c>
      <c r="L36" s="116">
        <v>2457084</v>
      </c>
      <c r="M36" s="195">
        <v>2.064977973568282E-2</v>
      </c>
      <c r="N36" s="195">
        <v>2.6889138711050425E-3</v>
      </c>
      <c r="O36" s="195">
        <v>1.9678200842103147E-2</v>
      </c>
      <c r="P36" s="195">
        <v>7.297907229572996E-2</v>
      </c>
      <c r="R36" s="223" t="s">
        <v>465</v>
      </c>
      <c r="S36" s="207">
        <f>SUMIFS(Scoreboard_9[Kills],Scoreboard_9[Role],"Tank",Scoreboard_9[Team],"Yellow")</f>
        <v>50</v>
      </c>
      <c r="T36" s="219">
        <f>SUMIFS(Scoreboard_9[Kills],Scoreboard_9[Role],"Tank",Scoreboard_9[Team],"Red")</f>
        <v>12</v>
      </c>
    </row>
    <row r="37" spans="1:20" ht="22.5" customHeight="1">
      <c r="A37" s="115">
        <v>6</v>
      </c>
      <c r="B37" s="115" t="s">
        <v>39</v>
      </c>
      <c r="C37" s="115" t="s">
        <v>54</v>
      </c>
      <c r="D37" s="115" t="s">
        <v>19</v>
      </c>
      <c r="E37" s="98" t="s">
        <v>103</v>
      </c>
      <c r="F37" s="115" t="s">
        <v>483</v>
      </c>
      <c r="G37" s="115">
        <v>49</v>
      </c>
      <c r="H37" s="115">
        <v>26</v>
      </c>
      <c r="I37" s="194">
        <v>75</v>
      </c>
      <c r="J37" s="116">
        <v>1984029</v>
      </c>
      <c r="K37" s="116">
        <v>570953</v>
      </c>
      <c r="L37" s="116">
        <v>27618</v>
      </c>
      <c r="M37" s="195">
        <v>3.0144694533762059E-2</v>
      </c>
      <c r="N37" s="195">
        <v>4.1865286482879904E-2</v>
      </c>
      <c r="O37" s="195">
        <v>1.049020847670902E-2</v>
      </c>
      <c r="P37" s="195">
        <v>7.7838286098907332E-4</v>
      </c>
      <c r="R37" s="223" t="s">
        <v>466</v>
      </c>
      <c r="S37" s="207">
        <f>SUMIFS(Scoreboard_9[Assists],Scoreboard_9[Role],"Tank",Scoreboard_9[Team],"Yellow")</f>
        <v>402</v>
      </c>
      <c r="T37" s="219">
        <f>SUMIFS(Scoreboard_9[Assists],Scoreboard_9[Role],"Tank",Scoreboard_9[Team],"Red")</f>
        <v>220</v>
      </c>
    </row>
    <row r="38" spans="1:20" ht="22.5" customHeight="1">
      <c r="A38" s="115">
        <v>73</v>
      </c>
      <c r="B38" s="115" t="s">
        <v>11</v>
      </c>
      <c r="C38" s="115" t="s">
        <v>10</v>
      </c>
      <c r="D38" s="115" t="s">
        <v>7</v>
      </c>
      <c r="E38" s="98" t="s">
        <v>108</v>
      </c>
      <c r="F38" s="115" t="s">
        <v>476</v>
      </c>
      <c r="G38" s="115">
        <v>0</v>
      </c>
      <c r="H38" s="115">
        <v>74</v>
      </c>
      <c r="I38" s="194">
        <v>74</v>
      </c>
      <c r="J38" s="116">
        <v>124856</v>
      </c>
      <c r="K38" s="116">
        <v>1245592</v>
      </c>
      <c r="L38" s="116">
        <v>2022877</v>
      </c>
      <c r="M38" s="195">
        <v>2.0374449339207047E-2</v>
      </c>
      <c r="N38" s="195">
        <v>2.3025439813636603E-3</v>
      </c>
      <c r="O38" s="195">
        <v>2.598297082343538E-2</v>
      </c>
      <c r="P38" s="195">
        <v>6.0082474521981885E-2</v>
      </c>
    </row>
    <row r="39" spans="1:20" ht="22.5" customHeight="1">
      <c r="A39" s="115">
        <v>21</v>
      </c>
      <c r="B39" s="115" t="s">
        <v>25</v>
      </c>
      <c r="C39" s="115" t="s">
        <v>69</v>
      </c>
      <c r="D39" s="115" t="s">
        <v>7</v>
      </c>
      <c r="E39" s="98" t="s">
        <v>889</v>
      </c>
      <c r="F39" s="115" t="s">
        <v>476</v>
      </c>
      <c r="G39" s="115">
        <v>27</v>
      </c>
      <c r="H39" s="115">
        <v>45</v>
      </c>
      <c r="I39" s="194">
        <v>72</v>
      </c>
      <c r="J39" s="116">
        <v>1393906</v>
      </c>
      <c r="K39" s="116">
        <v>1045910</v>
      </c>
      <c r="L39" s="116">
        <v>32208</v>
      </c>
      <c r="M39" s="195">
        <v>1.9823788546255508E-2</v>
      </c>
      <c r="N39" s="195">
        <v>2.5705852108722803E-2</v>
      </c>
      <c r="O39" s="195">
        <v>2.1817616855229722E-2</v>
      </c>
      <c r="P39" s="195">
        <v>9.5662580542662384E-4</v>
      </c>
      <c r="R39" s="232" t="s">
        <v>11</v>
      </c>
      <c r="S39" s="228"/>
      <c r="T39" s="228"/>
    </row>
    <row r="40" spans="1:20" ht="22.5" customHeight="1">
      <c r="A40" s="115">
        <v>74</v>
      </c>
      <c r="B40" s="115" t="s">
        <v>11</v>
      </c>
      <c r="C40" s="115" t="s">
        <v>10</v>
      </c>
      <c r="D40" s="115" t="s">
        <v>7</v>
      </c>
      <c r="E40" s="98" t="s">
        <v>100</v>
      </c>
      <c r="F40" s="115" t="s">
        <v>476</v>
      </c>
      <c r="G40" s="115">
        <v>0</v>
      </c>
      <c r="H40" s="115">
        <v>71</v>
      </c>
      <c r="I40" s="194">
        <v>71</v>
      </c>
      <c r="J40" s="116">
        <v>9447</v>
      </c>
      <c r="K40" s="116">
        <v>1264141</v>
      </c>
      <c r="L40" s="116">
        <v>1432592</v>
      </c>
      <c r="M40" s="195">
        <v>1.9548458149779735E-2</v>
      </c>
      <c r="N40" s="195">
        <v>1.7421776279828361E-4</v>
      </c>
      <c r="O40" s="195">
        <v>2.6369901797465321E-2</v>
      </c>
      <c r="P40" s="195">
        <v>4.255012654768188E-2</v>
      </c>
      <c r="R40" s="190" t="s">
        <v>482</v>
      </c>
      <c r="S40" s="222" t="s">
        <v>476</v>
      </c>
      <c r="T40" s="222" t="s">
        <v>483</v>
      </c>
    </row>
    <row r="41" spans="1:20" ht="22.5" customHeight="1">
      <c r="A41" s="115">
        <v>75</v>
      </c>
      <c r="B41" s="115" t="s">
        <v>11</v>
      </c>
      <c r="C41" s="115" t="s">
        <v>10</v>
      </c>
      <c r="D41" s="115" t="s">
        <v>7</v>
      </c>
      <c r="E41" s="98" t="s">
        <v>91</v>
      </c>
      <c r="F41" s="115" t="s">
        <v>476</v>
      </c>
      <c r="G41" s="115">
        <v>0</v>
      </c>
      <c r="H41" s="115">
        <v>71</v>
      </c>
      <c r="I41" s="194">
        <v>71</v>
      </c>
      <c r="J41" s="116">
        <v>2487</v>
      </c>
      <c r="K41" s="116">
        <v>1119430</v>
      </c>
      <c r="L41" s="116">
        <v>2935566</v>
      </c>
      <c r="M41" s="195">
        <v>1.9548458149779735E-2</v>
      </c>
      <c r="N41" s="195">
        <v>4.5864250669983204E-5</v>
      </c>
      <c r="O41" s="195">
        <v>2.3351239433842114E-2</v>
      </c>
      <c r="P41" s="195">
        <v>8.7190703835476044E-2</v>
      </c>
      <c r="R41" s="223" t="s">
        <v>468</v>
      </c>
      <c r="S41" s="207">
        <f>SUMIFS(Scoreboard_9[Damage Dealt],Scoreboard_9[Role],"Healer",Scoreboard_9[Team],"Yellow")</f>
        <v>1636287</v>
      </c>
      <c r="T41" s="219">
        <f>SUMIFS(Scoreboard_9[Damage Dealt],Scoreboard_9[Role],"Healer",Scoreboard_9[Team],"Red")</f>
        <v>1386408</v>
      </c>
    </row>
    <row r="42" spans="1:20" ht="22.5" customHeight="1">
      <c r="A42" s="115">
        <v>31</v>
      </c>
      <c r="B42" s="115" t="s">
        <v>25</v>
      </c>
      <c r="C42" s="115" t="s">
        <v>23</v>
      </c>
      <c r="D42" s="115" t="s">
        <v>19</v>
      </c>
      <c r="E42" s="98" t="s">
        <v>890</v>
      </c>
      <c r="F42" s="115" t="s">
        <v>483</v>
      </c>
      <c r="G42" s="115">
        <v>17</v>
      </c>
      <c r="H42" s="115">
        <v>54</v>
      </c>
      <c r="I42" s="194">
        <v>71</v>
      </c>
      <c r="J42" s="116">
        <v>1674019</v>
      </c>
      <c r="K42" s="116">
        <v>1443427</v>
      </c>
      <c r="L42" s="116">
        <v>119421</v>
      </c>
      <c r="M42" s="195">
        <v>2.8536977491961414E-2</v>
      </c>
      <c r="N42" s="195">
        <v>3.5323720073035289E-2</v>
      </c>
      <c r="O42" s="195">
        <v>2.6520309291501527E-2</v>
      </c>
      <c r="P42" s="195">
        <v>3.3657491361494722E-3</v>
      </c>
      <c r="R42" s="223" t="s">
        <v>469</v>
      </c>
      <c r="S42" s="207">
        <f>SUMIFS(Scoreboard_9[Damage Taken],Scoreboard_9[Role],"Healer",Scoreboard_9[Team],"Yellow")</f>
        <v>13068407</v>
      </c>
      <c r="T42" s="219">
        <f>SUMIFS(Scoreboard_9[Damage Taken],Scoreboard_9[Role],"Healer",Scoreboard_9[Team],"Red")</f>
        <v>16522290</v>
      </c>
    </row>
    <row r="43" spans="1:20" ht="22.5" customHeight="1">
      <c r="A43" s="115">
        <v>15</v>
      </c>
      <c r="B43" s="115" t="s">
        <v>39</v>
      </c>
      <c r="C43" s="115" t="s">
        <v>54</v>
      </c>
      <c r="D43" s="115" t="s">
        <v>19</v>
      </c>
      <c r="E43" s="98" t="s">
        <v>891</v>
      </c>
      <c r="F43" s="115" t="s">
        <v>483</v>
      </c>
      <c r="G43" s="115">
        <v>33</v>
      </c>
      <c r="H43" s="115">
        <v>36</v>
      </c>
      <c r="I43" s="194">
        <v>69</v>
      </c>
      <c r="J43" s="116">
        <v>1422124</v>
      </c>
      <c r="K43" s="116">
        <v>950750</v>
      </c>
      <c r="L43" s="116">
        <v>15260</v>
      </c>
      <c r="M43" s="195">
        <v>2.7733118971061094E-2</v>
      </c>
      <c r="N43" s="195">
        <v>3.0008446788922487E-2</v>
      </c>
      <c r="O43" s="195">
        <v>1.7468277965491209E-2</v>
      </c>
      <c r="P43" s="195">
        <v>4.3008626470755513E-4</v>
      </c>
      <c r="R43" s="223" t="s">
        <v>470</v>
      </c>
      <c r="S43" s="207">
        <f>SUMIFS(Scoreboard_9[Amount Healed],Scoreboard_9[Role],"Healer",Scoreboard_9[Team],"Yellow")</f>
        <v>30653902</v>
      </c>
      <c r="T43" s="219">
        <f>SUMIFS(Scoreboard_9[Amount Healed],Scoreboard_9[Role],"Healer",Scoreboard_9[Team],"Red")</f>
        <v>32789990</v>
      </c>
    </row>
    <row r="44" spans="1:20" ht="22.5" customHeight="1">
      <c r="A44" s="115">
        <v>30</v>
      </c>
      <c r="B44" s="115" t="s">
        <v>39</v>
      </c>
      <c r="C44" s="115" t="s">
        <v>32</v>
      </c>
      <c r="D44" s="115" t="s">
        <v>19</v>
      </c>
      <c r="E44" s="98" t="s">
        <v>892</v>
      </c>
      <c r="F44" s="115" t="s">
        <v>483</v>
      </c>
      <c r="G44" s="115">
        <v>19</v>
      </c>
      <c r="H44" s="115">
        <v>50</v>
      </c>
      <c r="I44" s="194">
        <v>69</v>
      </c>
      <c r="J44" s="116">
        <v>2444745</v>
      </c>
      <c r="K44" s="116">
        <v>1361601</v>
      </c>
      <c r="L44" s="116">
        <v>28200</v>
      </c>
      <c r="M44" s="195">
        <v>2.7733118971061094E-2</v>
      </c>
      <c r="N44" s="195">
        <v>5.1586922269073798E-2</v>
      </c>
      <c r="O44" s="195">
        <v>2.5016907437381851E-2</v>
      </c>
      <c r="P44" s="195">
        <v>7.9478588890911244E-4</v>
      </c>
      <c r="R44" s="223" t="s">
        <v>465</v>
      </c>
      <c r="S44" s="207">
        <f>SUMIFS(Scoreboard_9[Kills],Scoreboard_9[Role],"Healer",Scoreboard_9[Team],"Yellow")</f>
        <v>14</v>
      </c>
      <c r="T44" s="219">
        <f>SUMIFS(Scoreboard_9[Kills],Scoreboard_9[Role],"Healer",Scoreboard_9[Team],"Red")</f>
        <v>3</v>
      </c>
    </row>
    <row r="45" spans="1:20" ht="22.5" customHeight="1">
      <c r="A45" s="115">
        <v>56</v>
      </c>
      <c r="B45" s="115" t="s">
        <v>11</v>
      </c>
      <c r="C45" s="115" t="s">
        <v>9</v>
      </c>
      <c r="D45" s="115" t="s">
        <v>19</v>
      </c>
      <c r="E45" s="98" t="s">
        <v>74</v>
      </c>
      <c r="F45" s="115" t="s">
        <v>483</v>
      </c>
      <c r="G45" s="115">
        <v>1</v>
      </c>
      <c r="H45" s="115">
        <v>66</v>
      </c>
      <c r="I45" s="194">
        <v>67</v>
      </c>
      <c r="J45" s="116">
        <v>78520</v>
      </c>
      <c r="K45" s="116">
        <v>611588</v>
      </c>
      <c r="L45" s="116">
        <v>912852</v>
      </c>
      <c r="M45" s="195">
        <v>2.6929260450160773E-2</v>
      </c>
      <c r="N45" s="195">
        <v>1.6568620189703527E-3</v>
      </c>
      <c r="O45" s="195">
        <v>1.123680166643054E-2</v>
      </c>
      <c r="P45" s="195">
        <v>2.5727726534129827E-2</v>
      </c>
      <c r="R45" s="223" t="s">
        <v>466</v>
      </c>
      <c r="S45" s="207">
        <f>SUMIFS(Scoreboard_9[Assists],Scoreboard_9[Role],"Healer",Scoreboard_9[Team],"Yellow")</f>
        <v>1055</v>
      </c>
      <c r="T45" s="219">
        <f>SUMIFS(Scoreboard_9[Assists],Scoreboard_9[Role],"Healer",Scoreboard_9[Team],"Red")</f>
        <v>717</v>
      </c>
    </row>
    <row r="46" spans="1:20" ht="22.5" customHeight="1">
      <c r="A46" s="115">
        <v>35</v>
      </c>
      <c r="B46" s="115" t="s">
        <v>39</v>
      </c>
      <c r="C46" s="115" t="s">
        <v>32</v>
      </c>
      <c r="D46" s="115" t="s">
        <v>19</v>
      </c>
      <c r="E46" s="98" t="s">
        <v>250</v>
      </c>
      <c r="F46" s="115" t="s">
        <v>483</v>
      </c>
      <c r="G46" s="115">
        <v>8</v>
      </c>
      <c r="H46" s="115">
        <v>58</v>
      </c>
      <c r="I46" s="194">
        <v>66</v>
      </c>
      <c r="J46" s="116">
        <v>1376311</v>
      </c>
      <c r="K46" s="116">
        <v>1203413</v>
      </c>
      <c r="L46" s="116">
        <v>0</v>
      </c>
      <c r="M46" s="195">
        <v>2.652733118971061E-2</v>
      </c>
      <c r="N46" s="195">
        <v>2.9041739966774133E-2</v>
      </c>
      <c r="O46" s="195">
        <v>2.2110494652943121E-2</v>
      </c>
      <c r="P46" s="195">
        <v>0</v>
      </c>
    </row>
    <row r="47" spans="1:20" ht="22.5" customHeight="1">
      <c r="A47" s="115">
        <v>76</v>
      </c>
      <c r="B47" s="115" t="s">
        <v>11</v>
      </c>
      <c r="C47" s="115" t="s">
        <v>10</v>
      </c>
      <c r="D47" s="115" t="s">
        <v>19</v>
      </c>
      <c r="E47" s="98" t="s">
        <v>893</v>
      </c>
      <c r="F47" s="115" t="s">
        <v>483</v>
      </c>
      <c r="G47" s="115">
        <v>0</v>
      </c>
      <c r="H47" s="115">
        <v>65</v>
      </c>
      <c r="I47" s="194">
        <v>65</v>
      </c>
      <c r="J47" s="116">
        <v>118508</v>
      </c>
      <c r="K47" s="116">
        <v>1116574</v>
      </c>
      <c r="L47" s="116">
        <v>2183925</v>
      </c>
      <c r="M47" s="195">
        <v>2.6125401929260449E-2</v>
      </c>
      <c r="N47" s="195">
        <v>2.5006546630684991E-3</v>
      </c>
      <c r="O47" s="195">
        <v>2.0514988168330667E-2</v>
      </c>
      <c r="P47" s="195">
        <v>6.1551516753043732E-2</v>
      </c>
    </row>
    <row r="48" spans="1:20" ht="22.5" customHeight="1">
      <c r="A48" s="115">
        <v>29</v>
      </c>
      <c r="B48" s="115" t="s">
        <v>39</v>
      </c>
      <c r="C48" s="115" t="s">
        <v>32</v>
      </c>
      <c r="D48" s="115" t="s">
        <v>19</v>
      </c>
      <c r="E48" s="98" t="s">
        <v>894</v>
      </c>
      <c r="F48" s="115" t="s">
        <v>483</v>
      </c>
      <c r="G48" s="115">
        <v>20</v>
      </c>
      <c r="H48" s="115">
        <v>44</v>
      </c>
      <c r="I48" s="194">
        <v>64</v>
      </c>
      <c r="J48" s="116">
        <v>2419680</v>
      </c>
      <c r="K48" s="116">
        <v>1088957</v>
      </c>
      <c r="L48" s="116">
        <v>47776</v>
      </c>
      <c r="M48" s="195">
        <v>2.5723472668810289E-2</v>
      </c>
      <c r="N48" s="195">
        <v>5.1058022033395094E-2</v>
      </c>
      <c r="O48" s="195">
        <v>2.0007576722027253E-2</v>
      </c>
      <c r="P48" s="195">
        <v>1.3465138520752395E-3</v>
      </c>
    </row>
    <row r="49" spans="1:16" ht="22.5" customHeight="1">
      <c r="A49" s="115">
        <v>77</v>
      </c>
      <c r="B49" s="115" t="s">
        <v>11</v>
      </c>
      <c r="C49" s="115" t="s">
        <v>10</v>
      </c>
      <c r="D49" s="115" t="s">
        <v>7</v>
      </c>
      <c r="E49" s="98" t="s">
        <v>420</v>
      </c>
      <c r="F49" s="115" t="s">
        <v>476</v>
      </c>
      <c r="G49" s="115">
        <v>0</v>
      </c>
      <c r="H49" s="115">
        <v>62</v>
      </c>
      <c r="I49" s="194">
        <v>62</v>
      </c>
      <c r="J49" s="116">
        <v>114588</v>
      </c>
      <c r="K49" s="116">
        <v>683914</v>
      </c>
      <c r="L49" s="116">
        <v>2060687</v>
      </c>
      <c r="M49" s="195">
        <v>1.7070484581497798E-2</v>
      </c>
      <c r="N49" s="195">
        <v>2.113185667781277E-3</v>
      </c>
      <c r="O49" s="195">
        <v>1.4266403049906378E-2</v>
      </c>
      <c r="P49" s="195">
        <v>6.1205488111871993E-2</v>
      </c>
    </row>
    <row r="50" spans="1:16" ht="22.5" customHeight="1">
      <c r="A50" s="115">
        <v>57</v>
      </c>
      <c r="B50" s="115" t="s">
        <v>11</v>
      </c>
      <c r="C50" s="115" t="s">
        <v>10</v>
      </c>
      <c r="D50" s="115" t="s">
        <v>7</v>
      </c>
      <c r="E50" s="98" t="s">
        <v>96</v>
      </c>
      <c r="F50" s="115" t="s">
        <v>476</v>
      </c>
      <c r="G50" s="115">
        <v>1</v>
      </c>
      <c r="H50" s="115">
        <v>60</v>
      </c>
      <c r="I50" s="194">
        <v>61</v>
      </c>
      <c r="J50" s="116">
        <v>103233</v>
      </c>
      <c r="K50" s="116">
        <v>584447</v>
      </c>
      <c r="L50" s="116">
        <v>1062503</v>
      </c>
      <c r="M50" s="195">
        <v>1.6795154185022025E-2</v>
      </c>
      <c r="N50" s="195">
        <v>1.9037813387271314E-3</v>
      </c>
      <c r="O50" s="195">
        <v>1.2191527682294312E-2</v>
      </c>
      <c r="P50" s="195">
        <v>3.1557929338773105E-2</v>
      </c>
    </row>
    <row r="51" spans="1:16" ht="22.5" customHeight="1">
      <c r="A51" s="115">
        <v>23</v>
      </c>
      <c r="B51" s="115" t="s">
        <v>25</v>
      </c>
      <c r="C51" s="115" t="s">
        <v>69</v>
      </c>
      <c r="D51" s="115" t="s">
        <v>19</v>
      </c>
      <c r="E51" s="98" t="s">
        <v>125</v>
      </c>
      <c r="F51" s="115" t="s">
        <v>483</v>
      </c>
      <c r="G51" s="115">
        <v>25</v>
      </c>
      <c r="H51" s="115">
        <v>34</v>
      </c>
      <c r="I51" s="194">
        <v>59</v>
      </c>
      <c r="J51" s="116">
        <v>1022214</v>
      </c>
      <c r="K51" s="116">
        <v>1184490</v>
      </c>
      <c r="L51" s="116">
        <v>108255</v>
      </c>
      <c r="M51" s="195">
        <v>2.3713826366559485E-2</v>
      </c>
      <c r="N51" s="195">
        <v>2.1569887313547632E-2</v>
      </c>
      <c r="O51" s="195">
        <v>2.1762819423975472E-2</v>
      </c>
      <c r="P51" s="195">
        <v>3.0510477448175873E-3</v>
      </c>
    </row>
    <row r="52" spans="1:16" ht="22.5" customHeight="1">
      <c r="A52" s="115">
        <v>78</v>
      </c>
      <c r="B52" s="115" t="s">
        <v>11</v>
      </c>
      <c r="C52" s="115" t="s">
        <v>9</v>
      </c>
      <c r="D52" s="115" t="s">
        <v>19</v>
      </c>
      <c r="E52" s="98" t="s">
        <v>793</v>
      </c>
      <c r="F52" s="115" t="s">
        <v>483</v>
      </c>
      <c r="G52" s="115">
        <v>0</v>
      </c>
      <c r="H52" s="115">
        <v>58</v>
      </c>
      <c r="I52" s="194">
        <v>58</v>
      </c>
      <c r="J52" s="116">
        <v>16388</v>
      </c>
      <c r="K52" s="116">
        <v>1078870</v>
      </c>
      <c r="L52" s="116">
        <v>2412178</v>
      </c>
      <c r="M52" s="195">
        <v>2.3311897106109324E-2</v>
      </c>
      <c r="N52" s="195">
        <v>3.4580558796339962E-4</v>
      </c>
      <c r="O52" s="195">
        <v>1.9822246698532209E-2</v>
      </c>
      <c r="P52" s="195">
        <v>6.7984575742446984E-2</v>
      </c>
    </row>
    <row r="53" spans="1:16" ht="22.5" customHeight="1">
      <c r="A53" s="115">
        <v>79</v>
      </c>
      <c r="B53" s="115" t="s">
        <v>11</v>
      </c>
      <c r="C53" s="115" t="s">
        <v>10</v>
      </c>
      <c r="D53" s="115" t="s">
        <v>19</v>
      </c>
      <c r="E53" s="98" t="s">
        <v>895</v>
      </c>
      <c r="F53" s="115" t="s">
        <v>483</v>
      </c>
      <c r="G53" s="115">
        <v>0</v>
      </c>
      <c r="H53" s="115">
        <v>54</v>
      </c>
      <c r="I53" s="194">
        <v>54</v>
      </c>
      <c r="J53" s="116">
        <v>101693</v>
      </c>
      <c r="K53" s="116">
        <v>752912</v>
      </c>
      <c r="L53" s="116">
        <v>2453549</v>
      </c>
      <c r="M53" s="195">
        <v>2.1704180064308683E-2</v>
      </c>
      <c r="N53" s="195">
        <v>2.1458388855724922E-3</v>
      </c>
      <c r="O53" s="195">
        <v>1.3833369549885791E-2</v>
      </c>
      <c r="P53" s="195">
        <v>6.9150571735711486E-2</v>
      </c>
    </row>
    <row r="54" spans="1:16" ht="22.5" customHeight="1">
      <c r="A54" s="115">
        <v>49</v>
      </c>
      <c r="B54" s="115" t="s">
        <v>11</v>
      </c>
      <c r="C54" s="115" t="s">
        <v>10</v>
      </c>
      <c r="D54" s="115" t="s">
        <v>7</v>
      </c>
      <c r="E54" s="98" t="s">
        <v>115</v>
      </c>
      <c r="F54" s="115" t="s">
        <v>476</v>
      </c>
      <c r="G54" s="115">
        <v>2</v>
      </c>
      <c r="H54" s="115">
        <v>50</v>
      </c>
      <c r="I54" s="194">
        <v>52</v>
      </c>
      <c r="J54" s="116">
        <v>163269</v>
      </c>
      <c r="K54" s="116">
        <v>527637</v>
      </c>
      <c r="L54" s="116">
        <v>2564117</v>
      </c>
      <c r="M54" s="195">
        <v>1.4317180616740088E-2</v>
      </c>
      <c r="N54" s="195">
        <v>3.0109410304131434E-3</v>
      </c>
      <c r="O54" s="195">
        <v>1.1006474653309409E-2</v>
      </c>
      <c r="P54" s="195">
        <v>7.615811259106739E-2</v>
      </c>
    </row>
    <row r="55" spans="1:16" ht="22.5" customHeight="1">
      <c r="A55" s="115">
        <v>80</v>
      </c>
      <c r="B55" s="115" t="s">
        <v>67</v>
      </c>
      <c r="C55" s="115" t="s">
        <v>14</v>
      </c>
      <c r="D55" s="115" t="s">
        <v>19</v>
      </c>
      <c r="E55" s="98" t="s">
        <v>83</v>
      </c>
      <c r="F55" s="115" t="s">
        <v>483</v>
      </c>
      <c r="G55" s="115">
        <v>0</v>
      </c>
      <c r="H55" s="115">
        <v>51</v>
      </c>
      <c r="I55" s="194">
        <v>51</v>
      </c>
      <c r="J55" s="116">
        <v>122440</v>
      </c>
      <c r="K55" s="116">
        <v>698818</v>
      </c>
      <c r="L55" s="116">
        <v>108719</v>
      </c>
      <c r="M55" s="195">
        <v>2.0498392282958199E-2</v>
      </c>
      <c r="N55" s="195">
        <v>2.5836243708956953E-3</v>
      </c>
      <c r="O55" s="195">
        <v>1.2839492054997249E-2</v>
      </c>
      <c r="P55" s="195">
        <v>3.0641250729187869E-3</v>
      </c>
    </row>
    <row r="56" spans="1:16" ht="22.5" customHeight="1">
      <c r="A56" s="115">
        <v>81</v>
      </c>
      <c r="B56" s="115" t="s">
        <v>11</v>
      </c>
      <c r="C56" s="115" t="s">
        <v>10</v>
      </c>
      <c r="D56" s="115" t="s">
        <v>19</v>
      </c>
      <c r="E56" s="98" t="s">
        <v>301</v>
      </c>
      <c r="F56" s="115" t="s">
        <v>483</v>
      </c>
      <c r="G56" s="115">
        <v>0</v>
      </c>
      <c r="H56" s="115">
        <v>49</v>
      </c>
      <c r="I56" s="194">
        <v>49</v>
      </c>
      <c r="J56" s="116">
        <v>69978</v>
      </c>
      <c r="K56" s="116">
        <v>553865</v>
      </c>
      <c r="L56" s="116">
        <v>1124364</v>
      </c>
      <c r="M56" s="195">
        <v>1.9694533762057879E-2</v>
      </c>
      <c r="N56" s="195">
        <v>1.47661602602531E-3</v>
      </c>
      <c r="O56" s="195">
        <v>1.0176247988805457E-2</v>
      </c>
      <c r="P56" s="195">
        <v>3.1688958907709404E-2</v>
      </c>
    </row>
    <row r="57" spans="1:16" ht="22.5" customHeight="1">
      <c r="A57" s="115">
        <v>82</v>
      </c>
      <c r="B57" s="115" t="s">
        <v>11</v>
      </c>
      <c r="C57" s="115" t="s">
        <v>10</v>
      </c>
      <c r="D57" s="115" t="s">
        <v>19</v>
      </c>
      <c r="E57" s="98" t="s">
        <v>896</v>
      </c>
      <c r="F57" s="115" t="s">
        <v>483</v>
      </c>
      <c r="G57" s="115">
        <v>0</v>
      </c>
      <c r="H57" s="115">
        <v>48</v>
      </c>
      <c r="I57" s="194">
        <v>48</v>
      </c>
      <c r="J57" s="116">
        <v>252935</v>
      </c>
      <c r="K57" s="116">
        <v>1045840</v>
      </c>
      <c r="L57" s="116">
        <v>3469865</v>
      </c>
      <c r="M57" s="195">
        <v>1.9292604501607719E-2</v>
      </c>
      <c r="N57" s="195">
        <v>5.3372184764170424E-3</v>
      </c>
      <c r="O57" s="195">
        <v>1.9215381359378728E-2</v>
      </c>
      <c r="P57" s="195">
        <v>9.7794316965234662E-2</v>
      </c>
    </row>
    <row r="58" spans="1:16" ht="22.5" customHeight="1">
      <c r="A58" s="115">
        <v>83</v>
      </c>
      <c r="B58" s="115" t="s">
        <v>11</v>
      </c>
      <c r="C58" s="115" t="s">
        <v>10</v>
      </c>
      <c r="D58" s="115" t="s">
        <v>19</v>
      </c>
      <c r="E58" s="98" t="s">
        <v>897</v>
      </c>
      <c r="F58" s="115" t="s">
        <v>483</v>
      </c>
      <c r="G58" s="115">
        <v>0</v>
      </c>
      <c r="H58" s="115">
        <v>48</v>
      </c>
      <c r="I58" s="194">
        <v>48</v>
      </c>
      <c r="J58" s="116">
        <v>46823</v>
      </c>
      <c r="K58" s="116">
        <v>1022783</v>
      </c>
      <c r="L58" s="116">
        <v>1399477</v>
      </c>
      <c r="M58" s="195">
        <v>1.9292604501607719E-2</v>
      </c>
      <c r="N58" s="195">
        <v>9.8801898005920568E-4</v>
      </c>
      <c r="O58" s="195">
        <v>1.8791751503948455E-2</v>
      </c>
      <c r="P58" s="195">
        <v>3.9442715299746731E-2</v>
      </c>
    </row>
    <row r="59" spans="1:16" ht="22.5" customHeight="1">
      <c r="A59" s="115">
        <v>37</v>
      </c>
      <c r="B59" s="115" t="s">
        <v>67</v>
      </c>
      <c r="C59" s="115" t="s">
        <v>14</v>
      </c>
      <c r="D59" s="115" t="s">
        <v>7</v>
      </c>
      <c r="E59" s="98" t="s">
        <v>55</v>
      </c>
      <c r="F59" s="115" t="s">
        <v>476</v>
      </c>
      <c r="G59" s="115">
        <v>6</v>
      </c>
      <c r="H59" s="115">
        <v>39</v>
      </c>
      <c r="I59" s="194">
        <v>45</v>
      </c>
      <c r="J59" s="116">
        <v>924984</v>
      </c>
      <c r="K59" s="116">
        <v>1164845</v>
      </c>
      <c r="L59" s="116">
        <v>122612</v>
      </c>
      <c r="M59" s="195">
        <v>1.2389867841409691E-2</v>
      </c>
      <c r="N59" s="195">
        <v>1.7058181761851123E-2</v>
      </c>
      <c r="O59" s="195">
        <v>2.4298593479104381E-2</v>
      </c>
      <c r="P59" s="195">
        <v>3.6417599122879163E-3</v>
      </c>
    </row>
    <row r="60" spans="1:16" ht="22.5" customHeight="1">
      <c r="A60" s="115">
        <v>41</v>
      </c>
      <c r="B60" s="115" t="s">
        <v>67</v>
      </c>
      <c r="C60" s="115" t="s">
        <v>14</v>
      </c>
      <c r="D60" s="115" t="s">
        <v>7</v>
      </c>
      <c r="E60" s="98" t="s">
        <v>85</v>
      </c>
      <c r="F60" s="115" t="s">
        <v>476</v>
      </c>
      <c r="G60" s="115">
        <v>4</v>
      </c>
      <c r="H60" s="115">
        <v>41</v>
      </c>
      <c r="I60" s="194">
        <v>45</v>
      </c>
      <c r="J60" s="116">
        <v>36475</v>
      </c>
      <c r="K60" s="116">
        <v>997461</v>
      </c>
      <c r="L60" s="116">
        <v>98325</v>
      </c>
      <c r="M60" s="195">
        <v>1.2389867841409691E-2</v>
      </c>
      <c r="N60" s="195">
        <v>6.7265723489651685E-4</v>
      </c>
      <c r="O60" s="195">
        <v>2.080697376068141E-2</v>
      </c>
      <c r="P60" s="195">
        <v>2.9203996621514155E-3</v>
      </c>
    </row>
    <row r="61" spans="1:16" ht="22.5" customHeight="1">
      <c r="A61" s="115">
        <v>84</v>
      </c>
      <c r="B61" s="115" t="s">
        <v>11</v>
      </c>
      <c r="C61" s="115" t="s">
        <v>10</v>
      </c>
      <c r="D61" s="115" t="s">
        <v>19</v>
      </c>
      <c r="E61" s="98" t="s">
        <v>848</v>
      </c>
      <c r="F61" s="115" t="s">
        <v>483</v>
      </c>
      <c r="G61" s="115">
        <v>0</v>
      </c>
      <c r="H61" s="115">
        <v>43</v>
      </c>
      <c r="I61" s="194">
        <v>43</v>
      </c>
      <c r="J61" s="116">
        <v>7889</v>
      </c>
      <c r="K61" s="116">
        <v>489488</v>
      </c>
      <c r="L61" s="116">
        <v>1699479</v>
      </c>
      <c r="M61" s="195">
        <v>1.7282958199356914E-2</v>
      </c>
      <c r="N61" s="195">
        <v>1.664669443155516E-4</v>
      </c>
      <c r="O61" s="195">
        <v>8.9934393318668003E-3</v>
      </c>
      <c r="P61" s="195">
        <v>4.7897940698488281E-2</v>
      </c>
    </row>
    <row r="62" spans="1:16" ht="22.5" customHeight="1">
      <c r="A62" s="115">
        <v>25</v>
      </c>
      <c r="B62" s="115" t="s">
        <v>39</v>
      </c>
      <c r="C62" s="115" t="s">
        <v>54</v>
      </c>
      <c r="D62" s="115" t="s">
        <v>19</v>
      </c>
      <c r="E62" s="98" t="s">
        <v>898</v>
      </c>
      <c r="F62" s="115" t="s">
        <v>483</v>
      </c>
      <c r="G62" s="115">
        <v>22</v>
      </c>
      <c r="H62" s="115">
        <v>19</v>
      </c>
      <c r="I62" s="194">
        <v>41</v>
      </c>
      <c r="J62" s="116">
        <v>900844</v>
      </c>
      <c r="K62" s="116">
        <v>334162</v>
      </c>
      <c r="L62" s="116">
        <v>18470</v>
      </c>
      <c r="M62" s="195">
        <v>1.647909967845659E-2</v>
      </c>
      <c r="N62" s="195">
        <v>1.9008841169349571E-2</v>
      </c>
      <c r="O62" s="195">
        <v>6.1396105195945022E-3</v>
      </c>
      <c r="P62" s="195">
        <v>5.2055657333869882E-4</v>
      </c>
    </row>
    <row r="63" spans="1:16" ht="22.5" customHeight="1">
      <c r="A63" s="115">
        <v>36</v>
      </c>
      <c r="B63" s="115" t="s">
        <v>39</v>
      </c>
      <c r="C63" s="115" t="s">
        <v>45</v>
      </c>
      <c r="D63" s="115" t="s">
        <v>7</v>
      </c>
      <c r="E63" s="98" t="s">
        <v>855</v>
      </c>
      <c r="F63" s="115" t="s">
        <v>476</v>
      </c>
      <c r="G63" s="115">
        <v>8</v>
      </c>
      <c r="H63" s="115">
        <v>32</v>
      </c>
      <c r="I63" s="194">
        <v>40</v>
      </c>
      <c r="J63" s="116">
        <v>601301</v>
      </c>
      <c r="K63" s="116">
        <v>703942</v>
      </c>
      <c r="L63" s="116">
        <v>0</v>
      </c>
      <c r="M63" s="195">
        <v>1.1013215859030838E-2</v>
      </c>
      <c r="N63" s="195">
        <v>1.1088950459232638E-2</v>
      </c>
      <c r="O63" s="195">
        <v>1.4684185870967981E-2</v>
      </c>
      <c r="P63" s="195">
        <v>0</v>
      </c>
    </row>
    <row r="64" spans="1:16" ht="22.5" customHeight="1">
      <c r="A64" s="115">
        <v>50</v>
      </c>
      <c r="B64" s="115" t="s">
        <v>11</v>
      </c>
      <c r="C64" s="115" t="s">
        <v>10</v>
      </c>
      <c r="D64" s="115" t="s">
        <v>7</v>
      </c>
      <c r="E64" s="98" t="s">
        <v>105</v>
      </c>
      <c r="F64" s="115" t="s">
        <v>476</v>
      </c>
      <c r="G64" s="115">
        <v>2</v>
      </c>
      <c r="H64" s="115">
        <v>37</v>
      </c>
      <c r="I64" s="194">
        <v>39</v>
      </c>
      <c r="J64" s="116">
        <v>152481</v>
      </c>
      <c r="K64" s="116">
        <v>1187790</v>
      </c>
      <c r="L64" s="116">
        <v>1485516</v>
      </c>
      <c r="M64" s="195">
        <v>1.0737885462555066E-2</v>
      </c>
      <c r="N64" s="195">
        <v>2.8119930866142779E-3</v>
      </c>
      <c r="O64" s="195">
        <v>2.4777224736806523E-2</v>
      </c>
      <c r="P64" s="195">
        <v>4.4122048558561118E-2</v>
      </c>
    </row>
    <row r="65" spans="1:16" ht="22.5" customHeight="1">
      <c r="A65" s="115">
        <v>85</v>
      </c>
      <c r="B65" s="115" t="s">
        <v>11</v>
      </c>
      <c r="C65" s="115" t="s">
        <v>10</v>
      </c>
      <c r="D65" s="115" t="s">
        <v>19</v>
      </c>
      <c r="E65" s="98" t="s">
        <v>899</v>
      </c>
      <c r="F65" s="115" t="s">
        <v>483</v>
      </c>
      <c r="G65" s="115">
        <v>0</v>
      </c>
      <c r="H65" s="115">
        <v>38</v>
      </c>
      <c r="I65" s="194">
        <v>38</v>
      </c>
      <c r="J65" s="116">
        <v>143125</v>
      </c>
      <c r="K65" s="116">
        <v>1755225</v>
      </c>
      <c r="L65" s="116">
        <v>2820893</v>
      </c>
      <c r="M65" s="195">
        <v>1.5273311897106109E-2</v>
      </c>
      <c r="N65" s="195">
        <v>3.0201015851392221E-3</v>
      </c>
      <c r="O65" s="195">
        <v>3.224902255269977E-2</v>
      </c>
      <c r="P65" s="195">
        <v>7.95037571107267E-2</v>
      </c>
    </row>
    <row r="66" spans="1:16" ht="22.5" customHeight="1">
      <c r="A66" s="115">
        <v>51</v>
      </c>
      <c r="B66" s="115" t="s">
        <v>67</v>
      </c>
      <c r="C66" s="115" t="s">
        <v>14</v>
      </c>
      <c r="D66" s="115" t="s">
        <v>7</v>
      </c>
      <c r="E66" s="98" t="s">
        <v>117</v>
      </c>
      <c r="F66" s="115" t="s">
        <v>476</v>
      </c>
      <c r="G66" s="115">
        <v>2</v>
      </c>
      <c r="H66" s="115">
        <v>34</v>
      </c>
      <c r="I66" s="194">
        <v>36</v>
      </c>
      <c r="J66" s="116">
        <v>567609</v>
      </c>
      <c r="K66" s="116">
        <v>1670681</v>
      </c>
      <c r="L66" s="116">
        <v>120971</v>
      </c>
      <c r="M66" s="195">
        <v>9.911894273127754E-3</v>
      </c>
      <c r="N66" s="195">
        <v>1.0467616187590871E-2</v>
      </c>
      <c r="O66" s="195">
        <v>3.4850300642801049E-2</v>
      </c>
      <c r="P66" s="195">
        <v>3.5930197562178377E-3</v>
      </c>
    </row>
    <row r="67" spans="1:16" ht="22.5" customHeight="1">
      <c r="A67" s="115">
        <v>42</v>
      </c>
      <c r="B67" s="115" t="s">
        <v>67</v>
      </c>
      <c r="C67" s="115" t="s">
        <v>70</v>
      </c>
      <c r="D67" s="115" t="s">
        <v>7</v>
      </c>
      <c r="E67" s="98" t="s">
        <v>64</v>
      </c>
      <c r="F67" s="115" t="s">
        <v>476</v>
      </c>
      <c r="G67" s="115">
        <v>4</v>
      </c>
      <c r="H67" s="115">
        <v>31</v>
      </c>
      <c r="I67" s="194">
        <v>35</v>
      </c>
      <c r="J67" s="116">
        <v>390282</v>
      </c>
      <c r="K67" s="116">
        <v>470072</v>
      </c>
      <c r="L67" s="116">
        <v>43647</v>
      </c>
      <c r="M67" s="195">
        <v>9.6365638766519827E-3</v>
      </c>
      <c r="N67" s="195">
        <v>7.1974231925944453E-3</v>
      </c>
      <c r="O67" s="195">
        <v>9.8056723717829877E-3</v>
      </c>
      <c r="P67" s="195">
        <v>1.2963812260760013E-3</v>
      </c>
    </row>
    <row r="68" spans="1:16" ht="22.5" customHeight="1">
      <c r="A68" s="115">
        <v>52</v>
      </c>
      <c r="B68" s="115" t="s">
        <v>67</v>
      </c>
      <c r="C68" s="115" t="s">
        <v>794</v>
      </c>
      <c r="D68" s="115" t="s">
        <v>7</v>
      </c>
      <c r="E68" s="98" t="s">
        <v>61</v>
      </c>
      <c r="F68" s="115" t="s">
        <v>476</v>
      </c>
      <c r="G68" s="115">
        <v>2</v>
      </c>
      <c r="H68" s="115">
        <v>33</v>
      </c>
      <c r="I68" s="194">
        <v>35</v>
      </c>
      <c r="J68" s="116">
        <v>485479</v>
      </c>
      <c r="K68" s="116">
        <v>676930</v>
      </c>
      <c r="L68" s="116">
        <v>44575</v>
      </c>
      <c r="M68" s="195">
        <v>9.6365638766519827E-3</v>
      </c>
      <c r="N68" s="195">
        <v>8.9530078612837863E-3</v>
      </c>
      <c r="O68" s="195">
        <v>1.4120717248913056E-2</v>
      </c>
      <c r="P68" s="195">
        <v>1.3239442150053328E-3</v>
      </c>
    </row>
    <row r="69" spans="1:16" ht="22.5" customHeight="1">
      <c r="A69" s="115">
        <v>44</v>
      </c>
      <c r="B69" s="115" t="s">
        <v>67</v>
      </c>
      <c r="C69" s="115" t="s">
        <v>14</v>
      </c>
      <c r="D69" s="115" t="s">
        <v>7</v>
      </c>
      <c r="E69" s="98" t="s">
        <v>93</v>
      </c>
      <c r="F69" s="115" t="s">
        <v>476</v>
      </c>
      <c r="G69" s="115">
        <v>3</v>
      </c>
      <c r="H69" s="115">
        <v>31</v>
      </c>
      <c r="I69" s="194">
        <v>34</v>
      </c>
      <c r="J69" s="116">
        <v>460943</v>
      </c>
      <c r="K69" s="116">
        <v>1968604</v>
      </c>
      <c r="L69" s="116">
        <v>112300</v>
      </c>
      <c r="M69" s="195">
        <v>9.3612334801762113E-3</v>
      </c>
      <c r="N69" s="195">
        <v>8.5005248478383869E-3</v>
      </c>
      <c r="O69" s="195">
        <v>4.1064955695683802E-2</v>
      </c>
      <c r="P69" s="195">
        <v>3.3354780784093968E-3</v>
      </c>
    </row>
    <row r="70" spans="1:16" ht="22.5" customHeight="1">
      <c r="A70" s="115">
        <v>86</v>
      </c>
      <c r="B70" s="115" t="s">
        <v>67</v>
      </c>
      <c r="C70" s="115" t="s">
        <v>14</v>
      </c>
      <c r="D70" s="115" t="s">
        <v>19</v>
      </c>
      <c r="E70" s="98" t="s">
        <v>900</v>
      </c>
      <c r="F70" s="115" t="s">
        <v>483</v>
      </c>
      <c r="G70" s="115">
        <v>0</v>
      </c>
      <c r="H70" s="115">
        <v>34</v>
      </c>
      <c r="I70" s="194">
        <v>34</v>
      </c>
      <c r="J70" s="116">
        <v>235774</v>
      </c>
      <c r="K70" s="116">
        <v>927797</v>
      </c>
      <c r="L70" s="116">
        <v>110112</v>
      </c>
      <c r="M70" s="195">
        <v>1.3665594855305467E-2</v>
      </c>
      <c r="N70" s="195">
        <v>4.9751017022505849E-3</v>
      </c>
      <c r="O70" s="195">
        <v>1.7046558918273832E-2</v>
      </c>
      <c r="P70" s="195">
        <v>3.1033852411191556E-3</v>
      </c>
    </row>
    <row r="71" spans="1:16" ht="22.5" customHeight="1">
      <c r="A71" s="115">
        <v>58</v>
      </c>
      <c r="B71" s="115" t="s">
        <v>11</v>
      </c>
      <c r="C71" s="115" t="s">
        <v>10</v>
      </c>
      <c r="D71" s="115" t="s">
        <v>19</v>
      </c>
      <c r="E71" s="98" t="s">
        <v>901</v>
      </c>
      <c r="F71" s="115" t="s">
        <v>483</v>
      </c>
      <c r="G71" s="115">
        <v>1</v>
      </c>
      <c r="H71" s="115">
        <v>30</v>
      </c>
      <c r="I71" s="194">
        <v>31</v>
      </c>
      <c r="J71" s="116">
        <v>137838</v>
      </c>
      <c r="K71" s="116">
        <v>1838473</v>
      </c>
      <c r="L71" s="116">
        <v>2042192</v>
      </c>
      <c r="M71" s="195">
        <v>1.2459807073954984E-2</v>
      </c>
      <c r="N71" s="195">
        <v>2.9085398238771713E-3</v>
      </c>
      <c r="O71" s="195">
        <v>3.3778551034499622E-2</v>
      </c>
      <c r="P71" s="195">
        <v>5.7556928512165886E-2</v>
      </c>
    </row>
    <row r="72" spans="1:16" ht="22.5" customHeight="1">
      <c r="A72" s="115">
        <v>43</v>
      </c>
      <c r="B72" s="115" t="s">
        <v>67</v>
      </c>
      <c r="C72" s="115" t="s">
        <v>14</v>
      </c>
      <c r="D72" s="115" t="s">
        <v>19</v>
      </c>
      <c r="E72" s="98" t="s">
        <v>902</v>
      </c>
      <c r="F72" s="115" t="s">
        <v>483</v>
      </c>
      <c r="G72" s="115">
        <v>4</v>
      </c>
      <c r="H72" s="115">
        <v>26</v>
      </c>
      <c r="I72" s="194">
        <v>30</v>
      </c>
      <c r="J72" s="116">
        <v>593130</v>
      </c>
      <c r="K72" s="116">
        <v>2214472</v>
      </c>
      <c r="L72" s="116">
        <v>97619</v>
      </c>
      <c r="M72" s="195">
        <v>1.2057877813504822E-2</v>
      </c>
      <c r="N72" s="195">
        <v>1.2515722991745864E-2</v>
      </c>
      <c r="O72" s="195">
        <v>4.0686839277199315E-2</v>
      </c>
      <c r="P72" s="195">
        <v>2.7512838187737109E-3</v>
      </c>
    </row>
    <row r="73" spans="1:16" ht="22.5" customHeight="1">
      <c r="A73" s="115">
        <v>45</v>
      </c>
      <c r="B73" s="115" t="s">
        <v>67</v>
      </c>
      <c r="C73" s="115" t="s">
        <v>14</v>
      </c>
      <c r="D73" s="115" t="s">
        <v>7</v>
      </c>
      <c r="E73" s="98" t="s">
        <v>123</v>
      </c>
      <c r="F73" s="115" t="s">
        <v>476</v>
      </c>
      <c r="G73" s="115">
        <v>3</v>
      </c>
      <c r="H73" s="115">
        <v>25</v>
      </c>
      <c r="I73" s="194">
        <v>28</v>
      </c>
      <c r="J73" s="116">
        <v>461126</v>
      </c>
      <c r="K73" s="116">
        <v>759177</v>
      </c>
      <c r="L73" s="116">
        <v>48781</v>
      </c>
      <c r="M73" s="195">
        <v>7.709251101321586E-3</v>
      </c>
      <c r="N73" s="195">
        <v>8.5038996600107254E-3</v>
      </c>
      <c r="O73" s="195">
        <v>1.5836384498955677E-2</v>
      </c>
      <c r="P73" s="195">
        <v>1.448868710088057E-3</v>
      </c>
    </row>
    <row r="74" spans="1:16" ht="22.5" customHeight="1">
      <c r="A74" s="115">
        <v>59</v>
      </c>
      <c r="B74" s="115" t="s">
        <v>67</v>
      </c>
      <c r="C74" s="115" t="s">
        <v>794</v>
      </c>
      <c r="D74" s="115" t="s">
        <v>7</v>
      </c>
      <c r="E74" s="98" t="s">
        <v>79</v>
      </c>
      <c r="F74" s="115" t="s">
        <v>476</v>
      </c>
      <c r="G74" s="115">
        <v>1</v>
      </c>
      <c r="H74" s="115">
        <v>25</v>
      </c>
      <c r="I74" s="194">
        <v>26</v>
      </c>
      <c r="J74" s="116">
        <v>261692</v>
      </c>
      <c r="K74" s="116">
        <v>543659</v>
      </c>
      <c r="L74" s="116">
        <v>59923</v>
      </c>
      <c r="M74" s="195">
        <v>7.1585903083700442E-3</v>
      </c>
      <c r="N74" s="195">
        <v>4.8260182896378142E-3</v>
      </c>
      <c r="O74" s="195">
        <v>1.1340692566183835E-2</v>
      </c>
      <c r="P74" s="195">
        <v>1.7798027862201808E-3</v>
      </c>
    </row>
    <row r="75" spans="1:16" ht="22.5" customHeight="1">
      <c r="A75" s="115">
        <v>38</v>
      </c>
      <c r="B75" s="115" t="s">
        <v>39</v>
      </c>
      <c r="C75" s="115" t="s">
        <v>52</v>
      </c>
      <c r="D75" s="115" t="s">
        <v>19</v>
      </c>
      <c r="E75" s="98" t="s">
        <v>903</v>
      </c>
      <c r="F75" s="115" t="s">
        <v>483</v>
      </c>
      <c r="G75" s="115">
        <v>6</v>
      </c>
      <c r="H75" s="115">
        <v>20</v>
      </c>
      <c r="I75" s="194">
        <v>26</v>
      </c>
      <c r="J75" s="116">
        <v>614835</v>
      </c>
      <c r="K75" s="116">
        <v>656005</v>
      </c>
      <c r="L75" s="116">
        <v>260658</v>
      </c>
      <c r="M75" s="195">
        <v>1.045016077170418E-2</v>
      </c>
      <c r="N75" s="195">
        <v>1.2973723375364708E-2</v>
      </c>
      <c r="O75" s="195">
        <v>1.2052882131740269E-2</v>
      </c>
      <c r="P75" s="195">
        <v>7.3463581642294832E-3</v>
      </c>
    </row>
    <row r="76" spans="1:16" ht="22.5" customHeight="1">
      <c r="A76" s="115">
        <v>87</v>
      </c>
      <c r="B76" s="115" t="s">
        <v>11</v>
      </c>
      <c r="C76" s="115" t="s">
        <v>10</v>
      </c>
      <c r="D76" s="115" t="s">
        <v>19</v>
      </c>
      <c r="E76" s="98" t="s">
        <v>904</v>
      </c>
      <c r="F76" s="115" t="s">
        <v>483</v>
      </c>
      <c r="G76" s="115">
        <v>0</v>
      </c>
      <c r="H76" s="115">
        <v>24</v>
      </c>
      <c r="I76" s="194">
        <v>24</v>
      </c>
      <c r="J76" s="116">
        <v>107676</v>
      </c>
      <c r="K76" s="116">
        <v>1320701</v>
      </c>
      <c r="L76" s="116">
        <v>2522712</v>
      </c>
      <c r="M76" s="195">
        <v>9.6463022508038593E-3</v>
      </c>
      <c r="N76" s="195">
        <v>2.2720870447612289E-3</v>
      </c>
      <c r="O76" s="195">
        <v>2.4265445361348625E-2</v>
      </c>
      <c r="P76" s="195">
        <v>7.1099854588003011E-2</v>
      </c>
    </row>
    <row r="77" spans="1:16" ht="22.5" customHeight="1">
      <c r="A77" s="115">
        <v>60</v>
      </c>
      <c r="B77" s="115" t="s">
        <v>25</v>
      </c>
      <c r="C77" s="115" t="s">
        <v>23</v>
      </c>
      <c r="D77" s="115" t="s">
        <v>19</v>
      </c>
      <c r="E77" s="98" t="s">
        <v>905</v>
      </c>
      <c r="F77" s="115" t="s">
        <v>483</v>
      </c>
      <c r="G77" s="115">
        <v>1</v>
      </c>
      <c r="H77" s="115">
        <v>22</v>
      </c>
      <c r="I77" s="194">
        <v>23</v>
      </c>
      <c r="J77" s="116">
        <v>825982</v>
      </c>
      <c r="K77" s="116">
        <v>1740083</v>
      </c>
      <c r="L77" s="116">
        <v>69032</v>
      </c>
      <c r="M77" s="195">
        <v>9.2443729903536973E-3</v>
      </c>
      <c r="N77" s="195">
        <v>1.7429167144080104E-2</v>
      </c>
      <c r="O77" s="195">
        <v>3.1970816226164434E-2</v>
      </c>
      <c r="P77" s="195">
        <v>1.9455907618146754E-3</v>
      </c>
    </row>
    <row r="78" spans="1:16" ht="22.5" customHeight="1">
      <c r="A78" s="115">
        <v>88</v>
      </c>
      <c r="B78" s="115" t="s">
        <v>67</v>
      </c>
      <c r="C78" s="115" t="s">
        <v>14</v>
      </c>
      <c r="D78" s="115" t="s">
        <v>7</v>
      </c>
      <c r="E78" s="98" t="s">
        <v>109</v>
      </c>
      <c r="F78" s="115" t="s">
        <v>476</v>
      </c>
      <c r="G78" s="115">
        <v>0</v>
      </c>
      <c r="H78" s="115">
        <v>22</v>
      </c>
      <c r="I78" s="194">
        <v>22</v>
      </c>
      <c r="J78" s="116">
        <v>190735</v>
      </c>
      <c r="K78" s="116">
        <v>1218522</v>
      </c>
      <c r="L78" s="116">
        <v>73223</v>
      </c>
      <c r="M78" s="195">
        <v>6.0572687224669606E-3</v>
      </c>
      <c r="N78" s="195">
        <v>3.5174579218091059E-3</v>
      </c>
      <c r="O78" s="195">
        <v>2.5418292325026275E-2</v>
      </c>
      <c r="P78" s="195">
        <v>2.1748326922116767E-3</v>
      </c>
    </row>
    <row r="79" spans="1:16" ht="22.5" customHeight="1">
      <c r="A79" s="115">
        <v>53</v>
      </c>
      <c r="B79" s="115" t="s">
        <v>11</v>
      </c>
      <c r="C79" s="115" t="s">
        <v>10</v>
      </c>
      <c r="D79" s="115" t="s">
        <v>7</v>
      </c>
      <c r="E79" s="98" t="s">
        <v>871</v>
      </c>
      <c r="F79" s="115" t="s">
        <v>476</v>
      </c>
      <c r="G79" s="115">
        <v>2</v>
      </c>
      <c r="H79" s="115">
        <v>19</v>
      </c>
      <c r="I79" s="194">
        <v>21</v>
      </c>
      <c r="J79" s="116">
        <v>166860</v>
      </c>
      <c r="K79" s="116">
        <v>1241687</v>
      </c>
      <c r="L79" s="116">
        <v>1890177</v>
      </c>
      <c r="M79" s="195">
        <v>5.7819383259911893E-3</v>
      </c>
      <c r="N79" s="195">
        <v>3.0771648036965814E-3</v>
      </c>
      <c r="O79" s="195">
        <v>2.5901512768899453E-2</v>
      </c>
      <c r="P79" s="195">
        <v>5.6141085911074251E-2</v>
      </c>
    </row>
    <row r="80" spans="1:16" ht="22.5" customHeight="1">
      <c r="A80" s="115">
        <v>89</v>
      </c>
      <c r="B80" s="115" t="s">
        <v>11</v>
      </c>
      <c r="C80" s="115" t="s">
        <v>9</v>
      </c>
      <c r="D80" s="115" t="s">
        <v>19</v>
      </c>
      <c r="E80" s="98" t="s">
        <v>906</v>
      </c>
      <c r="F80" s="115" t="s">
        <v>483</v>
      </c>
      <c r="G80" s="115">
        <v>0</v>
      </c>
      <c r="H80" s="115">
        <v>21</v>
      </c>
      <c r="I80" s="194">
        <v>21</v>
      </c>
      <c r="J80" s="116">
        <v>9909</v>
      </c>
      <c r="K80" s="116">
        <v>572025</v>
      </c>
      <c r="L80" s="116">
        <v>1488293</v>
      </c>
      <c r="M80" s="195">
        <v>8.4405144694533769E-3</v>
      </c>
      <c r="N80" s="195">
        <v>2.0909126013725452E-4</v>
      </c>
      <c r="O80" s="195">
        <v>1.0509904499826566E-2</v>
      </c>
      <c r="P80" s="195">
        <v>4.1945896275255662E-2</v>
      </c>
    </row>
    <row r="81" spans="1:16" ht="22.5" customHeight="1">
      <c r="A81" s="115">
        <v>90</v>
      </c>
      <c r="B81" s="115" t="s">
        <v>67</v>
      </c>
      <c r="C81" s="115" t="s">
        <v>14</v>
      </c>
      <c r="D81" s="115" t="s">
        <v>19</v>
      </c>
      <c r="E81" s="98" t="s">
        <v>35</v>
      </c>
      <c r="F81" s="115" t="s">
        <v>483</v>
      </c>
      <c r="G81" s="115">
        <v>0</v>
      </c>
      <c r="H81" s="115">
        <v>20</v>
      </c>
      <c r="I81" s="194">
        <v>20</v>
      </c>
      <c r="J81" s="116">
        <v>92821</v>
      </c>
      <c r="K81" s="116">
        <v>521744</v>
      </c>
      <c r="L81" s="116">
        <v>30845</v>
      </c>
      <c r="M81" s="195">
        <v>8.0385852090032149E-3</v>
      </c>
      <c r="N81" s="195">
        <v>1.9586295143001415E-3</v>
      </c>
      <c r="O81" s="195">
        <v>9.5860838483589218E-3</v>
      </c>
      <c r="P81" s="195">
        <v>8.6933229586530394E-4</v>
      </c>
    </row>
    <row r="82" spans="1:16" ht="22.5" customHeight="1">
      <c r="A82" s="115">
        <v>39</v>
      </c>
      <c r="B82" s="115" t="s">
        <v>67</v>
      </c>
      <c r="C82" s="115" t="s">
        <v>14</v>
      </c>
      <c r="D82" s="115" t="s">
        <v>7</v>
      </c>
      <c r="E82" s="98" t="s">
        <v>80</v>
      </c>
      <c r="F82" s="115" t="s">
        <v>476</v>
      </c>
      <c r="G82" s="115">
        <v>5</v>
      </c>
      <c r="H82" s="115">
        <v>14</v>
      </c>
      <c r="I82" s="194">
        <v>19</v>
      </c>
      <c r="J82" s="116">
        <v>382852</v>
      </c>
      <c r="K82" s="116">
        <v>797998</v>
      </c>
      <c r="L82" s="116">
        <v>25884</v>
      </c>
      <c r="M82" s="195">
        <v>5.2312775330396475E-3</v>
      </c>
      <c r="N82" s="195">
        <v>7.0604021300781699E-3</v>
      </c>
      <c r="O82" s="195">
        <v>1.6646188118709646E-2</v>
      </c>
      <c r="P82" s="195">
        <v>7.6879354035217125E-4</v>
      </c>
    </row>
    <row r="83" spans="1:16" ht="22.5" customHeight="1">
      <c r="A83" s="115">
        <v>46</v>
      </c>
      <c r="B83" s="115" t="s">
        <v>67</v>
      </c>
      <c r="C83" s="115" t="s">
        <v>14</v>
      </c>
      <c r="D83" s="115" t="s">
        <v>7</v>
      </c>
      <c r="E83" s="98" t="s">
        <v>57</v>
      </c>
      <c r="F83" s="115" t="s">
        <v>476</v>
      </c>
      <c r="G83" s="115">
        <v>3</v>
      </c>
      <c r="H83" s="115">
        <v>15</v>
      </c>
      <c r="I83" s="194">
        <v>18</v>
      </c>
      <c r="J83" s="116">
        <v>386104</v>
      </c>
      <c r="K83" s="116">
        <v>1124354</v>
      </c>
      <c r="L83" s="116">
        <v>59057</v>
      </c>
      <c r="M83" s="195">
        <v>4.955947136563877E-3</v>
      </c>
      <c r="N83" s="195">
        <v>7.1203742021243247E-3</v>
      </c>
      <c r="O83" s="195">
        <v>2.3453953764324804E-2</v>
      </c>
      <c r="P83" s="195">
        <v>1.7540812900856968E-3</v>
      </c>
    </row>
    <row r="84" spans="1:16" ht="22.5" customHeight="1">
      <c r="A84" s="115">
        <v>61</v>
      </c>
      <c r="B84" s="115" t="s">
        <v>67</v>
      </c>
      <c r="C84" s="115" t="s">
        <v>794</v>
      </c>
      <c r="D84" s="115" t="s">
        <v>19</v>
      </c>
      <c r="E84" s="98" t="s">
        <v>89</v>
      </c>
      <c r="F84" s="115" t="s">
        <v>483</v>
      </c>
      <c r="G84" s="115">
        <v>1</v>
      </c>
      <c r="H84" s="115">
        <v>15</v>
      </c>
      <c r="I84" s="194">
        <v>16</v>
      </c>
      <c r="J84" s="116">
        <v>605229</v>
      </c>
      <c r="K84" s="116">
        <v>1283087</v>
      </c>
      <c r="L84" s="116">
        <v>137841</v>
      </c>
      <c r="M84" s="195">
        <v>6.4308681672025723E-3</v>
      </c>
      <c r="N84" s="195">
        <v>1.2771025762600708E-2</v>
      </c>
      <c r="O84" s="195">
        <v>2.3574357475580562E-2</v>
      </c>
      <c r="P84" s="195">
        <v>3.8848965146496793E-3</v>
      </c>
    </row>
    <row r="85" spans="1:16" ht="22.5" customHeight="1">
      <c r="A85" s="115">
        <v>62</v>
      </c>
      <c r="B85" s="115" t="s">
        <v>67</v>
      </c>
      <c r="C85" s="115" t="s">
        <v>62</v>
      </c>
      <c r="D85" s="115" t="s">
        <v>7</v>
      </c>
      <c r="E85" s="98" t="s">
        <v>114</v>
      </c>
      <c r="F85" s="115" t="s">
        <v>476</v>
      </c>
      <c r="G85" s="115">
        <v>1</v>
      </c>
      <c r="H85" s="115">
        <v>13</v>
      </c>
      <c r="I85" s="194">
        <v>14</v>
      </c>
      <c r="J85" s="116">
        <v>133891</v>
      </c>
      <c r="K85" s="116">
        <v>521894</v>
      </c>
      <c r="L85" s="116">
        <v>32521</v>
      </c>
      <c r="M85" s="195">
        <v>3.854625550660793E-3</v>
      </c>
      <c r="N85" s="195">
        <v>2.4691638063750387E-3</v>
      </c>
      <c r="O85" s="195">
        <v>1.0886676034308172E-2</v>
      </c>
      <c r="P85" s="195">
        <v>9.6592237389093495E-4</v>
      </c>
    </row>
    <row r="86" spans="1:16" ht="22.5" customHeight="1">
      <c r="A86" s="115">
        <v>47</v>
      </c>
      <c r="B86" s="115" t="s">
        <v>67</v>
      </c>
      <c r="C86" s="115" t="s">
        <v>14</v>
      </c>
      <c r="D86" s="115" t="s">
        <v>19</v>
      </c>
      <c r="E86" s="98" t="s">
        <v>691</v>
      </c>
      <c r="F86" s="115" t="s">
        <v>483</v>
      </c>
      <c r="G86" s="115">
        <v>3</v>
      </c>
      <c r="H86" s="115">
        <v>11</v>
      </c>
      <c r="I86" s="194">
        <v>14</v>
      </c>
      <c r="J86" s="116">
        <v>253919</v>
      </c>
      <c r="K86" s="116">
        <v>1169686</v>
      </c>
      <c r="L86" s="116">
        <v>132280</v>
      </c>
      <c r="M86" s="195">
        <v>5.627009646302251E-3</v>
      </c>
      <c r="N86" s="195">
        <v>5.3579820045202876E-3</v>
      </c>
      <c r="O86" s="195">
        <v>2.1490823224132052E-2</v>
      </c>
      <c r="P86" s="195">
        <v>3.7281658647126733E-3</v>
      </c>
    </row>
    <row r="87" spans="1:16" ht="22.5" customHeight="1">
      <c r="A87" s="115">
        <v>54</v>
      </c>
      <c r="B87" s="115" t="s">
        <v>67</v>
      </c>
      <c r="C87" s="115" t="s">
        <v>14</v>
      </c>
      <c r="D87" s="115" t="s">
        <v>19</v>
      </c>
      <c r="E87" s="98" t="s">
        <v>796</v>
      </c>
      <c r="F87" s="115" t="s">
        <v>483</v>
      </c>
      <c r="G87" s="115">
        <v>2</v>
      </c>
      <c r="H87" s="115">
        <v>12</v>
      </c>
      <c r="I87" s="194">
        <v>14</v>
      </c>
      <c r="J87" s="116">
        <v>437653</v>
      </c>
      <c r="K87" s="116">
        <v>1719323</v>
      </c>
      <c r="L87" s="116">
        <v>150540</v>
      </c>
      <c r="M87" s="195">
        <v>5.627009646302251E-3</v>
      </c>
      <c r="N87" s="195">
        <v>9.2349800457008635E-3</v>
      </c>
      <c r="O87" s="195">
        <v>3.1589389509820917E-2</v>
      </c>
      <c r="P87" s="195">
        <v>4.2428038197297084E-3</v>
      </c>
    </row>
    <row r="88" spans="1:16" ht="22.5" customHeight="1">
      <c r="A88" s="115">
        <v>63</v>
      </c>
      <c r="B88" s="115" t="s">
        <v>67</v>
      </c>
      <c r="C88" s="115" t="s">
        <v>14</v>
      </c>
      <c r="D88" s="115" t="s">
        <v>19</v>
      </c>
      <c r="E88" s="98" t="s">
        <v>111</v>
      </c>
      <c r="F88" s="115" t="s">
        <v>483</v>
      </c>
      <c r="G88" s="115">
        <v>1</v>
      </c>
      <c r="H88" s="115">
        <v>13</v>
      </c>
      <c r="I88" s="194">
        <v>14</v>
      </c>
      <c r="J88" s="116">
        <v>70145</v>
      </c>
      <c r="K88" s="116">
        <v>999478</v>
      </c>
      <c r="L88" s="116">
        <v>64831</v>
      </c>
      <c r="M88" s="195">
        <v>5.627009646302251E-3</v>
      </c>
      <c r="N88" s="195">
        <v>1.4801399174818567E-3</v>
      </c>
      <c r="O88" s="195">
        <v>1.8363565105856662E-2</v>
      </c>
      <c r="P88" s="195">
        <v>1.8271902114846336E-3</v>
      </c>
    </row>
    <row r="89" spans="1:16" ht="22.5" customHeight="1">
      <c r="A89" s="115">
        <v>91</v>
      </c>
      <c r="B89" s="115" t="s">
        <v>67</v>
      </c>
      <c r="C89" s="115" t="s">
        <v>794</v>
      </c>
      <c r="D89" s="115" t="s">
        <v>19</v>
      </c>
      <c r="E89" s="98" t="s">
        <v>829</v>
      </c>
      <c r="F89" s="115" t="s">
        <v>483</v>
      </c>
      <c r="G89" s="115">
        <v>0</v>
      </c>
      <c r="H89" s="115">
        <v>14</v>
      </c>
      <c r="I89" s="194">
        <v>14</v>
      </c>
      <c r="J89" s="116">
        <v>231326</v>
      </c>
      <c r="K89" s="116">
        <v>592317</v>
      </c>
      <c r="L89" s="116">
        <v>26814</v>
      </c>
      <c r="M89" s="195">
        <v>5.627009646302251E-3</v>
      </c>
      <c r="N89" s="195">
        <v>4.8812438028570529E-3</v>
      </c>
      <c r="O89" s="195">
        <v>1.0882732579212049E-2</v>
      </c>
      <c r="P89" s="195">
        <v>7.5572300798613262E-4</v>
      </c>
    </row>
    <row r="90" spans="1:16" ht="22.5" customHeight="1">
      <c r="A90" s="115">
        <v>92</v>
      </c>
      <c r="B90" s="115" t="s">
        <v>67</v>
      </c>
      <c r="C90" s="115" t="s">
        <v>14</v>
      </c>
      <c r="D90" s="115" t="s">
        <v>19</v>
      </c>
      <c r="E90" s="98" t="s">
        <v>13</v>
      </c>
      <c r="F90" s="115" t="s">
        <v>483</v>
      </c>
      <c r="G90" s="115">
        <v>0</v>
      </c>
      <c r="H90" s="115">
        <v>13</v>
      </c>
      <c r="I90" s="194">
        <v>13</v>
      </c>
      <c r="J90" s="116">
        <v>242210</v>
      </c>
      <c r="K90" s="116">
        <v>1118499</v>
      </c>
      <c r="L90" s="116">
        <v>101348</v>
      </c>
      <c r="M90" s="195">
        <v>5.2250803858520899E-3</v>
      </c>
      <c r="N90" s="195">
        <v>5.1109086807795351E-3</v>
      </c>
      <c r="O90" s="195">
        <v>2.055035649342514E-2</v>
      </c>
      <c r="P90" s="195">
        <v>2.8563815698283944E-3</v>
      </c>
    </row>
    <row r="91" spans="1:16" ht="22.5" customHeight="1">
      <c r="A91" s="115">
        <v>64</v>
      </c>
      <c r="B91" s="115" t="s">
        <v>67</v>
      </c>
      <c r="C91" s="115" t="s">
        <v>14</v>
      </c>
      <c r="D91" s="115" t="s">
        <v>7</v>
      </c>
      <c r="E91" s="98" t="s">
        <v>82</v>
      </c>
      <c r="F91" s="115" t="s">
        <v>476</v>
      </c>
      <c r="G91" s="115">
        <v>1</v>
      </c>
      <c r="H91" s="115">
        <v>7</v>
      </c>
      <c r="I91" s="194">
        <v>8</v>
      </c>
      <c r="J91" s="116">
        <v>81471</v>
      </c>
      <c r="K91" s="116">
        <v>1433349</v>
      </c>
      <c r="L91" s="116">
        <v>28213</v>
      </c>
      <c r="M91" s="195">
        <v>2.2026431718061676E-3</v>
      </c>
      <c r="N91" s="195">
        <v>1.5024553141673508E-3</v>
      </c>
      <c r="O91" s="195">
        <v>2.9899570041233628E-2</v>
      </c>
      <c r="P91" s="195">
        <v>8.3796832614571961E-4</v>
      </c>
    </row>
    <row r="92" spans="1:16" ht="22.5" customHeight="1">
      <c r="A92" s="115">
        <v>93</v>
      </c>
      <c r="B92" s="115" t="s">
        <v>11</v>
      </c>
      <c r="C92" s="115" t="s">
        <v>10</v>
      </c>
      <c r="D92" s="115" t="s">
        <v>7</v>
      </c>
      <c r="E92" s="98" t="s">
        <v>795</v>
      </c>
      <c r="F92" s="115" t="s">
        <v>476</v>
      </c>
      <c r="G92" s="115">
        <v>0</v>
      </c>
      <c r="H92" s="115">
        <v>8</v>
      </c>
      <c r="I92" s="194">
        <v>8</v>
      </c>
      <c r="J92" s="116">
        <v>9899</v>
      </c>
      <c r="K92" s="116">
        <v>796839</v>
      </c>
      <c r="L92" s="116">
        <v>984586</v>
      </c>
      <c r="M92" s="195">
        <v>2.2026431718061676E-3</v>
      </c>
      <c r="N92" s="195">
        <v>1.8255336444799507E-4</v>
      </c>
      <c r="O92" s="195">
        <v>1.6622011451563133E-2</v>
      </c>
      <c r="P92" s="195">
        <v>2.9243677821093449E-2</v>
      </c>
    </row>
    <row r="93" spans="1:16" ht="22.5" customHeight="1">
      <c r="A93" s="115">
        <v>65</v>
      </c>
      <c r="B93" s="115" t="s">
        <v>11</v>
      </c>
      <c r="C93" s="115" t="s">
        <v>10</v>
      </c>
      <c r="D93" s="115" t="s">
        <v>19</v>
      </c>
      <c r="E93" s="98" t="s">
        <v>907</v>
      </c>
      <c r="F93" s="115" t="s">
        <v>483</v>
      </c>
      <c r="G93" s="115">
        <v>1</v>
      </c>
      <c r="H93" s="115">
        <v>6</v>
      </c>
      <c r="I93" s="194">
        <v>7</v>
      </c>
      <c r="J93" s="116">
        <v>149350</v>
      </c>
      <c r="K93" s="116">
        <v>1400026</v>
      </c>
      <c r="L93" s="116">
        <v>2851292</v>
      </c>
      <c r="M93" s="195">
        <v>2.8135048231511255E-3</v>
      </c>
      <c r="N93" s="195">
        <v>3.151456221767985E-3</v>
      </c>
      <c r="O93" s="195">
        <v>2.5722895952579327E-2</v>
      </c>
      <c r="P93" s="195">
        <v>8.0360519388632659E-2</v>
      </c>
    </row>
    <row r="94" spans="1:16" ht="22.5" customHeight="1">
      <c r="A94" s="115">
        <v>94</v>
      </c>
      <c r="B94" s="115" t="s">
        <v>67</v>
      </c>
      <c r="C94" s="115" t="s">
        <v>14</v>
      </c>
      <c r="D94" s="115" t="s">
        <v>19</v>
      </c>
      <c r="E94" s="98" t="s">
        <v>908</v>
      </c>
      <c r="F94" s="115" t="s">
        <v>483</v>
      </c>
      <c r="G94" s="115">
        <v>0</v>
      </c>
      <c r="H94" s="115">
        <v>7</v>
      </c>
      <c r="I94" s="194">
        <v>7</v>
      </c>
      <c r="J94" s="116">
        <v>97574</v>
      </c>
      <c r="K94" s="116">
        <v>1334077</v>
      </c>
      <c r="L94" s="116">
        <v>103932</v>
      </c>
      <c r="M94" s="195">
        <v>2.8135048231511255E-3</v>
      </c>
      <c r="N94" s="195">
        <v>2.0589232633598216E-3</v>
      </c>
      <c r="O94" s="195">
        <v>2.4511204694576506E-2</v>
      </c>
      <c r="P94" s="195">
        <v>2.9292087590816265E-3</v>
      </c>
    </row>
    <row r="95" spans="1:16" ht="22.5" customHeight="1">
      <c r="A95" s="115">
        <v>95</v>
      </c>
      <c r="B95" s="115" t="s">
        <v>11</v>
      </c>
      <c r="C95" s="115" t="s">
        <v>10</v>
      </c>
      <c r="D95" s="115" t="s">
        <v>19</v>
      </c>
      <c r="E95" s="98" t="s">
        <v>909</v>
      </c>
      <c r="F95" s="115" t="s">
        <v>483</v>
      </c>
      <c r="G95" s="115">
        <v>0</v>
      </c>
      <c r="H95" s="115">
        <v>7</v>
      </c>
      <c r="I95" s="194">
        <v>7</v>
      </c>
      <c r="J95" s="116">
        <v>78591</v>
      </c>
      <c r="K95" s="116">
        <v>1235197</v>
      </c>
      <c r="L95" s="116">
        <v>1508599</v>
      </c>
      <c r="M95" s="195">
        <v>2.8135048231511255E-3</v>
      </c>
      <c r="N95" s="195">
        <v>1.6583602003680462E-3</v>
      </c>
      <c r="O95" s="195">
        <v>2.2694467039853634E-2</v>
      </c>
      <c r="P95" s="195">
        <v>4.2518198483063763E-2</v>
      </c>
    </row>
    <row r="96" spans="1:16" ht="22.5" customHeight="1">
      <c r="A96" s="115">
        <v>96</v>
      </c>
      <c r="B96" s="115" t="s">
        <v>67</v>
      </c>
      <c r="C96" s="115" t="s">
        <v>14</v>
      </c>
      <c r="D96" s="115" t="s">
        <v>19</v>
      </c>
      <c r="E96" s="98" t="s">
        <v>820</v>
      </c>
      <c r="F96" s="115" t="s">
        <v>483</v>
      </c>
      <c r="G96" s="115">
        <v>0</v>
      </c>
      <c r="H96" s="115">
        <v>4</v>
      </c>
      <c r="I96" s="194">
        <v>4</v>
      </c>
      <c r="J96" s="116">
        <v>26853</v>
      </c>
      <c r="K96" s="116">
        <v>506845</v>
      </c>
      <c r="L96" s="116">
        <v>17768</v>
      </c>
      <c r="M96" s="195">
        <v>1.6077170418006431E-3</v>
      </c>
      <c r="N96" s="195">
        <v>5.6662908552484569E-4</v>
      </c>
      <c r="O96" s="195">
        <v>9.3123421987056434E-3</v>
      </c>
      <c r="P96" s="195">
        <v>5.0077147780628044E-4</v>
      </c>
    </row>
    <row r="97" spans="1:16" ht="22.5" customHeight="1">
      <c r="A97" s="115">
        <v>66</v>
      </c>
      <c r="B97" s="115" t="s">
        <v>67</v>
      </c>
      <c r="C97" s="115" t="s">
        <v>14</v>
      </c>
      <c r="D97" s="115" t="s">
        <v>19</v>
      </c>
      <c r="E97" s="98" t="s">
        <v>690</v>
      </c>
      <c r="F97" s="115" t="s">
        <v>483</v>
      </c>
      <c r="G97" s="115">
        <v>1</v>
      </c>
      <c r="H97" s="115">
        <v>0</v>
      </c>
      <c r="I97" s="194">
        <v>1</v>
      </c>
      <c r="J97" s="116">
        <v>11438</v>
      </c>
      <c r="K97" s="116">
        <v>85620</v>
      </c>
      <c r="L97" s="116">
        <v>1772</v>
      </c>
      <c r="M97" s="195">
        <v>4.0192926045016077E-4</v>
      </c>
      <c r="N97" s="195">
        <v>2.4135491305378112E-4</v>
      </c>
      <c r="O97" s="195">
        <v>1.5731096075786034E-3</v>
      </c>
      <c r="P97" s="195">
        <v>4.9941865076132881E-5</v>
      </c>
    </row>
    <row r="98" spans="1:16" ht="22.5" hidden="1" customHeight="1">
      <c r="A98" s="115"/>
      <c r="B98" s="115" t="e">
        <f>VLOOKUP(C98,Lists!I:J,2,FALSE)</f>
        <v>#N/A</v>
      </c>
      <c r="C98" s="115" t="e">
        <f>VLOOKUP(E98,Lists!E:F,2,FALSE)</f>
        <v>#N/A</v>
      </c>
      <c r="D98" s="115"/>
      <c r="E98" s="98"/>
      <c r="F98" s="115"/>
      <c r="G98" s="115"/>
      <c r="H98" s="115"/>
      <c r="I98" s="194">
        <f t="shared" ref="I98:I103" si="0">SUM(G98:H98)</f>
        <v>0</v>
      </c>
      <c r="J98" s="116"/>
      <c r="K98" s="116"/>
      <c r="L98" s="116"/>
      <c r="M98" s="195" t="e">
        <f>I98/(HLOOKUP(F98,Team_Composition_9[[#All],[Yellow]:[Red]],10,FALSE)+HLOOKUP(F98,Team_Composition_9[[#All],[Yellow]:[Red]],11,FALSE))</f>
        <v>#N/A</v>
      </c>
      <c r="N98" s="195" t="e">
        <f>J98/HLOOKUP(F98,Team_Composition_9[[#All],[Yellow]:[Red]],6,FALSE)</f>
        <v>#N/A</v>
      </c>
      <c r="O98" s="195" t="e">
        <f>K98/HLOOKUP(F98,Team_Composition_9[[#All],[Yellow]:[Red]],8,FALSE)</f>
        <v>#N/A</v>
      </c>
      <c r="P98" s="195" t="e">
        <f>L98/HLOOKUP(F98,Team_Composition_9[[#All],[Yellow]:[Red]],7,FALSE)</f>
        <v>#N/A</v>
      </c>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95" t="e">
        <f>I99/(HLOOKUP(F99,Team_Composition_9[[#All],[Yellow]:[Red]],10,FALSE)+HLOOKUP(F99,Team_Composition_9[[#All],[Yellow]:[Red]],11,FALSE))</f>
        <v>#N/A</v>
      </c>
      <c r="N99" s="195" t="e">
        <f>J99/HLOOKUP(F99,Team_Composition_9[[#All],[Yellow]:[Red]],6,FALSE)</f>
        <v>#N/A</v>
      </c>
      <c r="O99" s="195" t="e">
        <f>K99/HLOOKUP(F99,Team_Composition_9[[#All],[Yellow]:[Red]],8,FALSE)</f>
        <v>#N/A</v>
      </c>
      <c r="P99" s="195" t="e">
        <f>L99/HLOOKUP(F99,Team_Composition_9[[#All],[Yellow]:[Red]],7,FALSE)</f>
        <v>#N/A</v>
      </c>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95" t="e">
        <f>I100/(HLOOKUP(F100,Team_Composition_9[[#All],[Yellow]:[Red]],10,FALSE)+HLOOKUP(F100,Team_Composition_9[[#All],[Yellow]:[Red]],11,FALSE))</f>
        <v>#N/A</v>
      </c>
      <c r="N100" s="195" t="e">
        <f>J100/HLOOKUP(F100,Team_Composition_9[[#All],[Yellow]:[Red]],6,FALSE)</f>
        <v>#N/A</v>
      </c>
      <c r="O100" s="195" t="e">
        <f>K100/HLOOKUP(F100,Team_Composition_9[[#All],[Yellow]:[Red]],8,FALSE)</f>
        <v>#N/A</v>
      </c>
      <c r="P100" s="195" t="e">
        <f>L100/HLOOKUP(F100,Team_Composition_9[[#All],[Yellow]:[Red]],7,FALSE)</f>
        <v>#N/A</v>
      </c>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95" t="e">
        <f>I101/(HLOOKUP(F101,Team_Composition_9[[#All],[Yellow]:[Red]],10,FALSE)+HLOOKUP(F101,Team_Composition_9[[#All],[Yellow]:[Red]],11,FALSE))</f>
        <v>#N/A</v>
      </c>
      <c r="N101" s="195" t="e">
        <f>J101/HLOOKUP(F101,Team_Composition_9[[#All],[Yellow]:[Red]],6,FALSE)</f>
        <v>#N/A</v>
      </c>
      <c r="O101" s="195" t="e">
        <f>K101/HLOOKUP(F101,Team_Composition_9[[#All],[Yellow]:[Red]],8,FALSE)</f>
        <v>#N/A</v>
      </c>
      <c r="P101" s="195" t="e">
        <f>L101/HLOOKUP(F101,Team_Composition_9[[#All],[Yellow]:[Red]],7,FALSE)</f>
        <v>#N/A</v>
      </c>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95" t="e">
        <f>I102/(HLOOKUP(F102,Team_Composition_9[[#All],[Yellow]:[Red]],10,FALSE)+HLOOKUP(F102,Team_Composition_9[[#All],[Yellow]:[Red]],11,FALSE))</f>
        <v>#N/A</v>
      </c>
      <c r="N102" s="195" t="e">
        <f>J102/HLOOKUP(F102,Team_Composition_9[[#All],[Yellow]:[Red]],6,FALSE)</f>
        <v>#N/A</v>
      </c>
      <c r="O102" s="195" t="e">
        <f>K102/HLOOKUP(F102,Team_Composition_9[[#All],[Yellow]:[Red]],8,FALSE)</f>
        <v>#N/A</v>
      </c>
      <c r="P102" s="195" t="e">
        <f>L102/HLOOKUP(F102,Team_Composition_9[[#All],[Yellow]:[Red]],7,FALSE)</f>
        <v>#N/A</v>
      </c>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95" t="e">
        <f>I103/(HLOOKUP(F103,Team_Composition_9[[#All],[Yellow]:[Red]],10,FALSE)+HLOOKUP(F103,Team_Composition_9[[#All],[Yellow]:[Red]],11,FALSE))</f>
        <v>#N/A</v>
      </c>
      <c r="N103" s="195" t="e">
        <f>J103/HLOOKUP(F103,Team_Composition_9[[#All],[Yellow]:[Red]],6,FALSE)</f>
        <v>#N/A</v>
      </c>
      <c r="O103" s="195" t="e">
        <f>K103/HLOOKUP(F103,Team_Composition_9[[#All],[Yellow]:[Red]],8,FALSE)</f>
        <v>#N/A</v>
      </c>
      <c r="P103" s="195" t="e">
        <f>L103/HLOOKUP(F103,Team_Composition_9[[#All],[Yellow]:[Red]],7,FALSE)</f>
        <v>#N/A</v>
      </c>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400-000000000000}">
      <formula1>#REF!</formula1>
    </dataValidation>
    <dataValidation type="list" allowBlank="1" sqref="F2:F103" xr:uid="{00000000-0002-0000-2400-000002000000}">
      <formula1>"Yellow,Red"</formula1>
    </dataValidation>
    <dataValidation type="custom" allowBlank="1" showDropDown="1" sqref="S4:T13 S17:T21 S25:T29 S33:T37 S41:T45 A2:A103 G2:L103" xr:uid="{00000000-0002-0000-2400-000003000000}">
      <formula1>AND(ISNUMBER(A2),(NOT(OR(NOT(ISERROR(DATEVALUE(A2))), AND(ISNUMBER(A2), LEFT(CELL("format", A2))="D")))))</formula1>
    </dataValidation>
    <dataValidation allowBlank="1" showDropDown="1" sqref="E2:E103" xr:uid="{00000000-0002-0000-24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3</v>
      </c>
      <c r="B2" s="115" t="s">
        <v>25</v>
      </c>
      <c r="C2" s="115" t="s">
        <v>23</v>
      </c>
      <c r="D2" s="13" t="s">
        <v>7</v>
      </c>
      <c r="E2" s="98" t="s">
        <v>22</v>
      </c>
      <c r="F2" s="115" t="s">
        <v>476</v>
      </c>
      <c r="G2" s="115">
        <v>46</v>
      </c>
      <c r="H2" s="115">
        <v>128</v>
      </c>
      <c r="I2" s="194">
        <v>174</v>
      </c>
      <c r="J2" s="116">
        <v>3313310</v>
      </c>
      <c r="K2" s="116">
        <v>1532625</v>
      </c>
      <c r="L2" s="116">
        <v>89111</v>
      </c>
      <c r="M2" s="195">
        <v>5.9203810820006808E-2</v>
      </c>
      <c r="N2" s="195">
        <v>6.9338860056090371E-2</v>
      </c>
      <c r="O2" s="195">
        <v>3.5636433392044364E-2</v>
      </c>
      <c r="P2" s="195">
        <v>3.0802890399353904E-3</v>
      </c>
      <c r="R2" s="232" t="s">
        <v>477</v>
      </c>
      <c r="S2" s="228"/>
      <c r="T2" s="228"/>
      <c r="V2" s="233" t="s">
        <v>478</v>
      </c>
      <c r="W2" s="228"/>
      <c r="X2" s="196"/>
      <c r="Y2" s="233" t="s">
        <v>479</v>
      </c>
      <c r="Z2" s="228"/>
    </row>
    <row r="3" spans="1:26" ht="22.5" customHeight="1">
      <c r="A3" s="115">
        <v>1</v>
      </c>
      <c r="B3" s="115" t="s">
        <v>25</v>
      </c>
      <c r="C3" s="115" t="s">
        <v>23</v>
      </c>
      <c r="D3" s="13" t="s">
        <v>7</v>
      </c>
      <c r="E3" s="98" t="s">
        <v>27</v>
      </c>
      <c r="F3" s="115" t="s">
        <v>476</v>
      </c>
      <c r="G3" s="115">
        <v>71</v>
      </c>
      <c r="H3" s="115">
        <v>100</v>
      </c>
      <c r="I3" s="194">
        <v>171</v>
      </c>
      <c r="J3" s="116">
        <v>4122222</v>
      </c>
      <c r="K3" s="116">
        <v>1870135</v>
      </c>
      <c r="L3" s="116">
        <v>74055</v>
      </c>
      <c r="M3" s="195">
        <v>5.8183055461041168E-2</v>
      </c>
      <c r="N3" s="195">
        <v>8.6267259742715582E-2</v>
      </c>
      <c r="O3" s="195">
        <v>4.348417999290817E-2</v>
      </c>
      <c r="P3" s="195">
        <v>2.5598501290796348E-3</v>
      </c>
      <c r="R3" s="190" t="s">
        <v>482</v>
      </c>
      <c r="S3" s="222" t="s">
        <v>476</v>
      </c>
      <c r="T3" s="222" t="s">
        <v>483</v>
      </c>
      <c r="V3" s="199" t="s">
        <v>1</v>
      </c>
      <c r="W3" s="200" t="s">
        <v>467</v>
      </c>
      <c r="Y3" s="199" t="s">
        <v>1</v>
      </c>
      <c r="Z3" s="200" t="s">
        <v>484</v>
      </c>
    </row>
    <row r="4" spans="1:26" ht="22.5" customHeight="1">
      <c r="A4" s="115">
        <v>10</v>
      </c>
      <c r="B4" s="115" t="s">
        <v>39</v>
      </c>
      <c r="C4" s="115" t="s">
        <v>56</v>
      </c>
      <c r="D4" s="13" t="s">
        <v>19</v>
      </c>
      <c r="E4" s="98" t="s">
        <v>42</v>
      </c>
      <c r="F4" s="115" t="s">
        <v>483</v>
      </c>
      <c r="G4" s="115">
        <v>34</v>
      </c>
      <c r="H4" s="115">
        <v>121</v>
      </c>
      <c r="I4" s="194">
        <v>155</v>
      </c>
      <c r="J4" s="116">
        <v>4725237</v>
      </c>
      <c r="K4" s="116">
        <v>1529318</v>
      </c>
      <c r="L4" s="116">
        <v>196326</v>
      </c>
      <c r="M4" s="195">
        <v>5.866767600302801E-2</v>
      </c>
      <c r="N4" s="195">
        <v>0.108972924849652</v>
      </c>
      <c r="O4" s="195">
        <v>3.2035254997984541E-2</v>
      </c>
      <c r="P4" s="195">
        <v>6.3144550769616628E-3</v>
      </c>
      <c r="R4" s="223" t="s">
        <v>25</v>
      </c>
      <c r="S4" s="207">
        <f>COUNTIFS(Scoreboard_8[Role],R4,Scoreboard_8[Team],"Yellow")</f>
        <v>6</v>
      </c>
      <c r="T4" s="219">
        <f>COUNTIFS(Scoreboard_8[Role],R4,Scoreboard_8[Team],"Red")</f>
        <v>10</v>
      </c>
      <c r="V4" s="204" t="str">
        <f ca="1">IFERROR(__xludf.DUMMYFUNCTION("query(A1:P239, ""Select E,I where B!='Healer' Order by I Desc Limit 10"", 0)"),"Baozer")</f>
        <v>Baozer</v>
      </c>
      <c r="W4" s="116">
        <f ca="1">IFERROR(__xludf.DUMMYFUNCTION("""COMPUTED_VALUE"""),174)</f>
        <v>174</v>
      </c>
      <c r="Y4" s="204" t="str">
        <f ca="1">IFERROR(__xludf.DUMMYFUNCTION("query(A1:P239, ""Select E,J Order by J Desc Limit 10"", 0)"),"edmun")</f>
        <v>edmun</v>
      </c>
      <c r="Z4" s="116">
        <f ca="1">IFERROR(__xludf.DUMMYFUNCTION("""COMPUTED_VALUE"""),4725237)</f>
        <v>4725237</v>
      </c>
    </row>
    <row r="5" spans="1:26" ht="22.5" customHeight="1">
      <c r="A5" s="115">
        <v>11</v>
      </c>
      <c r="B5" s="115" t="s">
        <v>39</v>
      </c>
      <c r="C5" s="115" t="s">
        <v>32</v>
      </c>
      <c r="D5" s="13" t="s">
        <v>7</v>
      </c>
      <c r="E5" s="98" t="s">
        <v>107</v>
      </c>
      <c r="F5" s="115" t="s">
        <v>476</v>
      </c>
      <c r="G5" s="115">
        <v>34</v>
      </c>
      <c r="H5" s="115">
        <v>105</v>
      </c>
      <c r="I5" s="194">
        <v>139</v>
      </c>
      <c r="J5" s="116">
        <v>3072592</v>
      </c>
      <c r="K5" s="116">
        <v>1030981</v>
      </c>
      <c r="L5" s="116">
        <v>18229</v>
      </c>
      <c r="M5" s="195">
        <v>4.7294998298741071E-2</v>
      </c>
      <c r="N5" s="195">
        <v>6.4301265712373074E-2</v>
      </c>
      <c r="O5" s="195">
        <v>2.3972260490963734E-2</v>
      </c>
      <c r="P5" s="195">
        <v>6.3011961384096499E-4</v>
      </c>
      <c r="R5" s="223" t="s">
        <v>39</v>
      </c>
      <c r="S5" s="207">
        <f>COUNTIFS(Scoreboard_8[Role],R5,Scoreboard_8[Team],"Yellow")</f>
        <v>11</v>
      </c>
      <c r="T5" s="219">
        <f>COUNTIFS(Scoreboard_8[Role],R5,Scoreboard_8[Team],"Red")</f>
        <v>7</v>
      </c>
      <c r="V5" s="204" t="str">
        <f ca="1">IFERROR(__xludf.DUMMYFUNCTION("""COMPUTED_VALUE"""),"Blee")</f>
        <v>Blee</v>
      </c>
      <c r="W5" s="116">
        <f ca="1">IFERROR(__xludf.DUMMYFUNCTION("""COMPUTED_VALUE"""),171)</f>
        <v>171</v>
      </c>
      <c r="Y5" s="204" t="str">
        <f ca="1">IFERROR(__xludf.DUMMYFUNCTION("""COMPUTED_VALUE"""),"Blee")</f>
        <v>Blee</v>
      </c>
      <c r="Z5" s="116">
        <f ca="1">IFERROR(__xludf.DUMMYFUNCTION("""COMPUTED_VALUE"""),4122222)</f>
        <v>4122222</v>
      </c>
    </row>
    <row r="6" spans="1:26" ht="22.5" customHeight="1">
      <c r="A6" s="115">
        <v>9</v>
      </c>
      <c r="B6" s="115" t="s">
        <v>39</v>
      </c>
      <c r="C6" s="115" t="s">
        <v>56</v>
      </c>
      <c r="D6" s="13" t="s">
        <v>7</v>
      </c>
      <c r="E6" s="98" t="s">
        <v>76</v>
      </c>
      <c r="F6" s="115" t="s">
        <v>476</v>
      </c>
      <c r="G6" s="115">
        <v>36</v>
      </c>
      <c r="H6" s="115">
        <v>99</v>
      </c>
      <c r="I6" s="194">
        <v>135</v>
      </c>
      <c r="J6" s="116">
        <v>3250974</v>
      </c>
      <c r="K6" s="116">
        <v>1573725</v>
      </c>
      <c r="L6" s="116">
        <v>394905</v>
      </c>
      <c r="M6" s="195">
        <v>4.5933991153453556E-2</v>
      </c>
      <c r="N6" s="195">
        <v>6.8034331599514788E-2</v>
      </c>
      <c r="O6" s="195">
        <v>3.6592086218021382E-2</v>
      </c>
      <c r="P6" s="195">
        <v>1.3650632843483805E-2</v>
      </c>
      <c r="R6" s="223" t="s">
        <v>67</v>
      </c>
      <c r="S6" s="207">
        <f>COUNTIFS(Scoreboard_8[Role],R6,Scoreboard_8[Team],"Yellow")</f>
        <v>15</v>
      </c>
      <c r="T6" s="219">
        <f>COUNTIFS(Scoreboard_8[Role],R6,Scoreboard_8[Team],"Red")</f>
        <v>14</v>
      </c>
      <c r="V6" s="204" t="str">
        <f ca="1">IFERROR(__xludf.DUMMYFUNCTION("""COMPUTED_VALUE"""),"edmun")</f>
        <v>edmun</v>
      </c>
      <c r="W6" s="116">
        <f ca="1">IFERROR(__xludf.DUMMYFUNCTION("""COMPUTED_VALUE"""),155)</f>
        <v>155</v>
      </c>
      <c r="Y6" s="204" t="str">
        <f ca="1">IFERROR(__xludf.DUMMYFUNCTION("""COMPUTED_VALUE"""),"cba")</f>
        <v>cba</v>
      </c>
      <c r="Z6" s="116">
        <f ca="1">IFERROR(__xludf.DUMMYFUNCTION("""COMPUTED_VALUE"""),3593702)</f>
        <v>3593702</v>
      </c>
    </row>
    <row r="7" spans="1:26" ht="22.5" customHeight="1">
      <c r="A7" s="115">
        <v>4</v>
      </c>
      <c r="B7" s="115" t="s">
        <v>39</v>
      </c>
      <c r="C7" s="115" t="s">
        <v>45</v>
      </c>
      <c r="D7" s="13" t="s">
        <v>7</v>
      </c>
      <c r="E7" s="98" t="s">
        <v>84</v>
      </c>
      <c r="F7" s="115" t="s">
        <v>476</v>
      </c>
      <c r="G7" s="115">
        <v>45</v>
      </c>
      <c r="H7" s="115">
        <v>85</v>
      </c>
      <c r="I7" s="194">
        <v>130</v>
      </c>
      <c r="J7" s="116">
        <v>3118627</v>
      </c>
      <c r="K7" s="116">
        <v>645106</v>
      </c>
      <c r="L7" s="116">
        <v>16641</v>
      </c>
      <c r="M7" s="195">
        <v>4.4232732221844165E-2</v>
      </c>
      <c r="N7" s="195">
        <v>6.5264657131431994E-2</v>
      </c>
      <c r="O7" s="195">
        <v>1.4999936057292666E-2</v>
      </c>
      <c r="P7" s="195">
        <v>5.7522741203178997E-4</v>
      </c>
      <c r="R7" s="223" t="s">
        <v>11</v>
      </c>
      <c r="S7" s="207">
        <f>COUNTIFS(Scoreboard_8[Role],R7,Scoreboard_8[Team],"Yellow")</f>
        <v>16</v>
      </c>
      <c r="T7" s="219">
        <f>COUNTIFS(Scoreboard_8[Role],R7,Scoreboard_8[Team],"Red")</f>
        <v>16</v>
      </c>
      <c r="V7" s="204" t="str">
        <f ca="1">IFERROR(__xludf.DUMMYFUNCTION("""COMPUTED_VALUE"""),"TanksVicious")</f>
        <v>TanksVicious</v>
      </c>
      <c r="W7" s="116">
        <f ca="1">IFERROR(__xludf.DUMMYFUNCTION("""COMPUTED_VALUE"""),139)</f>
        <v>139</v>
      </c>
      <c r="Y7" s="204" t="str">
        <f ca="1">IFERROR(__xludf.DUMMYFUNCTION("""COMPUTED_VALUE"""),"SpotÂ·")</f>
        <v>SpotÂ·</v>
      </c>
      <c r="Z7" s="116">
        <f ca="1">IFERROR(__xludf.DUMMYFUNCTION("""COMPUTED_VALUE"""),3451382)</f>
        <v>3451382</v>
      </c>
    </row>
    <row r="8" spans="1:26" ht="22.5" customHeight="1">
      <c r="A8" s="115">
        <v>2</v>
      </c>
      <c r="B8" s="115" t="s">
        <v>39</v>
      </c>
      <c r="C8" s="115" t="s">
        <v>54</v>
      </c>
      <c r="D8" s="13" t="s">
        <v>19</v>
      </c>
      <c r="E8" s="98" t="s">
        <v>910</v>
      </c>
      <c r="F8" s="115" t="s">
        <v>483</v>
      </c>
      <c r="G8" s="115">
        <v>69</v>
      </c>
      <c r="H8" s="115">
        <v>56</v>
      </c>
      <c r="I8" s="194">
        <v>125</v>
      </c>
      <c r="J8" s="116">
        <v>3451382</v>
      </c>
      <c r="K8" s="116">
        <v>463357</v>
      </c>
      <c r="L8" s="116">
        <v>9114</v>
      </c>
      <c r="M8" s="195">
        <v>4.7312641937925816E-2</v>
      </c>
      <c r="N8" s="195">
        <v>7.9595413164131587E-2</v>
      </c>
      <c r="O8" s="195">
        <v>9.7061302162801486E-3</v>
      </c>
      <c r="P8" s="195">
        <v>2.9313460046773528E-4</v>
      </c>
      <c r="R8" s="223" t="s">
        <v>468</v>
      </c>
      <c r="S8" s="207">
        <f>SUMIFS(Scoreboard_8[Damage Dealt],Scoreboard_8[Team],"Yellow")</f>
        <v>47784316</v>
      </c>
      <c r="T8" s="219">
        <f>SUMIFS(Scoreboard_8[Damage Dealt],Scoreboard_8[Team],"Red")</f>
        <v>43361569</v>
      </c>
      <c r="V8" s="204" t="str">
        <f ca="1">IFERROR(__xludf.DUMMYFUNCTION("""COMPUTED_VALUE"""),"Kiefblunt")</f>
        <v>Kiefblunt</v>
      </c>
      <c r="W8" s="116">
        <f ca="1">IFERROR(__xludf.DUMMYFUNCTION("""COMPUTED_VALUE"""),135)</f>
        <v>135</v>
      </c>
      <c r="Y8" s="204" t="str">
        <f ca="1">IFERROR(__xludf.DUMMYFUNCTION("""COMPUTED_VALUE"""),"Baozer")</f>
        <v>Baozer</v>
      </c>
      <c r="Z8" s="116">
        <f ca="1">IFERROR(__xludf.DUMMYFUNCTION("""COMPUTED_VALUE"""),3313310)</f>
        <v>3313310</v>
      </c>
    </row>
    <row r="9" spans="1:26" ht="22.5" customHeight="1">
      <c r="A9" s="115">
        <v>5</v>
      </c>
      <c r="B9" s="115" t="s">
        <v>25</v>
      </c>
      <c r="C9" s="115" t="s">
        <v>24</v>
      </c>
      <c r="D9" s="13" t="s">
        <v>7</v>
      </c>
      <c r="E9" s="98" t="s">
        <v>104</v>
      </c>
      <c r="F9" s="115" t="s">
        <v>476</v>
      </c>
      <c r="G9" s="115">
        <v>45</v>
      </c>
      <c r="H9" s="115">
        <v>69</v>
      </c>
      <c r="I9" s="194">
        <v>114</v>
      </c>
      <c r="J9" s="116">
        <v>2636227</v>
      </c>
      <c r="K9" s="116">
        <v>849228</v>
      </c>
      <c r="L9" s="116">
        <v>92458</v>
      </c>
      <c r="M9" s="195">
        <v>3.8788703640694117E-2</v>
      </c>
      <c r="N9" s="195">
        <v>5.5169294460550612E-2</v>
      </c>
      <c r="O9" s="195">
        <v>1.9746159077829901E-2</v>
      </c>
      <c r="P9" s="195">
        <v>3.1959843796427636E-3</v>
      </c>
      <c r="R9" s="223" t="s">
        <v>470</v>
      </c>
      <c r="S9" s="207">
        <f>SUMIFS(Scoreboard_8[Amount Healed],Scoreboard_8[Team],"Yellow")</f>
        <v>28929428</v>
      </c>
      <c r="T9" s="219">
        <f>SUMIFS(Scoreboard_8[Amount Healed],Scoreboard_8[Team],"Red")</f>
        <v>31091519</v>
      </c>
      <c r="V9" s="204" t="str">
        <f ca="1">IFERROR(__xludf.DUMMYFUNCTION("""COMPUTED_VALUE"""),"Nengja")</f>
        <v>Nengja</v>
      </c>
      <c r="W9" s="116">
        <f ca="1">IFERROR(__xludf.DUMMYFUNCTION("""COMPUTED_VALUE"""),130)</f>
        <v>130</v>
      </c>
      <c r="Y9" s="204" t="str">
        <f ca="1">IFERROR(__xludf.DUMMYFUNCTION("""COMPUTED_VALUE"""),"Regalians")</f>
        <v>Regalians</v>
      </c>
      <c r="Z9" s="116">
        <f ca="1">IFERROR(__xludf.DUMMYFUNCTION("""COMPUTED_VALUE"""),3251717)</f>
        <v>3251717</v>
      </c>
    </row>
    <row r="10" spans="1:26" ht="22.5" customHeight="1">
      <c r="A10" s="115">
        <v>8</v>
      </c>
      <c r="B10" s="115" t="s">
        <v>25</v>
      </c>
      <c r="C10" s="115" t="s">
        <v>24</v>
      </c>
      <c r="D10" s="13" t="s">
        <v>19</v>
      </c>
      <c r="E10" s="98" t="s">
        <v>130</v>
      </c>
      <c r="F10" s="115" t="s">
        <v>483</v>
      </c>
      <c r="G10" s="115">
        <v>37</v>
      </c>
      <c r="H10" s="115">
        <v>77</v>
      </c>
      <c r="I10" s="194">
        <v>114</v>
      </c>
      <c r="J10" s="116">
        <v>3593702</v>
      </c>
      <c r="K10" s="116">
        <v>1306665</v>
      </c>
      <c r="L10" s="116">
        <v>0</v>
      </c>
      <c r="M10" s="195">
        <v>4.3149129447388343E-2</v>
      </c>
      <c r="N10" s="195">
        <v>8.2877582220329718E-2</v>
      </c>
      <c r="O10" s="195">
        <v>2.7371250761412259E-2</v>
      </c>
      <c r="P10" s="195">
        <v>0</v>
      </c>
      <c r="R10" s="223" t="s">
        <v>469</v>
      </c>
      <c r="S10" s="207">
        <f>SUMIFS(Scoreboard_8[Damage Taken],Scoreboard_8[Team],"Yellow")</f>
        <v>43007250</v>
      </c>
      <c r="T10" s="219">
        <f>SUMIFS(Scoreboard_8[Damage Taken],Scoreboard_8[Team],"Red")</f>
        <v>47738593</v>
      </c>
      <c r="V10" s="204" t="str">
        <f ca="1">IFERROR(__xludf.DUMMYFUNCTION("""COMPUTED_VALUE"""),"SpotÂ·")</f>
        <v>SpotÂ·</v>
      </c>
      <c r="W10" s="116">
        <f ca="1">IFERROR(__xludf.DUMMYFUNCTION("""COMPUTED_VALUE"""),125)</f>
        <v>125</v>
      </c>
      <c r="Y10" s="204" t="str">
        <f ca="1">IFERROR(__xludf.DUMMYFUNCTION("""COMPUTED_VALUE"""),"Kiefblunt")</f>
        <v>Kiefblunt</v>
      </c>
      <c r="Z10" s="116">
        <f ca="1">IFERROR(__xludf.DUMMYFUNCTION("""COMPUTED_VALUE"""),3250974)</f>
        <v>3250974</v>
      </c>
    </row>
    <row r="11" spans="1:26" ht="22.5" customHeight="1">
      <c r="A11" s="115">
        <v>32</v>
      </c>
      <c r="B11" s="115" t="s">
        <v>39</v>
      </c>
      <c r="C11" s="115" t="s">
        <v>56</v>
      </c>
      <c r="D11" s="13" t="s">
        <v>7</v>
      </c>
      <c r="E11" s="98" t="s">
        <v>852</v>
      </c>
      <c r="F11" s="115" t="s">
        <v>476</v>
      </c>
      <c r="G11" s="115">
        <v>14</v>
      </c>
      <c r="H11" s="115">
        <v>96</v>
      </c>
      <c r="I11" s="194">
        <v>110</v>
      </c>
      <c r="J11" s="116">
        <v>2353888</v>
      </c>
      <c r="K11" s="116">
        <v>875409</v>
      </c>
      <c r="L11" s="116">
        <v>0</v>
      </c>
      <c r="M11" s="195">
        <v>3.7427696495406601E-2</v>
      </c>
      <c r="N11" s="195">
        <v>4.9260682103307703E-2</v>
      </c>
      <c r="O11" s="195">
        <v>2.0354916903545333E-2</v>
      </c>
      <c r="P11" s="195">
        <v>0</v>
      </c>
      <c r="R11" s="223" t="s">
        <v>495</v>
      </c>
      <c r="S11" s="207">
        <f ca="1">IFERROR(DIVIDE(SUMIFS(Scoreboard_8[Amount Healed],Scoreboard_8[Team],"Yellow"), SUMIFS(Scoreboard_8[Damage Taken],Scoreboard_8[Team],"Yellow"))*(100),0)</f>
        <v>0</v>
      </c>
      <c r="T11" s="219">
        <f ca="1">IFERROR(DIVIDE(SUMIFS(Scoreboard_8[Amount Healed],Scoreboard_8[Team],"Red"), SUMIFS(Scoreboard_8[Damage Taken],Scoreboard_8[Team],"Red"))*(100),0)</f>
        <v>0</v>
      </c>
      <c r="V11" s="204" t="str">
        <f ca="1">IFERROR(__xludf.DUMMYFUNCTION("""COMPUTED_VALUE"""),"Superluigi")</f>
        <v>Superluigi</v>
      </c>
      <c r="W11" s="116">
        <f ca="1">IFERROR(__xludf.DUMMYFUNCTION("""COMPUTED_VALUE"""),114)</f>
        <v>114</v>
      </c>
      <c r="Y11" s="204" t="str">
        <f ca="1">IFERROR(__xludf.DUMMYFUNCTION("""COMPUTED_VALUE"""),"Nengja")</f>
        <v>Nengja</v>
      </c>
      <c r="Z11" s="116">
        <f ca="1">IFERROR(__xludf.DUMMYFUNCTION("""COMPUTED_VALUE"""),3118627)</f>
        <v>3118627</v>
      </c>
    </row>
    <row r="12" spans="1:26" ht="22.5" customHeight="1">
      <c r="A12" s="115">
        <v>18</v>
      </c>
      <c r="B12" s="115" t="s">
        <v>39</v>
      </c>
      <c r="C12" s="115" t="s">
        <v>58</v>
      </c>
      <c r="D12" s="13" t="s">
        <v>19</v>
      </c>
      <c r="E12" s="98" t="s">
        <v>911</v>
      </c>
      <c r="F12" s="115" t="s">
        <v>483</v>
      </c>
      <c r="G12" s="115">
        <v>28</v>
      </c>
      <c r="H12" s="115">
        <v>81</v>
      </c>
      <c r="I12" s="194">
        <v>109</v>
      </c>
      <c r="J12" s="116">
        <v>2843473</v>
      </c>
      <c r="K12" s="116">
        <v>987831</v>
      </c>
      <c r="L12" s="116">
        <v>36979</v>
      </c>
      <c r="M12" s="195">
        <v>4.1256623769871312E-2</v>
      </c>
      <c r="N12" s="195">
        <v>6.5575878954011096E-2</v>
      </c>
      <c r="O12" s="195">
        <v>2.0692503442654876E-2</v>
      </c>
      <c r="P12" s="195">
        <v>1.1893597093149421E-3</v>
      </c>
      <c r="R12" s="223" t="s">
        <v>465</v>
      </c>
      <c r="S12" s="207">
        <f>SUMIFS(Scoreboard_8[Kills],Scoreboard_8[Team],"Yellow")</f>
        <v>590</v>
      </c>
      <c r="T12" s="219">
        <f>SUMIFS(Scoreboard_8[Kills],Scoreboard_8[Team],"Red")</f>
        <v>526</v>
      </c>
      <c r="V12" s="204" t="str">
        <f ca="1">IFERROR(__xludf.DUMMYFUNCTION("""COMPUTED_VALUE"""),"cba")</f>
        <v>cba</v>
      </c>
      <c r="W12" s="116">
        <f ca="1">IFERROR(__xludf.DUMMYFUNCTION("""COMPUTED_VALUE"""),114)</f>
        <v>114</v>
      </c>
      <c r="Y12" s="204" t="str">
        <f ca="1">IFERROR(__xludf.DUMMYFUNCTION("""COMPUTED_VALUE"""),"TanksVicious")</f>
        <v>TanksVicious</v>
      </c>
      <c r="Z12" s="116">
        <f ca="1">IFERROR(__xludf.DUMMYFUNCTION("""COMPUTED_VALUE"""),3072592)</f>
        <v>3072592</v>
      </c>
    </row>
    <row r="13" spans="1:26" ht="22.5" customHeight="1">
      <c r="A13" s="115">
        <v>12</v>
      </c>
      <c r="B13" s="115" t="s">
        <v>39</v>
      </c>
      <c r="C13" s="115" t="s">
        <v>52</v>
      </c>
      <c r="D13" s="13" t="s">
        <v>7</v>
      </c>
      <c r="E13" s="98" t="s">
        <v>94</v>
      </c>
      <c r="F13" s="115" t="s">
        <v>476</v>
      </c>
      <c r="G13" s="115">
        <v>34</v>
      </c>
      <c r="H13" s="115">
        <v>68</v>
      </c>
      <c r="I13" s="194">
        <v>102</v>
      </c>
      <c r="J13" s="116">
        <v>3251717</v>
      </c>
      <c r="K13" s="116">
        <v>807207</v>
      </c>
      <c r="L13" s="116">
        <v>395963</v>
      </c>
      <c r="M13" s="195">
        <v>3.4705682204831577E-2</v>
      </c>
      <c r="N13" s="195">
        <v>6.8049880634474286E-2</v>
      </c>
      <c r="O13" s="195">
        <v>1.8769091257869314E-2</v>
      </c>
      <c r="P13" s="195">
        <v>1.368720460010478E-2</v>
      </c>
      <c r="R13" s="223" t="s">
        <v>466</v>
      </c>
      <c r="S13" s="207">
        <f>SUMIFS(Scoreboard_8[Assists],Scoreboard_8[Team],"Yellow")</f>
        <v>2349</v>
      </c>
      <c r="T13" s="219">
        <f>SUMIFS(Scoreboard_8[Assists],Scoreboard_8[Team],"Red")</f>
        <v>2116</v>
      </c>
      <c r="V13" s="204" t="str">
        <f ca="1">IFERROR(__xludf.DUMMYFUNCTION("""COMPUTED_VALUE"""),"Vynterra")</f>
        <v>Vynterra</v>
      </c>
      <c r="W13" s="116">
        <f ca="1">IFERROR(__xludf.DUMMYFUNCTION("""COMPUTED_VALUE"""),110)</f>
        <v>110</v>
      </c>
      <c r="Y13" s="204" t="str">
        <f ca="1">IFERROR(__xludf.DUMMYFUNCTION("""COMPUTED_VALUE"""),"Wafeb")</f>
        <v>Wafeb</v>
      </c>
      <c r="Z13" s="116">
        <f ca="1">IFERROR(__xludf.DUMMYFUNCTION("""COMPUTED_VALUE"""),2843473)</f>
        <v>2843473</v>
      </c>
    </row>
    <row r="14" spans="1:26" ht="22.5" customHeight="1">
      <c r="A14" s="115">
        <v>27</v>
      </c>
      <c r="B14" s="115" t="s">
        <v>39</v>
      </c>
      <c r="C14" s="115" t="s">
        <v>52</v>
      </c>
      <c r="D14" s="13" t="s">
        <v>7</v>
      </c>
      <c r="E14" s="98" t="s">
        <v>65</v>
      </c>
      <c r="F14" s="115" t="s">
        <v>476</v>
      </c>
      <c r="G14" s="115">
        <v>21</v>
      </c>
      <c r="H14" s="115">
        <v>77</v>
      </c>
      <c r="I14" s="194">
        <v>98</v>
      </c>
      <c r="J14" s="116">
        <v>2149635</v>
      </c>
      <c r="K14" s="116">
        <v>1258065</v>
      </c>
      <c r="L14" s="116">
        <v>496470</v>
      </c>
      <c r="M14" s="195">
        <v>3.3344675059544061E-2</v>
      </c>
      <c r="N14" s="195">
        <v>4.4986204259991919E-2</v>
      </c>
      <c r="O14" s="195">
        <v>2.9252393491794988E-2</v>
      </c>
      <c r="P14" s="195">
        <v>1.7161417778464198E-2</v>
      </c>
    </row>
    <row r="15" spans="1:26" ht="22.5" customHeight="1">
      <c r="A15" s="115">
        <v>7</v>
      </c>
      <c r="B15" s="115" t="s">
        <v>25</v>
      </c>
      <c r="C15" s="115" t="s">
        <v>69</v>
      </c>
      <c r="D15" s="13" t="s">
        <v>19</v>
      </c>
      <c r="E15" s="98" t="s">
        <v>68</v>
      </c>
      <c r="F15" s="115" t="s">
        <v>483</v>
      </c>
      <c r="G15" s="115">
        <v>41</v>
      </c>
      <c r="H15" s="115">
        <v>56</v>
      </c>
      <c r="I15" s="194">
        <v>97</v>
      </c>
      <c r="J15" s="116">
        <v>1907544</v>
      </c>
      <c r="K15" s="116">
        <v>1222716</v>
      </c>
      <c r="L15" s="116">
        <v>98101</v>
      </c>
      <c r="M15" s="195">
        <v>3.6714610143830428E-2</v>
      </c>
      <c r="N15" s="195">
        <v>4.3991581577686914E-2</v>
      </c>
      <c r="O15" s="195">
        <v>2.5612736428993622E-2</v>
      </c>
      <c r="P15" s="195">
        <v>3.1552334255524794E-3</v>
      </c>
      <c r="R15" s="232" t="s">
        <v>25</v>
      </c>
      <c r="S15" s="228"/>
      <c r="T15" s="228"/>
      <c r="V15" s="233" t="s">
        <v>496</v>
      </c>
      <c r="W15" s="228"/>
      <c r="Y15" s="233" t="s">
        <v>497</v>
      </c>
      <c r="Z15" s="228"/>
    </row>
    <row r="16" spans="1:26" ht="22.5" customHeight="1">
      <c r="A16" s="115">
        <v>30</v>
      </c>
      <c r="B16" s="115" t="s">
        <v>25</v>
      </c>
      <c r="C16" s="115" t="s">
        <v>23</v>
      </c>
      <c r="D16" s="13" t="s">
        <v>19</v>
      </c>
      <c r="E16" s="98" t="s">
        <v>71</v>
      </c>
      <c r="F16" s="115" t="s">
        <v>483</v>
      </c>
      <c r="G16" s="115">
        <v>18</v>
      </c>
      <c r="H16" s="115">
        <v>74</v>
      </c>
      <c r="I16" s="194">
        <v>92</v>
      </c>
      <c r="J16" s="116">
        <v>2181648</v>
      </c>
      <c r="K16" s="116">
        <v>1322167</v>
      </c>
      <c r="L16" s="116">
        <v>99254</v>
      </c>
      <c r="M16" s="195">
        <v>3.4822104466313397E-2</v>
      </c>
      <c r="N16" s="195">
        <v>5.0312939552533256E-2</v>
      </c>
      <c r="O16" s="195">
        <v>2.7695977550071492E-2</v>
      </c>
      <c r="P16" s="195">
        <v>3.1923174933974762E-3</v>
      </c>
      <c r="R16" s="190" t="s">
        <v>482</v>
      </c>
      <c r="S16" s="222" t="s">
        <v>476</v>
      </c>
      <c r="T16" s="222" t="s">
        <v>483</v>
      </c>
      <c r="V16" s="199" t="s">
        <v>1</v>
      </c>
      <c r="W16" s="200" t="s">
        <v>498</v>
      </c>
      <c r="Y16" s="199" t="s">
        <v>1</v>
      </c>
      <c r="Z16" s="200" t="s">
        <v>499</v>
      </c>
    </row>
    <row r="17" spans="1:26" ht="22.5" customHeight="1">
      <c r="A17" s="115">
        <v>14</v>
      </c>
      <c r="B17" s="115" t="s">
        <v>25</v>
      </c>
      <c r="C17" s="115" t="s">
        <v>23</v>
      </c>
      <c r="D17" s="13" t="s">
        <v>7</v>
      </c>
      <c r="E17" s="98" t="s">
        <v>912</v>
      </c>
      <c r="F17" s="115" t="s">
        <v>476</v>
      </c>
      <c r="G17" s="115">
        <v>32</v>
      </c>
      <c r="H17" s="115">
        <v>59</v>
      </c>
      <c r="I17" s="194">
        <v>91</v>
      </c>
      <c r="J17" s="116">
        <v>2365300</v>
      </c>
      <c r="K17" s="116">
        <v>1265773</v>
      </c>
      <c r="L17" s="116">
        <v>59100</v>
      </c>
      <c r="M17" s="195">
        <v>3.0962912555290916E-2</v>
      </c>
      <c r="N17" s="195">
        <v>4.9499505235148705E-2</v>
      </c>
      <c r="O17" s="195">
        <v>2.9431619087479436E-2</v>
      </c>
      <c r="P17" s="195">
        <v>2.0429024728729514E-3</v>
      </c>
      <c r="R17" s="223" t="s">
        <v>468</v>
      </c>
      <c r="S17" s="207">
        <f>SUMIFS(Scoreboard_8[Damage Dealt],Scoreboard_8[Role],"Melee DPS",Scoreboard_8[Team],"Yellow")</f>
        <v>16244627</v>
      </c>
      <c r="T17" s="219">
        <f>SUMIFS(Scoreboard_8[Damage Dealt],Scoreboard_8[Role],"Melee DPS",Scoreboard_8[Team],"Red")</f>
        <v>18199644</v>
      </c>
      <c r="V17" s="204" t="str">
        <f ca="1">IFERROR(__xludf.DUMMYFUNCTION("query(A1:P239, ""Select E,K Order by K Desc Limit 10"", 0)"),"RedCamper")</f>
        <v>RedCamper</v>
      </c>
      <c r="W17" s="116">
        <f ca="1">IFERROR(__xludf.DUMMYFUNCTION("""COMPUTED_VALUE"""),1954225)</f>
        <v>1954225</v>
      </c>
      <c r="Y17" s="204" t="str">
        <f ca="1">IFERROR(__xludf.DUMMYFUNCTION("query(A1:P239, ""Select E,L Order by L Desc Limit 10"", 0)"),"apgonzo")</f>
        <v>apgonzo</v>
      </c>
      <c r="Z17" s="116">
        <f ca="1">IFERROR(__xludf.DUMMYFUNCTION("""COMPUTED_VALUE"""),2995738)</f>
        <v>2995738</v>
      </c>
    </row>
    <row r="18" spans="1:26" ht="22.5" customHeight="1">
      <c r="A18" s="115">
        <v>31</v>
      </c>
      <c r="B18" s="115" t="s">
        <v>39</v>
      </c>
      <c r="C18" s="115" t="s">
        <v>32</v>
      </c>
      <c r="D18" s="13" t="s">
        <v>19</v>
      </c>
      <c r="E18" s="98" t="s">
        <v>894</v>
      </c>
      <c r="F18" s="115" t="s">
        <v>483</v>
      </c>
      <c r="G18" s="115">
        <v>17</v>
      </c>
      <c r="H18" s="115">
        <v>74</v>
      </c>
      <c r="I18" s="194">
        <v>91</v>
      </c>
      <c r="J18" s="116">
        <v>2451362</v>
      </c>
      <c r="K18" s="116">
        <v>989418</v>
      </c>
      <c r="L18" s="116">
        <v>60455</v>
      </c>
      <c r="M18" s="195">
        <v>3.4443603330809994E-2</v>
      </c>
      <c r="N18" s="195">
        <v>5.653305580340047E-2</v>
      </c>
      <c r="O18" s="195">
        <v>2.0725746986300999E-2</v>
      </c>
      <c r="P18" s="195">
        <v>1.9444209207018801E-3</v>
      </c>
      <c r="R18" s="223" t="s">
        <v>469</v>
      </c>
      <c r="S18" s="207">
        <f>SUMIFS(Scoreboard_8[Damage Taken],Scoreboard_8[Role],"Melee DPS",Scoreboard_8[Team],"Yellow")</f>
        <v>7518933</v>
      </c>
      <c r="T18" s="219">
        <f>SUMIFS(Scoreboard_8[Damage Taken],Scoreboard_8[Role],"Melee DPS",Scoreboard_8[Team],"Red")</f>
        <v>11834596</v>
      </c>
      <c r="V18" s="204" t="str">
        <f ca="1">IFERROR(__xludf.DUMMYFUNCTION("""COMPUTED_VALUE"""),"Blee")</f>
        <v>Blee</v>
      </c>
      <c r="W18" s="116">
        <f ca="1">IFERROR(__xludf.DUMMYFUNCTION("""COMPUTED_VALUE"""),1870135)</f>
        <v>1870135</v>
      </c>
      <c r="Y18" s="204" t="str">
        <f ca="1">IFERROR(__xludf.DUMMYFUNCTION("""COMPUTED_VALUE"""),"Zyrwolf")</f>
        <v>Zyrwolf</v>
      </c>
      <c r="Z18" s="116">
        <f ca="1">IFERROR(__xludf.DUMMYFUNCTION("""COMPUTED_VALUE"""),2953754)</f>
        <v>2953754</v>
      </c>
    </row>
    <row r="19" spans="1:26" ht="22.5" customHeight="1">
      <c r="A19" s="115">
        <v>15</v>
      </c>
      <c r="B19" s="115" t="s">
        <v>25</v>
      </c>
      <c r="C19" s="115" t="s">
        <v>69</v>
      </c>
      <c r="D19" s="13" t="s">
        <v>7</v>
      </c>
      <c r="E19" s="98" t="s">
        <v>110</v>
      </c>
      <c r="F19" s="115" t="s">
        <v>476</v>
      </c>
      <c r="G19" s="115">
        <v>31</v>
      </c>
      <c r="H19" s="115">
        <v>59</v>
      </c>
      <c r="I19" s="194">
        <v>90</v>
      </c>
      <c r="J19" s="116">
        <v>1702744</v>
      </c>
      <c r="K19" s="116">
        <v>833070</v>
      </c>
      <c r="L19" s="116">
        <v>11248</v>
      </c>
      <c r="M19" s="195">
        <v>3.0622660768969037E-2</v>
      </c>
      <c r="N19" s="195">
        <v>3.5633951525015028E-2</v>
      </c>
      <c r="O19" s="195">
        <v>1.9370454981427549E-2</v>
      </c>
      <c r="P19" s="195">
        <v>3.8880824052241891E-4</v>
      </c>
      <c r="R19" s="223" t="s">
        <v>470</v>
      </c>
      <c r="S19" s="207">
        <f>SUMIFS(Scoreboard_8[Amount Healed],Scoreboard_8[Role],"Melee DPS",Scoreboard_8[Team],"Yellow")</f>
        <v>400116</v>
      </c>
      <c r="T19" s="219">
        <f>SUMIFS(Scoreboard_8[Amount Healed],Scoreboard_8[Role],"Melee DPS",Scoreboard_8[Team],"Red")</f>
        <v>626897</v>
      </c>
      <c r="V19" s="204" t="str">
        <f ca="1">IFERROR(__xludf.DUMMYFUNCTION("""COMPUTED_VALUE"""),"Zyrwolf")</f>
        <v>Zyrwolf</v>
      </c>
      <c r="W19" s="116">
        <f ca="1">IFERROR(__xludf.DUMMYFUNCTION("""COMPUTED_VALUE"""),1636354)</f>
        <v>1636354</v>
      </c>
      <c r="Y19" s="204" t="str">
        <f ca="1">IFERROR(__xludf.DUMMYFUNCTION("""COMPUTED_VALUE"""),"Reinnier")</f>
        <v>Reinnier</v>
      </c>
      <c r="Z19" s="116">
        <f ca="1">IFERROR(__xludf.DUMMYFUNCTION("""COMPUTED_VALUE"""),2706230)</f>
        <v>2706230</v>
      </c>
    </row>
    <row r="20" spans="1:26" ht="22.5" customHeight="1">
      <c r="A20" s="115">
        <v>24</v>
      </c>
      <c r="B20" s="115" t="s">
        <v>25</v>
      </c>
      <c r="C20" s="115" t="s">
        <v>24</v>
      </c>
      <c r="D20" s="13" t="s">
        <v>19</v>
      </c>
      <c r="E20" s="98" t="s">
        <v>887</v>
      </c>
      <c r="F20" s="115" t="s">
        <v>483</v>
      </c>
      <c r="G20" s="115">
        <v>25</v>
      </c>
      <c r="H20" s="115">
        <v>63</v>
      </c>
      <c r="I20" s="194">
        <v>88</v>
      </c>
      <c r="J20" s="116">
        <v>1963780</v>
      </c>
      <c r="K20" s="116">
        <v>1015991</v>
      </c>
      <c r="L20" s="116">
        <v>38835</v>
      </c>
      <c r="M20" s="195">
        <v>3.3308099924299776E-2</v>
      </c>
      <c r="N20" s="195">
        <v>4.5288490368049182E-2</v>
      </c>
      <c r="O20" s="195">
        <v>2.1282382578807883E-2</v>
      </c>
      <c r="P20" s="195">
        <v>1.2490544447185099E-3</v>
      </c>
      <c r="R20" s="223" t="s">
        <v>465</v>
      </c>
      <c r="S20" s="207">
        <f>SUMIFS(Scoreboard_8[Kills],Scoreboard_8[Role],"Melee DPS",Scoreboard_8[Team],"Yellow")</f>
        <v>248</v>
      </c>
      <c r="T20" s="219">
        <f>SUMIFS(Scoreboard_8[Kills],Scoreboard_8[Role],"Melee DPS",Scoreboard_8[Team],"Red")</f>
        <v>275</v>
      </c>
      <c r="V20" s="204" t="str">
        <f ca="1">IFERROR(__xludf.DUMMYFUNCTION("""COMPUTED_VALUE"""),"Kiefblunt")</f>
        <v>Kiefblunt</v>
      </c>
      <c r="W20" s="116">
        <f ca="1">IFERROR(__xludf.DUMMYFUNCTION("""COMPUTED_VALUE"""),1573725)</f>
        <v>1573725</v>
      </c>
      <c r="Y20" s="204" t="str">
        <f ca="1">IFERROR(__xludf.DUMMYFUNCTION("""COMPUTED_VALUE"""),"Spicyparrot")</f>
        <v>Spicyparrot</v>
      </c>
      <c r="Z20" s="116">
        <f ca="1">IFERROR(__xludf.DUMMYFUNCTION("""COMPUTED_VALUE"""),2618163)</f>
        <v>2618163</v>
      </c>
    </row>
    <row r="21" spans="1:26" ht="22.5" customHeight="1">
      <c r="A21" s="115">
        <v>66</v>
      </c>
      <c r="B21" s="115" t="s">
        <v>11</v>
      </c>
      <c r="C21" s="115" t="s">
        <v>10</v>
      </c>
      <c r="D21" s="13" t="s">
        <v>7</v>
      </c>
      <c r="E21" s="98" t="s">
        <v>44</v>
      </c>
      <c r="F21" s="115" t="s">
        <v>476</v>
      </c>
      <c r="G21" s="115">
        <v>0</v>
      </c>
      <c r="H21" s="115">
        <v>88</v>
      </c>
      <c r="I21" s="194">
        <v>88</v>
      </c>
      <c r="J21" s="116">
        <v>154057</v>
      </c>
      <c r="K21" s="116">
        <v>384976</v>
      </c>
      <c r="L21" s="116">
        <v>1509322</v>
      </c>
      <c r="M21" s="195">
        <v>2.9942157196325279E-2</v>
      </c>
      <c r="N21" s="195">
        <v>3.2240076430098945E-3</v>
      </c>
      <c r="O21" s="195">
        <v>8.9514209813461691E-3</v>
      </c>
      <c r="P21" s="195">
        <v>5.2172549004425528E-2</v>
      </c>
      <c r="R21" s="223" t="s">
        <v>466</v>
      </c>
      <c r="S21" s="207">
        <f>SUMIFS(Scoreboard_8[Assists],Scoreboard_8[Role],"Melee DPS",Scoreboard_8[Team],"Yellow")</f>
        <v>477</v>
      </c>
      <c r="T21" s="219">
        <f>SUMIFS(Scoreboard_8[Assists],Scoreboard_8[Role],"Melee DPS",Scoreboard_8[Team],"Red")</f>
        <v>553</v>
      </c>
      <c r="V21" s="204" t="str">
        <f ca="1">IFERROR(__xludf.DUMMYFUNCTION("""COMPUTED_VALUE"""),"Baozer")</f>
        <v>Baozer</v>
      </c>
      <c r="W21" s="116">
        <f ca="1">IFERROR(__xludf.DUMMYFUNCTION("""COMPUTED_VALUE"""),1532625)</f>
        <v>1532625</v>
      </c>
      <c r="Y21" s="204" t="str">
        <f ca="1">IFERROR(__xludf.DUMMYFUNCTION("""COMPUTED_VALUE"""),"Purple")</f>
        <v>Purple</v>
      </c>
      <c r="Z21" s="116">
        <f ca="1">IFERROR(__xludf.DUMMYFUNCTION("""COMPUTED_VALUE"""),2440478)</f>
        <v>2440478</v>
      </c>
    </row>
    <row r="22" spans="1:26" ht="22.5" customHeight="1">
      <c r="A22" s="115">
        <v>19</v>
      </c>
      <c r="B22" s="115" t="s">
        <v>39</v>
      </c>
      <c r="C22" s="115" t="s">
        <v>58</v>
      </c>
      <c r="D22" s="13" t="s">
        <v>19</v>
      </c>
      <c r="E22" s="98" t="s">
        <v>112</v>
      </c>
      <c r="F22" s="115" t="s">
        <v>483</v>
      </c>
      <c r="G22" s="115">
        <v>27</v>
      </c>
      <c r="H22" s="115">
        <v>59</v>
      </c>
      <c r="I22" s="194">
        <v>86</v>
      </c>
      <c r="J22" s="116">
        <v>2682792</v>
      </c>
      <c r="K22" s="116">
        <v>1175631</v>
      </c>
      <c r="L22" s="116">
        <v>29311</v>
      </c>
      <c r="M22" s="195">
        <v>3.2551097653292962E-2</v>
      </c>
      <c r="N22" s="195">
        <v>6.1870270423102079E-2</v>
      </c>
      <c r="O22" s="195">
        <v>2.4626427511175289E-2</v>
      </c>
      <c r="P22" s="195">
        <v>9.4273296843425374E-4</v>
      </c>
      <c r="V22" s="204" t="str">
        <f ca="1">IFERROR(__xludf.DUMMYFUNCTION("""COMPUTED_VALUE"""),"edmun")</f>
        <v>edmun</v>
      </c>
      <c r="W22" s="116">
        <f ca="1">IFERROR(__xludf.DUMMYFUNCTION("""COMPUTED_VALUE"""),1529318)</f>
        <v>1529318</v>
      </c>
      <c r="Y22" s="204" t="str">
        <f ca="1">IFERROR(__xludf.DUMMYFUNCTION("""COMPUTED_VALUE"""),"Xskulled")</f>
        <v>Xskulled</v>
      </c>
      <c r="Z22" s="116">
        <f ca="1">IFERROR(__xludf.DUMMYFUNCTION("""COMPUTED_VALUE"""),2439517)</f>
        <v>2439517</v>
      </c>
    </row>
    <row r="23" spans="1:26" ht="22.5" customHeight="1">
      <c r="A23" s="115">
        <v>67</v>
      </c>
      <c r="B23" s="115" t="s">
        <v>11</v>
      </c>
      <c r="C23" s="115" t="s">
        <v>9</v>
      </c>
      <c r="D23" s="13" t="s">
        <v>19</v>
      </c>
      <c r="E23" s="98" t="s">
        <v>913</v>
      </c>
      <c r="F23" s="115" t="s">
        <v>483</v>
      </c>
      <c r="G23" s="115">
        <v>0</v>
      </c>
      <c r="H23" s="115">
        <v>86</v>
      </c>
      <c r="I23" s="194">
        <v>86</v>
      </c>
      <c r="J23" s="116">
        <v>635</v>
      </c>
      <c r="K23" s="116">
        <v>1074837</v>
      </c>
      <c r="L23" s="116">
        <v>1846230</v>
      </c>
      <c r="M23" s="195">
        <v>3.2551097653292962E-2</v>
      </c>
      <c r="N23" s="195">
        <v>1.4644304037983496E-5</v>
      </c>
      <c r="O23" s="195">
        <v>2.2515054015102624E-2</v>
      </c>
      <c r="P23" s="195">
        <v>5.9380501801793599E-2</v>
      </c>
      <c r="R23" s="232" t="s">
        <v>39</v>
      </c>
      <c r="S23" s="228"/>
      <c r="T23" s="228"/>
      <c r="V23" s="204" t="str">
        <f ca="1">IFERROR(__xludf.DUMMYFUNCTION("""COMPUTED_VALUE"""),"Teey")</f>
        <v>Teey</v>
      </c>
      <c r="W23" s="116">
        <f ca="1">IFERROR(__xludf.DUMMYFUNCTION("""COMPUTED_VALUE"""),1454077)</f>
        <v>1454077</v>
      </c>
      <c r="Y23" s="204" t="str">
        <f ca="1">IFERROR(__xludf.DUMMYFUNCTION("""COMPUTED_VALUE"""),"Rhythmics")</f>
        <v>Rhythmics</v>
      </c>
      <c r="Z23" s="116">
        <f ca="1">IFERROR(__xludf.DUMMYFUNCTION("""COMPUTED_VALUE"""),2430907)</f>
        <v>2430907</v>
      </c>
    </row>
    <row r="24" spans="1:26" ht="22.5" customHeight="1">
      <c r="A24" s="115">
        <v>25</v>
      </c>
      <c r="B24" s="115" t="s">
        <v>25</v>
      </c>
      <c r="C24" s="115" t="s">
        <v>23</v>
      </c>
      <c r="D24" s="13" t="s">
        <v>7</v>
      </c>
      <c r="E24" s="98" t="s">
        <v>914</v>
      </c>
      <c r="F24" s="115" t="s">
        <v>476</v>
      </c>
      <c r="G24" s="115">
        <v>23</v>
      </c>
      <c r="H24" s="115">
        <v>62</v>
      </c>
      <c r="I24" s="194">
        <v>85</v>
      </c>
      <c r="J24" s="116">
        <v>2104824</v>
      </c>
      <c r="K24" s="116">
        <v>1168102</v>
      </c>
      <c r="L24" s="116">
        <v>74144</v>
      </c>
      <c r="M24" s="195">
        <v>2.8921401837359646E-2</v>
      </c>
      <c r="N24" s="195">
        <v>4.4048427940247173E-2</v>
      </c>
      <c r="O24" s="195">
        <v>2.7160583390009825E-2</v>
      </c>
      <c r="P24" s="195">
        <v>2.5629265811961438E-3</v>
      </c>
      <c r="R24" s="190" t="s">
        <v>482</v>
      </c>
      <c r="S24" s="222" t="s">
        <v>476</v>
      </c>
      <c r="T24" s="222" t="s">
        <v>483</v>
      </c>
      <c r="V24" s="204" t="str">
        <f ca="1">IFERROR(__xludf.DUMMYFUNCTION("""COMPUTED_VALUE"""),"QueenSkin")</f>
        <v>QueenSkin</v>
      </c>
      <c r="W24" s="116">
        <f ca="1">IFERROR(__xludf.DUMMYFUNCTION("""COMPUTED_VALUE"""),1449214)</f>
        <v>1449214</v>
      </c>
      <c r="Y24" s="204" t="str">
        <f ca="1">IFERROR(__xludf.DUMMYFUNCTION("""COMPUTED_VALUE"""),"Staff")</f>
        <v>Staff</v>
      </c>
      <c r="Z24" s="116">
        <f ca="1">IFERROR(__xludf.DUMMYFUNCTION("""COMPUTED_VALUE"""),2130375)</f>
        <v>2130375</v>
      </c>
    </row>
    <row r="25" spans="1:26" ht="22.5" customHeight="1">
      <c r="A25" s="115">
        <v>21</v>
      </c>
      <c r="B25" s="115" t="s">
        <v>39</v>
      </c>
      <c r="C25" s="115" t="s">
        <v>56</v>
      </c>
      <c r="D25" s="13" t="s">
        <v>7</v>
      </c>
      <c r="E25" s="98" t="s">
        <v>854</v>
      </c>
      <c r="F25" s="115" t="s">
        <v>476</v>
      </c>
      <c r="G25" s="115">
        <v>26</v>
      </c>
      <c r="H25" s="115">
        <v>58</v>
      </c>
      <c r="I25" s="194">
        <v>84</v>
      </c>
      <c r="J25" s="116">
        <v>1556258</v>
      </c>
      <c r="K25" s="116">
        <v>1384785</v>
      </c>
      <c r="L25" s="116">
        <v>375425</v>
      </c>
      <c r="M25" s="195">
        <v>2.8581150051037767E-2</v>
      </c>
      <c r="N25" s="195">
        <v>3.2568384990589797E-2</v>
      </c>
      <c r="O25" s="195">
        <v>3.219887344575624E-2</v>
      </c>
      <c r="P25" s="195">
        <v>1.2977270065623143E-2</v>
      </c>
      <c r="R25" s="223" t="s">
        <v>468</v>
      </c>
      <c r="S25" s="207">
        <f>SUMIFS(Scoreboard_8[Damage Dealt],Scoreboard_8[Role],"Ranged DPS",Scoreboard_8[Team],"Yellow")</f>
        <v>23209121</v>
      </c>
      <c r="T25" s="219">
        <f>SUMIFS(Scoreboard_8[Damage Dealt],Scoreboard_8[Role],"Ranged DPS",Scoreboard_8[Team],"Red")</f>
        <v>20866880</v>
      </c>
      <c r="V25" s="204" t="str">
        <f ca="1">IFERROR(__xludf.DUMMYFUNCTION("""COMPUTED_VALUE"""),"Rhythmics")</f>
        <v>Rhythmics</v>
      </c>
      <c r="W25" s="116">
        <f ca="1">IFERROR(__xludf.DUMMYFUNCTION("""COMPUTED_VALUE"""),1406082)</f>
        <v>1406082</v>
      </c>
      <c r="Y25" s="204" t="str">
        <f ca="1">IFERROR(__xludf.DUMMYFUNCTION("""COMPUTED_VALUE"""),"QueenSkin")</f>
        <v>QueenSkin</v>
      </c>
      <c r="Z25" s="116">
        <f ca="1">IFERROR(__xludf.DUMMYFUNCTION("""COMPUTED_VALUE"""),2062235)</f>
        <v>2062235</v>
      </c>
    </row>
    <row r="26" spans="1:26" ht="22.5" customHeight="1">
      <c r="A26" s="115">
        <v>26</v>
      </c>
      <c r="B26" s="115" t="s">
        <v>39</v>
      </c>
      <c r="C26" s="115" t="s">
        <v>58</v>
      </c>
      <c r="D26" s="13" t="s">
        <v>19</v>
      </c>
      <c r="E26" s="98" t="s">
        <v>915</v>
      </c>
      <c r="F26" s="115" t="s">
        <v>483</v>
      </c>
      <c r="G26" s="115">
        <v>22</v>
      </c>
      <c r="H26" s="115">
        <v>62</v>
      </c>
      <c r="I26" s="194">
        <v>84</v>
      </c>
      <c r="J26" s="116">
        <v>2605137</v>
      </c>
      <c r="K26" s="116">
        <v>1049822</v>
      </c>
      <c r="L26" s="116">
        <v>0</v>
      </c>
      <c r="M26" s="195">
        <v>3.1794095382286149E-2</v>
      </c>
      <c r="N26" s="195">
        <v>6.0079398879685372E-2</v>
      </c>
      <c r="O26" s="195">
        <v>2.1991054491279204E-2</v>
      </c>
      <c r="P26" s="195">
        <v>0</v>
      </c>
      <c r="R26" s="223" t="s">
        <v>469</v>
      </c>
      <c r="S26" s="207">
        <f>SUMIFS(Scoreboard_8[Damage Taken],Scoreboard_8[Role],"Ranged DPS",Scoreboard_8[Team],"Yellow")</f>
        <v>11054153</v>
      </c>
      <c r="T26" s="219">
        <f>SUMIFS(Scoreboard_8[Damage Taken],Scoreboard_8[Role],"Ranged DPS",Scoreboard_8[Team],"Red")</f>
        <v>7040793</v>
      </c>
      <c r="V26" s="204" t="str">
        <f ca="1">IFERROR(__xludf.DUMMYFUNCTION("""COMPUTED_VALUE"""),"Amplify")</f>
        <v>Amplify</v>
      </c>
      <c r="W26" s="116">
        <f ca="1">IFERROR(__xludf.DUMMYFUNCTION("""COMPUTED_VALUE"""),1384785)</f>
        <v>1384785</v>
      </c>
      <c r="Y26" s="204" t="str">
        <f ca="1">IFERROR(__xludf.DUMMYFUNCTION("""COMPUTED_VALUE"""),"Teensy")</f>
        <v>Teensy</v>
      </c>
      <c r="Z26" s="116">
        <f ca="1">IFERROR(__xludf.DUMMYFUNCTION("""COMPUTED_VALUE"""),1946949)</f>
        <v>1946949</v>
      </c>
    </row>
    <row r="27" spans="1:26" ht="22.5" customHeight="1">
      <c r="A27" s="115">
        <v>52</v>
      </c>
      <c r="B27" s="115" t="s">
        <v>11</v>
      </c>
      <c r="C27" s="115" t="s">
        <v>10</v>
      </c>
      <c r="D27" s="13" t="s">
        <v>7</v>
      </c>
      <c r="E27" s="98" t="s">
        <v>87</v>
      </c>
      <c r="F27" s="115" t="s">
        <v>476</v>
      </c>
      <c r="G27" s="115">
        <v>1</v>
      </c>
      <c r="H27" s="115">
        <v>83</v>
      </c>
      <c r="I27" s="194">
        <v>84</v>
      </c>
      <c r="J27" s="116">
        <v>123386</v>
      </c>
      <c r="K27" s="116">
        <v>158079</v>
      </c>
      <c r="L27" s="116">
        <v>846238</v>
      </c>
      <c r="M27" s="195">
        <v>2.8581150051037767E-2</v>
      </c>
      <c r="N27" s="195">
        <v>2.5821443169763065E-3</v>
      </c>
      <c r="O27" s="195">
        <v>3.6756360846136407E-3</v>
      </c>
      <c r="P27" s="195">
        <v>2.9251805462589858E-2</v>
      </c>
      <c r="R27" s="223" t="s">
        <v>470</v>
      </c>
      <c r="S27" s="207">
        <f>SUMIFS(Scoreboard_8[Amount Healed],Scoreboard_8[Role],"Ranged DPS",Scoreboard_8[Team],"Yellow")</f>
        <v>1946458</v>
      </c>
      <c r="T27" s="219">
        <f>SUMIFS(Scoreboard_8[Amount Healed],Scoreboard_8[Role],"Ranged DPS",Scoreboard_8[Team],"Red")</f>
        <v>351639</v>
      </c>
    </row>
    <row r="28" spans="1:26" ht="22.5" customHeight="1">
      <c r="A28" s="115">
        <v>20</v>
      </c>
      <c r="B28" s="115" t="s">
        <v>25</v>
      </c>
      <c r="C28" s="115" t="s">
        <v>24</v>
      </c>
      <c r="D28" s="13" t="s">
        <v>19</v>
      </c>
      <c r="E28" s="98" t="s">
        <v>916</v>
      </c>
      <c r="F28" s="115" t="s">
        <v>483</v>
      </c>
      <c r="G28" s="115">
        <v>27</v>
      </c>
      <c r="H28" s="115">
        <v>56</v>
      </c>
      <c r="I28" s="194">
        <v>83</v>
      </c>
      <c r="J28" s="116">
        <v>1990504</v>
      </c>
      <c r="K28" s="116">
        <v>1246709</v>
      </c>
      <c r="L28" s="116">
        <v>46699</v>
      </c>
      <c r="M28" s="195">
        <v>3.1415594246782738E-2</v>
      </c>
      <c r="N28" s="195">
        <v>4.590479648003512E-2</v>
      </c>
      <c r="O28" s="195">
        <v>2.6115327697236488E-2</v>
      </c>
      <c r="P28" s="195">
        <v>1.5019851555017302E-3</v>
      </c>
      <c r="R28" s="223" t="s">
        <v>465</v>
      </c>
      <c r="S28" s="207">
        <f>SUMIFS(Scoreboard_8[Kills],Scoreboard_8[Role],"Ranged DPS",Scoreboard_8[Team],"Yellow")</f>
        <v>260</v>
      </c>
      <c r="T28" s="219">
        <f>SUMIFS(Scoreboard_8[Kills],Scoreboard_8[Role],"Ranged DPS",Scoreboard_8[Team],"Red")</f>
        <v>230</v>
      </c>
    </row>
    <row r="29" spans="1:26" ht="22.5" customHeight="1">
      <c r="A29" s="115">
        <v>68</v>
      </c>
      <c r="B29" s="115" t="s">
        <v>11</v>
      </c>
      <c r="C29" s="115" t="s">
        <v>9</v>
      </c>
      <c r="D29" s="13" t="s">
        <v>7</v>
      </c>
      <c r="E29" s="98" t="s">
        <v>91</v>
      </c>
      <c r="F29" s="115" t="s">
        <v>476</v>
      </c>
      <c r="G29" s="115">
        <v>0</v>
      </c>
      <c r="H29" s="115">
        <v>78</v>
      </c>
      <c r="I29" s="194">
        <v>78</v>
      </c>
      <c r="J29" s="116">
        <v>179</v>
      </c>
      <c r="K29" s="116">
        <v>807022</v>
      </c>
      <c r="L29" s="116">
        <v>2440478</v>
      </c>
      <c r="M29" s="195">
        <v>2.6539639333106498E-2</v>
      </c>
      <c r="N29" s="195">
        <v>3.7459990010111269E-6</v>
      </c>
      <c r="O29" s="195">
        <v>1.8764789657557738E-2</v>
      </c>
      <c r="P29" s="195">
        <v>8.4359704588697709E-2</v>
      </c>
      <c r="R29" s="223" t="s">
        <v>466</v>
      </c>
      <c r="S29" s="207">
        <f>SUMIFS(Scoreboard_8[Assists],Scoreboard_8[Role],"Ranged DPS",Scoreboard_8[Team],"Yellow")</f>
        <v>707</v>
      </c>
      <c r="T29" s="219">
        <f>SUMIFS(Scoreboard_8[Assists],Scoreboard_8[Role],"Ranged DPS",Scoreboard_8[Team],"Red")</f>
        <v>496</v>
      </c>
    </row>
    <row r="30" spans="1:26" ht="22.5" customHeight="1">
      <c r="A30" s="115">
        <v>53</v>
      </c>
      <c r="B30" s="115" t="s">
        <v>11</v>
      </c>
      <c r="C30" s="115" t="s">
        <v>10</v>
      </c>
      <c r="D30" s="13" t="s">
        <v>7</v>
      </c>
      <c r="E30" s="98" t="s">
        <v>102</v>
      </c>
      <c r="F30" s="115" t="s">
        <v>476</v>
      </c>
      <c r="G30" s="115">
        <v>1</v>
      </c>
      <c r="H30" s="115">
        <v>76</v>
      </c>
      <c r="I30" s="194">
        <v>77</v>
      </c>
      <c r="J30" s="116">
        <v>106680</v>
      </c>
      <c r="K30" s="116">
        <v>856043</v>
      </c>
      <c r="L30" s="116">
        <v>2618163</v>
      </c>
      <c r="M30" s="195">
        <v>2.6199387546784622E-2</v>
      </c>
      <c r="N30" s="195">
        <v>2.2325316951277486E-3</v>
      </c>
      <c r="O30" s="195">
        <v>1.9904620732550907E-2</v>
      </c>
      <c r="P30" s="195">
        <v>9.0501720255236298E-2</v>
      </c>
      <c r="R30" s="6"/>
      <c r="S30" s="6"/>
      <c r="T30" s="6"/>
    </row>
    <row r="31" spans="1:26" ht="22.5" customHeight="1">
      <c r="A31" s="115">
        <v>13</v>
      </c>
      <c r="B31" s="115" t="s">
        <v>39</v>
      </c>
      <c r="C31" s="115" t="s">
        <v>54</v>
      </c>
      <c r="D31" s="13" t="s">
        <v>19</v>
      </c>
      <c r="E31" s="98" t="s">
        <v>917</v>
      </c>
      <c r="F31" s="115" t="s">
        <v>483</v>
      </c>
      <c r="G31" s="115">
        <v>33</v>
      </c>
      <c r="H31" s="115">
        <v>43</v>
      </c>
      <c r="I31" s="194">
        <v>76</v>
      </c>
      <c r="J31" s="116">
        <v>2107497</v>
      </c>
      <c r="K31" s="116">
        <v>845416</v>
      </c>
      <c r="L31" s="116">
        <v>19454</v>
      </c>
      <c r="M31" s="195">
        <v>2.8766086298258896E-2</v>
      </c>
      <c r="N31" s="195">
        <v>4.8602876893130871E-2</v>
      </c>
      <c r="O31" s="195">
        <v>1.7709277690693564E-2</v>
      </c>
      <c r="P31" s="195">
        <v>6.2570117593804277E-4</v>
      </c>
      <c r="R31" s="232" t="s">
        <v>67</v>
      </c>
      <c r="S31" s="228"/>
      <c r="T31" s="228"/>
    </row>
    <row r="32" spans="1:26" ht="22.5" customHeight="1">
      <c r="A32" s="115">
        <v>16</v>
      </c>
      <c r="B32" s="115" t="s">
        <v>25</v>
      </c>
      <c r="C32" s="115" t="s">
        <v>69</v>
      </c>
      <c r="D32" s="13" t="s">
        <v>19</v>
      </c>
      <c r="E32" s="98" t="s">
        <v>90</v>
      </c>
      <c r="F32" s="115" t="s">
        <v>483</v>
      </c>
      <c r="G32" s="115">
        <v>30</v>
      </c>
      <c r="H32" s="115">
        <v>46</v>
      </c>
      <c r="I32" s="194">
        <v>76</v>
      </c>
      <c r="J32" s="116">
        <v>1335905</v>
      </c>
      <c r="K32" s="116">
        <v>1312492</v>
      </c>
      <c r="L32" s="116">
        <v>93852</v>
      </c>
      <c r="M32" s="195">
        <v>2.8766086298258896E-2</v>
      </c>
      <c r="N32" s="195">
        <v>3.0808502339940699E-2</v>
      </c>
      <c r="O32" s="195">
        <v>2.7493311334081422E-2</v>
      </c>
      <c r="P32" s="195">
        <v>3.0185723637368763E-3</v>
      </c>
      <c r="R32" s="190" t="s">
        <v>482</v>
      </c>
      <c r="S32" s="222" t="s">
        <v>476</v>
      </c>
      <c r="T32" s="222" t="s">
        <v>483</v>
      </c>
    </row>
    <row r="33" spans="1:20" ht="22.5" customHeight="1">
      <c r="A33" s="115">
        <v>28</v>
      </c>
      <c r="B33" s="115" t="s">
        <v>25</v>
      </c>
      <c r="C33" s="115" t="s">
        <v>23</v>
      </c>
      <c r="D33" s="13" t="s">
        <v>19</v>
      </c>
      <c r="E33" s="98" t="s">
        <v>890</v>
      </c>
      <c r="F33" s="115" t="s">
        <v>483</v>
      </c>
      <c r="G33" s="115">
        <v>21</v>
      </c>
      <c r="H33" s="115">
        <v>54</v>
      </c>
      <c r="I33" s="194">
        <v>75</v>
      </c>
      <c r="J33" s="116">
        <v>1369955</v>
      </c>
      <c r="K33" s="116">
        <v>1200737</v>
      </c>
      <c r="L33" s="116">
        <v>71488</v>
      </c>
      <c r="M33" s="195">
        <v>2.838758516275549E-2</v>
      </c>
      <c r="N33" s="195">
        <v>3.1593759902922333E-2</v>
      </c>
      <c r="O33" s="195">
        <v>2.5152333249536699E-2</v>
      </c>
      <c r="P33" s="195">
        <v>2.2992765326132827E-3</v>
      </c>
      <c r="R33" s="223" t="s">
        <v>468</v>
      </c>
      <c r="S33" s="207">
        <f>SUMIFS(Scoreboard_8[Damage Dealt],Scoreboard_8[Role],"Tank",Scoreboard_8[Team],"Yellow")</f>
        <v>6918728</v>
      </c>
      <c r="T33" s="219">
        <f>SUMIFS(Scoreboard_8[Damage Dealt],Scoreboard_8[Role],"Tank",Scoreboard_8[Team],"Red")</f>
        <v>2928435</v>
      </c>
    </row>
    <row r="34" spans="1:20" ht="22.5" customHeight="1">
      <c r="A34" s="115">
        <v>54</v>
      </c>
      <c r="B34" s="115" t="s">
        <v>11</v>
      </c>
      <c r="C34" s="115" t="s">
        <v>10</v>
      </c>
      <c r="D34" s="13" t="s">
        <v>19</v>
      </c>
      <c r="E34" s="98" t="s">
        <v>918</v>
      </c>
      <c r="F34" s="115" t="s">
        <v>483</v>
      </c>
      <c r="G34" s="115">
        <v>1</v>
      </c>
      <c r="H34" s="115">
        <v>74</v>
      </c>
      <c r="I34" s="194">
        <v>75</v>
      </c>
      <c r="J34" s="116">
        <v>42622</v>
      </c>
      <c r="K34" s="116">
        <v>704473</v>
      </c>
      <c r="L34" s="116">
        <v>1666313</v>
      </c>
      <c r="M34" s="195">
        <v>2.838758516275549E-2</v>
      </c>
      <c r="N34" s="195">
        <v>9.8294413654635053E-4</v>
      </c>
      <c r="O34" s="195">
        <v>1.4756886529940252E-2</v>
      </c>
      <c r="P34" s="195">
        <v>5.35938112254985E-2</v>
      </c>
      <c r="R34" s="223" t="s">
        <v>469</v>
      </c>
      <c r="S34" s="207">
        <f>SUMIFS(Scoreboard_8[Damage Taken],Scoreboard_8[Role],"Tank",Scoreboard_8[Team],"Yellow")</f>
        <v>14081029</v>
      </c>
      <c r="T34" s="219">
        <f>SUMIFS(Scoreboard_8[Damage Taken],Scoreboard_8[Role],"Tank",Scoreboard_8[Team],"Red")</f>
        <v>13734156</v>
      </c>
    </row>
    <row r="35" spans="1:20" ht="22.5" customHeight="1">
      <c r="A35" s="115">
        <v>22</v>
      </c>
      <c r="B35" s="115" t="s">
        <v>25</v>
      </c>
      <c r="C35" s="115" t="s">
        <v>24</v>
      </c>
      <c r="D35" s="13" t="s">
        <v>19</v>
      </c>
      <c r="E35" s="98" t="s">
        <v>919</v>
      </c>
      <c r="F35" s="115" t="s">
        <v>483</v>
      </c>
      <c r="G35" s="115">
        <v>26</v>
      </c>
      <c r="H35" s="115">
        <v>46</v>
      </c>
      <c r="I35" s="194">
        <v>72</v>
      </c>
      <c r="J35" s="116">
        <v>1423973</v>
      </c>
      <c r="K35" s="116">
        <v>988215</v>
      </c>
      <c r="L35" s="116">
        <v>15968</v>
      </c>
      <c r="M35" s="195">
        <v>2.7252081756245269E-2</v>
      </c>
      <c r="N35" s="195">
        <v>3.2839517407684211E-2</v>
      </c>
      <c r="O35" s="195">
        <v>2.0700547249056962E-2</v>
      </c>
      <c r="P35" s="195">
        <v>5.1358056838586759E-4</v>
      </c>
      <c r="R35" s="223" t="s">
        <v>470</v>
      </c>
      <c r="S35" s="207">
        <f>SUMIFS(Scoreboard_8[Amount Healed],Scoreboard_8[Role],"Tank",Scoreboard_8[Team],"Yellow")</f>
        <v>1042373</v>
      </c>
      <c r="T35" s="219">
        <f>SUMIFS(Scoreboard_8[Amount Healed],Scoreboard_8[Role],"Tank",Scoreboard_8[Team],"Red")</f>
        <v>1180523</v>
      </c>
    </row>
    <row r="36" spans="1:20" ht="22.5" customHeight="1">
      <c r="A36" s="115">
        <v>69</v>
      </c>
      <c r="B36" s="115" t="s">
        <v>11</v>
      </c>
      <c r="C36" s="115" t="s">
        <v>9</v>
      </c>
      <c r="D36" s="13" t="s">
        <v>19</v>
      </c>
      <c r="E36" s="98" t="s">
        <v>74</v>
      </c>
      <c r="F36" s="115" t="s">
        <v>483</v>
      </c>
      <c r="G36" s="115">
        <v>0</v>
      </c>
      <c r="H36" s="115">
        <v>71</v>
      </c>
      <c r="I36" s="194">
        <v>71</v>
      </c>
      <c r="J36" s="116">
        <v>111441</v>
      </c>
      <c r="K36" s="116">
        <v>555901</v>
      </c>
      <c r="L36" s="116">
        <v>395857</v>
      </c>
      <c r="M36" s="195">
        <v>2.6873580620741862E-2</v>
      </c>
      <c r="N36" s="195">
        <v>2.5700407658219193E-3</v>
      </c>
      <c r="O36" s="195">
        <v>1.1644687559182987E-2</v>
      </c>
      <c r="P36" s="195">
        <v>1.2731992927074422E-2</v>
      </c>
      <c r="R36" s="223" t="s">
        <v>465</v>
      </c>
      <c r="S36" s="207">
        <f>SUMIFS(Scoreboard_8[Kills],Scoreboard_8[Role],"Tank",Scoreboard_8[Team],"Yellow")</f>
        <v>76</v>
      </c>
      <c r="T36" s="219">
        <f>SUMIFS(Scoreboard_8[Kills],Scoreboard_8[Role],"Tank",Scoreboard_8[Team],"Red")</f>
        <v>16</v>
      </c>
    </row>
    <row r="37" spans="1:20" ht="22.5" customHeight="1">
      <c r="A37" s="115">
        <v>6</v>
      </c>
      <c r="B37" s="115" t="s">
        <v>67</v>
      </c>
      <c r="C37" s="115" t="s">
        <v>62</v>
      </c>
      <c r="D37" s="13" t="s">
        <v>7</v>
      </c>
      <c r="E37" s="98" t="s">
        <v>88</v>
      </c>
      <c r="F37" s="115" t="s">
        <v>476</v>
      </c>
      <c r="G37" s="115">
        <v>43</v>
      </c>
      <c r="H37" s="115">
        <v>26</v>
      </c>
      <c r="I37" s="194">
        <v>69</v>
      </c>
      <c r="J37" s="116">
        <v>1157072</v>
      </c>
      <c r="K37" s="116">
        <v>806603</v>
      </c>
      <c r="L37" s="116">
        <v>18469</v>
      </c>
      <c r="M37" s="195">
        <v>2.3477373256209595E-2</v>
      </c>
      <c r="N37" s="195">
        <v>2.4214472380435455E-2</v>
      </c>
      <c r="O37" s="195">
        <v>1.8755047114149357E-2</v>
      </c>
      <c r="P37" s="195">
        <v>6.3841566449222571E-4</v>
      </c>
      <c r="R37" s="223" t="s">
        <v>466</v>
      </c>
      <c r="S37" s="207">
        <f>SUMIFS(Scoreboard_8[Assists],Scoreboard_8[Role],"Tank",Scoreboard_8[Team],"Yellow")</f>
        <v>368</v>
      </c>
      <c r="T37" s="219">
        <f>SUMIFS(Scoreboard_8[Assists],Scoreboard_8[Role],"Tank",Scoreboard_8[Team],"Red")</f>
        <v>302</v>
      </c>
    </row>
    <row r="38" spans="1:20" ht="22.5" customHeight="1">
      <c r="A38" s="115">
        <v>17</v>
      </c>
      <c r="B38" s="115" t="s">
        <v>25</v>
      </c>
      <c r="C38" s="115" t="s">
        <v>69</v>
      </c>
      <c r="D38" s="13" t="s">
        <v>19</v>
      </c>
      <c r="E38" s="98" t="s">
        <v>125</v>
      </c>
      <c r="F38" s="115" t="s">
        <v>483</v>
      </c>
      <c r="G38" s="115">
        <v>29</v>
      </c>
      <c r="H38" s="115">
        <v>39</v>
      </c>
      <c r="I38" s="194">
        <v>68</v>
      </c>
      <c r="J38" s="116">
        <v>1081012</v>
      </c>
      <c r="K38" s="116">
        <v>896547</v>
      </c>
      <c r="L38" s="116">
        <v>75431</v>
      </c>
      <c r="M38" s="195">
        <v>2.5738077214231644E-2</v>
      </c>
      <c r="N38" s="195">
        <v>2.4930186451509632E-2</v>
      </c>
      <c r="O38" s="195">
        <v>1.8780339839508886E-2</v>
      </c>
      <c r="P38" s="195">
        <v>2.4260956822341165E-3</v>
      </c>
    </row>
    <row r="39" spans="1:20" ht="22.5" customHeight="1">
      <c r="A39" s="115">
        <v>70</v>
      </c>
      <c r="B39" s="115" t="s">
        <v>11</v>
      </c>
      <c r="C39" s="115" t="s">
        <v>9</v>
      </c>
      <c r="D39" s="13" t="s">
        <v>7</v>
      </c>
      <c r="E39" s="98" t="s">
        <v>51</v>
      </c>
      <c r="F39" s="115" t="s">
        <v>476</v>
      </c>
      <c r="G39" s="115">
        <v>0</v>
      </c>
      <c r="H39" s="115">
        <v>68</v>
      </c>
      <c r="I39" s="194">
        <v>68</v>
      </c>
      <c r="J39" s="116">
        <v>127474</v>
      </c>
      <c r="K39" s="116">
        <v>354655</v>
      </c>
      <c r="L39" s="116">
        <v>1176780</v>
      </c>
      <c r="M39" s="195">
        <v>2.3137121469887716E-2</v>
      </c>
      <c r="N39" s="195">
        <v>2.6676954003066614E-3</v>
      </c>
      <c r="O39" s="195">
        <v>8.2464003162257531E-3</v>
      </c>
      <c r="P39" s="195">
        <v>4.0677610355794105E-2</v>
      </c>
      <c r="R39" s="232" t="s">
        <v>11</v>
      </c>
      <c r="S39" s="228"/>
      <c r="T39" s="228"/>
    </row>
    <row r="40" spans="1:20" ht="22.5" customHeight="1">
      <c r="A40" s="115">
        <v>71</v>
      </c>
      <c r="B40" s="115" t="s">
        <v>11</v>
      </c>
      <c r="C40" s="115" t="s">
        <v>10</v>
      </c>
      <c r="D40" s="13" t="s">
        <v>19</v>
      </c>
      <c r="E40" s="98" t="s">
        <v>904</v>
      </c>
      <c r="F40" s="115" t="s">
        <v>483</v>
      </c>
      <c r="G40" s="115">
        <v>0</v>
      </c>
      <c r="H40" s="115">
        <v>65</v>
      </c>
      <c r="I40" s="194">
        <v>65</v>
      </c>
      <c r="J40" s="116">
        <v>107276</v>
      </c>
      <c r="K40" s="116">
        <v>894393</v>
      </c>
      <c r="L40" s="116">
        <v>1652019</v>
      </c>
      <c r="M40" s="195">
        <v>2.4602573807721424E-2</v>
      </c>
      <c r="N40" s="195">
        <v>2.4739879684704215E-3</v>
      </c>
      <c r="O40" s="195">
        <v>1.8735219112972181E-2</v>
      </c>
      <c r="P40" s="195">
        <v>5.3134071706178135E-2</v>
      </c>
      <c r="R40" s="190" t="s">
        <v>482</v>
      </c>
      <c r="S40" s="222" t="s">
        <v>476</v>
      </c>
      <c r="T40" s="222" t="s">
        <v>483</v>
      </c>
    </row>
    <row r="41" spans="1:20" ht="22.5" customHeight="1">
      <c r="A41" s="115">
        <v>29</v>
      </c>
      <c r="B41" s="115" t="s">
        <v>25</v>
      </c>
      <c r="C41" s="115" t="s">
        <v>23</v>
      </c>
      <c r="D41" s="13" t="s">
        <v>19</v>
      </c>
      <c r="E41" s="98" t="s">
        <v>920</v>
      </c>
      <c r="F41" s="115" t="s">
        <v>483</v>
      </c>
      <c r="G41" s="115">
        <v>21</v>
      </c>
      <c r="H41" s="115">
        <v>42</v>
      </c>
      <c r="I41" s="194">
        <v>63</v>
      </c>
      <c r="J41" s="116">
        <v>1351621</v>
      </c>
      <c r="K41" s="116">
        <v>1322357</v>
      </c>
      <c r="L41" s="116">
        <v>87269</v>
      </c>
      <c r="M41" s="195">
        <v>2.384557153671461E-2</v>
      </c>
      <c r="N41" s="195">
        <v>3.1170943099406757E-2</v>
      </c>
      <c r="O41" s="195">
        <v>2.7699957558447522E-2</v>
      </c>
      <c r="P41" s="195">
        <v>2.8068425991023467E-3</v>
      </c>
      <c r="R41" s="223" t="s">
        <v>468</v>
      </c>
      <c r="S41" s="207">
        <f>SUMIFS(Scoreboard_8[Damage Dealt],Scoreboard_8[Role],"Healer",Scoreboard_8[Team],"Yellow")</f>
        <v>1411840</v>
      </c>
      <c r="T41" s="219">
        <f>SUMIFS(Scoreboard_8[Damage Dealt],Scoreboard_8[Role],"Healer",Scoreboard_8[Team],"Red")</f>
        <v>1366610</v>
      </c>
    </row>
    <row r="42" spans="1:20" ht="22.5" customHeight="1">
      <c r="A42" s="115">
        <v>72</v>
      </c>
      <c r="B42" s="115" t="s">
        <v>11</v>
      </c>
      <c r="C42" s="115" t="s">
        <v>10</v>
      </c>
      <c r="D42" s="13" t="s">
        <v>7</v>
      </c>
      <c r="E42" s="98" t="s">
        <v>29</v>
      </c>
      <c r="F42" s="115" t="s">
        <v>476</v>
      </c>
      <c r="G42" s="115">
        <v>0</v>
      </c>
      <c r="H42" s="115">
        <v>60</v>
      </c>
      <c r="I42" s="194">
        <v>60</v>
      </c>
      <c r="J42" s="116">
        <v>177798</v>
      </c>
      <c r="K42" s="116">
        <v>468403</v>
      </c>
      <c r="L42" s="116">
        <v>1876216</v>
      </c>
      <c r="M42" s="195">
        <v>2.0415107179312691E-2</v>
      </c>
      <c r="N42" s="195">
        <v>3.7208443038088063E-3</v>
      </c>
      <c r="O42" s="195">
        <v>1.0891256706718054E-2</v>
      </c>
      <c r="P42" s="195">
        <v>6.4854929036274073E-2</v>
      </c>
      <c r="R42" s="223" t="s">
        <v>469</v>
      </c>
      <c r="S42" s="207">
        <f>SUMIFS(Scoreboard_8[Damage Taken],Scoreboard_8[Role],"Healer",Scoreboard_8[Team],"Yellow")</f>
        <v>10353135</v>
      </c>
      <c r="T42" s="219">
        <f>SUMIFS(Scoreboard_8[Damage Taken],Scoreboard_8[Role],"Healer",Scoreboard_8[Team],"Red")</f>
        <v>15129048</v>
      </c>
    </row>
    <row r="43" spans="1:20" ht="22.5" customHeight="1">
      <c r="A43" s="115">
        <v>44</v>
      </c>
      <c r="B43" s="115" t="s">
        <v>11</v>
      </c>
      <c r="C43" s="115" t="s">
        <v>10</v>
      </c>
      <c r="D43" s="13" t="s">
        <v>19</v>
      </c>
      <c r="E43" s="98" t="s">
        <v>901</v>
      </c>
      <c r="F43" s="115" t="s">
        <v>483</v>
      </c>
      <c r="G43" s="115">
        <v>2</v>
      </c>
      <c r="H43" s="115">
        <v>57</v>
      </c>
      <c r="I43" s="194">
        <v>59</v>
      </c>
      <c r="J43" s="116">
        <v>207900</v>
      </c>
      <c r="K43" s="116">
        <v>1636354</v>
      </c>
      <c r="L43" s="116">
        <v>2953754</v>
      </c>
      <c r="M43" s="195">
        <v>2.2331566994700985E-2</v>
      </c>
      <c r="N43" s="195">
        <v>4.7945682039319199E-3</v>
      </c>
      <c r="O43" s="195">
        <v>3.4277382242916127E-2</v>
      </c>
      <c r="P43" s="195">
        <v>9.500191997695577E-2</v>
      </c>
      <c r="R43" s="223" t="s">
        <v>470</v>
      </c>
      <c r="S43" s="207">
        <f>SUMIFS(Scoreboard_8[Amount Healed],Scoreboard_8[Role],"Healer",Scoreboard_8[Team],"Yellow")</f>
        <v>25540481</v>
      </c>
      <c r="T43" s="219">
        <f>SUMIFS(Scoreboard_8[Amount Healed],Scoreboard_8[Role],"Healer",Scoreboard_8[Team],"Red")</f>
        <v>28932460</v>
      </c>
    </row>
    <row r="44" spans="1:20" ht="22.5" customHeight="1">
      <c r="A44" s="115">
        <v>73</v>
      </c>
      <c r="B44" s="115" t="s">
        <v>11</v>
      </c>
      <c r="C44" s="115" t="s">
        <v>10</v>
      </c>
      <c r="D44" s="13" t="s">
        <v>7</v>
      </c>
      <c r="E44" s="98" t="s">
        <v>17</v>
      </c>
      <c r="F44" s="115" t="s">
        <v>476</v>
      </c>
      <c r="G44" s="115">
        <v>0</v>
      </c>
      <c r="H44" s="115">
        <v>58</v>
      </c>
      <c r="I44" s="194">
        <v>58</v>
      </c>
      <c r="J44" s="116">
        <v>241472</v>
      </c>
      <c r="K44" s="116">
        <v>1127883</v>
      </c>
      <c r="L44" s="116">
        <v>2995738</v>
      </c>
      <c r="M44" s="195">
        <v>1.9734603606668934E-2</v>
      </c>
      <c r="N44" s="195">
        <v>5.0533735797327305E-3</v>
      </c>
      <c r="O44" s="195">
        <v>2.6225415482273338E-2</v>
      </c>
      <c r="P44" s="195">
        <v>0.10355330910794365</v>
      </c>
      <c r="R44" s="223" t="s">
        <v>465</v>
      </c>
      <c r="S44" s="207">
        <f>SUMIFS(Scoreboard_8[Kills],Scoreboard_8[Role],"Healer",Scoreboard_8[Team],"Yellow")</f>
        <v>6</v>
      </c>
      <c r="T44" s="219">
        <f>SUMIFS(Scoreboard_8[Kills],Scoreboard_8[Role],"Healer",Scoreboard_8[Team],"Red")</f>
        <v>5</v>
      </c>
    </row>
    <row r="45" spans="1:20" ht="22.5" customHeight="1">
      <c r="A45" s="115">
        <v>74</v>
      </c>
      <c r="B45" s="115" t="s">
        <v>11</v>
      </c>
      <c r="C45" s="115" t="s">
        <v>9</v>
      </c>
      <c r="D45" s="13" t="s">
        <v>19</v>
      </c>
      <c r="E45" s="98" t="s">
        <v>921</v>
      </c>
      <c r="F45" s="115" t="s">
        <v>483</v>
      </c>
      <c r="G45" s="115">
        <v>0</v>
      </c>
      <c r="H45" s="115">
        <v>57</v>
      </c>
      <c r="I45" s="194">
        <v>57</v>
      </c>
      <c r="J45" s="116">
        <v>12915</v>
      </c>
      <c r="K45" s="116">
        <v>727521</v>
      </c>
      <c r="L45" s="116">
        <v>1552017</v>
      </c>
      <c r="M45" s="195">
        <v>2.1574564723694171E-2</v>
      </c>
      <c r="N45" s="195">
        <v>2.9784438842607377E-4</v>
      </c>
      <c r="O45" s="195">
        <v>1.5239682493365483E-2</v>
      </c>
      <c r="P45" s="195">
        <v>4.991769620519345E-2</v>
      </c>
      <c r="R45" s="223" t="s">
        <v>466</v>
      </c>
      <c r="S45" s="207">
        <f>SUMIFS(Scoreboard_8[Assists],Scoreboard_8[Role],"Healer",Scoreboard_8[Team],"Yellow")</f>
        <v>797</v>
      </c>
      <c r="T45" s="219">
        <f>SUMIFS(Scoreboard_8[Assists],Scoreboard_8[Role],"Healer",Scoreboard_8[Team],"Red")</f>
        <v>765</v>
      </c>
    </row>
    <row r="46" spans="1:20" ht="22.5" customHeight="1">
      <c r="A46" s="115">
        <v>75</v>
      </c>
      <c r="B46" s="115" t="s">
        <v>11</v>
      </c>
      <c r="C46" s="115" t="s">
        <v>10</v>
      </c>
      <c r="D46" s="13" t="s">
        <v>19</v>
      </c>
      <c r="E46" s="98" t="s">
        <v>301</v>
      </c>
      <c r="F46" s="115" t="s">
        <v>483</v>
      </c>
      <c r="G46" s="115">
        <v>0</v>
      </c>
      <c r="H46" s="115">
        <v>55</v>
      </c>
      <c r="I46" s="194">
        <v>55</v>
      </c>
      <c r="J46" s="116">
        <v>137273</v>
      </c>
      <c r="K46" s="116">
        <v>1449214</v>
      </c>
      <c r="L46" s="116">
        <v>2062235</v>
      </c>
      <c r="M46" s="195">
        <v>2.0817562452687358E-2</v>
      </c>
      <c r="N46" s="195">
        <v>3.1657756664663127E-3</v>
      </c>
      <c r="O46" s="195">
        <v>3.0357283466649301E-2</v>
      </c>
      <c r="P46" s="195">
        <v>6.6327894754836525E-2</v>
      </c>
    </row>
    <row r="47" spans="1:20" ht="22.5" customHeight="1">
      <c r="A47" s="115">
        <v>40</v>
      </c>
      <c r="B47" s="115" t="s">
        <v>11</v>
      </c>
      <c r="C47" s="115" t="s">
        <v>10</v>
      </c>
      <c r="D47" s="13" t="s">
        <v>7</v>
      </c>
      <c r="E47" s="98" t="s">
        <v>106</v>
      </c>
      <c r="F47" s="115" t="s">
        <v>476</v>
      </c>
      <c r="G47" s="115">
        <v>3</v>
      </c>
      <c r="H47" s="115">
        <v>51</v>
      </c>
      <c r="I47" s="194">
        <v>54</v>
      </c>
      <c r="J47" s="116">
        <v>45458</v>
      </c>
      <c r="K47" s="116">
        <v>506379</v>
      </c>
      <c r="L47" s="116">
        <v>1261391</v>
      </c>
      <c r="M47" s="195">
        <v>1.8373596461381422E-2</v>
      </c>
      <c r="N47" s="195">
        <v>9.5131632730706037E-4</v>
      </c>
      <c r="O47" s="195">
        <v>1.1774270617163385E-2</v>
      </c>
      <c r="P47" s="195">
        <v>4.360234844601836E-2</v>
      </c>
    </row>
    <row r="48" spans="1:20" ht="22.5" customHeight="1">
      <c r="A48" s="115">
        <v>76</v>
      </c>
      <c r="B48" s="115" t="s">
        <v>11</v>
      </c>
      <c r="C48" s="115" t="s">
        <v>9</v>
      </c>
      <c r="D48" s="13" t="s">
        <v>19</v>
      </c>
      <c r="E48" s="98" t="s">
        <v>315</v>
      </c>
      <c r="F48" s="115" t="s">
        <v>483</v>
      </c>
      <c r="G48" s="115">
        <v>0</v>
      </c>
      <c r="H48" s="115">
        <v>52</v>
      </c>
      <c r="I48" s="194">
        <v>52</v>
      </c>
      <c r="J48" s="116">
        <v>79778</v>
      </c>
      <c r="K48" s="116">
        <v>816869</v>
      </c>
      <c r="L48" s="116">
        <v>1924082</v>
      </c>
      <c r="M48" s="195">
        <v>1.968205904617714E-2</v>
      </c>
      <c r="N48" s="195">
        <v>1.8398319488854289E-3</v>
      </c>
      <c r="O48" s="195">
        <v>1.7111291905900956E-2</v>
      </c>
      <c r="P48" s="195">
        <v>6.1884464377568685E-2</v>
      </c>
    </row>
    <row r="49" spans="1:16" ht="22.5" customHeight="1">
      <c r="A49" s="115">
        <v>34</v>
      </c>
      <c r="B49" s="115" t="s">
        <v>39</v>
      </c>
      <c r="C49" s="115" t="s">
        <v>52</v>
      </c>
      <c r="D49" s="13" t="s">
        <v>7</v>
      </c>
      <c r="E49" s="98" t="s">
        <v>99</v>
      </c>
      <c r="F49" s="115" t="s">
        <v>476</v>
      </c>
      <c r="G49" s="115">
        <v>9</v>
      </c>
      <c r="H49" s="115">
        <v>42</v>
      </c>
      <c r="I49" s="194">
        <v>51</v>
      </c>
      <c r="J49" s="116">
        <v>1542746</v>
      </c>
      <c r="K49" s="116">
        <v>673803</v>
      </c>
      <c r="L49" s="116">
        <v>183837</v>
      </c>
      <c r="M49" s="195">
        <v>1.7352841102415788E-2</v>
      </c>
      <c r="N49" s="195">
        <v>3.2285614384435259E-2</v>
      </c>
      <c r="O49" s="195">
        <v>1.5667195647245523E-2</v>
      </c>
      <c r="P49" s="195">
        <v>6.354671098232568E-3</v>
      </c>
    </row>
    <row r="50" spans="1:16" ht="22.5" customHeight="1">
      <c r="A50" s="115">
        <v>23</v>
      </c>
      <c r="B50" s="115" t="s">
        <v>39</v>
      </c>
      <c r="C50" s="115" t="s">
        <v>54</v>
      </c>
      <c r="D50" s="13" t="s">
        <v>7</v>
      </c>
      <c r="E50" s="98" t="s">
        <v>922</v>
      </c>
      <c r="F50" s="115" t="s">
        <v>476</v>
      </c>
      <c r="G50" s="115">
        <v>26</v>
      </c>
      <c r="H50" s="115">
        <v>23</v>
      </c>
      <c r="I50" s="194">
        <v>49</v>
      </c>
      <c r="J50" s="116">
        <v>1410870</v>
      </c>
      <c r="K50" s="116">
        <v>995073</v>
      </c>
      <c r="L50" s="116">
        <v>5550</v>
      </c>
      <c r="M50" s="195">
        <v>1.6672337529772031E-2</v>
      </c>
      <c r="N50" s="195">
        <v>2.9525796707019936E-2</v>
      </c>
      <c r="O50" s="195">
        <v>2.3137331496433742E-2</v>
      </c>
      <c r="P50" s="195">
        <v>1.9184617131040406E-4</v>
      </c>
    </row>
    <row r="51" spans="1:16" ht="22.5" customHeight="1">
      <c r="A51" s="115">
        <v>55</v>
      </c>
      <c r="B51" s="115" t="s">
        <v>11</v>
      </c>
      <c r="C51" s="115" t="s">
        <v>10</v>
      </c>
      <c r="D51" s="13" t="s">
        <v>19</v>
      </c>
      <c r="E51" s="98" t="s">
        <v>895</v>
      </c>
      <c r="F51" s="115" t="s">
        <v>483</v>
      </c>
      <c r="G51" s="115">
        <v>1</v>
      </c>
      <c r="H51" s="115">
        <v>48</v>
      </c>
      <c r="I51" s="194">
        <v>49</v>
      </c>
      <c r="J51" s="116">
        <v>108123</v>
      </c>
      <c r="K51" s="116">
        <v>974871</v>
      </c>
      <c r="L51" s="116">
        <v>2130375</v>
      </c>
      <c r="M51" s="195">
        <v>1.8546555639666919E-2</v>
      </c>
      <c r="N51" s="195">
        <v>2.4935213944864403E-3</v>
      </c>
      <c r="O51" s="195">
        <v>2.0421024976584459E-2</v>
      </c>
      <c r="P51" s="195">
        <v>6.85194891893188E-2</v>
      </c>
    </row>
    <row r="52" spans="1:16" ht="22.5" customHeight="1">
      <c r="A52" s="115">
        <v>77</v>
      </c>
      <c r="B52" s="115" t="s">
        <v>11</v>
      </c>
      <c r="C52" s="115" t="s">
        <v>9</v>
      </c>
      <c r="D52" s="13" t="s">
        <v>7</v>
      </c>
      <c r="E52" s="98" t="s">
        <v>100</v>
      </c>
      <c r="F52" s="115" t="s">
        <v>476</v>
      </c>
      <c r="G52" s="115">
        <v>0</v>
      </c>
      <c r="H52" s="115">
        <v>47</v>
      </c>
      <c r="I52" s="194">
        <v>47</v>
      </c>
      <c r="J52" s="116">
        <v>5514</v>
      </c>
      <c r="K52" s="116">
        <v>793245</v>
      </c>
      <c r="L52" s="116">
        <v>1319802</v>
      </c>
      <c r="M52" s="195">
        <v>1.5991833957128276E-2</v>
      </c>
      <c r="N52" s="195">
        <v>1.1539351112611929E-4</v>
      </c>
      <c r="O52" s="195">
        <v>1.844444831976004E-2</v>
      </c>
      <c r="P52" s="195">
        <v>4.5621434340146649E-2</v>
      </c>
    </row>
    <row r="53" spans="1:16" ht="22.5" customHeight="1">
      <c r="A53" s="115">
        <v>56</v>
      </c>
      <c r="B53" s="115" t="s">
        <v>67</v>
      </c>
      <c r="C53" s="115" t="s">
        <v>14</v>
      </c>
      <c r="D53" s="13" t="s">
        <v>19</v>
      </c>
      <c r="E53" s="98" t="s">
        <v>923</v>
      </c>
      <c r="F53" s="115" t="s">
        <v>483</v>
      </c>
      <c r="G53" s="115">
        <v>1</v>
      </c>
      <c r="H53" s="115">
        <v>45</v>
      </c>
      <c r="I53" s="194">
        <v>46</v>
      </c>
      <c r="J53" s="116">
        <v>125068</v>
      </c>
      <c r="K53" s="116">
        <v>1158113</v>
      </c>
      <c r="L53" s="116">
        <v>123732</v>
      </c>
      <c r="M53" s="195">
        <v>1.7411052233156699E-2</v>
      </c>
      <c r="N53" s="195">
        <v>2.884305224287433E-3</v>
      </c>
      <c r="O53" s="195">
        <v>2.4259470738905102E-2</v>
      </c>
      <c r="P53" s="195">
        <v>3.9796061427555211E-3</v>
      </c>
    </row>
    <row r="54" spans="1:16" ht="22.5" customHeight="1">
      <c r="A54" s="115">
        <v>78</v>
      </c>
      <c r="B54" s="115" t="s">
        <v>11</v>
      </c>
      <c r="C54" s="115" t="s">
        <v>9</v>
      </c>
      <c r="D54" s="13" t="s">
        <v>7</v>
      </c>
      <c r="E54" s="98" t="s">
        <v>96</v>
      </c>
      <c r="F54" s="115" t="s">
        <v>476</v>
      </c>
      <c r="G54" s="115">
        <v>0</v>
      </c>
      <c r="H54" s="115">
        <v>46</v>
      </c>
      <c r="I54" s="194">
        <v>46</v>
      </c>
      <c r="J54" s="116">
        <v>37247</v>
      </c>
      <c r="K54" s="116">
        <v>613192</v>
      </c>
      <c r="L54" s="116">
        <v>857855</v>
      </c>
      <c r="M54" s="195">
        <v>1.5651582170806397E-2</v>
      </c>
      <c r="N54" s="195">
        <v>7.7948170274112533E-4</v>
      </c>
      <c r="O54" s="195">
        <v>1.425787512570555E-2</v>
      </c>
      <c r="P54" s="195">
        <v>2.9653368880988591E-2</v>
      </c>
    </row>
    <row r="55" spans="1:16" ht="22.5" customHeight="1">
      <c r="A55" s="115">
        <v>33</v>
      </c>
      <c r="B55" s="115" t="s">
        <v>39</v>
      </c>
      <c r="C55" s="115" t="s">
        <v>32</v>
      </c>
      <c r="D55" s="13" t="s">
        <v>7</v>
      </c>
      <c r="E55" s="98" t="s">
        <v>877</v>
      </c>
      <c r="F55" s="115" t="s">
        <v>476</v>
      </c>
      <c r="G55" s="115">
        <v>12</v>
      </c>
      <c r="H55" s="115">
        <v>33</v>
      </c>
      <c r="I55" s="194">
        <v>45</v>
      </c>
      <c r="J55" s="116">
        <v>1089194</v>
      </c>
      <c r="K55" s="116">
        <v>988304</v>
      </c>
      <c r="L55" s="116">
        <v>42667</v>
      </c>
      <c r="M55" s="195">
        <v>1.5311330384484519E-2</v>
      </c>
      <c r="N55" s="195">
        <v>2.2793964446409572E-2</v>
      </c>
      <c r="O55" s="195">
        <v>2.2979939428817233E-2</v>
      </c>
      <c r="P55" s="195">
        <v>1.4748649714055875E-3</v>
      </c>
    </row>
    <row r="56" spans="1:16" ht="22.5" customHeight="1">
      <c r="A56" s="115">
        <v>35</v>
      </c>
      <c r="B56" s="115" t="s">
        <v>67</v>
      </c>
      <c r="C56" s="115" t="s">
        <v>14</v>
      </c>
      <c r="D56" s="13" t="s">
        <v>7</v>
      </c>
      <c r="E56" s="98" t="s">
        <v>55</v>
      </c>
      <c r="F56" s="115" t="s">
        <v>476</v>
      </c>
      <c r="G56" s="115">
        <v>5</v>
      </c>
      <c r="H56" s="115">
        <v>40</v>
      </c>
      <c r="I56" s="194">
        <v>45</v>
      </c>
      <c r="J56" s="116">
        <v>683835</v>
      </c>
      <c r="K56" s="116">
        <v>858404</v>
      </c>
      <c r="L56" s="116">
        <v>166331</v>
      </c>
      <c r="M56" s="195">
        <v>1.5311330384484519E-2</v>
      </c>
      <c r="N56" s="195">
        <v>1.4310867189142144E-2</v>
      </c>
      <c r="O56" s="195">
        <v>1.9959518453284038E-2</v>
      </c>
      <c r="P56" s="195">
        <v>5.749543336978526E-3</v>
      </c>
    </row>
    <row r="57" spans="1:16" ht="22.5" customHeight="1">
      <c r="A57" s="115">
        <v>36</v>
      </c>
      <c r="B57" s="115" t="s">
        <v>67</v>
      </c>
      <c r="C57" s="115" t="s">
        <v>14</v>
      </c>
      <c r="D57" s="13" t="s">
        <v>7</v>
      </c>
      <c r="E57" s="98" t="s">
        <v>37</v>
      </c>
      <c r="F57" s="115" t="s">
        <v>476</v>
      </c>
      <c r="G57" s="115">
        <v>4</v>
      </c>
      <c r="H57" s="115">
        <v>41</v>
      </c>
      <c r="I57" s="194">
        <v>45</v>
      </c>
      <c r="J57" s="116">
        <v>551852</v>
      </c>
      <c r="K57" s="116">
        <v>427961</v>
      </c>
      <c r="L57" s="116">
        <v>10478</v>
      </c>
      <c r="M57" s="195">
        <v>1.5311330384484519E-2</v>
      </c>
      <c r="N57" s="195">
        <v>1.1548810283273699E-2</v>
      </c>
      <c r="O57" s="195">
        <v>9.9509036267141013E-3</v>
      </c>
      <c r="P57" s="195">
        <v>3.6219174468295743E-4</v>
      </c>
    </row>
    <row r="58" spans="1:16" ht="22.5" customHeight="1">
      <c r="A58" s="115">
        <v>37</v>
      </c>
      <c r="B58" s="115" t="s">
        <v>67</v>
      </c>
      <c r="C58" s="115" t="s">
        <v>794</v>
      </c>
      <c r="D58" s="13" t="s">
        <v>7</v>
      </c>
      <c r="E58" s="98" t="s">
        <v>61</v>
      </c>
      <c r="F58" s="115" t="s">
        <v>476</v>
      </c>
      <c r="G58" s="115">
        <v>4</v>
      </c>
      <c r="H58" s="115">
        <v>39</v>
      </c>
      <c r="I58" s="194">
        <v>43</v>
      </c>
      <c r="J58" s="116">
        <v>817828</v>
      </c>
      <c r="K58" s="116">
        <v>971210</v>
      </c>
      <c r="L58" s="116">
        <v>67013</v>
      </c>
      <c r="M58" s="195">
        <v>1.4630826811840763E-2</v>
      </c>
      <c r="N58" s="195">
        <v>1.7114988106139262E-2</v>
      </c>
      <c r="O58" s="195">
        <v>2.258247156002767E-2</v>
      </c>
      <c r="P58" s="195">
        <v>2.3164301762205598E-3</v>
      </c>
    </row>
    <row r="59" spans="1:16" ht="22.5" customHeight="1">
      <c r="A59" s="115">
        <v>79</v>
      </c>
      <c r="B59" s="115" t="s">
        <v>11</v>
      </c>
      <c r="C59" s="115" t="s">
        <v>10</v>
      </c>
      <c r="D59" s="13" t="s">
        <v>19</v>
      </c>
      <c r="E59" s="98" t="s">
        <v>924</v>
      </c>
      <c r="F59" s="115" t="s">
        <v>483</v>
      </c>
      <c r="G59" s="115">
        <v>0</v>
      </c>
      <c r="H59" s="115">
        <v>43</v>
      </c>
      <c r="I59" s="194">
        <v>43</v>
      </c>
      <c r="J59" s="116">
        <v>101743</v>
      </c>
      <c r="K59" s="116">
        <v>883432</v>
      </c>
      <c r="L59" s="116">
        <v>1432645</v>
      </c>
      <c r="M59" s="195">
        <v>1.6275548826646481E-2</v>
      </c>
      <c r="N59" s="195">
        <v>2.346386497222921E-3</v>
      </c>
      <c r="O59" s="195">
        <v>1.8505614524500124E-2</v>
      </c>
      <c r="P59" s="195">
        <v>4.6078321229657514E-2</v>
      </c>
    </row>
    <row r="60" spans="1:16" ht="22.5" customHeight="1">
      <c r="A60" s="115">
        <v>80</v>
      </c>
      <c r="B60" s="115" t="s">
        <v>11</v>
      </c>
      <c r="C60" s="115" t="s">
        <v>9</v>
      </c>
      <c r="D60" s="13" t="s">
        <v>19</v>
      </c>
      <c r="E60" s="98" t="s">
        <v>925</v>
      </c>
      <c r="F60" s="115" t="s">
        <v>483</v>
      </c>
      <c r="G60" s="115">
        <v>0</v>
      </c>
      <c r="H60" s="115">
        <v>43</v>
      </c>
      <c r="I60" s="194">
        <v>43</v>
      </c>
      <c r="J60" s="116">
        <v>4056</v>
      </c>
      <c r="K60" s="116">
        <v>564190</v>
      </c>
      <c r="L60" s="116">
        <v>1608284</v>
      </c>
      <c r="M60" s="195">
        <v>1.6275548826646481E-2</v>
      </c>
      <c r="N60" s="195">
        <v>9.3539050674111906E-5</v>
      </c>
      <c r="O60" s="195">
        <v>1.1818320661440524E-2</v>
      </c>
      <c r="P60" s="195">
        <v>5.1727418013896333E-2</v>
      </c>
    </row>
    <row r="61" spans="1:16" ht="22.5" customHeight="1">
      <c r="A61" s="115">
        <v>45</v>
      </c>
      <c r="B61" s="115" t="s">
        <v>67</v>
      </c>
      <c r="C61" s="115" t="s">
        <v>14</v>
      </c>
      <c r="D61" s="13" t="s">
        <v>19</v>
      </c>
      <c r="E61" s="98" t="s">
        <v>83</v>
      </c>
      <c r="F61" s="115" t="s">
        <v>483</v>
      </c>
      <c r="G61" s="115">
        <v>2</v>
      </c>
      <c r="H61" s="115">
        <v>38</v>
      </c>
      <c r="I61" s="194">
        <v>40</v>
      </c>
      <c r="J61" s="116">
        <v>122911</v>
      </c>
      <c r="K61" s="116">
        <v>569395</v>
      </c>
      <c r="L61" s="116">
        <v>94898</v>
      </c>
      <c r="M61" s="195">
        <v>1.514004542013626E-2</v>
      </c>
      <c r="N61" s="195">
        <v>2.8345607143505347E-3</v>
      </c>
      <c r="O61" s="195">
        <v>1.1927351943531306E-2</v>
      </c>
      <c r="P61" s="195">
        <v>3.0522149786248783E-3</v>
      </c>
    </row>
    <row r="62" spans="1:16" ht="22.5" customHeight="1">
      <c r="A62" s="115">
        <v>46</v>
      </c>
      <c r="B62" s="115" t="s">
        <v>67</v>
      </c>
      <c r="C62" s="115" t="s">
        <v>14</v>
      </c>
      <c r="D62" s="13" t="s">
        <v>7</v>
      </c>
      <c r="E62" s="98" t="s">
        <v>926</v>
      </c>
      <c r="F62" s="115" t="s">
        <v>476</v>
      </c>
      <c r="G62" s="115">
        <v>2</v>
      </c>
      <c r="H62" s="115">
        <v>37</v>
      </c>
      <c r="I62" s="194">
        <v>39</v>
      </c>
      <c r="J62" s="116">
        <v>694254</v>
      </c>
      <c r="K62" s="116">
        <v>1355422</v>
      </c>
      <c r="L62" s="116">
        <v>69324</v>
      </c>
      <c r="M62" s="195">
        <v>1.3269819666553249E-2</v>
      </c>
      <c r="N62" s="195">
        <v>1.4528909443843456E-2</v>
      </c>
      <c r="O62" s="195">
        <v>3.1516128094681711E-2</v>
      </c>
      <c r="P62" s="195">
        <v>2.3963142306166578E-3</v>
      </c>
    </row>
    <row r="63" spans="1:16" ht="22.5" customHeight="1">
      <c r="A63" s="115">
        <v>81</v>
      </c>
      <c r="B63" s="115" t="s">
        <v>11</v>
      </c>
      <c r="C63" s="115" t="s">
        <v>10</v>
      </c>
      <c r="D63" s="13" t="s">
        <v>7</v>
      </c>
      <c r="E63" s="98" t="s">
        <v>108</v>
      </c>
      <c r="F63" s="115" t="s">
        <v>476</v>
      </c>
      <c r="G63" s="115">
        <v>0</v>
      </c>
      <c r="H63" s="115">
        <v>39</v>
      </c>
      <c r="I63" s="194">
        <v>39</v>
      </c>
      <c r="J63" s="116">
        <v>86382</v>
      </c>
      <c r="K63" s="116">
        <v>1066194</v>
      </c>
      <c r="L63" s="116">
        <v>1946949</v>
      </c>
      <c r="M63" s="195">
        <v>1.3269819666553249E-2</v>
      </c>
      <c r="N63" s="195">
        <v>1.8077479648343194E-3</v>
      </c>
      <c r="O63" s="195">
        <v>2.4791029419458346E-2</v>
      </c>
      <c r="P63" s="195">
        <v>6.7299947997589163E-2</v>
      </c>
    </row>
    <row r="64" spans="1:16" ht="22.5" customHeight="1">
      <c r="A64" s="115">
        <v>82</v>
      </c>
      <c r="B64" s="115" t="s">
        <v>11</v>
      </c>
      <c r="C64" s="115" t="s">
        <v>9</v>
      </c>
      <c r="D64" s="13" t="s">
        <v>7</v>
      </c>
      <c r="E64" s="98" t="s">
        <v>41</v>
      </c>
      <c r="F64" s="115" t="s">
        <v>476</v>
      </c>
      <c r="G64" s="115">
        <v>0</v>
      </c>
      <c r="H64" s="115">
        <v>39</v>
      </c>
      <c r="I64" s="194">
        <v>39</v>
      </c>
      <c r="J64" s="116">
        <v>6365</v>
      </c>
      <c r="K64" s="116">
        <v>677299</v>
      </c>
      <c r="L64" s="116">
        <v>1645123</v>
      </c>
      <c r="M64" s="195">
        <v>1.3269819666553249E-2</v>
      </c>
      <c r="N64" s="195">
        <v>1.332027019074627E-4</v>
      </c>
      <c r="O64" s="195">
        <v>1.5748484267187508E-2</v>
      </c>
      <c r="P64" s="195">
        <v>5.6866765564808262E-2</v>
      </c>
    </row>
    <row r="65" spans="1:16" ht="22.5" customHeight="1">
      <c r="A65" s="115">
        <v>38</v>
      </c>
      <c r="B65" s="115" t="s">
        <v>67</v>
      </c>
      <c r="C65" s="115" t="s">
        <v>14</v>
      </c>
      <c r="D65" s="13" t="s">
        <v>7</v>
      </c>
      <c r="E65" s="98" t="s">
        <v>85</v>
      </c>
      <c r="F65" s="115" t="s">
        <v>476</v>
      </c>
      <c r="G65" s="115">
        <v>4</v>
      </c>
      <c r="H65" s="115">
        <v>32</v>
      </c>
      <c r="I65" s="194">
        <v>36</v>
      </c>
      <c r="J65" s="116">
        <v>592336</v>
      </c>
      <c r="K65" s="116">
        <v>844190</v>
      </c>
      <c r="L65" s="116">
        <v>82068</v>
      </c>
      <c r="M65" s="195">
        <v>1.2249064307587616E-2</v>
      </c>
      <c r="N65" s="195">
        <v>1.2396033878563837E-2</v>
      </c>
      <c r="O65" s="195">
        <v>1.9629016037993594E-2</v>
      </c>
      <c r="P65" s="195">
        <v>2.836834520198602E-3</v>
      </c>
    </row>
    <row r="66" spans="1:16" ht="22.5" customHeight="1">
      <c r="A66" s="115">
        <v>57</v>
      </c>
      <c r="B66" s="115" t="s">
        <v>11</v>
      </c>
      <c r="C66" s="115" t="s">
        <v>9</v>
      </c>
      <c r="D66" s="13" t="s">
        <v>19</v>
      </c>
      <c r="E66" s="98" t="s">
        <v>927</v>
      </c>
      <c r="F66" s="115" t="s">
        <v>483</v>
      </c>
      <c r="G66" s="115">
        <v>1</v>
      </c>
      <c r="H66" s="115">
        <v>35</v>
      </c>
      <c r="I66" s="194">
        <v>36</v>
      </c>
      <c r="J66" s="116">
        <v>4036</v>
      </c>
      <c r="K66" s="116">
        <v>569414</v>
      </c>
      <c r="L66" s="116">
        <v>1503367</v>
      </c>
      <c r="M66" s="195">
        <v>1.3626040878122634E-2</v>
      </c>
      <c r="N66" s="195">
        <v>9.3077812751655734E-5</v>
      </c>
      <c r="O66" s="195">
        <v>1.1927749944368909E-2</v>
      </c>
      <c r="P66" s="195">
        <v>4.835296081867213E-2</v>
      </c>
    </row>
    <row r="67" spans="1:16" ht="22.5" customHeight="1">
      <c r="A67" s="115">
        <v>58</v>
      </c>
      <c r="B67" s="115" t="s">
        <v>11</v>
      </c>
      <c r="C67" s="115" t="s">
        <v>10</v>
      </c>
      <c r="D67" s="13" t="s">
        <v>7</v>
      </c>
      <c r="E67" s="98" t="s">
        <v>105</v>
      </c>
      <c r="F67" s="115" t="s">
        <v>476</v>
      </c>
      <c r="G67" s="115">
        <v>1</v>
      </c>
      <c r="H67" s="115">
        <v>34</v>
      </c>
      <c r="I67" s="194">
        <v>35</v>
      </c>
      <c r="J67" s="116">
        <v>71155</v>
      </c>
      <c r="K67" s="116">
        <v>759149</v>
      </c>
      <c r="L67" s="116">
        <v>1613281</v>
      </c>
      <c r="M67" s="195">
        <v>1.1908812521265737E-2</v>
      </c>
      <c r="N67" s="195">
        <v>1.4890869213237247E-3</v>
      </c>
      <c r="O67" s="195">
        <v>1.765165175638991E-2</v>
      </c>
      <c r="P67" s="195">
        <v>5.5766087044652246E-2</v>
      </c>
    </row>
    <row r="68" spans="1:16" ht="22.5" customHeight="1">
      <c r="A68" s="115">
        <v>83</v>
      </c>
      <c r="B68" s="115" t="s">
        <v>11</v>
      </c>
      <c r="C68" s="115" t="s">
        <v>10</v>
      </c>
      <c r="D68" s="13" t="s">
        <v>19</v>
      </c>
      <c r="E68" s="98" t="s">
        <v>899</v>
      </c>
      <c r="F68" s="115" t="s">
        <v>483</v>
      </c>
      <c r="G68" s="115">
        <v>0</v>
      </c>
      <c r="H68" s="115">
        <v>32</v>
      </c>
      <c r="I68" s="194">
        <v>32</v>
      </c>
      <c r="J68" s="116">
        <v>122886</v>
      </c>
      <c r="K68" s="116">
        <v>1406082</v>
      </c>
      <c r="L68" s="116">
        <v>2430907</v>
      </c>
      <c r="M68" s="195">
        <v>1.2112036336109008E-2</v>
      </c>
      <c r="N68" s="195">
        <v>2.8339841669474644E-3</v>
      </c>
      <c r="O68" s="195">
        <v>2.9453779670464943E-2</v>
      </c>
      <c r="P68" s="195">
        <v>7.8185533489052106E-2</v>
      </c>
    </row>
    <row r="69" spans="1:16" ht="22.5" customHeight="1">
      <c r="A69" s="115">
        <v>84</v>
      </c>
      <c r="B69" s="115" t="s">
        <v>11</v>
      </c>
      <c r="C69" s="115" t="s">
        <v>10</v>
      </c>
      <c r="D69" s="13" t="s">
        <v>19</v>
      </c>
      <c r="E69" s="98" t="s">
        <v>928</v>
      </c>
      <c r="F69" s="115" t="s">
        <v>483</v>
      </c>
      <c r="G69" s="115">
        <v>0</v>
      </c>
      <c r="H69" s="115">
        <v>31</v>
      </c>
      <c r="I69" s="194">
        <v>31</v>
      </c>
      <c r="J69" s="116">
        <v>102364</v>
      </c>
      <c r="K69" s="116">
        <v>897726</v>
      </c>
      <c r="L69" s="116">
        <v>1759202</v>
      </c>
      <c r="M69" s="195">
        <v>1.1733535200605601E-2</v>
      </c>
      <c r="N69" s="195">
        <v>2.3607079347151851E-3</v>
      </c>
      <c r="O69" s="195">
        <v>1.880503683885279E-2</v>
      </c>
      <c r="P69" s="195">
        <v>5.6581410512622429E-2</v>
      </c>
    </row>
    <row r="70" spans="1:16" ht="22.5" customHeight="1">
      <c r="A70" s="115">
        <v>59</v>
      </c>
      <c r="B70" s="115" t="s">
        <v>67</v>
      </c>
      <c r="C70" s="115" t="s">
        <v>14</v>
      </c>
      <c r="D70" s="13" t="s">
        <v>19</v>
      </c>
      <c r="E70" s="98" t="s">
        <v>900</v>
      </c>
      <c r="F70" s="115" t="s">
        <v>483</v>
      </c>
      <c r="G70" s="115">
        <v>1</v>
      </c>
      <c r="H70" s="115">
        <v>29</v>
      </c>
      <c r="I70" s="194">
        <v>30</v>
      </c>
      <c r="J70" s="116">
        <v>186425</v>
      </c>
      <c r="K70" s="116">
        <v>665877</v>
      </c>
      <c r="L70" s="116">
        <v>104281</v>
      </c>
      <c r="M70" s="195">
        <v>1.1355034065102196E-2</v>
      </c>
      <c r="N70" s="195">
        <v>4.2993139846946036E-3</v>
      </c>
      <c r="O70" s="195">
        <v>1.3948400196880541E-2</v>
      </c>
      <c r="P70" s="195">
        <v>3.3540014561527212E-3</v>
      </c>
    </row>
    <row r="71" spans="1:16" ht="22.5" customHeight="1">
      <c r="A71" s="115">
        <v>85</v>
      </c>
      <c r="B71" s="115" t="s">
        <v>67</v>
      </c>
      <c r="C71" s="115" t="s">
        <v>14</v>
      </c>
      <c r="D71" s="13" t="s">
        <v>19</v>
      </c>
      <c r="E71" s="98" t="s">
        <v>929</v>
      </c>
      <c r="F71" s="115" t="s">
        <v>483</v>
      </c>
      <c r="G71" s="115">
        <v>0</v>
      </c>
      <c r="H71" s="115">
        <v>28</v>
      </c>
      <c r="I71" s="194">
        <v>28</v>
      </c>
      <c r="J71" s="116">
        <v>236372</v>
      </c>
      <c r="K71" s="116">
        <v>956436</v>
      </c>
      <c r="L71" s="116">
        <v>100165</v>
      </c>
      <c r="M71" s="195">
        <v>1.0598031794095382E-2</v>
      </c>
      <c r="N71" s="195">
        <v>5.4511865103405279E-3</v>
      </c>
      <c r="O71" s="195">
        <v>2.0034859427046792E-2</v>
      </c>
      <c r="P71" s="195">
        <v>3.2216180881995504E-3</v>
      </c>
    </row>
    <row r="72" spans="1:16" ht="22.5" customHeight="1">
      <c r="A72" s="115">
        <v>47</v>
      </c>
      <c r="B72" s="115" t="s">
        <v>67</v>
      </c>
      <c r="C72" s="115" t="s">
        <v>14</v>
      </c>
      <c r="D72" s="13" t="s">
        <v>7</v>
      </c>
      <c r="E72" s="98" t="s">
        <v>93</v>
      </c>
      <c r="F72" s="115" t="s">
        <v>476</v>
      </c>
      <c r="G72" s="115">
        <v>2</v>
      </c>
      <c r="H72" s="115">
        <v>25</v>
      </c>
      <c r="I72" s="194">
        <v>27</v>
      </c>
      <c r="J72" s="116">
        <v>389940</v>
      </c>
      <c r="K72" s="116">
        <v>1954225</v>
      </c>
      <c r="L72" s="116">
        <v>97525</v>
      </c>
      <c r="M72" s="195">
        <v>9.1867982306907108E-3</v>
      </c>
      <c r="N72" s="195">
        <v>8.1604181589624517E-3</v>
      </c>
      <c r="O72" s="195">
        <v>4.5439431723721002E-2</v>
      </c>
      <c r="P72" s="195">
        <v>3.3711347490175056E-3</v>
      </c>
    </row>
    <row r="73" spans="1:16" ht="22.5" customHeight="1">
      <c r="A73" s="115">
        <v>39</v>
      </c>
      <c r="B73" s="115" t="s">
        <v>67</v>
      </c>
      <c r="C73" s="115" t="s">
        <v>14</v>
      </c>
      <c r="D73" s="13" t="s">
        <v>7</v>
      </c>
      <c r="E73" s="98" t="s">
        <v>123</v>
      </c>
      <c r="F73" s="115" t="s">
        <v>476</v>
      </c>
      <c r="G73" s="115">
        <v>4</v>
      </c>
      <c r="H73" s="115">
        <v>22</v>
      </c>
      <c r="I73" s="194">
        <v>26</v>
      </c>
      <c r="J73" s="116">
        <v>337485</v>
      </c>
      <c r="K73" s="116">
        <v>766714</v>
      </c>
      <c r="L73" s="116">
        <v>39573</v>
      </c>
      <c r="M73" s="195">
        <v>8.8465464443688337E-3</v>
      </c>
      <c r="N73" s="195">
        <v>7.0626730327164253E-3</v>
      </c>
      <c r="O73" s="195">
        <v>1.7827552331292979E-2</v>
      </c>
      <c r="P73" s="195">
        <v>1.3679150517597514E-3</v>
      </c>
    </row>
    <row r="74" spans="1:16" ht="22.5" customHeight="1">
      <c r="A74" s="115">
        <v>41</v>
      </c>
      <c r="B74" s="115" t="s">
        <v>67</v>
      </c>
      <c r="C74" s="115" t="s">
        <v>14</v>
      </c>
      <c r="D74" s="13" t="s">
        <v>19</v>
      </c>
      <c r="E74" s="98" t="s">
        <v>796</v>
      </c>
      <c r="F74" s="115" t="s">
        <v>483</v>
      </c>
      <c r="G74" s="115">
        <v>3</v>
      </c>
      <c r="H74" s="115">
        <v>22</v>
      </c>
      <c r="I74" s="194">
        <v>25</v>
      </c>
      <c r="J74" s="116">
        <v>506101</v>
      </c>
      <c r="K74" s="116">
        <v>1454077</v>
      </c>
      <c r="L74" s="116">
        <v>139354</v>
      </c>
      <c r="M74" s="195">
        <v>9.4625283875851632E-3</v>
      </c>
      <c r="N74" s="195">
        <v>1.1671648689649584E-2</v>
      </c>
      <c r="O74" s="195">
        <v>3.0459150733663221E-2</v>
      </c>
      <c r="P74" s="195">
        <v>4.4820582744767154E-3</v>
      </c>
    </row>
    <row r="75" spans="1:16" ht="22.5" customHeight="1">
      <c r="A75" s="115">
        <v>42</v>
      </c>
      <c r="B75" s="115" t="s">
        <v>39</v>
      </c>
      <c r="C75" s="115" t="s">
        <v>45</v>
      </c>
      <c r="D75" s="13" t="s">
        <v>7</v>
      </c>
      <c r="E75" s="98" t="s">
        <v>855</v>
      </c>
      <c r="F75" s="115" t="s">
        <v>476</v>
      </c>
      <c r="G75" s="115">
        <v>3</v>
      </c>
      <c r="H75" s="115">
        <v>21</v>
      </c>
      <c r="I75" s="194">
        <v>24</v>
      </c>
      <c r="J75" s="116">
        <v>412620</v>
      </c>
      <c r="K75" s="116">
        <v>821695</v>
      </c>
      <c r="L75" s="116">
        <v>16771</v>
      </c>
      <c r="M75" s="195">
        <v>8.1660428717250759E-3</v>
      </c>
      <c r="N75" s="195">
        <v>8.6350508815486657E-3</v>
      </c>
      <c r="O75" s="195">
        <v>1.9105964691999603E-2</v>
      </c>
      <c r="P75" s="195">
        <v>5.7972110613455617E-4</v>
      </c>
    </row>
    <row r="76" spans="1:16" ht="22.5" customHeight="1">
      <c r="A76" s="115">
        <v>60</v>
      </c>
      <c r="B76" s="115" t="s">
        <v>67</v>
      </c>
      <c r="C76" s="115" t="s">
        <v>14</v>
      </c>
      <c r="D76" s="13" t="s">
        <v>19</v>
      </c>
      <c r="E76" s="98" t="s">
        <v>930</v>
      </c>
      <c r="F76" s="115" t="s">
        <v>483</v>
      </c>
      <c r="G76" s="115">
        <v>1</v>
      </c>
      <c r="H76" s="115">
        <v>23</v>
      </c>
      <c r="I76" s="194">
        <v>24</v>
      </c>
      <c r="J76" s="116">
        <v>381741</v>
      </c>
      <c r="K76" s="116">
        <v>1252910</v>
      </c>
      <c r="L76" s="116">
        <v>72959</v>
      </c>
      <c r="M76" s="195">
        <v>9.0840272520817562E-3</v>
      </c>
      <c r="N76" s="195">
        <v>8.803671287817099E-3</v>
      </c>
      <c r="O76" s="195">
        <v>2.6245222602182684E-2</v>
      </c>
      <c r="P76" s="195">
        <v>2.34658846999402E-3</v>
      </c>
    </row>
    <row r="77" spans="1:16" ht="22.5" customHeight="1">
      <c r="A77" s="115">
        <v>43</v>
      </c>
      <c r="B77" s="115" t="s">
        <v>67</v>
      </c>
      <c r="C77" s="115" t="s">
        <v>14</v>
      </c>
      <c r="D77" s="13" t="s">
        <v>19</v>
      </c>
      <c r="E77" s="98" t="s">
        <v>35</v>
      </c>
      <c r="F77" s="115" t="s">
        <v>483</v>
      </c>
      <c r="G77" s="115">
        <v>3</v>
      </c>
      <c r="H77" s="115">
        <v>20</v>
      </c>
      <c r="I77" s="194">
        <v>23</v>
      </c>
      <c r="J77" s="116">
        <v>101376</v>
      </c>
      <c r="K77" s="116">
        <v>498935</v>
      </c>
      <c r="L77" s="116">
        <v>15370</v>
      </c>
      <c r="M77" s="195">
        <v>8.7055261165783493E-3</v>
      </c>
      <c r="N77" s="195">
        <v>2.3379227813458501E-3</v>
      </c>
      <c r="O77" s="195">
        <v>1.0451397258398462E-2</v>
      </c>
      <c r="P77" s="195">
        <v>4.9434702756079557E-4</v>
      </c>
    </row>
    <row r="78" spans="1:16" ht="22.5" customHeight="1">
      <c r="A78" s="115">
        <v>86</v>
      </c>
      <c r="B78" s="115" t="s">
        <v>67</v>
      </c>
      <c r="C78" s="115" t="s">
        <v>794</v>
      </c>
      <c r="D78" s="13" t="s">
        <v>19</v>
      </c>
      <c r="E78" s="98" t="s">
        <v>829</v>
      </c>
      <c r="F78" s="115" t="s">
        <v>483</v>
      </c>
      <c r="G78" s="115">
        <v>0</v>
      </c>
      <c r="H78" s="115">
        <v>23</v>
      </c>
      <c r="I78" s="194">
        <v>23</v>
      </c>
      <c r="J78" s="116">
        <v>378916</v>
      </c>
      <c r="K78" s="116">
        <v>1078045</v>
      </c>
      <c r="L78" s="116">
        <v>58620</v>
      </c>
      <c r="M78" s="195">
        <v>8.7055261165783493E-3</v>
      </c>
      <c r="N78" s="195">
        <v>8.7385214312701645E-3</v>
      </c>
      <c r="O78" s="195">
        <v>2.2582253314420053E-2</v>
      </c>
      <c r="P78" s="195">
        <v>1.8854016106450123E-3</v>
      </c>
    </row>
    <row r="79" spans="1:16" ht="22.5" customHeight="1">
      <c r="A79" s="115">
        <v>48</v>
      </c>
      <c r="B79" s="115" t="s">
        <v>67</v>
      </c>
      <c r="C79" s="115" t="s">
        <v>14</v>
      </c>
      <c r="D79" s="13" t="s">
        <v>7</v>
      </c>
      <c r="E79" s="98" t="s">
        <v>80</v>
      </c>
      <c r="F79" s="115" t="s">
        <v>476</v>
      </c>
      <c r="G79" s="115">
        <v>2</v>
      </c>
      <c r="H79" s="115">
        <v>20</v>
      </c>
      <c r="I79" s="194">
        <v>22</v>
      </c>
      <c r="J79" s="116">
        <v>326388</v>
      </c>
      <c r="K79" s="116">
        <v>989807</v>
      </c>
      <c r="L79" s="116">
        <v>70663</v>
      </c>
      <c r="M79" s="195">
        <v>7.4855392990813199E-3</v>
      </c>
      <c r="N79" s="195">
        <v>6.8304420220224558E-3</v>
      </c>
      <c r="O79" s="195">
        <v>2.3014887024862086E-2</v>
      </c>
      <c r="P79" s="195">
        <v>2.4425992798751501E-3</v>
      </c>
    </row>
    <row r="80" spans="1:16" ht="22.5" customHeight="1">
      <c r="A80" s="115">
        <v>49</v>
      </c>
      <c r="B80" s="115" t="s">
        <v>67</v>
      </c>
      <c r="C80" s="115" t="s">
        <v>794</v>
      </c>
      <c r="D80" s="13" t="s">
        <v>7</v>
      </c>
      <c r="E80" s="98" t="s">
        <v>79</v>
      </c>
      <c r="F80" s="115" t="s">
        <v>476</v>
      </c>
      <c r="G80" s="115">
        <v>2</v>
      </c>
      <c r="H80" s="115">
        <v>19</v>
      </c>
      <c r="I80" s="194">
        <v>21</v>
      </c>
      <c r="J80" s="116">
        <v>241047</v>
      </c>
      <c r="K80" s="116">
        <v>593994</v>
      </c>
      <c r="L80" s="116">
        <v>120284</v>
      </c>
      <c r="M80" s="195">
        <v>7.1452875127594418E-3</v>
      </c>
      <c r="N80" s="195">
        <v>5.0444794480264191E-3</v>
      </c>
      <c r="O80" s="195">
        <v>1.3811485272831906E-2</v>
      </c>
      <c r="P80" s="195">
        <v>4.1578423189010168E-3</v>
      </c>
    </row>
    <row r="81" spans="1:16" ht="22.5" customHeight="1">
      <c r="A81" s="115">
        <v>61</v>
      </c>
      <c r="B81" s="115" t="s">
        <v>67</v>
      </c>
      <c r="C81" s="115" t="s">
        <v>70</v>
      </c>
      <c r="D81" s="13" t="s">
        <v>7</v>
      </c>
      <c r="E81" s="98" t="s">
        <v>64</v>
      </c>
      <c r="F81" s="115" t="s">
        <v>476</v>
      </c>
      <c r="G81" s="115">
        <v>1</v>
      </c>
      <c r="H81" s="115">
        <v>18</v>
      </c>
      <c r="I81" s="194">
        <v>19</v>
      </c>
      <c r="J81" s="116">
        <v>266499</v>
      </c>
      <c r="K81" s="116">
        <v>593860</v>
      </c>
      <c r="L81" s="116">
        <v>60898</v>
      </c>
      <c r="M81" s="195">
        <v>6.4647839401156858E-3</v>
      </c>
      <c r="N81" s="195">
        <v>5.5771228367065039E-3</v>
      </c>
      <c r="O81" s="195">
        <v>1.3808369519092711E-2</v>
      </c>
      <c r="P81" s="195">
        <v>2.1050537190019794E-3</v>
      </c>
    </row>
    <row r="82" spans="1:16" ht="22.5" customHeight="1">
      <c r="A82" s="115">
        <v>62</v>
      </c>
      <c r="B82" s="115" t="s">
        <v>67</v>
      </c>
      <c r="C82" s="115" t="s">
        <v>14</v>
      </c>
      <c r="D82" s="13" t="s">
        <v>19</v>
      </c>
      <c r="E82" s="98" t="s">
        <v>111</v>
      </c>
      <c r="F82" s="115" t="s">
        <v>483</v>
      </c>
      <c r="G82" s="115">
        <v>1</v>
      </c>
      <c r="H82" s="115">
        <v>17</v>
      </c>
      <c r="I82" s="194">
        <v>18</v>
      </c>
      <c r="J82" s="116">
        <v>47252</v>
      </c>
      <c r="K82" s="116">
        <v>965278</v>
      </c>
      <c r="L82" s="116">
        <v>29870</v>
      </c>
      <c r="M82" s="195">
        <v>6.8130204390613172E-3</v>
      </c>
      <c r="N82" s="195">
        <v>1.0897207155949546E-3</v>
      </c>
      <c r="O82" s="195">
        <v>2.0220076448419836E-2</v>
      </c>
      <c r="P82" s="195">
        <v>9.6071214790116881E-4</v>
      </c>
    </row>
    <row r="83" spans="1:16" ht="22.5" customHeight="1">
      <c r="A83" s="115">
        <v>50</v>
      </c>
      <c r="B83" s="115" t="s">
        <v>67</v>
      </c>
      <c r="C83" s="115" t="s">
        <v>62</v>
      </c>
      <c r="D83" s="13" t="s">
        <v>7</v>
      </c>
      <c r="E83" s="98" t="s">
        <v>114</v>
      </c>
      <c r="F83" s="115" t="s">
        <v>476</v>
      </c>
      <c r="G83" s="115">
        <v>2</v>
      </c>
      <c r="H83" s="115">
        <v>15</v>
      </c>
      <c r="I83" s="194">
        <v>17</v>
      </c>
      <c r="J83" s="116">
        <v>236990</v>
      </c>
      <c r="K83" s="116">
        <v>642252</v>
      </c>
      <c r="L83" s="116">
        <v>71189</v>
      </c>
      <c r="M83" s="195">
        <v>5.7842803674719289E-3</v>
      </c>
      <c r="N83" s="195">
        <v>4.9595771131264073E-3</v>
      </c>
      <c r="O83" s="195">
        <v>1.4933575153026525E-2</v>
      </c>
      <c r="P83" s="195">
        <v>2.4607814575524963E-3</v>
      </c>
    </row>
    <row r="84" spans="1:16" ht="22.5" customHeight="1">
      <c r="A84" s="115">
        <v>63</v>
      </c>
      <c r="B84" s="115" t="s">
        <v>67</v>
      </c>
      <c r="C84" s="115" t="s">
        <v>14</v>
      </c>
      <c r="D84" s="13" t="s">
        <v>7</v>
      </c>
      <c r="E84" s="98" t="s">
        <v>57</v>
      </c>
      <c r="F84" s="115" t="s">
        <v>476</v>
      </c>
      <c r="G84" s="115">
        <v>1</v>
      </c>
      <c r="H84" s="115">
        <v>15</v>
      </c>
      <c r="I84" s="194">
        <v>16</v>
      </c>
      <c r="J84" s="116">
        <v>394450</v>
      </c>
      <c r="K84" s="116">
        <v>1008888</v>
      </c>
      <c r="L84" s="116">
        <v>55836</v>
      </c>
      <c r="M84" s="195">
        <v>5.4440285811500509E-3</v>
      </c>
      <c r="N84" s="195">
        <v>8.2548005918929544E-3</v>
      </c>
      <c r="O84" s="195">
        <v>2.3458556406187329E-2</v>
      </c>
      <c r="P84" s="195">
        <v>1.9300761840158056E-3</v>
      </c>
    </row>
    <row r="85" spans="1:16" ht="22.5" customHeight="1">
      <c r="A85" s="115">
        <v>51</v>
      </c>
      <c r="B85" s="115" t="s">
        <v>67</v>
      </c>
      <c r="C85" s="115" t="s">
        <v>794</v>
      </c>
      <c r="D85" s="13" t="s">
        <v>19</v>
      </c>
      <c r="E85" s="98" t="s">
        <v>89</v>
      </c>
      <c r="F85" s="115" t="s">
        <v>483</v>
      </c>
      <c r="G85" s="115">
        <v>2</v>
      </c>
      <c r="H85" s="115">
        <v>12</v>
      </c>
      <c r="I85" s="194">
        <v>14</v>
      </c>
      <c r="J85" s="116">
        <v>238869</v>
      </c>
      <c r="K85" s="116">
        <v>1217731</v>
      </c>
      <c r="L85" s="116">
        <v>146089</v>
      </c>
      <c r="M85" s="195">
        <v>5.2990158970476911E-3</v>
      </c>
      <c r="N85" s="195">
        <v>5.5087720649591807E-3</v>
      </c>
      <c r="O85" s="195">
        <v>2.5508313577654037E-2</v>
      </c>
      <c r="P85" s="195">
        <v>4.6986768320968816E-3</v>
      </c>
    </row>
    <row r="86" spans="1:16" ht="22.5" customHeight="1">
      <c r="A86" s="115">
        <v>64</v>
      </c>
      <c r="B86" s="115" t="s">
        <v>67</v>
      </c>
      <c r="C86" s="115" t="s">
        <v>14</v>
      </c>
      <c r="D86" s="13" t="s">
        <v>19</v>
      </c>
      <c r="E86" s="98" t="s">
        <v>690</v>
      </c>
      <c r="F86" s="115" t="s">
        <v>483</v>
      </c>
      <c r="G86" s="115">
        <v>1</v>
      </c>
      <c r="H86" s="115">
        <v>13</v>
      </c>
      <c r="I86" s="194">
        <v>14</v>
      </c>
      <c r="J86" s="116">
        <v>160579</v>
      </c>
      <c r="K86" s="116">
        <v>806144</v>
      </c>
      <c r="L86" s="116">
        <v>96985</v>
      </c>
      <c r="M86" s="195">
        <v>5.2990158970476911E-3</v>
      </c>
      <c r="N86" s="195">
        <v>3.7032562175044912E-3</v>
      </c>
      <c r="O86" s="195">
        <v>1.6886630906780182E-2</v>
      </c>
      <c r="P86" s="195">
        <v>3.1193393928421447E-3</v>
      </c>
    </row>
    <row r="87" spans="1:16" ht="22.5" customHeight="1">
      <c r="A87" s="115">
        <v>87</v>
      </c>
      <c r="B87" s="115" t="s">
        <v>11</v>
      </c>
      <c r="C87" s="115" t="s">
        <v>10</v>
      </c>
      <c r="D87" s="13" t="s">
        <v>7</v>
      </c>
      <c r="E87" s="98" t="s">
        <v>165</v>
      </c>
      <c r="F87" s="115" t="s">
        <v>476</v>
      </c>
      <c r="G87" s="115">
        <v>0</v>
      </c>
      <c r="H87" s="115">
        <v>14</v>
      </c>
      <c r="I87" s="194">
        <v>14</v>
      </c>
      <c r="J87" s="116">
        <v>209960</v>
      </c>
      <c r="K87" s="116">
        <v>1312038</v>
      </c>
      <c r="L87" s="116">
        <v>2706230</v>
      </c>
      <c r="M87" s="195">
        <v>4.7635250085062949E-3</v>
      </c>
      <c r="N87" s="195">
        <v>4.3939103366050069E-3</v>
      </c>
      <c r="O87" s="195">
        <v>3.0507367943776922E-2</v>
      </c>
      <c r="P87" s="195">
        <v>9.35459214748387E-2</v>
      </c>
    </row>
    <row r="88" spans="1:16" ht="22.5" customHeight="1">
      <c r="A88" s="115">
        <v>88</v>
      </c>
      <c r="B88" s="115" t="s">
        <v>67</v>
      </c>
      <c r="C88" s="115" t="s">
        <v>14</v>
      </c>
      <c r="D88" s="13" t="s">
        <v>7</v>
      </c>
      <c r="E88" s="98" t="s">
        <v>109</v>
      </c>
      <c r="F88" s="115" t="s">
        <v>476</v>
      </c>
      <c r="G88" s="115">
        <v>0</v>
      </c>
      <c r="H88" s="115">
        <v>13</v>
      </c>
      <c r="I88" s="194">
        <v>13</v>
      </c>
      <c r="J88" s="116">
        <v>151001</v>
      </c>
      <c r="K88" s="116">
        <v>920801</v>
      </c>
      <c r="L88" s="116">
        <v>77277</v>
      </c>
      <c r="M88" s="195">
        <v>4.4232732221844168E-3</v>
      </c>
      <c r="N88" s="195">
        <v>3.1600536041993359E-3</v>
      </c>
      <c r="O88" s="195">
        <v>2.1410366856750896E-2</v>
      </c>
      <c r="P88" s="195">
        <v>2.6712246090728098E-3</v>
      </c>
    </row>
    <row r="89" spans="1:16" ht="22.5" customHeight="1">
      <c r="A89" s="115">
        <v>65</v>
      </c>
      <c r="B89" s="115" t="s">
        <v>67</v>
      </c>
      <c r="C89" s="115" t="s">
        <v>14</v>
      </c>
      <c r="D89" s="13" t="s">
        <v>19</v>
      </c>
      <c r="E89" s="98" t="s">
        <v>931</v>
      </c>
      <c r="F89" s="115" t="s">
        <v>483</v>
      </c>
      <c r="G89" s="115">
        <v>1</v>
      </c>
      <c r="H89" s="115">
        <v>11</v>
      </c>
      <c r="I89" s="194">
        <v>12</v>
      </c>
      <c r="J89" s="116">
        <v>237540</v>
      </c>
      <c r="K89" s="116">
        <v>972783</v>
      </c>
      <c r="L89" s="116">
        <v>98350</v>
      </c>
      <c r="M89" s="195">
        <v>4.5420136260408781E-3</v>
      </c>
      <c r="N89" s="195">
        <v>5.4781228050119679E-3</v>
      </c>
      <c r="O89" s="195">
        <v>2.0377286779273113E-2</v>
      </c>
      <c r="P89" s="195">
        <v>3.163242040377635E-3</v>
      </c>
    </row>
    <row r="90" spans="1:16" ht="22.5" customHeight="1">
      <c r="A90" s="115">
        <v>89</v>
      </c>
      <c r="B90" s="115" t="s">
        <v>67</v>
      </c>
      <c r="C90" s="115" t="s">
        <v>14</v>
      </c>
      <c r="D90" s="13" t="s">
        <v>19</v>
      </c>
      <c r="E90" s="98" t="s">
        <v>932</v>
      </c>
      <c r="F90" s="115" t="s">
        <v>483</v>
      </c>
      <c r="G90" s="115">
        <v>0</v>
      </c>
      <c r="H90" s="115">
        <v>12</v>
      </c>
      <c r="I90" s="194">
        <v>12</v>
      </c>
      <c r="J90" s="116">
        <v>59782</v>
      </c>
      <c r="K90" s="116">
        <v>1104544</v>
      </c>
      <c r="L90" s="116">
        <v>11032</v>
      </c>
      <c r="M90" s="195">
        <v>4.5420136260408781E-3</v>
      </c>
      <c r="N90" s="195">
        <v>1.3786862740137471E-3</v>
      </c>
      <c r="O90" s="195">
        <v>2.3137338798401536E-2</v>
      </c>
      <c r="P90" s="195">
        <v>3.5482344879965498E-4</v>
      </c>
    </row>
    <row r="91" spans="1:16" ht="22.5" customHeight="1">
      <c r="A91" s="115">
        <v>90</v>
      </c>
      <c r="B91" s="115" t="s">
        <v>11</v>
      </c>
      <c r="C91" s="115" t="s">
        <v>10</v>
      </c>
      <c r="D91" s="13" t="s">
        <v>7</v>
      </c>
      <c r="E91" s="98" t="s">
        <v>115</v>
      </c>
      <c r="F91" s="115" t="s">
        <v>476</v>
      </c>
      <c r="G91" s="115">
        <v>0</v>
      </c>
      <c r="H91" s="115">
        <v>12</v>
      </c>
      <c r="I91" s="194">
        <v>12</v>
      </c>
      <c r="J91" s="116">
        <v>17757</v>
      </c>
      <c r="K91" s="116">
        <v>88283</v>
      </c>
      <c r="L91" s="116">
        <v>370757</v>
      </c>
      <c r="M91" s="195">
        <v>4.0830214358625379E-3</v>
      </c>
      <c r="N91" s="195">
        <v>3.7160728637404794E-4</v>
      </c>
      <c r="O91" s="195">
        <v>2.0527469205773446E-3</v>
      </c>
      <c r="P91" s="195">
        <v>1.2815911880456122E-2</v>
      </c>
    </row>
    <row r="92" spans="1:16" ht="22.5" customHeight="1">
      <c r="A92" s="115">
        <v>91</v>
      </c>
      <c r="B92" s="115" t="s">
        <v>11</v>
      </c>
      <c r="C92" s="115" t="s">
        <v>10</v>
      </c>
      <c r="D92" s="13" t="s">
        <v>19</v>
      </c>
      <c r="E92" s="98" t="s">
        <v>907</v>
      </c>
      <c r="F92" s="115" t="s">
        <v>483</v>
      </c>
      <c r="G92" s="115">
        <v>0</v>
      </c>
      <c r="H92" s="115">
        <v>11</v>
      </c>
      <c r="I92" s="194">
        <v>11</v>
      </c>
      <c r="J92" s="116">
        <v>132866</v>
      </c>
      <c r="K92" s="116">
        <v>939998</v>
      </c>
      <c r="L92" s="116">
        <v>2439517</v>
      </c>
      <c r="M92" s="195">
        <v>4.163512490537472E-3</v>
      </c>
      <c r="N92" s="195">
        <v>3.064141890253095E-3</v>
      </c>
      <c r="O92" s="195">
        <v>1.9690525860282478E-2</v>
      </c>
      <c r="P92" s="195">
        <v>7.8462457881199044E-2</v>
      </c>
    </row>
    <row r="93" spans="1:16" ht="22.5" customHeight="1">
      <c r="A93" s="115">
        <v>92</v>
      </c>
      <c r="B93" s="115" t="s">
        <v>67</v>
      </c>
      <c r="C93" s="115" t="s">
        <v>14</v>
      </c>
      <c r="D93" s="13" t="s">
        <v>19</v>
      </c>
      <c r="E93" s="98" t="s">
        <v>933</v>
      </c>
      <c r="F93" s="115" t="s">
        <v>483</v>
      </c>
      <c r="G93" s="115">
        <v>0</v>
      </c>
      <c r="H93" s="115">
        <v>9</v>
      </c>
      <c r="I93" s="194">
        <v>9</v>
      </c>
      <c r="J93" s="116">
        <v>145503</v>
      </c>
      <c r="K93" s="116">
        <v>1033888</v>
      </c>
      <c r="L93" s="116">
        <v>88818</v>
      </c>
      <c r="M93" s="195">
        <v>3.4065102195306586E-3</v>
      </c>
      <c r="N93" s="195">
        <v>3.3555750715570276E-3</v>
      </c>
      <c r="O93" s="195">
        <v>2.1657278420417626E-2</v>
      </c>
      <c r="P93" s="195">
        <v>2.8566632591993978E-3</v>
      </c>
    </row>
    <row r="94" spans="1:16" ht="22.5" customHeight="1">
      <c r="A94" s="115">
        <v>93</v>
      </c>
      <c r="B94" s="115" t="s">
        <v>67</v>
      </c>
      <c r="C94" s="115" t="s">
        <v>14</v>
      </c>
      <c r="D94" s="13" t="s">
        <v>7</v>
      </c>
      <c r="E94" s="98" t="s">
        <v>82</v>
      </c>
      <c r="F94" s="115" t="s">
        <v>476</v>
      </c>
      <c r="G94" s="115">
        <v>0</v>
      </c>
      <c r="H94" s="115">
        <v>6</v>
      </c>
      <c r="I94" s="194">
        <v>6</v>
      </c>
      <c r="J94" s="116">
        <v>77751</v>
      </c>
      <c r="K94" s="116">
        <v>1346698</v>
      </c>
      <c r="L94" s="116">
        <v>35445</v>
      </c>
      <c r="M94" s="195">
        <v>2.041510717931269E-3</v>
      </c>
      <c r="N94" s="195">
        <v>1.6271238454056765E-3</v>
      </c>
      <c r="O94" s="195">
        <v>3.1313278575123962E-2</v>
      </c>
      <c r="P94" s="195">
        <v>1.225222980558067E-3</v>
      </c>
    </row>
    <row r="95" spans="1:16" ht="22.5" customHeight="1">
      <c r="A95" s="115">
        <v>94</v>
      </c>
      <c r="B95" s="115" t="s">
        <v>11</v>
      </c>
      <c r="C95" s="115" t="s">
        <v>10</v>
      </c>
      <c r="D95" s="13" t="s">
        <v>19</v>
      </c>
      <c r="E95" s="98" t="s">
        <v>909</v>
      </c>
      <c r="F95" s="115" t="s">
        <v>483</v>
      </c>
      <c r="G95" s="115">
        <v>0</v>
      </c>
      <c r="H95" s="115">
        <v>5</v>
      </c>
      <c r="I95" s="194">
        <v>5</v>
      </c>
      <c r="J95" s="116">
        <v>90696</v>
      </c>
      <c r="K95" s="116">
        <v>1033773</v>
      </c>
      <c r="L95" s="116">
        <v>1575656</v>
      </c>
      <c r="M95" s="195">
        <v>1.8925056775170325E-3</v>
      </c>
      <c r="N95" s="195">
        <v>2.0916217307542537E-3</v>
      </c>
      <c r="O95" s="195">
        <v>2.1654869467979503E-2</v>
      </c>
      <c r="P95" s="195">
        <v>5.067800000379525E-2</v>
      </c>
    </row>
    <row r="96" spans="1:16" ht="22.5" customHeight="1">
      <c r="A96" s="115">
        <v>95</v>
      </c>
      <c r="B96" s="115" t="s">
        <v>11</v>
      </c>
      <c r="C96" s="115" t="s">
        <v>10</v>
      </c>
      <c r="D96" s="13" t="s">
        <v>7</v>
      </c>
      <c r="E96" s="98" t="s">
        <v>934</v>
      </c>
      <c r="F96" s="115" t="s">
        <v>476</v>
      </c>
      <c r="G96" s="115">
        <v>0</v>
      </c>
      <c r="H96" s="115">
        <v>4</v>
      </c>
      <c r="I96" s="194">
        <v>4</v>
      </c>
      <c r="J96" s="116">
        <v>956</v>
      </c>
      <c r="K96" s="116">
        <v>380295</v>
      </c>
      <c r="L96" s="116">
        <v>356158</v>
      </c>
      <c r="M96" s="195">
        <v>1.3610071452875127E-3</v>
      </c>
      <c r="N96" s="195">
        <v>2.000656449702032E-5</v>
      </c>
      <c r="O96" s="195">
        <v>8.8425788675165241E-3</v>
      </c>
      <c r="P96" s="195">
        <v>1.2311270032715475E-2</v>
      </c>
    </row>
    <row r="97" spans="1:16" ht="22.5" hidden="1" customHeight="1">
      <c r="A97" s="115"/>
      <c r="B97" s="115" t="e">
        <f>VLOOKUP(C97,Lists!I:J,2,FALSE)</f>
        <v>#N/A</v>
      </c>
      <c r="C97" s="115" t="e">
        <f>VLOOKUP(E97,Lists!E:F,2,FALSE)</f>
        <v>#N/A</v>
      </c>
      <c r="D97" s="115"/>
      <c r="E97" s="98"/>
      <c r="F97" s="115"/>
      <c r="G97" s="115"/>
      <c r="H97" s="115"/>
      <c r="I97" s="194">
        <f t="shared" ref="I97:I103" si="0">SUM(G97:H97)</f>
        <v>0</v>
      </c>
      <c r="J97" s="116"/>
      <c r="K97" s="116"/>
      <c r="L97" s="116"/>
      <c r="M97" s="195" t="e">
        <f>I97/(HLOOKUP(F97,Team_Composition_8[[#All],[Yellow]:[Red]],10,FALSE)+HLOOKUP(F97,Team_Composition_8[[#All],[Yellow]:[Red]],11,FALSE))</f>
        <v>#N/A</v>
      </c>
      <c r="N97" s="195" t="e">
        <f>J97/HLOOKUP(F97,Team_Composition_8[[#All],[Yellow]:[Red]],6,FALSE)</f>
        <v>#N/A</v>
      </c>
      <c r="O97" s="195" t="e">
        <f>K97/HLOOKUP(F97,Team_Composition_8[[#All],[Yellow]:[Red]],8,FALSE)</f>
        <v>#N/A</v>
      </c>
      <c r="P97" s="195" t="e">
        <f>L97/HLOOKUP(F97,Team_Composition_8[[#All],[Yellow]:[Red]],7,FALSE)</f>
        <v>#N/A</v>
      </c>
    </row>
    <row r="98" spans="1:16" ht="22.5" hidden="1" customHeight="1">
      <c r="A98" s="115"/>
      <c r="B98" s="115" t="e">
        <f>VLOOKUP(C98,Lists!I:J,2,FALSE)</f>
        <v>#N/A</v>
      </c>
      <c r="C98" s="115" t="e">
        <f>VLOOKUP(E98,Lists!E:F,2,FALSE)</f>
        <v>#N/A</v>
      </c>
      <c r="D98" s="115"/>
      <c r="E98" s="98"/>
      <c r="F98" s="115"/>
      <c r="G98" s="115"/>
      <c r="H98" s="115"/>
      <c r="I98" s="194">
        <f t="shared" si="0"/>
        <v>0</v>
      </c>
      <c r="J98" s="116"/>
      <c r="K98" s="116"/>
      <c r="L98" s="116"/>
      <c r="M98" s="195" t="e">
        <f>I98/(HLOOKUP(F98,Team_Composition_8[[#All],[Yellow]:[Red]],10,FALSE)+HLOOKUP(F98,Team_Composition_8[[#All],[Yellow]:[Red]],11,FALSE))</f>
        <v>#N/A</v>
      </c>
      <c r="N98" s="195" t="e">
        <f>J98/HLOOKUP(F98,Team_Composition_8[[#All],[Yellow]:[Red]],6,FALSE)</f>
        <v>#N/A</v>
      </c>
      <c r="O98" s="195" t="e">
        <f>K98/HLOOKUP(F98,Team_Composition_8[[#All],[Yellow]:[Red]],8,FALSE)</f>
        <v>#N/A</v>
      </c>
      <c r="P98" s="195" t="e">
        <f>L98/HLOOKUP(F98,Team_Composition_8[[#All],[Yellow]:[Red]],7,FALSE)</f>
        <v>#N/A</v>
      </c>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95" t="e">
        <f>I99/(HLOOKUP(F99,Team_Composition_8[[#All],[Yellow]:[Red]],10,FALSE)+HLOOKUP(F99,Team_Composition_8[[#All],[Yellow]:[Red]],11,FALSE))</f>
        <v>#N/A</v>
      </c>
      <c r="N99" s="195" t="e">
        <f>J99/HLOOKUP(F99,Team_Composition_8[[#All],[Yellow]:[Red]],6,FALSE)</f>
        <v>#N/A</v>
      </c>
      <c r="O99" s="195" t="e">
        <f>K99/HLOOKUP(F99,Team_Composition_8[[#All],[Yellow]:[Red]],8,FALSE)</f>
        <v>#N/A</v>
      </c>
      <c r="P99" s="195" t="e">
        <f>L99/HLOOKUP(F99,Team_Composition_8[[#All],[Yellow]:[Red]],7,FALSE)</f>
        <v>#N/A</v>
      </c>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95" t="e">
        <f>I100/(HLOOKUP(F100,Team_Composition_8[[#All],[Yellow]:[Red]],10,FALSE)+HLOOKUP(F100,Team_Composition_8[[#All],[Yellow]:[Red]],11,FALSE))</f>
        <v>#N/A</v>
      </c>
      <c r="N100" s="195" t="e">
        <f>J100/HLOOKUP(F100,Team_Composition_8[[#All],[Yellow]:[Red]],6,FALSE)</f>
        <v>#N/A</v>
      </c>
      <c r="O100" s="195" t="e">
        <f>K100/HLOOKUP(F100,Team_Composition_8[[#All],[Yellow]:[Red]],8,FALSE)</f>
        <v>#N/A</v>
      </c>
      <c r="P100" s="195" t="e">
        <f>L100/HLOOKUP(F100,Team_Composition_8[[#All],[Yellow]:[Red]],7,FALSE)</f>
        <v>#N/A</v>
      </c>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95" t="e">
        <f>I101/(HLOOKUP(F101,Team_Composition_8[[#All],[Yellow]:[Red]],10,FALSE)+HLOOKUP(F101,Team_Composition_8[[#All],[Yellow]:[Red]],11,FALSE))</f>
        <v>#N/A</v>
      </c>
      <c r="N101" s="195" t="e">
        <f>J101/HLOOKUP(F101,Team_Composition_8[[#All],[Yellow]:[Red]],6,FALSE)</f>
        <v>#N/A</v>
      </c>
      <c r="O101" s="195" t="e">
        <f>K101/HLOOKUP(F101,Team_Composition_8[[#All],[Yellow]:[Red]],8,FALSE)</f>
        <v>#N/A</v>
      </c>
      <c r="P101" s="195" t="e">
        <f>L101/HLOOKUP(F101,Team_Composition_8[[#All],[Yellow]:[Red]],7,FALSE)</f>
        <v>#N/A</v>
      </c>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95" t="e">
        <f>I102/(HLOOKUP(F102,Team_Composition_8[[#All],[Yellow]:[Red]],10,FALSE)+HLOOKUP(F102,Team_Composition_8[[#All],[Yellow]:[Red]],11,FALSE))</f>
        <v>#N/A</v>
      </c>
      <c r="N102" s="195" t="e">
        <f>J102/HLOOKUP(F102,Team_Composition_8[[#All],[Yellow]:[Red]],6,FALSE)</f>
        <v>#N/A</v>
      </c>
      <c r="O102" s="195" t="e">
        <f>K102/HLOOKUP(F102,Team_Composition_8[[#All],[Yellow]:[Red]],8,FALSE)</f>
        <v>#N/A</v>
      </c>
      <c r="P102" s="195" t="e">
        <f>L102/HLOOKUP(F102,Team_Composition_8[[#All],[Yellow]:[Red]],7,FALSE)</f>
        <v>#N/A</v>
      </c>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95" t="e">
        <f>I103/(HLOOKUP(F103,Team_Composition_8[[#All],[Yellow]:[Red]],10,FALSE)+HLOOKUP(F103,Team_Composition_8[[#All],[Yellow]:[Red]],11,FALSE))</f>
        <v>#N/A</v>
      </c>
      <c r="N103" s="195" t="e">
        <f>J103/HLOOKUP(F103,Team_Composition_8[[#All],[Yellow]:[Red]],6,FALSE)</f>
        <v>#N/A</v>
      </c>
      <c r="O103" s="195" t="e">
        <f>K103/HLOOKUP(F103,Team_Composition_8[[#All],[Yellow]:[Red]],8,FALSE)</f>
        <v>#N/A</v>
      </c>
      <c r="P103" s="195" t="e">
        <f>L103/HLOOKUP(F103,Team_Composition_8[[#All],[Yellow]:[Red]],7,FALSE)</f>
        <v>#N/A</v>
      </c>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500-000000000000}">
      <formula1>#REF!</formula1>
    </dataValidation>
    <dataValidation type="list" allowBlank="1" sqref="F2:F103" xr:uid="{00000000-0002-0000-2500-000002000000}">
      <formula1>"Yellow,Red"</formula1>
    </dataValidation>
    <dataValidation type="custom" allowBlank="1" showDropDown="1" sqref="S4:T13 S17:T21 S25:T29 S33:T37 S41:T45 A2:A103 G2:L103" xr:uid="{00000000-0002-0000-2500-000003000000}">
      <formula1>AND(ISNUMBER(A2),(NOT(OR(NOT(ISERROR(DATEVALUE(A2))), AND(ISNUMBER(A2), LEFT(CELL("format", A2))="D")))))</formula1>
    </dataValidation>
    <dataValidation allowBlank="1" showDropDown="1" sqref="E2:E103" xr:uid="{00000000-0002-0000-25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2" width="17.109375" customWidth="1"/>
    <col min="13" max="13" width="11.109375" customWidth="1"/>
    <col min="14" max="14" width="15.77734375" customWidth="1"/>
    <col min="15" max="15" width="16.33203125" customWidth="1"/>
    <col min="16" max="16" width="16.77734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
        <v>25</v>
      </c>
      <c r="C2" s="115" t="s">
        <v>23</v>
      </c>
      <c r="D2" s="115" t="s">
        <v>7</v>
      </c>
      <c r="E2" s="98" t="s">
        <v>912</v>
      </c>
      <c r="F2" s="115" t="s">
        <v>483</v>
      </c>
      <c r="G2" s="115">
        <v>51</v>
      </c>
      <c r="H2" s="115">
        <v>98</v>
      </c>
      <c r="I2" s="194">
        <v>149</v>
      </c>
      <c r="J2" s="116">
        <v>2318650</v>
      </c>
      <c r="K2" s="116">
        <v>806260</v>
      </c>
      <c r="L2" s="116">
        <v>32674</v>
      </c>
      <c r="M2" s="195">
        <v>5.4181818181818185E-2</v>
      </c>
      <c r="N2" s="195">
        <v>6.6559221933560828E-2</v>
      </c>
      <c r="O2" s="195">
        <v>2.5826034465997103E-2</v>
      </c>
      <c r="P2" s="195">
        <v>1.5351635329265186E-3</v>
      </c>
      <c r="R2" s="232" t="s">
        <v>477</v>
      </c>
      <c r="S2" s="228"/>
      <c r="T2" s="228"/>
      <c r="V2" s="233" t="s">
        <v>478</v>
      </c>
      <c r="W2" s="228"/>
      <c r="X2" s="196"/>
      <c r="Y2" s="233" t="s">
        <v>479</v>
      </c>
      <c r="Z2" s="228"/>
    </row>
    <row r="3" spans="1:26" ht="22.5" customHeight="1">
      <c r="A3" s="115">
        <v>4</v>
      </c>
      <c r="B3" s="115" t="s">
        <v>25</v>
      </c>
      <c r="C3" s="115" t="s">
        <v>23</v>
      </c>
      <c r="D3" s="115" t="s">
        <v>7</v>
      </c>
      <c r="E3" s="98" t="s">
        <v>27</v>
      </c>
      <c r="F3" s="115" t="s">
        <v>483</v>
      </c>
      <c r="G3" s="115">
        <v>45</v>
      </c>
      <c r="H3" s="115">
        <v>93</v>
      </c>
      <c r="I3" s="194">
        <v>138</v>
      </c>
      <c r="J3" s="116">
        <v>2346041</v>
      </c>
      <c r="K3" s="116">
        <v>1038564</v>
      </c>
      <c r="L3" s="116">
        <v>39157</v>
      </c>
      <c r="M3" s="195">
        <v>5.0181818181818182E-2</v>
      </c>
      <c r="N3" s="195">
        <v>6.7345508629690978E-2</v>
      </c>
      <c r="O3" s="195">
        <v>3.3267171457276583E-2</v>
      </c>
      <c r="P3" s="195">
        <v>1.8397624551265131E-3</v>
      </c>
      <c r="R3" s="190" t="s">
        <v>482</v>
      </c>
      <c r="S3" s="222" t="s">
        <v>476</v>
      </c>
      <c r="T3" s="222" t="s">
        <v>483</v>
      </c>
      <c r="V3" s="199" t="s">
        <v>1</v>
      </c>
      <c r="W3" s="200" t="s">
        <v>467</v>
      </c>
      <c r="Y3" s="199" t="s">
        <v>1</v>
      </c>
      <c r="Z3" s="200" t="s">
        <v>484</v>
      </c>
    </row>
    <row r="4" spans="1:26" ht="22.5" customHeight="1">
      <c r="A4" s="115">
        <v>9</v>
      </c>
      <c r="B4" s="115" t="s">
        <v>39</v>
      </c>
      <c r="C4" s="115" t="s">
        <v>56</v>
      </c>
      <c r="D4" s="115" t="s">
        <v>7</v>
      </c>
      <c r="E4" s="98" t="s">
        <v>842</v>
      </c>
      <c r="F4" s="115" t="s">
        <v>483</v>
      </c>
      <c r="G4" s="115">
        <v>32</v>
      </c>
      <c r="H4" s="115">
        <v>98</v>
      </c>
      <c r="I4" s="194">
        <v>130</v>
      </c>
      <c r="J4" s="116">
        <v>2432052</v>
      </c>
      <c r="K4" s="116">
        <v>549419</v>
      </c>
      <c r="L4" s="116">
        <v>27070</v>
      </c>
      <c r="M4" s="195">
        <v>4.7272727272727272E-2</v>
      </c>
      <c r="N4" s="195">
        <v>6.981454243717701E-2</v>
      </c>
      <c r="O4" s="195">
        <v>1.759893090352202E-2</v>
      </c>
      <c r="P4" s="195">
        <v>1.2718637704695127E-3</v>
      </c>
      <c r="R4" s="223" t="s">
        <v>25</v>
      </c>
      <c r="S4" s="207">
        <f>COUNTIFS(Scoreboard_7[Role],R4,Scoreboard_7[Team],"Yellow")</f>
        <v>9</v>
      </c>
      <c r="T4" s="219">
        <f>COUNTIFS(Scoreboard_7[Role],R4,Scoreboard_7[Team],"Red")</f>
        <v>8</v>
      </c>
      <c r="V4" s="204" t="str">
        <f ca="1">IFERROR(__xludf.DUMMYFUNCTION("query(A1:P239, ""Select E,I where B!='Healer' Order by I Desc Limit 10"", 0)"),"Fadeãµã¡")</f>
        <v>Fadeãµã¡</v>
      </c>
      <c r="W4" s="116">
        <f ca="1">IFERROR(__xludf.DUMMYFUNCTION("""COMPUTED_VALUE"""),149)</f>
        <v>149</v>
      </c>
      <c r="Y4" s="204" t="str">
        <f ca="1">IFERROR(__xludf.DUMMYFUNCTION("query(A1:P239, ""Select E,J Order by J Desc Limit 10"", 0)"),"Ashãƒ„Chaos")</f>
        <v>Ashãƒ„Chaos</v>
      </c>
      <c r="Z4" s="116">
        <f ca="1">IFERROR(__xludf.DUMMYFUNCTION("""COMPUTED_VALUE"""),3941222)</f>
        <v>3941222</v>
      </c>
    </row>
    <row r="5" spans="1:26" ht="22.5" customHeight="1">
      <c r="A5" s="115">
        <v>5</v>
      </c>
      <c r="B5" s="115" t="s">
        <v>25</v>
      </c>
      <c r="C5" s="115" t="s">
        <v>23</v>
      </c>
      <c r="D5" s="115" t="s">
        <v>7</v>
      </c>
      <c r="E5" s="98" t="s">
        <v>850</v>
      </c>
      <c r="F5" s="115" t="s">
        <v>483</v>
      </c>
      <c r="G5" s="115">
        <v>36</v>
      </c>
      <c r="H5" s="115">
        <v>92</v>
      </c>
      <c r="I5" s="194">
        <v>128</v>
      </c>
      <c r="J5" s="116">
        <v>1910114</v>
      </c>
      <c r="K5" s="116">
        <v>835452</v>
      </c>
      <c r="L5" s="116">
        <v>49153</v>
      </c>
      <c r="M5" s="195">
        <v>4.6545454545454543E-2</v>
      </c>
      <c r="N5" s="195">
        <v>5.4831777820887849E-2</v>
      </c>
      <c r="O5" s="195">
        <v>2.6761109501508461E-2</v>
      </c>
      <c r="P5" s="195">
        <v>2.3094170635348339E-3</v>
      </c>
      <c r="R5" s="223" t="s">
        <v>39</v>
      </c>
      <c r="S5" s="207">
        <f>COUNTIFS(Scoreboard_7[Role],R5,Scoreboard_7[Team],"Yellow")</f>
        <v>9</v>
      </c>
      <c r="T5" s="219">
        <f>COUNTIFS(Scoreboard_7[Role],R5,Scoreboard_7[Team],"Red")</f>
        <v>10</v>
      </c>
      <c r="V5" s="204" t="str">
        <f ca="1">IFERROR(__xludf.DUMMYFUNCTION("""COMPUTED_VALUE"""),"Blee")</f>
        <v>Blee</v>
      </c>
      <c r="W5" s="116">
        <f ca="1">IFERROR(__xludf.DUMMYFUNCTION("""COMPUTED_VALUE"""),138)</f>
        <v>138</v>
      </c>
      <c r="Y5" s="204" t="str">
        <f ca="1">IFERROR(__xludf.DUMMYFUNCTION("""COMPUTED_VALUE"""),"Nengja")</f>
        <v>Nengja</v>
      </c>
      <c r="Z5" s="116">
        <f ca="1">IFERROR(__xludf.DUMMYFUNCTION("""COMPUTED_VALUE"""),2613269)</f>
        <v>2613269</v>
      </c>
    </row>
    <row r="6" spans="1:26" ht="22.5" customHeight="1">
      <c r="A6" s="115">
        <v>13</v>
      </c>
      <c r="B6" s="115" t="s">
        <v>25</v>
      </c>
      <c r="C6" s="115" t="s">
        <v>23</v>
      </c>
      <c r="D6" s="115" t="s">
        <v>7</v>
      </c>
      <c r="E6" s="98" t="s">
        <v>935</v>
      </c>
      <c r="F6" s="115" t="s">
        <v>483</v>
      </c>
      <c r="G6" s="115">
        <v>24</v>
      </c>
      <c r="H6" s="115">
        <v>103</v>
      </c>
      <c r="I6" s="194">
        <v>127</v>
      </c>
      <c r="J6" s="116">
        <v>2257903</v>
      </c>
      <c r="K6" s="116">
        <v>714475</v>
      </c>
      <c r="L6" s="116">
        <v>50600</v>
      </c>
      <c r="M6" s="195">
        <v>4.6181818181818185E-2</v>
      </c>
      <c r="N6" s="195">
        <v>6.4815417109720219E-2</v>
      </c>
      <c r="O6" s="195">
        <v>2.28859871196553E-2</v>
      </c>
      <c r="P6" s="195">
        <v>2.3774032798580475E-3</v>
      </c>
      <c r="R6" s="223" t="s">
        <v>67</v>
      </c>
      <c r="S6" s="207">
        <f>COUNTIFS(Scoreboard_7[Role],R6,Scoreboard_7[Team],"Yellow")</f>
        <v>14</v>
      </c>
      <c r="T6" s="219">
        <f>COUNTIFS(Scoreboard_7[Role],R6,Scoreboard_7[Team],"Red")</f>
        <v>14</v>
      </c>
      <c r="V6" s="204" t="str">
        <f ca="1">IFERROR(__xludf.DUMMYFUNCTION("""COMPUTED_VALUE"""),"Adversed")</f>
        <v>Adversed</v>
      </c>
      <c r="W6" s="116">
        <f ca="1">IFERROR(__xludf.DUMMYFUNCTION("""COMPUTED_VALUE"""),130)</f>
        <v>130</v>
      </c>
      <c r="Y6" s="204" t="str">
        <f ca="1">IFERROR(__xludf.DUMMYFUNCTION("""COMPUTED_VALUE"""),"Adversed")</f>
        <v>Adversed</v>
      </c>
      <c r="Z6" s="116">
        <f ca="1">IFERROR(__xludf.DUMMYFUNCTION("""COMPUTED_VALUE"""),2432052)</f>
        <v>2432052</v>
      </c>
    </row>
    <row r="7" spans="1:26" ht="22.5" customHeight="1">
      <c r="A7" s="115">
        <v>3</v>
      </c>
      <c r="B7" s="115" t="s">
        <v>39</v>
      </c>
      <c r="C7" s="115" t="s">
        <v>45</v>
      </c>
      <c r="D7" s="115" t="s">
        <v>7</v>
      </c>
      <c r="E7" s="98" t="s">
        <v>84</v>
      </c>
      <c r="F7" s="115" t="s">
        <v>483</v>
      </c>
      <c r="G7" s="115">
        <v>47</v>
      </c>
      <c r="H7" s="115">
        <v>77</v>
      </c>
      <c r="I7" s="194">
        <v>124</v>
      </c>
      <c r="J7" s="116">
        <v>2613269</v>
      </c>
      <c r="K7" s="116">
        <v>612519</v>
      </c>
      <c r="L7" s="116">
        <v>45575</v>
      </c>
      <c r="M7" s="195">
        <v>4.5090909090909091E-2</v>
      </c>
      <c r="N7" s="195">
        <v>7.5016561940394008E-2</v>
      </c>
      <c r="O7" s="195">
        <v>1.9620143384364946E-2</v>
      </c>
      <c r="P7" s="195">
        <v>2.1413074007812353E-3</v>
      </c>
      <c r="R7" s="223" t="s">
        <v>11</v>
      </c>
      <c r="S7" s="207">
        <f>COUNTIFS(Scoreboard_7[Role],R7,Scoreboard_7[Team],"Yellow")</f>
        <v>16</v>
      </c>
      <c r="T7" s="219">
        <f>COUNTIFS(Scoreboard_7[Role],R7,Scoreboard_7[Team],"Red")</f>
        <v>16</v>
      </c>
      <c r="V7" s="204" t="str">
        <f ca="1">IFERROR(__xludf.DUMMYFUNCTION("""COMPUTED_VALUE"""),"KyurleZ")</f>
        <v>KyurleZ</v>
      </c>
      <c r="W7" s="116">
        <f ca="1">IFERROR(__xludf.DUMMYFUNCTION("""COMPUTED_VALUE"""),128)</f>
        <v>128</v>
      </c>
      <c r="Y7" s="204" t="str">
        <f ca="1">IFERROR(__xludf.DUMMYFUNCTION("""COMPUTED_VALUE"""),"edmun")</f>
        <v>edmun</v>
      </c>
      <c r="Z7" s="116">
        <f ca="1">IFERROR(__xludf.DUMMYFUNCTION("""COMPUTED_VALUE"""),2399687)</f>
        <v>2399687</v>
      </c>
    </row>
    <row r="8" spans="1:26" ht="22.5" customHeight="1">
      <c r="A8" s="115">
        <v>11</v>
      </c>
      <c r="B8" s="115" t="s">
        <v>25</v>
      </c>
      <c r="C8" s="115" t="s">
        <v>23</v>
      </c>
      <c r="D8" s="115" t="s">
        <v>7</v>
      </c>
      <c r="E8" s="98" t="s">
        <v>22</v>
      </c>
      <c r="F8" s="115" t="s">
        <v>483</v>
      </c>
      <c r="G8" s="115">
        <v>26</v>
      </c>
      <c r="H8" s="115">
        <v>86</v>
      </c>
      <c r="I8" s="194">
        <v>112</v>
      </c>
      <c r="J8" s="116">
        <v>1689832</v>
      </c>
      <c r="K8" s="116">
        <v>657061</v>
      </c>
      <c r="L8" s="116">
        <v>29893</v>
      </c>
      <c r="M8" s="195">
        <v>4.072727272727273E-2</v>
      </c>
      <c r="N8" s="195">
        <v>4.8508357500456283E-2</v>
      </c>
      <c r="O8" s="195">
        <v>2.1046907985342846E-2</v>
      </c>
      <c r="P8" s="195">
        <v>1.4045003210434112E-3</v>
      </c>
      <c r="R8" s="223" t="s">
        <v>468</v>
      </c>
      <c r="S8" s="207">
        <f>SUMIFS(Scoreboard_7[Damage Dealt],Scoreboard_7[Team],"Yellow")</f>
        <v>31197208</v>
      </c>
      <c r="T8" s="219">
        <f>SUMIFS(Scoreboard_7[Damage Dealt],Scoreboard_7[Team],"Red")</f>
        <v>34835894</v>
      </c>
      <c r="V8" s="204" t="str">
        <f ca="1">IFERROR(__xludf.DUMMYFUNCTION("""COMPUTED_VALUE"""),"Riakou")</f>
        <v>Riakou</v>
      </c>
      <c r="W8" s="116">
        <f ca="1">IFERROR(__xludf.DUMMYFUNCTION("""COMPUTED_VALUE"""),127)</f>
        <v>127</v>
      </c>
      <c r="Y8" s="204" t="str">
        <f ca="1">IFERROR(__xludf.DUMMYFUNCTION("""COMPUTED_VALUE"""),"Blee")</f>
        <v>Blee</v>
      </c>
      <c r="Z8" s="116">
        <f ca="1">IFERROR(__xludf.DUMMYFUNCTION("""COMPUTED_VALUE"""),2346041)</f>
        <v>2346041</v>
      </c>
    </row>
    <row r="9" spans="1:26" ht="22.5" customHeight="1">
      <c r="A9" s="115">
        <v>10</v>
      </c>
      <c r="B9" s="115" t="s">
        <v>39</v>
      </c>
      <c r="C9" s="115" t="s">
        <v>32</v>
      </c>
      <c r="D9" s="115" t="s">
        <v>7</v>
      </c>
      <c r="E9" s="98" t="s">
        <v>107</v>
      </c>
      <c r="F9" s="115" t="s">
        <v>483</v>
      </c>
      <c r="G9" s="115">
        <v>31</v>
      </c>
      <c r="H9" s="115">
        <v>73</v>
      </c>
      <c r="I9" s="194">
        <v>104</v>
      </c>
      <c r="J9" s="116">
        <v>1827838</v>
      </c>
      <c r="K9" s="116">
        <v>472709</v>
      </c>
      <c r="L9" s="116">
        <v>8755</v>
      </c>
      <c r="M9" s="195">
        <v>3.781818181818182E-2</v>
      </c>
      <c r="N9" s="195">
        <v>5.2469961012052681E-2</v>
      </c>
      <c r="O9" s="195">
        <v>1.514176435192993E-2</v>
      </c>
      <c r="P9" s="195">
        <v>4.113471485208934E-4</v>
      </c>
      <c r="R9" s="223" t="s">
        <v>470</v>
      </c>
      <c r="S9" s="207">
        <f>SUMIFS(Scoreboard_7[Amount Healed],Scoreboard_7[Team],"Yellow")</f>
        <v>21087664</v>
      </c>
      <c r="T9" s="219">
        <f>SUMIFS(Scoreboard_7[Amount Healed],Scoreboard_7[Team],"Red")</f>
        <v>21283726</v>
      </c>
      <c r="V9" s="204" t="str">
        <f ca="1">IFERROR(__xludf.DUMMYFUNCTION("""COMPUTED_VALUE"""),"Nengja")</f>
        <v>Nengja</v>
      </c>
      <c r="W9" s="116">
        <f ca="1">IFERROR(__xludf.DUMMYFUNCTION("""COMPUTED_VALUE"""),124)</f>
        <v>124</v>
      </c>
      <c r="Y9" s="204" t="str">
        <f ca="1">IFERROR(__xludf.DUMMYFUNCTION("""COMPUTED_VALUE"""),"Fadeãµã¡")</f>
        <v>Fadeãµã¡</v>
      </c>
      <c r="Z9" s="116">
        <f ca="1">IFERROR(__xludf.DUMMYFUNCTION("""COMPUTED_VALUE"""),2318650)</f>
        <v>2318650</v>
      </c>
    </row>
    <row r="10" spans="1:26" ht="22.5" customHeight="1">
      <c r="A10" s="115">
        <v>2</v>
      </c>
      <c r="B10" s="115" t="s">
        <v>39</v>
      </c>
      <c r="C10" s="115" t="s">
        <v>54</v>
      </c>
      <c r="D10" s="115" t="s">
        <v>19</v>
      </c>
      <c r="E10" s="98" t="s">
        <v>910</v>
      </c>
      <c r="F10" s="115" t="s">
        <v>476</v>
      </c>
      <c r="G10" s="115">
        <v>50</v>
      </c>
      <c r="H10" s="115">
        <v>51</v>
      </c>
      <c r="I10" s="194">
        <v>101</v>
      </c>
      <c r="J10" s="116">
        <v>1930869</v>
      </c>
      <c r="K10" s="116">
        <v>409812</v>
      </c>
      <c r="L10" s="116">
        <v>9814</v>
      </c>
      <c r="M10" s="195">
        <v>6.4331210191082802E-2</v>
      </c>
      <c r="N10" s="195">
        <v>6.1892365496296974E-2</v>
      </c>
      <c r="O10" s="195">
        <v>1.1771380968612667E-2</v>
      </c>
      <c r="P10" s="195">
        <v>4.6539057147344532E-4</v>
      </c>
      <c r="R10" s="223" t="s">
        <v>469</v>
      </c>
      <c r="S10" s="207">
        <f>SUMIFS(Scoreboard_7[Damage Taken],Scoreboard_7[Team],"Yellow")</f>
        <v>34814267</v>
      </c>
      <c r="T10" s="219">
        <f>SUMIFS(Scoreboard_7[Damage Taken],Scoreboard_7[Team],"Red")</f>
        <v>31218885</v>
      </c>
      <c r="V10" s="204" t="str">
        <f ca="1">IFERROR(__xludf.DUMMYFUNCTION("""COMPUTED_VALUE"""),"Baozer")</f>
        <v>Baozer</v>
      </c>
      <c r="W10" s="116">
        <f ca="1">IFERROR(__xludf.DUMMYFUNCTION("""COMPUTED_VALUE"""),112)</f>
        <v>112</v>
      </c>
      <c r="Y10" s="204" t="str">
        <f ca="1">IFERROR(__xludf.DUMMYFUNCTION("""COMPUTED_VALUE"""),"Riakou")</f>
        <v>Riakou</v>
      </c>
      <c r="Z10" s="116">
        <f ca="1">IFERROR(__xludf.DUMMYFUNCTION("""COMPUTED_VALUE"""),2257903)</f>
        <v>2257903</v>
      </c>
    </row>
    <row r="11" spans="1:26" ht="22.5" customHeight="1">
      <c r="A11" s="115">
        <v>6</v>
      </c>
      <c r="B11" s="115" t="s">
        <v>25</v>
      </c>
      <c r="C11" s="115" t="s">
        <v>69</v>
      </c>
      <c r="D11" s="115" t="s">
        <v>19</v>
      </c>
      <c r="E11" s="98" t="s">
        <v>90</v>
      </c>
      <c r="F11" s="115" t="s">
        <v>476</v>
      </c>
      <c r="G11" s="115">
        <v>36</v>
      </c>
      <c r="H11" s="115">
        <v>54</v>
      </c>
      <c r="I11" s="194">
        <v>90</v>
      </c>
      <c r="J11" s="116">
        <v>1669856</v>
      </c>
      <c r="K11" s="116">
        <v>816107</v>
      </c>
      <c r="L11" s="116">
        <v>75943</v>
      </c>
      <c r="M11" s="195">
        <v>5.7324840764331211E-2</v>
      </c>
      <c r="N11" s="195">
        <v>5.3525815515285853E-2</v>
      </c>
      <c r="O11" s="195">
        <v>2.3441740134870569E-2</v>
      </c>
      <c r="P11" s="195">
        <v>3.6012997930923028E-3</v>
      </c>
      <c r="R11" s="223" t="s">
        <v>495</v>
      </c>
      <c r="S11" s="207">
        <f ca="1">IFERROR(DIVIDE(SUMIFS(Scoreboard_7[Amount Healed],Scoreboard_7[Team],"Yellow"), SUMIFS(Scoreboard_7[Damage Taken],Scoreboard_7[Team],"Yellow"))*(100),0)</f>
        <v>0</v>
      </c>
      <c r="T11" s="219">
        <f ca="1">IFERROR(DIVIDE(SUMIFS(Scoreboard_7[Amount Healed],Scoreboard_7[Team],"Red"), SUMIFS(Scoreboard_7[Damage Taken],Scoreboard_7[Team],"Red"))*(100),0)</f>
        <v>0</v>
      </c>
      <c r="V11" s="204" t="str">
        <f ca="1">IFERROR(__xludf.DUMMYFUNCTION("""COMPUTED_VALUE"""),"TanksVicious")</f>
        <v>TanksVicious</v>
      </c>
      <c r="W11" s="116">
        <f ca="1">IFERROR(__xludf.DUMMYFUNCTION("""COMPUTED_VALUE"""),104)</f>
        <v>104</v>
      </c>
      <c r="Y11" s="204" t="str">
        <f ca="1">IFERROR(__xludf.DUMMYFUNCTION("""COMPUTED_VALUE"""),"wxcxz")</f>
        <v>wxcxz</v>
      </c>
      <c r="Z11" s="116">
        <f ca="1">IFERROR(__xludf.DUMMYFUNCTION("""COMPUTED_VALUE"""),2024382)</f>
        <v>2024382</v>
      </c>
    </row>
    <row r="12" spans="1:26" ht="22.5" customHeight="1">
      <c r="A12" s="115">
        <v>8</v>
      </c>
      <c r="B12" s="115" t="s">
        <v>25</v>
      </c>
      <c r="C12" s="115" t="s">
        <v>24</v>
      </c>
      <c r="D12" s="115" t="s">
        <v>7</v>
      </c>
      <c r="E12" s="98" t="s">
        <v>104</v>
      </c>
      <c r="F12" s="115" t="s">
        <v>483</v>
      </c>
      <c r="G12" s="115">
        <v>34</v>
      </c>
      <c r="H12" s="115">
        <v>53</v>
      </c>
      <c r="I12" s="194">
        <v>87</v>
      </c>
      <c r="J12" s="116">
        <v>1392790</v>
      </c>
      <c r="K12" s="116">
        <v>620413</v>
      </c>
      <c r="L12" s="116">
        <v>13505</v>
      </c>
      <c r="M12" s="195">
        <v>3.1636363636363636E-2</v>
      </c>
      <c r="N12" s="195">
        <v>3.9981462798112773E-2</v>
      </c>
      <c r="O12" s="195">
        <v>1.9873003151778163E-2</v>
      </c>
      <c r="P12" s="195">
        <v>6.3452235759847687E-4</v>
      </c>
      <c r="R12" s="223" t="s">
        <v>465</v>
      </c>
      <c r="S12" s="207">
        <f>SUMIFS(Scoreboard_7[Kills],Scoreboard_7[Team],"Yellow")</f>
        <v>329</v>
      </c>
      <c r="T12" s="219">
        <f>SUMIFS(Scoreboard_7[Kills],Scoreboard_7[Team],"Red")</f>
        <v>542</v>
      </c>
      <c r="V12" s="204" t="str">
        <f ca="1">IFERROR(__xludf.DUMMYFUNCTION("""COMPUTED_VALUE"""),"SpotÂ·")</f>
        <v>SpotÂ·</v>
      </c>
      <c r="W12" s="116">
        <f ca="1">IFERROR(__xludf.DUMMYFUNCTION("""COMPUTED_VALUE"""),101)</f>
        <v>101</v>
      </c>
      <c r="Y12" s="204" t="str">
        <f ca="1">IFERROR(__xludf.DUMMYFUNCTION("""COMPUTED_VALUE"""),"SpotÂ·")</f>
        <v>SpotÂ·</v>
      </c>
      <c r="Z12" s="116">
        <f ca="1">IFERROR(__xludf.DUMMYFUNCTION("""COMPUTED_VALUE"""),1930869)</f>
        <v>1930869</v>
      </c>
    </row>
    <row r="13" spans="1:26" ht="22.5" customHeight="1">
      <c r="A13" s="115">
        <v>19</v>
      </c>
      <c r="B13" s="115" t="s">
        <v>39</v>
      </c>
      <c r="C13" s="115" t="s">
        <v>56</v>
      </c>
      <c r="D13" s="115" t="s">
        <v>7</v>
      </c>
      <c r="E13" s="98" t="s">
        <v>936</v>
      </c>
      <c r="F13" s="115" t="s">
        <v>483</v>
      </c>
      <c r="G13" s="115">
        <v>18</v>
      </c>
      <c r="H13" s="115">
        <v>64</v>
      </c>
      <c r="I13" s="194">
        <v>82</v>
      </c>
      <c r="J13" s="116">
        <v>1327158</v>
      </c>
      <c r="K13" s="116">
        <v>949704</v>
      </c>
      <c r="L13" s="116">
        <v>235177</v>
      </c>
      <c r="M13" s="195">
        <v>2.9818181818181817E-2</v>
      </c>
      <c r="N13" s="195">
        <v>3.8097429048325845E-2</v>
      </c>
      <c r="O13" s="195">
        <v>3.0420817399468301E-2</v>
      </c>
      <c r="P13" s="195">
        <v>1.1049616030576602E-2</v>
      </c>
      <c r="R13" s="223" t="s">
        <v>466</v>
      </c>
      <c r="S13" s="207">
        <f>SUMIFS(Scoreboard_7[Assists],Scoreboard_7[Team],"Yellow")</f>
        <v>1241</v>
      </c>
      <c r="T13" s="219">
        <f>SUMIFS(Scoreboard_7[Assists],Scoreboard_7[Team],"Red")</f>
        <v>2208</v>
      </c>
      <c r="V13" s="204" t="str">
        <f ca="1">IFERROR(__xludf.DUMMYFUNCTION("""COMPUTED_VALUE"""),"Prefire")</f>
        <v>Prefire</v>
      </c>
      <c r="W13" s="116">
        <f ca="1">IFERROR(__xludf.DUMMYFUNCTION("""COMPUTED_VALUE"""),90)</f>
        <v>90</v>
      </c>
      <c r="Y13" s="204" t="str">
        <f ca="1">IFERROR(__xludf.DUMMYFUNCTION("""COMPUTED_VALUE"""),"KyurleZ")</f>
        <v>KyurleZ</v>
      </c>
      <c r="Z13" s="116">
        <f ca="1">IFERROR(__xludf.DUMMYFUNCTION("""COMPUTED_VALUE"""),1910114)</f>
        <v>1910114</v>
      </c>
    </row>
    <row r="14" spans="1:26" ht="22.5" customHeight="1">
      <c r="A14" s="115">
        <v>63</v>
      </c>
      <c r="B14" s="115" t="s">
        <v>11</v>
      </c>
      <c r="C14" s="115" t="s">
        <v>9</v>
      </c>
      <c r="D14" s="115" t="s">
        <v>7</v>
      </c>
      <c r="E14" s="98" t="s">
        <v>100</v>
      </c>
      <c r="F14" s="115" t="s">
        <v>483</v>
      </c>
      <c r="G14" s="115">
        <v>0</v>
      </c>
      <c r="H14" s="115">
        <v>81</v>
      </c>
      <c r="I14" s="194">
        <v>81</v>
      </c>
      <c r="J14" s="116">
        <v>414</v>
      </c>
      <c r="K14" s="116">
        <v>588974</v>
      </c>
      <c r="L14" s="116">
        <v>1317148</v>
      </c>
      <c r="M14" s="195">
        <v>2.9454545454545455E-2</v>
      </c>
      <c r="N14" s="195">
        <v>1.188429382636197E-5</v>
      </c>
      <c r="O14" s="195">
        <v>1.8865952451536945E-2</v>
      </c>
      <c r="P14" s="195">
        <v>6.188521690234125E-2</v>
      </c>
    </row>
    <row r="15" spans="1:26" ht="22.5" customHeight="1">
      <c r="A15" s="115">
        <v>20</v>
      </c>
      <c r="B15" s="115" t="s">
        <v>39</v>
      </c>
      <c r="C15" s="115" t="s">
        <v>52</v>
      </c>
      <c r="D15" s="115" t="s">
        <v>7</v>
      </c>
      <c r="E15" s="98" t="s">
        <v>94</v>
      </c>
      <c r="F15" s="115" t="s">
        <v>483</v>
      </c>
      <c r="G15" s="115">
        <v>18</v>
      </c>
      <c r="H15" s="115">
        <v>59</v>
      </c>
      <c r="I15" s="194">
        <v>77</v>
      </c>
      <c r="J15" s="116">
        <v>1788053</v>
      </c>
      <c r="K15" s="116">
        <v>460447</v>
      </c>
      <c r="L15" s="116">
        <v>198276</v>
      </c>
      <c r="M15" s="195">
        <v>2.8000000000000001E-2</v>
      </c>
      <c r="N15" s="195">
        <v>5.1327891857748789E-2</v>
      </c>
      <c r="O15" s="195">
        <v>1.4748989273639978E-2</v>
      </c>
      <c r="P15" s="195">
        <v>9.315850053698305E-3</v>
      </c>
      <c r="R15" s="232" t="s">
        <v>25</v>
      </c>
      <c r="S15" s="228"/>
      <c r="T15" s="228"/>
      <c r="V15" s="233" t="s">
        <v>496</v>
      </c>
      <c r="W15" s="228"/>
      <c r="Y15" s="233" t="s">
        <v>497</v>
      </c>
      <c r="Z15" s="228"/>
    </row>
    <row r="16" spans="1:26" ht="22.5" customHeight="1">
      <c r="A16" s="115">
        <v>7</v>
      </c>
      <c r="B16" s="115" t="s">
        <v>39</v>
      </c>
      <c r="C16" s="115" t="s">
        <v>54</v>
      </c>
      <c r="D16" s="115" t="s">
        <v>19</v>
      </c>
      <c r="E16" s="98" t="s">
        <v>53</v>
      </c>
      <c r="F16" s="115" t="s">
        <v>476</v>
      </c>
      <c r="G16" s="115">
        <v>36</v>
      </c>
      <c r="H16" s="115">
        <v>39</v>
      </c>
      <c r="I16" s="194">
        <v>75</v>
      </c>
      <c r="J16" s="116">
        <v>1085822</v>
      </c>
      <c r="K16" s="116">
        <v>510474</v>
      </c>
      <c r="L16" s="116">
        <v>22212</v>
      </c>
      <c r="M16" s="195">
        <v>4.7770700636942678E-2</v>
      </c>
      <c r="N16" s="195">
        <v>3.4805101789878119E-2</v>
      </c>
      <c r="O16" s="195">
        <v>1.4662781784261033E-2</v>
      </c>
      <c r="P16" s="195">
        <v>1.0533172379833063E-3</v>
      </c>
      <c r="R16" s="190" t="s">
        <v>482</v>
      </c>
      <c r="S16" s="222" t="s">
        <v>476</v>
      </c>
      <c r="T16" s="222" t="s">
        <v>483</v>
      </c>
      <c r="V16" s="199" t="s">
        <v>1</v>
      </c>
      <c r="W16" s="200" t="s">
        <v>498</v>
      </c>
      <c r="Y16" s="199" t="s">
        <v>1</v>
      </c>
      <c r="Z16" s="200" t="s">
        <v>499</v>
      </c>
    </row>
    <row r="17" spans="1:26" ht="22.5" customHeight="1">
      <c r="A17" s="115">
        <v>49</v>
      </c>
      <c r="B17" s="115" t="s">
        <v>11</v>
      </c>
      <c r="C17" s="115" t="s">
        <v>10</v>
      </c>
      <c r="D17" s="115" t="s">
        <v>7</v>
      </c>
      <c r="E17" s="98" t="s">
        <v>108</v>
      </c>
      <c r="F17" s="115" t="s">
        <v>483</v>
      </c>
      <c r="G17" s="115">
        <v>1</v>
      </c>
      <c r="H17" s="115">
        <v>71</v>
      </c>
      <c r="I17" s="194">
        <v>72</v>
      </c>
      <c r="J17" s="116">
        <v>80673</v>
      </c>
      <c r="K17" s="116">
        <v>611716</v>
      </c>
      <c r="L17" s="116">
        <v>1257696</v>
      </c>
      <c r="M17" s="195">
        <v>2.6181818181818181E-2</v>
      </c>
      <c r="N17" s="195">
        <v>2.3158010527876793E-3</v>
      </c>
      <c r="O17" s="195">
        <v>1.9594421773871808E-2</v>
      </c>
      <c r="P17" s="195">
        <v>5.9091909001271675E-2</v>
      </c>
      <c r="R17" s="223" t="s">
        <v>468</v>
      </c>
      <c r="S17" s="207">
        <f>SUMIFS(Scoreboard_7[Damage Dealt],Scoreboard_7[Role],"Melee DPS",Scoreboard_7[Team],"Yellow")</f>
        <v>10893009</v>
      </c>
      <c r="T17" s="219">
        <f>SUMIFS(Scoreboard_7[Damage Dealt],Scoreboard_7[Role],"Melee DPS",Scoreboard_7[Team],"Red")</f>
        <v>13842900</v>
      </c>
      <c r="V17" s="204" t="str">
        <f ca="1">IFERROR(__xludf.DUMMYFUNCTION("query(A1:P239, ""Select E,K Order by K Desc Limit 10"", 0)"),"Zyrwolf")</f>
        <v>Zyrwolf</v>
      </c>
      <c r="W17" s="116">
        <f ca="1">IFERROR(__xludf.DUMMYFUNCTION("""COMPUTED_VALUE"""),1480960)</f>
        <v>1480960</v>
      </c>
      <c r="Y17" s="204" t="str">
        <f ca="1">IFERROR(__xludf.DUMMYFUNCTION("query(A1:P239, ""Select E,L Order by L Desc Limit 10"", 0)"),"Zyrwolf")</f>
        <v>Zyrwolf</v>
      </c>
      <c r="Z17" s="116">
        <f ca="1">IFERROR(__xludf.DUMMYFUNCTION("""COMPUTED_VALUE"""),2270185)</f>
        <v>2270185</v>
      </c>
    </row>
    <row r="18" spans="1:26" ht="22.5" customHeight="1">
      <c r="A18" s="115">
        <v>16</v>
      </c>
      <c r="B18" s="115" t="s">
        <v>25</v>
      </c>
      <c r="C18" s="115" t="s">
        <v>69</v>
      </c>
      <c r="D18" s="115" t="s">
        <v>19</v>
      </c>
      <c r="E18" s="98" t="s">
        <v>125</v>
      </c>
      <c r="F18" s="115" t="s">
        <v>476</v>
      </c>
      <c r="G18" s="115">
        <v>22</v>
      </c>
      <c r="H18" s="115">
        <v>50</v>
      </c>
      <c r="I18" s="194">
        <v>72</v>
      </c>
      <c r="J18" s="116">
        <v>929717</v>
      </c>
      <c r="K18" s="116">
        <v>641811</v>
      </c>
      <c r="L18" s="116">
        <v>31901</v>
      </c>
      <c r="M18" s="195">
        <v>4.5859872611464965E-2</v>
      </c>
      <c r="N18" s="195">
        <v>2.9801288628136208E-2</v>
      </c>
      <c r="O18" s="195">
        <v>1.843528688971105E-2</v>
      </c>
      <c r="P18" s="195">
        <v>1.5127801732804545E-3</v>
      </c>
      <c r="R18" s="223" t="s">
        <v>469</v>
      </c>
      <c r="S18" s="207">
        <f>SUMIFS(Scoreboard_7[Damage Taken],Scoreboard_7[Role],"Melee DPS",Scoreboard_7[Team],"Yellow")</f>
        <v>7436158</v>
      </c>
      <c r="T18" s="219">
        <f>SUMIFS(Scoreboard_7[Damage Taken],Scoreboard_7[Role],"Melee DPS",Scoreboard_7[Team],"Red")</f>
        <v>6706974</v>
      </c>
      <c r="V18" s="204" t="str">
        <f ca="1">IFERROR(__xludf.DUMMYFUNCTION("""COMPUTED_VALUE"""),"Blee")</f>
        <v>Blee</v>
      </c>
      <c r="W18" s="116">
        <f ca="1">IFERROR(__xludf.DUMMYFUNCTION("""COMPUTED_VALUE"""),1038564)</f>
        <v>1038564</v>
      </c>
      <c r="Y18" s="204" t="str">
        <f ca="1">IFERROR(__xludf.DUMMYFUNCTION("""COMPUTED_VALUE"""),"EgirlWaifu")</f>
        <v>EgirlWaifu</v>
      </c>
      <c r="Z18" s="116">
        <f ca="1">IFERROR(__xludf.DUMMYFUNCTION("""COMPUTED_VALUE"""),1748339)</f>
        <v>1748339</v>
      </c>
    </row>
    <row r="19" spans="1:26" ht="22.5" customHeight="1">
      <c r="A19" s="115">
        <v>18</v>
      </c>
      <c r="B19" s="115" t="s">
        <v>39</v>
      </c>
      <c r="C19" s="115" t="s">
        <v>52</v>
      </c>
      <c r="D19" s="115" t="s">
        <v>7</v>
      </c>
      <c r="E19" s="98" t="s">
        <v>66</v>
      </c>
      <c r="F19" s="115" t="s">
        <v>483</v>
      </c>
      <c r="G19" s="115">
        <v>19</v>
      </c>
      <c r="H19" s="115">
        <v>51</v>
      </c>
      <c r="I19" s="194">
        <v>70</v>
      </c>
      <c r="J19" s="116">
        <v>1456963</v>
      </c>
      <c r="K19" s="116">
        <v>441972</v>
      </c>
      <c r="L19" s="116">
        <v>177880</v>
      </c>
      <c r="M19" s="195">
        <v>2.5454545454545455E-2</v>
      </c>
      <c r="N19" s="195">
        <v>4.1823614459270082E-2</v>
      </c>
      <c r="O19" s="195">
        <v>1.4157200040936759E-2</v>
      </c>
      <c r="P19" s="195">
        <v>8.3575591980464322E-3</v>
      </c>
      <c r="R19" s="223" t="s">
        <v>470</v>
      </c>
      <c r="S19" s="207">
        <f>SUMIFS(Scoreboard_7[Amount Healed],Scoreboard_7[Role],"Melee DPS",Scoreboard_7[Team],"Yellow")</f>
        <v>431345</v>
      </c>
      <c r="T19" s="219">
        <f>SUMIFS(Scoreboard_7[Amount Healed],Scoreboard_7[Role],"Melee DPS",Scoreboard_7[Team],"Red")</f>
        <v>317038</v>
      </c>
      <c r="V19" s="204" t="str">
        <f ca="1">IFERROR(__xludf.DUMMYFUNCTION("""COMPUTED_VALUE"""),"QueenSkin")</f>
        <v>QueenSkin</v>
      </c>
      <c r="W19" s="116">
        <f ca="1">IFERROR(__xludf.DUMMYFUNCTION("""COMPUTED_VALUE"""),1032969)</f>
        <v>1032969</v>
      </c>
      <c r="Y19" s="204" t="str">
        <f ca="1">IFERROR(__xludf.DUMMYFUNCTION("""COMPUTED_VALUE"""),"Theodynn")</f>
        <v>Theodynn</v>
      </c>
      <c r="Z19" s="116">
        <f ca="1">IFERROR(__xludf.DUMMYFUNCTION("""COMPUTED_VALUE"""),1537527)</f>
        <v>1537527</v>
      </c>
    </row>
    <row r="20" spans="1:26" ht="22.5" customHeight="1">
      <c r="A20" s="115">
        <v>42</v>
      </c>
      <c r="B20" s="115" t="s">
        <v>11</v>
      </c>
      <c r="C20" s="115" t="s">
        <v>10</v>
      </c>
      <c r="D20" s="115" t="s">
        <v>7</v>
      </c>
      <c r="E20" s="98" t="s">
        <v>96</v>
      </c>
      <c r="F20" s="115" t="s">
        <v>483</v>
      </c>
      <c r="G20" s="115">
        <v>3</v>
      </c>
      <c r="H20" s="115">
        <v>66</v>
      </c>
      <c r="I20" s="194">
        <v>69</v>
      </c>
      <c r="J20" s="116">
        <v>145084</v>
      </c>
      <c r="K20" s="116">
        <v>541742</v>
      </c>
      <c r="L20" s="116">
        <v>1450662</v>
      </c>
      <c r="M20" s="195">
        <v>2.5090909090909091E-2</v>
      </c>
      <c r="N20" s="195">
        <v>4.1647847475939619E-3</v>
      </c>
      <c r="O20" s="195">
        <v>1.7353022057001715E-2</v>
      </c>
      <c r="P20" s="195">
        <v>6.8158272663348507E-2</v>
      </c>
      <c r="R20" s="223" t="s">
        <v>465</v>
      </c>
      <c r="S20" s="207">
        <f>SUMIFS(Scoreboard_7[Kills],Scoreboard_7[Role],"Melee DPS",Scoreboard_7[Team],"Yellow")</f>
        <v>134</v>
      </c>
      <c r="T20" s="219">
        <f>SUMIFS(Scoreboard_7[Kills],Scoreboard_7[Role],"Melee DPS",Scoreboard_7[Team],"Red")</f>
        <v>253</v>
      </c>
      <c r="V20" s="204" t="str">
        <f ca="1">IFERROR(__xludf.DUMMYFUNCTION("""COMPUTED_VALUE"""),"ShawarmaShuffle")</f>
        <v>ShawarmaShuffle</v>
      </c>
      <c r="W20" s="116">
        <f ca="1">IFERROR(__xludf.DUMMYFUNCTION("""COMPUTED_VALUE"""),1030068)</f>
        <v>1030068</v>
      </c>
      <c r="Y20" s="204" t="str">
        <f ca="1">IFERROR(__xludf.DUMMYFUNCTION("""COMPUTED_VALUE"""),"Spicyparrot")</f>
        <v>Spicyparrot</v>
      </c>
      <c r="Z20" s="116">
        <f ca="1">IFERROR(__xludf.DUMMYFUNCTION("""COMPUTED_VALUE"""),1485332)</f>
        <v>1485332</v>
      </c>
    </row>
    <row r="21" spans="1:26" ht="22.5" customHeight="1">
      <c r="A21" s="115">
        <v>21</v>
      </c>
      <c r="B21" s="115" t="s">
        <v>39</v>
      </c>
      <c r="C21" s="115" t="s">
        <v>32</v>
      </c>
      <c r="D21" s="115" t="s">
        <v>19</v>
      </c>
      <c r="E21" s="98" t="s">
        <v>937</v>
      </c>
      <c r="F21" s="115" t="s">
        <v>476</v>
      </c>
      <c r="G21" s="115">
        <v>18</v>
      </c>
      <c r="H21" s="115">
        <v>51</v>
      </c>
      <c r="I21" s="194">
        <v>69</v>
      </c>
      <c r="J21" s="116">
        <v>3941222</v>
      </c>
      <c r="K21" s="116">
        <v>699446</v>
      </c>
      <c r="L21" s="116">
        <v>11468</v>
      </c>
      <c r="M21" s="195">
        <v>4.3949044585987258E-2</v>
      </c>
      <c r="N21" s="195">
        <v>0.12633252308988677</v>
      </c>
      <c r="O21" s="195">
        <v>2.0090786343426387E-2</v>
      </c>
      <c r="P21" s="195">
        <v>5.4382505335820984E-4</v>
      </c>
      <c r="R21" s="223" t="s">
        <v>466</v>
      </c>
      <c r="S21" s="207">
        <f>SUMIFS(Scoreboard_7[Assists],Scoreboard_7[Role],"Melee DPS",Scoreboard_7[Team],"Yellow")</f>
        <v>309</v>
      </c>
      <c r="T21" s="219">
        <f>SUMIFS(Scoreboard_7[Assists],Scoreboard_7[Role],"Melee DPS",Scoreboard_7[Team],"Red")</f>
        <v>576</v>
      </c>
      <c r="V21" s="204" t="str">
        <f ca="1">IFERROR(__xludf.DUMMYFUNCTION("""COMPUTED_VALUE"""),"cba")</f>
        <v>cba</v>
      </c>
      <c r="W21" s="116">
        <f ca="1">IFERROR(__xludf.DUMMYFUNCTION("""COMPUTED_VALUE"""),1015862)</f>
        <v>1015862</v>
      </c>
      <c r="Y21" s="204" t="str">
        <f ca="1">IFERROR(__xludf.DUMMYFUNCTION("""COMPUTED_VALUE"""),"sojuÂ·")</f>
        <v>sojuÂ·</v>
      </c>
      <c r="Z21" s="116">
        <f ca="1">IFERROR(__xludf.DUMMYFUNCTION("""COMPUTED_VALUE"""),1471830)</f>
        <v>1471830</v>
      </c>
    </row>
    <row r="22" spans="1:26" ht="22.5" customHeight="1">
      <c r="A22" s="115">
        <v>45</v>
      </c>
      <c r="B22" s="115" t="s">
        <v>11</v>
      </c>
      <c r="C22" s="115" t="s">
        <v>10</v>
      </c>
      <c r="D22" s="115" t="s">
        <v>7</v>
      </c>
      <c r="E22" s="98" t="s">
        <v>51</v>
      </c>
      <c r="F22" s="115" t="s">
        <v>483</v>
      </c>
      <c r="G22" s="115">
        <v>2</v>
      </c>
      <c r="H22" s="115">
        <v>65</v>
      </c>
      <c r="I22" s="194">
        <v>67</v>
      </c>
      <c r="J22" s="116">
        <v>128049</v>
      </c>
      <c r="K22" s="116">
        <v>321347</v>
      </c>
      <c r="L22" s="116">
        <v>1072352</v>
      </c>
      <c r="M22" s="195">
        <v>2.4363636363636365E-2</v>
      </c>
      <c r="N22" s="195">
        <v>3.6757776332652752E-3</v>
      </c>
      <c r="O22" s="195">
        <v>1.0293352885601134E-2</v>
      </c>
      <c r="P22" s="195">
        <v>5.0383659327318912E-2</v>
      </c>
      <c r="V22" s="204" t="str">
        <f ca="1">IFERROR(__xludf.DUMMYFUNCTION("""COMPUTED_VALUE"""),"Thana")</f>
        <v>Thana</v>
      </c>
      <c r="W22" s="116">
        <f ca="1">IFERROR(__xludf.DUMMYFUNCTION("""COMPUTED_VALUE"""),1004681)</f>
        <v>1004681</v>
      </c>
      <c r="Y22" s="204" t="str">
        <f ca="1">IFERROR(__xludf.DUMMYFUNCTION("""COMPUTED_VALUE"""),"ReinaKertia")</f>
        <v>ReinaKertia</v>
      </c>
      <c r="Z22" s="116">
        <f ca="1">IFERROR(__xludf.DUMMYFUNCTION("""COMPUTED_VALUE"""),1450662)</f>
        <v>1450662</v>
      </c>
    </row>
    <row r="23" spans="1:26" ht="22.5" customHeight="1">
      <c r="A23" s="115">
        <v>64</v>
      </c>
      <c r="B23" s="115" t="s">
        <v>11</v>
      </c>
      <c r="C23" s="115" t="s">
        <v>9</v>
      </c>
      <c r="D23" s="115" t="s">
        <v>19</v>
      </c>
      <c r="E23" s="98" t="s">
        <v>74</v>
      </c>
      <c r="F23" s="115" t="s">
        <v>476</v>
      </c>
      <c r="G23" s="115">
        <v>0</v>
      </c>
      <c r="H23" s="115">
        <v>67</v>
      </c>
      <c r="I23" s="194">
        <v>67</v>
      </c>
      <c r="J23" s="116">
        <v>27178</v>
      </c>
      <c r="K23" s="116">
        <v>191915</v>
      </c>
      <c r="L23" s="116">
        <v>411540</v>
      </c>
      <c r="M23" s="195">
        <v>4.2675159235668787E-2</v>
      </c>
      <c r="N23" s="195">
        <v>8.7116770193024966E-4</v>
      </c>
      <c r="O23" s="195">
        <v>5.5125388680451037E-3</v>
      </c>
      <c r="P23" s="195">
        <v>1.9515675135946778E-2</v>
      </c>
      <c r="R23" s="232" t="s">
        <v>39</v>
      </c>
      <c r="S23" s="228"/>
      <c r="T23" s="228"/>
      <c r="V23" s="204" t="str">
        <f ca="1">IFERROR(__xludf.DUMMYFUNCTION("""COMPUTED_VALUE"""),"Theodynn")</f>
        <v>Theodynn</v>
      </c>
      <c r="W23" s="116">
        <f ca="1">IFERROR(__xludf.DUMMYFUNCTION("""COMPUTED_VALUE"""),987176)</f>
        <v>987176</v>
      </c>
      <c r="Y23" s="204" t="str">
        <f ca="1">IFERROR(__xludf.DUMMYFUNCTION("""COMPUTED_VALUE"""),"Boharding")</f>
        <v>Boharding</v>
      </c>
      <c r="Z23" s="116">
        <f ca="1">IFERROR(__xludf.DUMMYFUNCTION("""COMPUTED_VALUE"""),1392979)</f>
        <v>1392979</v>
      </c>
    </row>
    <row r="24" spans="1:26" ht="22.5" customHeight="1">
      <c r="A24" s="115">
        <v>17</v>
      </c>
      <c r="B24" s="115" t="s">
        <v>39</v>
      </c>
      <c r="C24" s="115" t="s">
        <v>54</v>
      </c>
      <c r="D24" s="115" t="s">
        <v>19</v>
      </c>
      <c r="E24" s="98" t="s">
        <v>898</v>
      </c>
      <c r="F24" s="115" t="s">
        <v>476</v>
      </c>
      <c r="G24" s="115">
        <v>21</v>
      </c>
      <c r="H24" s="115">
        <v>46</v>
      </c>
      <c r="I24" s="194">
        <v>67</v>
      </c>
      <c r="J24" s="116">
        <v>1074637</v>
      </c>
      <c r="K24" s="116">
        <v>499004</v>
      </c>
      <c r="L24" s="116">
        <v>13386</v>
      </c>
      <c r="M24" s="195">
        <v>4.2675159235668787E-2</v>
      </c>
      <c r="N24" s="195">
        <v>3.444657611668326E-2</v>
      </c>
      <c r="O24" s="195">
        <v>1.4333319153322975E-2</v>
      </c>
      <c r="P24" s="195">
        <v>6.34778702847314E-4</v>
      </c>
      <c r="R24" s="190" t="s">
        <v>482</v>
      </c>
      <c r="S24" s="222" t="s">
        <v>476</v>
      </c>
      <c r="T24" s="222" t="s">
        <v>483</v>
      </c>
      <c r="V24" s="204" t="str">
        <f ca="1">IFERROR(__xludf.DUMMYFUNCTION("""COMPUTED_VALUE"""),"finalElf")</f>
        <v>finalElf</v>
      </c>
      <c r="W24" s="116">
        <f ca="1">IFERROR(__xludf.DUMMYFUNCTION("""COMPUTED_VALUE"""),949704)</f>
        <v>949704</v>
      </c>
      <c r="Y24" s="204" t="str">
        <f ca="1">IFERROR(__xludf.DUMMYFUNCTION("""COMPUTED_VALUE"""),"OTOT")</f>
        <v>OTOT</v>
      </c>
      <c r="Z24" s="116">
        <f ca="1">IFERROR(__xludf.DUMMYFUNCTION("""COMPUTED_VALUE"""),1392195)</f>
        <v>1392195</v>
      </c>
    </row>
    <row r="25" spans="1:26" ht="22.5" customHeight="1">
      <c r="A25" s="115">
        <v>65</v>
      </c>
      <c r="B25" s="115" t="s">
        <v>11</v>
      </c>
      <c r="C25" s="115" t="s">
        <v>10</v>
      </c>
      <c r="D25" s="115" t="s">
        <v>19</v>
      </c>
      <c r="E25" s="98" t="s">
        <v>913</v>
      </c>
      <c r="F25" s="115" t="s">
        <v>476</v>
      </c>
      <c r="G25" s="115">
        <v>0</v>
      </c>
      <c r="H25" s="115">
        <v>66</v>
      </c>
      <c r="I25" s="194">
        <v>66</v>
      </c>
      <c r="J25" s="116">
        <v>77086</v>
      </c>
      <c r="K25" s="116">
        <v>648161</v>
      </c>
      <c r="L25" s="116">
        <v>1471830</v>
      </c>
      <c r="M25" s="195">
        <v>4.2038216560509552E-2</v>
      </c>
      <c r="N25" s="195">
        <v>2.4709262444254625E-3</v>
      </c>
      <c r="O25" s="195">
        <v>1.8617683376760452E-2</v>
      </c>
      <c r="P25" s="195">
        <v>6.9795782026876002E-2</v>
      </c>
      <c r="R25" s="223" t="s">
        <v>468</v>
      </c>
      <c r="S25" s="207">
        <f>SUMIFS(Scoreboard_7[Damage Dealt],Scoreboard_7[Role],"Ranged DPS",Scoreboard_7[Team],"Yellow")</f>
        <v>15681406</v>
      </c>
      <c r="T25" s="219">
        <f>SUMIFS(Scoreboard_7[Damage Dealt],Scoreboard_7[Role],"Ranged DPS",Scoreboard_7[Team],"Red")</f>
        <v>14773360</v>
      </c>
      <c r="V25" s="204" t="str">
        <f ca="1">IFERROR(__xludf.DUMMYFUNCTION("""COMPUTED_VALUE"""),"JCBoi")</f>
        <v>JCBoi</v>
      </c>
      <c r="W25" s="116">
        <f ca="1">IFERROR(__xludf.DUMMYFUNCTION("""COMPUTED_VALUE"""),941089)</f>
        <v>941089</v>
      </c>
      <c r="Y25" s="204" t="str">
        <f ca="1">IFERROR(__xludf.DUMMYFUNCTION("""COMPUTED_VALUE"""),"LeafãƒŸ")</f>
        <v>LeafãƒŸ</v>
      </c>
      <c r="Z25" s="116">
        <f ca="1">IFERROR(__xludf.DUMMYFUNCTION("""COMPUTED_VALUE"""),1389993)</f>
        <v>1389993</v>
      </c>
    </row>
    <row r="26" spans="1:26" ht="22.5" customHeight="1">
      <c r="A26" s="115">
        <v>50</v>
      </c>
      <c r="B26" s="115" t="s">
        <v>11</v>
      </c>
      <c r="C26" s="115" t="s">
        <v>10</v>
      </c>
      <c r="D26" s="115" t="s">
        <v>19</v>
      </c>
      <c r="E26" s="98" t="s">
        <v>49</v>
      </c>
      <c r="F26" s="115" t="s">
        <v>476</v>
      </c>
      <c r="G26" s="115">
        <v>1</v>
      </c>
      <c r="H26" s="115">
        <v>65</v>
      </c>
      <c r="I26" s="194">
        <v>66</v>
      </c>
      <c r="J26" s="116">
        <v>21132</v>
      </c>
      <c r="K26" s="116">
        <v>280911</v>
      </c>
      <c r="L26" s="116">
        <v>998288</v>
      </c>
      <c r="M26" s="195">
        <v>4.2038216560509552E-2</v>
      </c>
      <c r="N26" s="195">
        <v>6.7736830808705698E-4</v>
      </c>
      <c r="O26" s="195">
        <v>8.068847176934674E-3</v>
      </c>
      <c r="P26" s="195">
        <v>4.7339904505306986E-2</v>
      </c>
      <c r="R26" s="223" t="s">
        <v>469</v>
      </c>
      <c r="S26" s="207">
        <f>SUMIFS(Scoreboard_7[Damage Taken],Scoreboard_7[Role],"Ranged DPS",Scoreboard_7[Team],"Yellow")</f>
        <v>5910300</v>
      </c>
      <c r="T26" s="219">
        <f>SUMIFS(Scoreboard_7[Damage Taken],Scoreboard_7[Role],"Ranged DPS",Scoreboard_7[Team],"Red")</f>
        <v>6330827</v>
      </c>
      <c r="V26" s="204" t="str">
        <f ca="1">IFERROR(__xludf.DUMMYFUNCTION("""COMPUTED_VALUE"""),"Trollracs")</f>
        <v>Trollracs</v>
      </c>
      <c r="W26" s="116">
        <f ca="1">IFERROR(__xludf.DUMMYFUNCTION("""COMPUTED_VALUE"""),908637)</f>
        <v>908637</v>
      </c>
      <c r="Y26" s="204" t="str">
        <f ca="1">IFERROR(__xludf.DUMMYFUNCTION("""COMPUTED_VALUE"""),"AntiShiro")</f>
        <v>AntiShiro</v>
      </c>
      <c r="Z26" s="116">
        <f ca="1">IFERROR(__xludf.DUMMYFUNCTION("""COMPUTED_VALUE"""),1376600)</f>
        <v>1376600</v>
      </c>
    </row>
    <row r="27" spans="1:26" ht="22.5" customHeight="1">
      <c r="A27" s="115">
        <v>14</v>
      </c>
      <c r="B27" s="115" t="s">
        <v>39</v>
      </c>
      <c r="C27" s="115" t="s">
        <v>56</v>
      </c>
      <c r="D27" s="115" t="s">
        <v>7</v>
      </c>
      <c r="E27" s="98" t="s">
        <v>854</v>
      </c>
      <c r="F27" s="115" t="s">
        <v>483</v>
      </c>
      <c r="G27" s="115">
        <v>24</v>
      </c>
      <c r="H27" s="115">
        <v>39</v>
      </c>
      <c r="I27" s="194">
        <v>63</v>
      </c>
      <c r="J27" s="116">
        <v>1014410</v>
      </c>
      <c r="K27" s="116">
        <v>822681</v>
      </c>
      <c r="L27" s="116">
        <v>77301</v>
      </c>
      <c r="M27" s="195">
        <v>2.290909090909091E-2</v>
      </c>
      <c r="N27" s="195">
        <v>2.9119677537197696E-2</v>
      </c>
      <c r="O27" s="195">
        <v>2.6352030189419E-2</v>
      </c>
      <c r="P27" s="195">
        <v>3.6319298604013226E-3</v>
      </c>
      <c r="R27" s="223" t="s">
        <v>470</v>
      </c>
      <c r="S27" s="207">
        <f>SUMIFS(Scoreboard_7[Amount Healed],Scoreboard_7[Role],"Ranged DPS",Scoreboard_7[Team],"Yellow")</f>
        <v>345866</v>
      </c>
      <c r="T27" s="219">
        <f>SUMIFS(Scoreboard_7[Amount Healed],Scoreboard_7[Role],"Ranged DPS",Scoreboard_7[Team],"Red")</f>
        <v>791200</v>
      </c>
    </row>
    <row r="28" spans="1:26" ht="22.5" customHeight="1">
      <c r="A28" s="115">
        <v>66</v>
      </c>
      <c r="B28" s="115" t="s">
        <v>11</v>
      </c>
      <c r="C28" s="115" t="s">
        <v>9</v>
      </c>
      <c r="D28" s="115" t="s">
        <v>7</v>
      </c>
      <c r="E28" s="98" t="s">
        <v>72</v>
      </c>
      <c r="F28" s="115" t="s">
        <v>483</v>
      </c>
      <c r="G28" s="115">
        <v>0</v>
      </c>
      <c r="H28" s="115">
        <v>61</v>
      </c>
      <c r="I28" s="194">
        <v>61</v>
      </c>
      <c r="J28" s="116">
        <v>7030</v>
      </c>
      <c r="K28" s="116">
        <v>295404</v>
      </c>
      <c r="L28" s="116">
        <v>460021</v>
      </c>
      <c r="M28" s="195">
        <v>2.2181818181818181E-2</v>
      </c>
      <c r="N28" s="195">
        <v>2.018033468582721E-4</v>
      </c>
      <c r="O28" s="195">
        <v>9.462349472122402E-3</v>
      </c>
      <c r="P28" s="195">
        <v>2.1613743758964007E-2</v>
      </c>
      <c r="R28" s="223" t="s">
        <v>465</v>
      </c>
      <c r="S28" s="207">
        <f>SUMIFS(Scoreboard_7[Kills],Scoreboard_7[Role],"Ranged DPS",Scoreboard_7[Team],"Yellow")</f>
        <v>176</v>
      </c>
      <c r="T28" s="219">
        <f>SUMIFS(Scoreboard_7[Kills],Scoreboard_7[Role],"Ranged DPS",Scoreboard_7[Team],"Red")</f>
        <v>235</v>
      </c>
    </row>
    <row r="29" spans="1:26" ht="22.5" customHeight="1">
      <c r="A29" s="115">
        <v>37</v>
      </c>
      <c r="B29" s="115" t="s">
        <v>67</v>
      </c>
      <c r="C29" s="115" t="s">
        <v>14</v>
      </c>
      <c r="D29" s="115" t="s">
        <v>7</v>
      </c>
      <c r="E29" s="98" t="s">
        <v>938</v>
      </c>
      <c r="F29" s="115" t="s">
        <v>483</v>
      </c>
      <c r="G29" s="115">
        <v>6</v>
      </c>
      <c r="H29" s="115">
        <v>55</v>
      </c>
      <c r="I29" s="194">
        <v>61</v>
      </c>
      <c r="J29" s="116">
        <v>783979</v>
      </c>
      <c r="K29" s="116">
        <v>755806</v>
      </c>
      <c r="L29" s="116">
        <v>45392</v>
      </c>
      <c r="M29" s="195">
        <v>2.2181818181818181E-2</v>
      </c>
      <c r="N29" s="195">
        <v>2.2504919781877852E-2</v>
      </c>
      <c r="O29" s="195">
        <v>2.4209897310554174E-2</v>
      </c>
      <c r="P29" s="195">
        <v>2.1327092821999305E-3</v>
      </c>
      <c r="R29" s="223" t="s">
        <v>466</v>
      </c>
      <c r="S29" s="207">
        <f>SUMIFS(Scoreboard_7[Assists],Scoreboard_7[Role],"Ranged DPS",Scoreboard_7[Team],"Yellow")</f>
        <v>314</v>
      </c>
      <c r="T29" s="219">
        <f>SUMIFS(Scoreboard_7[Assists],Scoreboard_7[Role],"Ranged DPS",Scoreboard_7[Team],"Red")</f>
        <v>550</v>
      </c>
    </row>
    <row r="30" spans="1:26" ht="22.5" customHeight="1">
      <c r="A30" s="115">
        <v>24</v>
      </c>
      <c r="B30" s="115" t="s">
        <v>67</v>
      </c>
      <c r="C30" s="115" t="s">
        <v>62</v>
      </c>
      <c r="D30" s="115" t="s">
        <v>7</v>
      </c>
      <c r="E30" s="98" t="s">
        <v>88</v>
      </c>
      <c r="F30" s="115" t="s">
        <v>483</v>
      </c>
      <c r="G30" s="115">
        <v>14</v>
      </c>
      <c r="H30" s="115">
        <v>46</v>
      </c>
      <c r="I30" s="194">
        <v>60</v>
      </c>
      <c r="J30" s="116">
        <v>1011250</v>
      </c>
      <c r="K30" s="116">
        <v>757378</v>
      </c>
      <c r="L30" s="116">
        <v>12802</v>
      </c>
      <c r="M30" s="195">
        <v>2.181818181818182E-2</v>
      </c>
      <c r="N30" s="195">
        <v>2.9028966502194546E-2</v>
      </c>
      <c r="O30" s="195">
        <v>2.4260251447160909E-2</v>
      </c>
      <c r="P30" s="195">
        <v>6.0149242665499456E-4</v>
      </c>
      <c r="R30" s="6"/>
      <c r="S30" s="6"/>
      <c r="T30" s="6"/>
    </row>
    <row r="31" spans="1:26" ht="22.5" customHeight="1">
      <c r="A31" s="115">
        <v>28</v>
      </c>
      <c r="B31" s="115" t="s">
        <v>39</v>
      </c>
      <c r="C31" s="115" t="s">
        <v>56</v>
      </c>
      <c r="D31" s="115" t="s">
        <v>7</v>
      </c>
      <c r="E31" s="98" t="s">
        <v>852</v>
      </c>
      <c r="F31" s="115" t="s">
        <v>483</v>
      </c>
      <c r="G31" s="115">
        <v>12</v>
      </c>
      <c r="H31" s="115">
        <v>48</v>
      </c>
      <c r="I31" s="194">
        <v>60</v>
      </c>
      <c r="J31" s="116">
        <v>859365</v>
      </c>
      <c r="K31" s="116">
        <v>662034</v>
      </c>
      <c r="L31" s="116">
        <v>0</v>
      </c>
      <c r="M31" s="195">
        <v>2.181818181818182E-2</v>
      </c>
      <c r="N31" s="195">
        <v>2.4668952087177669E-2</v>
      </c>
      <c r="O31" s="195">
        <v>2.1206202591796602E-2</v>
      </c>
      <c r="P31" s="195">
        <v>0</v>
      </c>
      <c r="R31" s="232" t="s">
        <v>67</v>
      </c>
      <c r="S31" s="228"/>
      <c r="T31" s="228"/>
    </row>
    <row r="32" spans="1:26" ht="22.5" customHeight="1">
      <c r="A32" s="115">
        <v>67</v>
      </c>
      <c r="B32" s="115" t="s">
        <v>11</v>
      </c>
      <c r="C32" s="115" t="s">
        <v>10</v>
      </c>
      <c r="D32" s="115" t="s">
        <v>7</v>
      </c>
      <c r="E32" s="98" t="s">
        <v>939</v>
      </c>
      <c r="F32" s="115" t="s">
        <v>483</v>
      </c>
      <c r="G32" s="115">
        <v>0</v>
      </c>
      <c r="H32" s="115">
        <v>59</v>
      </c>
      <c r="I32" s="194">
        <v>59</v>
      </c>
      <c r="J32" s="116">
        <v>57330</v>
      </c>
      <c r="K32" s="116">
        <v>616396</v>
      </c>
      <c r="L32" s="116">
        <v>1321737</v>
      </c>
      <c r="M32" s="195">
        <v>2.1454545454545455E-2</v>
      </c>
      <c r="N32" s="195">
        <v>1.6457163407375163E-3</v>
      </c>
      <c r="O32" s="195">
        <v>1.9744331035525451E-2</v>
      </c>
      <c r="P32" s="195">
        <v>6.210082764643747E-2</v>
      </c>
      <c r="R32" s="190" t="s">
        <v>482</v>
      </c>
      <c r="S32" s="222" t="s">
        <v>476</v>
      </c>
      <c r="T32" s="222" t="s">
        <v>483</v>
      </c>
    </row>
    <row r="33" spans="1:20" ht="22.5" customHeight="1">
      <c r="A33" s="115">
        <v>22</v>
      </c>
      <c r="B33" s="115" t="s">
        <v>25</v>
      </c>
      <c r="C33" s="115" t="s">
        <v>69</v>
      </c>
      <c r="D33" s="115" t="s">
        <v>19</v>
      </c>
      <c r="E33" s="98" t="s">
        <v>68</v>
      </c>
      <c r="F33" s="115" t="s">
        <v>476</v>
      </c>
      <c r="G33" s="115">
        <v>17</v>
      </c>
      <c r="H33" s="115">
        <v>40</v>
      </c>
      <c r="I33" s="194">
        <v>57</v>
      </c>
      <c r="J33" s="116">
        <v>1052673</v>
      </c>
      <c r="K33" s="116">
        <v>746735</v>
      </c>
      <c r="L33" s="116">
        <v>71785</v>
      </c>
      <c r="M33" s="195">
        <v>3.6305732484076432E-2</v>
      </c>
      <c r="N33" s="195">
        <v>3.374253875539119E-2</v>
      </c>
      <c r="O33" s="195">
        <v>2.1449108780604229E-2</v>
      </c>
      <c r="P33" s="195">
        <v>3.4041229033239528E-3</v>
      </c>
      <c r="R33" s="223" t="s">
        <v>468</v>
      </c>
      <c r="S33" s="207">
        <f>SUMIFS(Scoreboard_7[Damage Dealt],Scoreboard_7[Role],"Tank",Scoreboard_7[Team],"Yellow")</f>
        <v>3798184</v>
      </c>
      <c r="T33" s="219">
        <f>SUMIFS(Scoreboard_7[Damage Dealt],Scoreboard_7[Role],"Tank",Scoreboard_7[Team],"Red")</f>
        <v>5148967</v>
      </c>
    </row>
    <row r="34" spans="1:20" ht="22.5" customHeight="1">
      <c r="A34" s="115">
        <v>23</v>
      </c>
      <c r="B34" s="115" t="s">
        <v>39</v>
      </c>
      <c r="C34" s="115" t="s">
        <v>56</v>
      </c>
      <c r="D34" s="115" t="s">
        <v>19</v>
      </c>
      <c r="E34" s="98" t="s">
        <v>42</v>
      </c>
      <c r="F34" s="115" t="s">
        <v>476</v>
      </c>
      <c r="G34" s="115">
        <v>17</v>
      </c>
      <c r="H34" s="115">
        <v>35</v>
      </c>
      <c r="I34" s="194">
        <v>52</v>
      </c>
      <c r="J34" s="116">
        <v>2399687</v>
      </c>
      <c r="K34" s="116">
        <v>755622</v>
      </c>
      <c r="L34" s="116">
        <v>137750</v>
      </c>
      <c r="M34" s="195">
        <v>3.3121019108280254E-2</v>
      </c>
      <c r="N34" s="195">
        <v>7.6919928219217559E-2</v>
      </c>
      <c r="O34" s="195">
        <v>2.1704377690904709E-2</v>
      </c>
      <c r="P34" s="195">
        <v>6.5322550662795086E-3</v>
      </c>
      <c r="R34" s="223" t="s">
        <v>469</v>
      </c>
      <c r="S34" s="207">
        <f>SUMIFS(Scoreboard_7[Damage Taken],Scoreboard_7[Role],"Tank",Scoreboard_7[Team],"Yellow")</f>
        <v>9890077</v>
      </c>
      <c r="T34" s="219">
        <f>SUMIFS(Scoreboard_7[Damage Taken],Scoreboard_7[Role],"Tank",Scoreboard_7[Team],"Red")</f>
        <v>9279681</v>
      </c>
    </row>
    <row r="35" spans="1:20" ht="22.5" customHeight="1">
      <c r="A35" s="115">
        <v>68</v>
      </c>
      <c r="B35" s="115" t="s">
        <v>11</v>
      </c>
      <c r="C35" s="115" t="s">
        <v>9</v>
      </c>
      <c r="D35" s="115" t="s">
        <v>19</v>
      </c>
      <c r="E35" s="98" t="s">
        <v>921</v>
      </c>
      <c r="F35" s="115" t="s">
        <v>476</v>
      </c>
      <c r="G35" s="115">
        <v>0</v>
      </c>
      <c r="H35" s="115">
        <v>50</v>
      </c>
      <c r="I35" s="194">
        <v>50</v>
      </c>
      <c r="J35" s="116">
        <v>0</v>
      </c>
      <c r="K35" s="116">
        <v>753432</v>
      </c>
      <c r="L35" s="116">
        <v>926190</v>
      </c>
      <c r="M35" s="195">
        <v>3.1847133757961783E-2</v>
      </c>
      <c r="N35" s="195">
        <v>0</v>
      </c>
      <c r="O35" s="195">
        <v>2.1641472445764837E-2</v>
      </c>
      <c r="P35" s="195">
        <v>4.3920938800997587E-2</v>
      </c>
      <c r="R35" s="223" t="s">
        <v>470</v>
      </c>
      <c r="S35" s="207">
        <f>SUMIFS(Scoreboard_7[Amount Healed],Scoreboard_7[Role],"Tank",Scoreboard_7[Team],"Yellow")</f>
        <v>855553</v>
      </c>
      <c r="T35" s="219">
        <f>SUMIFS(Scoreboard_7[Amount Healed],Scoreboard_7[Role],"Tank",Scoreboard_7[Team],"Red")</f>
        <v>598907</v>
      </c>
    </row>
    <row r="36" spans="1:20" ht="22.5" customHeight="1">
      <c r="A36" s="115">
        <v>27</v>
      </c>
      <c r="B36" s="115" t="s">
        <v>25</v>
      </c>
      <c r="C36" s="115" t="s">
        <v>24</v>
      </c>
      <c r="D36" s="115" t="s">
        <v>19</v>
      </c>
      <c r="E36" s="98" t="s">
        <v>887</v>
      </c>
      <c r="F36" s="115" t="s">
        <v>476</v>
      </c>
      <c r="G36" s="115">
        <v>13</v>
      </c>
      <c r="H36" s="115">
        <v>35</v>
      </c>
      <c r="I36" s="194">
        <v>48</v>
      </c>
      <c r="J36" s="116">
        <v>1322922</v>
      </c>
      <c r="K36" s="116">
        <v>805756</v>
      </c>
      <c r="L36" s="116">
        <v>49214</v>
      </c>
      <c r="M36" s="195">
        <v>3.0573248407643312E-2</v>
      </c>
      <c r="N36" s="195">
        <v>4.2405140870298397E-2</v>
      </c>
      <c r="O36" s="195">
        <v>2.3144419499051928E-2</v>
      </c>
      <c r="P36" s="195">
        <v>2.3337814942423212E-3</v>
      </c>
      <c r="R36" s="223" t="s">
        <v>465</v>
      </c>
      <c r="S36" s="207">
        <f>SUMIFS(Scoreboard_7[Kills],Scoreboard_7[Role],"Tank",Scoreboard_7[Team],"Yellow")</f>
        <v>16</v>
      </c>
      <c r="T36" s="219">
        <f>SUMIFS(Scoreboard_7[Kills],Scoreboard_7[Role],"Tank",Scoreboard_7[Team],"Red")</f>
        <v>44</v>
      </c>
    </row>
    <row r="37" spans="1:20" ht="22.5" customHeight="1">
      <c r="A37" s="115">
        <v>29</v>
      </c>
      <c r="B37" s="115" t="s">
        <v>25</v>
      </c>
      <c r="C37" s="115" t="s">
        <v>24</v>
      </c>
      <c r="D37" s="115" t="s">
        <v>19</v>
      </c>
      <c r="E37" s="98" t="s">
        <v>130</v>
      </c>
      <c r="F37" s="115" t="s">
        <v>476</v>
      </c>
      <c r="G37" s="115">
        <v>12</v>
      </c>
      <c r="H37" s="115">
        <v>36</v>
      </c>
      <c r="I37" s="194">
        <v>48</v>
      </c>
      <c r="J37" s="116">
        <v>1810469</v>
      </c>
      <c r="K37" s="116">
        <v>1015862</v>
      </c>
      <c r="L37" s="116">
        <v>29461</v>
      </c>
      <c r="M37" s="195">
        <v>3.0573248407643312E-2</v>
      </c>
      <c r="N37" s="195">
        <v>5.8033045777686261E-2</v>
      </c>
      <c r="O37" s="195">
        <v>2.9179474035745175E-2</v>
      </c>
      <c r="P37" s="195">
        <v>1.3970727151191333E-3</v>
      </c>
      <c r="R37" s="223" t="s">
        <v>466</v>
      </c>
      <c r="S37" s="207">
        <f>SUMIFS(Scoreboard_7[Assists],Scoreboard_7[Role],"Tank",Scoreboard_7[Team],"Yellow")</f>
        <v>176</v>
      </c>
      <c r="T37" s="219">
        <f>SUMIFS(Scoreboard_7[Assists],Scoreboard_7[Role],"Tank",Scoreboard_7[Team],"Red")</f>
        <v>364</v>
      </c>
    </row>
    <row r="38" spans="1:20" ht="22.5" customHeight="1">
      <c r="A38" s="115">
        <v>26</v>
      </c>
      <c r="B38" s="115" t="s">
        <v>39</v>
      </c>
      <c r="C38" s="115" t="s">
        <v>32</v>
      </c>
      <c r="D38" s="115" t="s">
        <v>19</v>
      </c>
      <c r="E38" s="98" t="s">
        <v>940</v>
      </c>
      <c r="F38" s="115" t="s">
        <v>476</v>
      </c>
      <c r="G38" s="115">
        <v>13</v>
      </c>
      <c r="H38" s="115">
        <v>35</v>
      </c>
      <c r="I38" s="194">
        <v>48</v>
      </c>
      <c r="J38" s="116">
        <v>2024382</v>
      </c>
      <c r="K38" s="116">
        <v>759675</v>
      </c>
      <c r="L38" s="116">
        <v>0</v>
      </c>
      <c r="M38" s="195">
        <v>3.0573248407643312E-2</v>
      </c>
      <c r="N38" s="195">
        <v>6.4889845270769103E-2</v>
      </c>
      <c r="O38" s="195">
        <v>2.1820795480197816E-2</v>
      </c>
      <c r="P38" s="195">
        <v>0</v>
      </c>
    </row>
    <row r="39" spans="1:20" ht="22.5" customHeight="1">
      <c r="A39" s="115">
        <v>51</v>
      </c>
      <c r="B39" s="115" t="s">
        <v>11</v>
      </c>
      <c r="C39" s="115" t="s">
        <v>10</v>
      </c>
      <c r="D39" s="115" t="s">
        <v>7</v>
      </c>
      <c r="E39" s="98" t="s">
        <v>102</v>
      </c>
      <c r="F39" s="115" t="s">
        <v>483</v>
      </c>
      <c r="G39" s="115">
        <v>1</v>
      </c>
      <c r="H39" s="115">
        <v>46</v>
      </c>
      <c r="I39" s="194">
        <v>47</v>
      </c>
      <c r="J39" s="116">
        <v>64943</v>
      </c>
      <c r="K39" s="116">
        <v>578804</v>
      </c>
      <c r="L39" s="116">
        <v>1485332</v>
      </c>
      <c r="M39" s="195">
        <v>1.7090909090909091E-2</v>
      </c>
      <c r="N39" s="195">
        <v>1.8642552994333947E-3</v>
      </c>
      <c r="O39" s="195">
        <v>1.8540188094481914E-2</v>
      </c>
      <c r="P39" s="195">
        <v>6.9787216768342153E-2</v>
      </c>
      <c r="R39" s="232" t="s">
        <v>11</v>
      </c>
      <c r="S39" s="228"/>
      <c r="T39" s="228"/>
    </row>
    <row r="40" spans="1:20" ht="22.5" customHeight="1">
      <c r="A40" s="115">
        <v>69</v>
      </c>
      <c r="B40" s="115" t="s">
        <v>11</v>
      </c>
      <c r="C40" s="115" t="s">
        <v>9</v>
      </c>
      <c r="D40" s="115" t="s">
        <v>7</v>
      </c>
      <c r="E40" s="98" t="s">
        <v>91</v>
      </c>
      <c r="F40" s="115" t="s">
        <v>483</v>
      </c>
      <c r="G40" s="115">
        <v>0</v>
      </c>
      <c r="H40" s="115">
        <v>46</v>
      </c>
      <c r="I40" s="194">
        <v>46</v>
      </c>
      <c r="J40" s="116">
        <v>5996</v>
      </c>
      <c r="K40" s="116">
        <v>326638</v>
      </c>
      <c r="L40" s="116">
        <v>1364398</v>
      </c>
      <c r="M40" s="195">
        <v>1.6727272727272726E-2</v>
      </c>
      <c r="N40" s="195">
        <v>1.7212131831610236E-4</v>
      </c>
      <c r="O40" s="195">
        <v>1.0462833634192894E-2</v>
      </c>
      <c r="P40" s="195">
        <v>6.4105222929481426E-2</v>
      </c>
      <c r="R40" s="190" t="s">
        <v>482</v>
      </c>
      <c r="S40" s="222" t="s">
        <v>476</v>
      </c>
      <c r="T40" s="222" t="s">
        <v>483</v>
      </c>
    </row>
    <row r="41" spans="1:20" ht="22.5" customHeight="1">
      <c r="A41" s="115">
        <v>15</v>
      </c>
      <c r="B41" s="115" t="s">
        <v>25</v>
      </c>
      <c r="C41" s="115" t="s">
        <v>69</v>
      </c>
      <c r="D41" s="115" t="s">
        <v>7</v>
      </c>
      <c r="E41" s="98" t="s">
        <v>98</v>
      </c>
      <c r="F41" s="115" t="s">
        <v>483</v>
      </c>
      <c r="G41" s="115">
        <v>23</v>
      </c>
      <c r="H41" s="115">
        <v>23</v>
      </c>
      <c r="I41" s="194">
        <v>46</v>
      </c>
      <c r="J41" s="116">
        <v>1191792</v>
      </c>
      <c r="K41" s="116">
        <v>1030068</v>
      </c>
      <c r="L41" s="116">
        <v>16194</v>
      </c>
      <c r="M41" s="195">
        <v>1.6727272727272726E-2</v>
      </c>
      <c r="N41" s="195">
        <v>3.4211609439390306E-2</v>
      </c>
      <c r="O41" s="195">
        <v>3.2995028489966889E-2</v>
      </c>
      <c r="P41" s="195">
        <v>7.6086301806366045E-4</v>
      </c>
      <c r="R41" s="223" t="s">
        <v>468</v>
      </c>
      <c r="S41" s="207">
        <f>SUMIFS(Scoreboard_7[Damage Dealt],Scoreboard_7[Role],"Healer",Scoreboard_7[Team],"Yellow")</f>
        <v>824609</v>
      </c>
      <c r="T41" s="219">
        <f>SUMIFS(Scoreboard_7[Damage Dealt],Scoreboard_7[Role],"Healer",Scoreboard_7[Team],"Red")</f>
        <v>1070667</v>
      </c>
    </row>
    <row r="42" spans="1:20" ht="22.5" customHeight="1">
      <c r="A42" s="115">
        <v>70</v>
      </c>
      <c r="B42" s="115" t="s">
        <v>11</v>
      </c>
      <c r="C42" s="115" t="s">
        <v>9</v>
      </c>
      <c r="D42" s="115" t="s">
        <v>7</v>
      </c>
      <c r="E42" s="98" t="s">
        <v>87</v>
      </c>
      <c r="F42" s="115" t="s">
        <v>483</v>
      </c>
      <c r="G42" s="115">
        <v>0</v>
      </c>
      <c r="H42" s="115">
        <v>45</v>
      </c>
      <c r="I42" s="194">
        <v>45</v>
      </c>
      <c r="J42" s="116">
        <v>753</v>
      </c>
      <c r="K42" s="116">
        <v>715252</v>
      </c>
      <c r="L42" s="116">
        <v>1392195</v>
      </c>
      <c r="M42" s="195">
        <v>1.6363636363636365E-2</v>
      </c>
      <c r="N42" s="195">
        <v>2.1615635872585901E-5</v>
      </c>
      <c r="O42" s="195">
        <v>2.2910875900917026E-2</v>
      </c>
      <c r="P42" s="195">
        <v>6.5411244253003445E-2</v>
      </c>
      <c r="R42" s="223" t="s">
        <v>469</v>
      </c>
      <c r="S42" s="207">
        <f>SUMIFS(Scoreboard_7[Damage Taken],Scoreboard_7[Role],"Healer",Scoreboard_7[Team],"Yellow")</f>
        <v>11577732</v>
      </c>
      <c r="T42" s="219">
        <f>SUMIFS(Scoreboard_7[Damage Taken],Scoreboard_7[Role],"Healer",Scoreboard_7[Team],"Red")</f>
        <v>8901403</v>
      </c>
    </row>
    <row r="43" spans="1:20" ht="22.5" customHeight="1">
      <c r="A43" s="115">
        <v>25</v>
      </c>
      <c r="B43" s="115" t="s">
        <v>25</v>
      </c>
      <c r="C43" s="115" t="s">
        <v>69</v>
      </c>
      <c r="D43" s="115" t="s">
        <v>7</v>
      </c>
      <c r="E43" s="98" t="s">
        <v>110</v>
      </c>
      <c r="F43" s="115" t="s">
        <v>483</v>
      </c>
      <c r="G43" s="115">
        <v>14</v>
      </c>
      <c r="H43" s="115">
        <v>28</v>
      </c>
      <c r="I43" s="194">
        <v>42</v>
      </c>
      <c r="J43" s="116">
        <v>735778</v>
      </c>
      <c r="K43" s="116">
        <v>1004681</v>
      </c>
      <c r="L43" s="116">
        <v>85862</v>
      </c>
      <c r="M43" s="195">
        <v>1.5272727272727273E-2</v>
      </c>
      <c r="N43" s="195">
        <v>2.1121260731818737E-2</v>
      </c>
      <c r="O43" s="195">
        <v>3.2181834809282904E-2</v>
      </c>
      <c r="P43" s="195">
        <v>4.0341620635409425E-3</v>
      </c>
      <c r="R43" s="223" t="s">
        <v>470</v>
      </c>
      <c r="S43" s="207">
        <f>SUMIFS(Scoreboard_7[Amount Healed],Scoreboard_7[Role],"Healer",Scoreboard_7[Team],"Yellow")</f>
        <v>19454900</v>
      </c>
      <c r="T43" s="219">
        <f>SUMIFS(Scoreboard_7[Amount Healed],Scoreboard_7[Role],"Healer",Scoreboard_7[Team],"Red")</f>
        <v>19576581</v>
      </c>
    </row>
    <row r="44" spans="1:20" ht="22.5" customHeight="1">
      <c r="A44" s="115">
        <v>71</v>
      </c>
      <c r="B44" s="115" t="s">
        <v>11</v>
      </c>
      <c r="C44" s="115" t="s">
        <v>10</v>
      </c>
      <c r="D44" s="115" t="s">
        <v>7</v>
      </c>
      <c r="E44" s="98" t="s">
        <v>858</v>
      </c>
      <c r="F44" s="115" t="s">
        <v>483</v>
      </c>
      <c r="G44" s="115">
        <v>0</v>
      </c>
      <c r="H44" s="115">
        <v>41</v>
      </c>
      <c r="I44" s="194">
        <v>41</v>
      </c>
      <c r="J44" s="116">
        <v>27766</v>
      </c>
      <c r="K44" s="116">
        <v>684015</v>
      </c>
      <c r="L44" s="116">
        <v>1195232</v>
      </c>
      <c r="M44" s="195">
        <v>1.4909090909090908E-2</v>
      </c>
      <c r="N44" s="195">
        <v>7.9705145503083691E-4</v>
      </c>
      <c r="O44" s="195">
        <v>2.1910295643165989E-2</v>
      </c>
      <c r="P44" s="195">
        <v>5.6157084525519638E-2</v>
      </c>
      <c r="R44" s="223" t="s">
        <v>465</v>
      </c>
      <c r="S44" s="207">
        <f>SUMIFS(Scoreboard_7[Kills],Scoreboard_7[Role],"Healer",Scoreboard_7[Team],"Yellow")</f>
        <v>3</v>
      </c>
      <c r="T44" s="219">
        <f>SUMIFS(Scoreboard_7[Kills],Scoreboard_7[Role],"Healer",Scoreboard_7[Team],"Red")</f>
        <v>10</v>
      </c>
    </row>
    <row r="45" spans="1:20" ht="22.5" customHeight="1">
      <c r="A45" s="115">
        <v>46</v>
      </c>
      <c r="B45" s="115" t="s">
        <v>67</v>
      </c>
      <c r="C45" s="115" t="s">
        <v>14</v>
      </c>
      <c r="D45" s="115" t="s">
        <v>7</v>
      </c>
      <c r="E45" s="98" t="s">
        <v>856</v>
      </c>
      <c r="F45" s="115" t="s">
        <v>483</v>
      </c>
      <c r="G45" s="115">
        <v>2</v>
      </c>
      <c r="H45" s="115">
        <v>38</v>
      </c>
      <c r="I45" s="194">
        <v>40</v>
      </c>
      <c r="J45" s="116">
        <v>375455</v>
      </c>
      <c r="K45" s="116">
        <v>852242</v>
      </c>
      <c r="L45" s="116">
        <v>86911</v>
      </c>
      <c r="M45" s="195">
        <v>1.4545454545454545E-2</v>
      </c>
      <c r="N45" s="195">
        <v>1.0777820141489694E-2</v>
      </c>
      <c r="O45" s="195">
        <v>2.7298924993637664E-2</v>
      </c>
      <c r="P45" s="195">
        <v>4.0834485465561813E-3</v>
      </c>
      <c r="R45" s="223" t="s">
        <v>466</v>
      </c>
      <c r="S45" s="207">
        <f>SUMIFS(Scoreboard_7[Assists],Scoreboard_7[Role],"Healer",Scoreboard_7[Team],"Yellow")</f>
        <v>442</v>
      </c>
      <c r="T45" s="219">
        <f>SUMIFS(Scoreboard_7[Assists],Scoreboard_7[Role],"Healer",Scoreboard_7[Team],"Red")</f>
        <v>718</v>
      </c>
    </row>
    <row r="46" spans="1:20" ht="22.5" customHeight="1">
      <c r="A46" s="115">
        <v>12</v>
      </c>
      <c r="B46" s="115" t="s">
        <v>39</v>
      </c>
      <c r="C46" s="115" t="s">
        <v>54</v>
      </c>
      <c r="D46" s="115" t="s">
        <v>7</v>
      </c>
      <c r="E46" s="98" t="s">
        <v>707</v>
      </c>
      <c r="F46" s="115" t="s">
        <v>483</v>
      </c>
      <c r="G46" s="115">
        <v>26</v>
      </c>
      <c r="H46" s="115">
        <v>14</v>
      </c>
      <c r="I46" s="194">
        <v>40</v>
      </c>
      <c r="J46" s="116">
        <v>916473</v>
      </c>
      <c r="K46" s="116">
        <v>801274</v>
      </c>
      <c r="L46" s="116">
        <v>21166</v>
      </c>
      <c r="M46" s="195">
        <v>1.4545454545454545E-2</v>
      </c>
      <c r="N46" s="195">
        <v>2.6308295690645977E-2</v>
      </c>
      <c r="O46" s="195">
        <v>2.5666323444927645E-2</v>
      </c>
      <c r="P46" s="195">
        <v>9.9446873164971204E-4</v>
      </c>
    </row>
    <row r="47" spans="1:20" ht="22.5" customHeight="1">
      <c r="A47" s="115">
        <v>38</v>
      </c>
      <c r="B47" s="115" t="s">
        <v>67</v>
      </c>
      <c r="C47" s="115" t="s">
        <v>14</v>
      </c>
      <c r="D47" s="115" t="s">
        <v>7</v>
      </c>
      <c r="E47" s="98" t="s">
        <v>55</v>
      </c>
      <c r="F47" s="115" t="s">
        <v>483</v>
      </c>
      <c r="G47" s="115">
        <v>5</v>
      </c>
      <c r="H47" s="115">
        <v>33</v>
      </c>
      <c r="I47" s="194">
        <v>38</v>
      </c>
      <c r="J47" s="116">
        <v>657515</v>
      </c>
      <c r="K47" s="116">
        <v>758433</v>
      </c>
      <c r="L47" s="116">
        <v>49186</v>
      </c>
      <c r="M47" s="195">
        <v>1.3818181818181818E-2</v>
      </c>
      <c r="N47" s="195">
        <v>1.887464119623283E-2</v>
      </c>
      <c r="O47" s="195">
        <v>2.429404509482001E-2</v>
      </c>
      <c r="P47" s="195">
        <v>2.3109675439347416E-3</v>
      </c>
    </row>
    <row r="48" spans="1:20" ht="22.5" customHeight="1">
      <c r="A48" s="115">
        <v>30</v>
      </c>
      <c r="B48" s="115" t="s">
        <v>67</v>
      </c>
      <c r="C48" s="115" t="s">
        <v>794</v>
      </c>
      <c r="D48" s="115" t="s">
        <v>19</v>
      </c>
      <c r="E48" s="98" t="s">
        <v>289</v>
      </c>
      <c r="F48" s="115" t="s">
        <v>476</v>
      </c>
      <c r="G48" s="115">
        <v>12</v>
      </c>
      <c r="H48" s="115">
        <v>26</v>
      </c>
      <c r="I48" s="194">
        <v>38</v>
      </c>
      <c r="J48" s="116">
        <v>1102460</v>
      </c>
      <c r="K48" s="116">
        <v>821764</v>
      </c>
      <c r="L48" s="116">
        <v>40598</v>
      </c>
      <c r="M48" s="195">
        <v>2.4203821656050957E-2</v>
      </c>
      <c r="N48" s="195">
        <v>3.5338418745677495E-2</v>
      </c>
      <c r="O48" s="195">
        <v>2.3604230989553793E-2</v>
      </c>
      <c r="P48" s="195">
        <v>1.9252013878825081E-3</v>
      </c>
    </row>
    <row r="49" spans="1:16" ht="22.5" customHeight="1">
      <c r="A49" s="115">
        <v>33</v>
      </c>
      <c r="B49" s="115" t="s">
        <v>25</v>
      </c>
      <c r="C49" s="115" t="s">
        <v>23</v>
      </c>
      <c r="D49" s="115" t="s">
        <v>19</v>
      </c>
      <c r="E49" s="98" t="s">
        <v>920</v>
      </c>
      <c r="F49" s="115" t="s">
        <v>476</v>
      </c>
      <c r="G49" s="115">
        <v>9</v>
      </c>
      <c r="H49" s="115">
        <v>29</v>
      </c>
      <c r="I49" s="194">
        <v>38</v>
      </c>
      <c r="J49" s="116">
        <v>1245779</v>
      </c>
      <c r="K49" s="116">
        <v>851167</v>
      </c>
      <c r="L49" s="116">
        <v>36167</v>
      </c>
      <c r="M49" s="195">
        <v>2.4203821656050957E-2</v>
      </c>
      <c r="N49" s="195">
        <v>3.9932387539295185E-2</v>
      </c>
      <c r="O49" s="195">
        <v>2.4448798534233106E-2</v>
      </c>
      <c r="P49" s="195">
        <v>1.7150785407051251E-3</v>
      </c>
    </row>
    <row r="50" spans="1:16" ht="22.5" customHeight="1">
      <c r="A50" s="115">
        <v>52</v>
      </c>
      <c r="B50" s="115" t="s">
        <v>67</v>
      </c>
      <c r="C50" s="115" t="s">
        <v>14</v>
      </c>
      <c r="D50" s="115" t="s">
        <v>19</v>
      </c>
      <c r="E50" s="98" t="s">
        <v>35</v>
      </c>
      <c r="F50" s="115" t="s">
        <v>476</v>
      </c>
      <c r="G50" s="115">
        <v>1</v>
      </c>
      <c r="H50" s="115">
        <v>37</v>
      </c>
      <c r="I50" s="194">
        <v>38</v>
      </c>
      <c r="J50" s="116">
        <v>89858</v>
      </c>
      <c r="K50" s="116">
        <v>226801</v>
      </c>
      <c r="L50" s="116">
        <v>5842</v>
      </c>
      <c r="M50" s="195">
        <v>2.4203821656050957E-2</v>
      </c>
      <c r="N50" s="195">
        <v>2.8803218544428718E-3</v>
      </c>
      <c r="O50" s="195">
        <v>6.5145993164239246E-3</v>
      </c>
      <c r="P50" s="195">
        <v>2.7703400433542569E-4</v>
      </c>
    </row>
    <row r="51" spans="1:16" ht="22.5" customHeight="1">
      <c r="A51" s="115">
        <v>53</v>
      </c>
      <c r="B51" s="115" t="s">
        <v>11</v>
      </c>
      <c r="C51" s="115" t="s">
        <v>10</v>
      </c>
      <c r="D51" s="115" t="s">
        <v>7</v>
      </c>
      <c r="E51" s="98" t="s">
        <v>44</v>
      </c>
      <c r="F51" s="115" t="s">
        <v>483</v>
      </c>
      <c r="G51" s="115">
        <v>1</v>
      </c>
      <c r="H51" s="115">
        <v>35</v>
      </c>
      <c r="I51" s="194">
        <v>36</v>
      </c>
      <c r="J51" s="116">
        <v>57702</v>
      </c>
      <c r="K51" s="116">
        <v>624636</v>
      </c>
      <c r="L51" s="116">
        <v>1748339</v>
      </c>
      <c r="M51" s="195">
        <v>1.3090909090909091E-2</v>
      </c>
      <c r="N51" s="195">
        <v>1.6563949815670009E-3</v>
      </c>
      <c r="O51" s="195">
        <v>2.0008273838095114E-2</v>
      </c>
      <c r="P51" s="195">
        <v>8.2144404602840684E-2</v>
      </c>
    </row>
    <row r="52" spans="1:16" ht="22.5" customHeight="1">
      <c r="A52" s="115">
        <v>72</v>
      </c>
      <c r="B52" s="115" t="s">
        <v>11</v>
      </c>
      <c r="C52" s="115" t="s">
        <v>10</v>
      </c>
      <c r="D52" s="115" t="s">
        <v>7</v>
      </c>
      <c r="E52" s="98" t="s">
        <v>29</v>
      </c>
      <c r="F52" s="115" t="s">
        <v>483</v>
      </c>
      <c r="G52" s="115">
        <v>0</v>
      </c>
      <c r="H52" s="115">
        <v>36</v>
      </c>
      <c r="I52" s="194">
        <v>36</v>
      </c>
      <c r="J52" s="116">
        <v>111556</v>
      </c>
      <c r="K52" s="116">
        <v>579703</v>
      </c>
      <c r="L52" s="116">
        <v>1392979</v>
      </c>
      <c r="M52" s="195">
        <v>1.3090909090909091E-2</v>
      </c>
      <c r="N52" s="195">
        <v>3.2023291838010532E-3</v>
      </c>
      <c r="O52" s="195">
        <v>1.8568984766752561E-2</v>
      </c>
      <c r="P52" s="195">
        <v>6.5448079908564882E-2</v>
      </c>
    </row>
    <row r="53" spans="1:16" ht="22.5" customHeight="1">
      <c r="A53" s="115">
        <v>40</v>
      </c>
      <c r="B53" s="115" t="s">
        <v>67</v>
      </c>
      <c r="C53" s="115" t="s">
        <v>14</v>
      </c>
      <c r="D53" s="115" t="s">
        <v>7</v>
      </c>
      <c r="E53" s="98" t="s">
        <v>85</v>
      </c>
      <c r="F53" s="115" t="s">
        <v>483</v>
      </c>
      <c r="G53" s="115">
        <v>4</v>
      </c>
      <c r="H53" s="115">
        <v>32</v>
      </c>
      <c r="I53" s="194">
        <v>36</v>
      </c>
      <c r="J53" s="116">
        <v>292868</v>
      </c>
      <c r="K53" s="116">
        <v>602763</v>
      </c>
      <c r="L53" s="116">
        <v>60367</v>
      </c>
      <c r="M53" s="195">
        <v>1.3090909090909091E-2</v>
      </c>
      <c r="N53" s="195">
        <v>8.4070757592728928E-3</v>
      </c>
      <c r="O53" s="195">
        <v>1.9307640231225425E-2</v>
      </c>
      <c r="P53" s="195">
        <v>2.8362984939761019E-3</v>
      </c>
    </row>
    <row r="54" spans="1:16" ht="22.5" customHeight="1">
      <c r="A54" s="115">
        <v>34</v>
      </c>
      <c r="B54" s="115" t="s">
        <v>39</v>
      </c>
      <c r="C54" s="115" t="s">
        <v>58</v>
      </c>
      <c r="D54" s="115" t="s">
        <v>7</v>
      </c>
      <c r="E54" s="98" t="s">
        <v>855</v>
      </c>
      <c r="F54" s="115" t="s">
        <v>483</v>
      </c>
      <c r="G54" s="115">
        <v>8</v>
      </c>
      <c r="H54" s="115">
        <v>27</v>
      </c>
      <c r="I54" s="194">
        <v>35</v>
      </c>
      <c r="J54" s="116">
        <v>537779</v>
      </c>
      <c r="K54" s="116">
        <v>558068</v>
      </c>
      <c r="L54" s="116">
        <v>0</v>
      </c>
      <c r="M54" s="195">
        <v>1.2727272727272728E-2</v>
      </c>
      <c r="N54" s="195">
        <v>1.5437496738278053E-2</v>
      </c>
      <c r="O54" s="195">
        <v>1.7875974750539616E-2</v>
      </c>
      <c r="P54" s="195">
        <v>0</v>
      </c>
    </row>
    <row r="55" spans="1:16" ht="22.5" customHeight="1">
      <c r="A55" s="115">
        <v>54</v>
      </c>
      <c r="B55" s="115" t="s">
        <v>11</v>
      </c>
      <c r="C55" s="115" t="s">
        <v>10</v>
      </c>
      <c r="D55" s="115" t="s">
        <v>7</v>
      </c>
      <c r="E55" s="98" t="s">
        <v>941</v>
      </c>
      <c r="F55" s="115" t="s">
        <v>483</v>
      </c>
      <c r="G55" s="115">
        <v>1</v>
      </c>
      <c r="H55" s="115">
        <v>33</v>
      </c>
      <c r="I55" s="194">
        <v>34</v>
      </c>
      <c r="J55" s="116">
        <v>86219</v>
      </c>
      <c r="K55" s="116">
        <v>506867</v>
      </c>
      <c r="L55" s="116">
        <v>1071330</v>
      </c>
      <c r="M55" s="195">
        <v>1.2363636363636363E-2</v>
      </c>
      <c r="N55" s="195">
        <v>2.4750046604229536E-3</v>
      </c>
      <c r="O55" s="195">
        <v>1.623590977064043E-2</v>
      </c>
      <c r="P55" s="195">
        <v>5.0335641419176326E-2</v>
      </c>
    </row>
    <row r="56" spans="1:16" ht="22.5" customHeight="1">
      <c r="A56" s="115">
        <v>35</v>
      </c>
      <c r="B56" s="115" t="s">
        <v>25</v>
      </c>
      <c r="C56" s="115" t="s">
        <v>23</v>
      </c>
      <c r="D56" s="115" t="s">
        <v>19</v>
      </c>
      <c r="E56" s="98" t="s">
        <v>71</v>
      </c>
      <c r="F56" s="115" t="s">
        <v>476</v>
      </c>
      <c r="G56" s="115">
        <v>8</v>
      </c>
      <c r="H56" s="115">
        <v>26</v>
      </c>
      <c r="I56" s="194">
        <v>34</v>
      </c>
      <c r="J56" s="116">
        <v>951670</v>
      </c>
      <c r="K56" s="116">
        <v>941089</v>
      </c>
      <c r="L56" s="116">
        <v>59717</v>
      </c>
      <c r="M56" s="195">
        <v>2.1656050955414011E-2</v>
      </c>
      <c r="N56" s="195">
        <v>3.0504973393772929E-2</v>
      </c>
      <c r="O56" s="195">
        <v>2.7031705133990041E-2</v>
      </c>
      <c r="P56" s="195">
        <v>2.8318451963195166E-3</v>
      </c>
    </row>
    <row r="57" spans="1:16" ht="22.5" customHeight="1">
      <c r="A57" s="115">
        <v>31</v>
      </c>
      <c r="B57" s="115" t="s">
        <v>25</v>
      </c>
      <c r="C57" s="115" t="s">
        <v>24</v>
      </c>
      <c r="D57" s="115" t="s">
        <v>19</v>
      </c>
      <c r="E57" s="98" t="s">
        <v>919</v>
      </c>
      <c r="F57" s="115" t="s">
        <v>476</v>
      </c>
      <c r="G57" s="115">
        <v>12</v>
      </c>
      <c r="H57" s="115">
        <v>17</v>
      </c>
      <c r="I57" s="194">
        <v>29</v>
      </c>
      <c r="J57" s="116">
        <v>845146</v>
      </c>
      <c r="K57" s="116">
        <v>791147</v>
      </c>
      <c r="L57" s="116">
        <v>32037</v>
      </c>
      <c r="M57" s="195">
        <v>1.8471337579617834E-2</v>
      </c>
      <c r="N57" s="195">
        <v>2.709043706731705E-2</v>
      </c>
      <c r="O57" s="195">
        <v>2.2724792683413382E-2</v>
      </c>
      <c r="P57" s="195">
        <v>1.5192294414402658E-3</v>
      </c>
    </row>
    <row r="58" spans="1:16" ht="22.5" customHeight="1">
      <c r="A58" s="115">
        <v>36</v>
      </c>
      <c r="B58" s="115" t="s">
        <v>39</v>
      </c>
      <c r="C58" s="115" t="s">
        <v>32</v>
      </c>
      <c r="D58" s="115" t="s">
        <v>19</v>
      </c>
      <c r="E58" s="98" t="s">
        <v>911</v>
      </c>
      <c r="F58" s="115" t="s">
        <v>476</v>
      </c>
      <c r="G58" s="115">
        <v>7</v>
      </c>
      <c r="H58" s="115">
        <v>21</v>
      </c>
      <c r="I58" s="194">
        <v>28</v>
      </c>
      <c r="J58" s="116">
        <v>1355640</v>
      </c>
      <c r="K58" s="116">
        <v>668586</v>
      </c>
      <c r="L58" s="116">
        <v>25550</v>
      </c>
      <c r="M58" s="195">
        <v>1.7834394904458598E-2</v>
      </c>
      <c r="N58" s="195">
        <v>4.3453888565925518E-2</v>
      </c>
      <c r="O58" s="195">
        <v>1.9204368140222514E-2</v>
      </c>
      <c r="P58" s="195">
        <v>1.2116088344351465E-3</v>
      </c>
    </row>
    <row r="59" spans="1:16" ht="22.5" customHeight="1">
      <c r="A59" s="115">
        <v>43</v>
      </c>
      <c r="B59" s="115" t="s">
        <v>39</v>
      </c>
      <c r="C59" s="115" t="s">
        <v>9</v>
      </c>
      <c r="D59" s="115" t="s">
        <v>19</v>
      </c>
      <c r="E59" s="98" t="s">
        <v>83</v>
      </c>
      <c r="F59" s="115" t="s">
        <v>476</v>
      </c>
      <c r="G59" s="115">
        <v>3</v>
      </c>
      <c r="H59" s="115">
        <v>24</v>
      </c>
      <c r="I59" s="194">
        <v>27</v>
      </c>
      <c r="J59" s="116">
        <v>660121</v>
      </c>
      <c r="K59" s="116">
        <v>872761</v>
      </c>
      <c r="L59" s="116">
        <v>86413</v>
      </c>
      <c r="M59" s="195">
        <v>1.7197452229299363E-2</v>
      </c>
      <c r="N59" s="195">
        <v>2.1159617873496885E-2</v>
      </c>
      <c r="O59" s="195">
        <v>2.5069061485625994E-2</v>
      </c>
      <c r="P59" s="195">
        <v>4.0977985992189554E-3</v>
      </c>
    </row>
    <row r="60" spans="1:16" ht="22.5" customHeight="1">
      <c r="A60" s="115">
        <v>44</v>
      </c>
      <c r="B60" s="115" t="s">
        <v>67</v>
      </c>
      <c r="C60" s="115" t="s">
        <v>14</v>
      </c>
      <c r="D60" s="115" t="s">
        <v>7</v>
      </c>
      <c r="E60" s="98" t="s">
        <v>123</v>
      </c>
      <c r="F60" s="115" t="s">
        <v>483</v>
      </c>
      <c r="G60" s="115">
        <v>3</v>
      </c>
      <c r="H60" s="115">
        <v>24</v>
      </c>
      <c r="I60" s="194">
        <v>27</v>
      </c>
      <c r="J60" s="116">
        <v>370883</v>
      </c>
      <c r="K60" s="116">
        <v>850263</v>
      </c>
      <c r="L60" s="116">
        <v>47638</v>
      </c>
      <c r="M60" s="195">
        <v>9.8181818181818179E-3</v>
      </c>
      <c r="N60" s="195">
        <v>1.064657620097248E-2</v>
      </c>
      <c r="O60" s="195">
        <v>2.7235533876370024E-2</v>
      </c>
      <c r="P60" s="195">
        <v>2.2382359179027207E-3</v>
      </c>
    </row>
    <row r="61" spans="1:16" ht="22.5" customHeight="1">
      <c r="A61" s="115">
        <v>39</v>
      </c>
      <c r="B61" s="115" t="s">
        <v>25</v>
      </c>
      <c r="C61" s="115" t="s">
        <v>23</v>
      </c>
      <c r="D61" s="115" t="s">
        <v>19</v>
      </c>
      <c r="E61" s="98" t="s">
        <v>890</v>
      </c>
      <c r="F61" s="115" t="s">
        <v>476</v>
      </c>
      <c r="G61" s="115">
        <v>5</v>
      </c>
      <c r="H61" s="115">
        <v>22</v>
      </c>
      <c r="I61" s="194">
        <v>27</v>
      </c>
      <c r="J61" s="116">
        <v>1064777</v>
      </c>
      <c r="K61" s="116">
        <v>826484</v>
      </c>
      <c r="L61" s="116">
        <v>45120</v>
      </c>
      <c r="M61" s="195">
        <v>1.7197452229299363E-2</v>
      </c>
      <c r="N61" s="195">
        <v>3.4130522192883414E-2</v>
      </c>
      <c r="O61" s="195">
        <v>2.3739807590951147E-2</v>
      </c>
      <c r="P61" s="195">
        <v>2.1396395541962354E-3</v>
      </c>
    </row>
    <row r="62" spans="1:16" ht="22.5" customHeight="1">
      <c r="A62" s="115">
        <v>73</v>
      </c>
      <c r="B62" s="115" t="s">
        <v>11</v>
      </c>
      <c r="C62" s="115" t="s">
        <v>10</v>
      </c>
      <c r="D62" s="115" t="s">
        <v>19</v>
      </c>
      <c r="E62" s="98" t="s">
        <v>901</v>
      </c>
      <c r="F62" s="115" t="s">
        <v>476</v>
      </c>
      <c r="G62" s="115">
        <v>0</v>
      </c>
      <c r="H62" s="115">
        <v>26</v>
      </c>
      <c r="I62" s="194">
        <v>26</v>
      </c>
      <c r="J62" s="116">
        <v>97061</v>
      </c>
      <c r="K62" s="116">
        <v>1480960</v>
      </c>
      <c r="L62" s="116">
        <v>2270185</v>
      </c>
      <c r="M62" s="195">
        <v>1.6560509554140127E-2</v>
      </c>
      <c r="N62" s="195">
        <v>3.111207900399292E-3</v>
      </c>
      <c r="O62" s="195">
        <v>4.2538882119793016E-2</v>
      </c>
      <c r="P62" s="195">
        <v>0.10765464586309798</v>
      </c>
    </row>
    <row r="63" spans="1:16" ht="22.5" customHeight="1">
      <c r="A63" s="115">
        <v>74</v>
      </c>
      <c r="B63" s="115" t="s">
        <v>11</v>
      </c>
      <c r="C63" s="115" t="s">
        <v>9</v>
      </c>
      <c r="D63" s="115" t="s">
        <v>19</v>
      </c>
      <c r="E63" s="98" t="s">
        <v>128</v>
      </c>
      <c r="F63" s="115" t="s">
        <v>476</v>
      </c>
      <c r="G63" s="115">
        <v>0</v>
      </c>
      <c r="H63" s="115">
        <v>26</v>
      </c>
      <c r="I63" s="194">
        <v>26</v>
      </c>
      <c r="J63" s="116">
        <v>2289</v>
      </c>
      <c r="K63" s="116">
        <v>449969</v>
      </c>
      <c r="L63" s="116">
        <v>1086542</v>
      </c>
      <c r="M63" s="195">
        <v>1.6560509554140127E-2</v>
      </c>
      <c r="N63" s="195">
        <v>7.3371950464285143E-5</v>
      </c>
      <c r="O63" s="195">
        <v>1.2924844863170607E-2</v>
      </c>
      <c r="P63" s="195">
        <v>5.1525005330130449E-2</v>
      </c>
    </row>
    <row r="64" spans="1:16" ht="22.5" customHeight="1">
      <c r="A64" s="115">
        <v>55</v>
      </c>
      <c r="B64" s="115" t="s">
        <v>67</v>
      </c>
      <c r="C64" s="115" t="s">
        <v>14</v>
      </c>
      <c r="D64" s="115" t="s">
        <v>7</v>
      </c>
      <c r="E64" s="98" t="s">
        <v>942</v>
      </c>
      <c r="F64" s="115" t="s">
        <v>483</v>
      </c>
      <c r="G64" s="115">
        <v>1</v>
      </c>
      <c r="H64" s="115">
        <v>24</v>
      </c>
      <c r="I64" s="194">
        <v>25</v>
      </c>
      <c r="J64" s="116">
        <v>365295</v>
      </c>
      <c r="K64" s="116">
        <v>728088</v>
      </c>
      <c r="L64" s="116">
        <v>76697</v>
      </c>
      <c r="M64" s="195">
        <v>9.0909090909090905E-3</v>
      </c>
      <c r="N64" s="195">
        <v>1.0486166940340328E-2</v>
      </c>
      <c r="O64" s="195">
        <v>2.332203728608501E-2</v>
      </c>
      <c r="P64" s="195">
        <v>3.6035513706575623E-3</v>
      </c>
    </row>
    <row r="65" spans="1:16" ht="22.5" customHeight="1">
      <c r="A65" s="115">
        <v>75</v>
      </c>
      <c r="B65" s="115" t="s">
        <v>67</v>
      </c>
      <c r="C65" s="115" t="s">
        <v>14</v>
      </c>
      <c r="D65" s="115" t="s">
        <v>7</v>
      </c>
      <c r="E65" s="98" t="s">
        <v>109</v>
      </c>
      <c r="F65" s="115" t="s">
        <v>483</v>
      </c>
      <c r="G65" s="115">
        <v>0</v>
      </c>
      <c r="H65" s="115">
        <v>24</v>
      </c>
      <c r="I65" s="194">
        <v>24</v>
      </c>
      <c r="J65" s="116">
        <v>161481</v>
      </c>
      <c r="K65" s="116">
        <v>827536</v>
      </c>
      <c r="L65" s="116">
        <v>61259</v>
      </c>
      <c r="M65" s="195">
        <v>8.7272727272727276E-3</v>
      </c>
      <c r="N65" s="195">
        <v>4.6354774187796072E-3</v>
      </c>
      <c r="O65" s="195">
        <v>2.6507545032437897E-2</v>
      </c>
      <c r="P65" s="195">
        <v>2.8782084490281447E-3</v>
      </c>
    </row>
    <row r="66" spans="1:16" ht="22.5" customHeight="1">
      <c r="A66" s="115">
        <v>32</v>
      </c>
      <c r="B66" s="115" t="s">
        <v>39</v>
      </c>
      <c r="C66" s="115" t="s">
        <v>45</v>
      </c>
      <c r="D66" s="115" t="s">
        <v>19</v>
      </c>
      <c r="E66" s="98" t="s">
        <v>943</v>
      </c>
      <c r="F66" s="115" t="s">
        <v>476</v>
      </c>
      <c r="G66" s="115">
        <v>11</v>
      </c>
      <c r="H66" s="115">
        <v>12</v>
      </c>
      <c r="I66" s="194">
        <v>23</v>
      </c>
      <c r="J66" s="116">
        <v>1209026</v>
      </c>
      <c r="K66" s="116">
        <v>734920</v>
      </c>
      <c r="L66" s="116">
        <v>39273</v>
      </c>
      <c r="M66" s="195">
        <v>1.4649681528662421E-2</v>
      </c>
      <c r="N66" s="195">
        <v>3.8754301346453822E-2</v>
      </c>
      <c r="O66" s="195">
        <v>2.1109736419267423E-2</v>
      </c>
      <c r="P66" s="195">
        <v>1.8623684444137576E-3</v>
      </c>
    </row>
    <row r="67" spans="1:16" ht="22.5" customHeight="1">
      <c r="A67" s="115">
        <v>47</v>
      </c>
      <c r="B67" s="115" t="s">
        <v>67</v>
      </c>
      <c r="C67" s="115" t="s">
        <v>14</v>
      </c>
      <c r="D67" s="115" t="s">
        <v>7</v>
      </c>
      <c r="E67" s="98" t="s">
        <v>93</v>
      </c>
      <c r="F67" s="115" t="s">
        <v>483</v>
      </c>
      <c r="G67" s="115">
        <v>2</v>
      </c>
      <c r="H67" s="115">
        <v>21</v>
      </c>
      <c r="I67" s="194">
        <v>23</v>
      </c>
      <c r="J67" s="116">
        <v>230313</v>
      </c>
      <c r="K67" s="116">
        <v>791978</v>
      </c>
      <c r="L67" s="116">
        <v>34806</v>
      </c>
      <c r="M67" s="195">
        <v>8.363636363636363E-3</v>
      </c>
      <c r="N67" s="195">
        <v>6.6113704445190926E-3</v>
      </c>
      <c r="O67" s="195">
        <v>2.5368554962805365E-2</v>
      </c>
      <c r="P67" s="195">
        <v>1.6353339636114466E-3</v>
      </c>
    </row>
    <row r="68" spans="1:16" ht="22.5" customHeight="1">
      <c r="A68" s="115">
        <v>56</v>
      </c>
      <c r="B68" s="115" t="s">
        <v>11</v>
      </c>
      <c r="C68" s="115" t="s">
        <v>10</v>
      </c>
      <c r="D68" s="115" t="s">
        <v>7</v>
      </c>
      <c r="E68" s="98" t="s">
        <v>105</v>
      </c>
      <c r="F68" s="115" t="s">
        <v>483</v>
      </c>
      <c r="G68" s="115">
        <v>1</v>
      </c>
      <c r="H68" s="115">
        <v>20</v>
      </c>
      <c r="I68" s="194">
        <v>21</v>
      </c>
      <c r="J68" s="116">
        <v>58860</v>
      </c>
      <c r="K68" s="116">
        <v>645438</v>
      </c>
      <c r="L68" s="116">
        <v>811329</v>
      </c>
      <c r="M68" s="195">
        <v>7.6363636363636364E-3</v>
      </c>
      <c r="N68" s="195">
        <v>1.6896365570523322E-3</v>
      </c>
      <c r="O68" s="195">
        <v>2.0674601287009448E-2</v>
      </c>
      <c r="P68" s="195">
        <v>3.8119688253833002E-2</v>
      </c>
    </row>
    <row r="69" spans="1:16" ht="22.5" customHeight="1">
      <c r="A69" s="115">
        <v>76</v>
      </c>
      <c r="B69" s="115" t="s">
        <v>11</v>
      </c>
      <c r="C69" s="115" t="s">
        <v>10</v>
      </c>
      <c r="D69" s="115" t="s">
        <v>19</v>
      </c>
      <c r="E69" s="98" t="s">
        <v>925</v>
      </c>
      <c r="F69" s="115" t="s">
        <v>476</v>
      </c>
      <c r="G69" s="115">
        <v>0</v>
      </c>
      <c r="H69" s="115">
        <v>20</v>
      </c>
      <c r="I69" s="194">
        <v>20</v>
      </c>
      <c r="J69" s="116">
        <v>70525</v>
      </c>
      <c r="K69" s="116">
        <v>897889</v>
      </c>
      <c r="L69" s="116">
        <v>1389993</v>
      </c>
      <c r="M69" s="195">
        <v>1.2738853503184714E-2</v>
      </c>
      <c r="N69" s="195">
        <v>2.2606189630815679E-3</v>
      </c>
      <c r="O69" s="195">
        <v>2.5790834544929527E-2</v>
      </c>
      <c r="P69" s="195">
        <v>6.5914982332798924E-2</v>
      </c>
    </row>
    <row r="70" spans="1:16" ht="22.5" customHeight="1">
      <c r="A70" s="115">
        <v>77</v>
      </c>
      <c r="B70" s="115" t="s">
        <v>11</v>
      </c>
      <c r="C70" s="115" t="s">
        <v>10</v>
      </c>
      <c r="D70" s="115" t="s">
        <v>19</v>
      </c>
      <c r="E70" s="98" t="s">
        <v>315</v>
      </c>
      <c r="F70" s="115" t="s">
        <v>476</v>
      </c>
      <c r="G70" s="115">
        <v>0</v>
      </c>
      <c r="H70" s="115">
        <v>19</v>
      </c>
      <c r="I70" s="194">
        <v>19</v>
      </c>
      <c r="J70" s="116">
        <v>63947</v>
      </c>
      <c r="K70" s="116">
        <v>733725</v>
      </c>
      <c r="L70" s="116">
        <v>1376600</v>
      </c>
      <c r="M70" s="195">
        <v>1.2101910828025478E-2</v>
      </c>
      <c r="N70" s="195">
        <v>2.0497667611793979E-3</v>
      </c>
      <c r="O70" s="195">
        <v>2.1075411411074659E-2</v>
      </c>
      <c r="P70" s="195">
        <v>6.5279871682325741E-2</v>
      </c>
    </row>
    <row r="71" spans="1:16" ht="22.5" customHeight="1">
      <c r="A71" s="115">
        <v>78</v>
      </c>
      <c r="B71" s="115" t="s">
        <v>11</v>
      </c>
      <c r="C71" s="115" t="s">
        <v>10</v>
      </c>
      <c r="D71" s="115" t="s">
        <v>19</v>
      </c>
      <c r="E71" s="98" t="s">
        <v>904</v>
      </c>
      <c r="F71" s="115" t="s">
        <v>476</v>
      </c>
      <c r="G71" s="115">
        <v>0</v>
      </c>
      <c r="H71" s="115">
        <v>18</v>
      </c>
      <c r="I71" s="194">
        <v>18</v>
      </c>
      <c r="J71" s="116">
        <v>81036</v>
      </c>
      <c r="K71" s="116">
        <v>987176</v>
      </c>
      <c r="L71" s="116">
        <v>1537527</v>
      </c>
      <c r="M71" s="195">
        <v>1.1464968152866241E-2</v>
      </c>
      <c r="N71" s="195">
        <v>2.5975401388483228E-3</v>
      </c>
      <c r="O71" s="195">
        <v>2.8355501495981518E-2</v>
      </c>
      <c r="P71" s="195">
        <v>7.2911205337869572E-2</v>
      </c>
    </row>
    <row r="72" spans="1:16" ht="22.5" customHeight="1">
      <c r="A72" s="115">
        <v>41</v>
      </c>
      <c r="B72" s="115" t="s">
        <v>67</v>
      </c>
      <c r="C72" s="115" t="s">
        <v>14</v>
      </c>
      <c r="D72" s="115" t="s">
        <v>7</v>
      </c>
      <c r="E72" s="98" t="s">
        <v>57</v>
      </c>
      <c r="F72" s="115" t="s">
        <v>483</v>
      </c>
      <c r="G72" s="115">
        <v>4</v>
      </c>
      <c r="H72" s="115">
        <v>14</v>
      </c>
      <c r="I72" s="194">
        <v>18</v>
      </c>
      <c r="J72" s="116">
        <v>254522</v>
      </c>
      <c r="K72" s="116">
        <v>564539</v>
      </c>
      <c r="L72" s="116">
        <v>21340</v>
      </c>
      <c r="M72" s="195">
        <v>6.5454545454545453E-3</v>
      </c>
      <c r="N72" s="195">
        <v>7.3063145731239168E-3</v>
      </c>
      <c r="O72" s="195">
        <v>1.8083253133479943E-2</v>
      </c>
      <c r="P72" s="195">
        <v>1.002643991940133E-3</v>
      </c>
    </row>
    <row r="73" spans="1:16" ht="22.5" customHeight="1">
      <c r="A73" s="115">
        <v>58</v>
      </c>
      <c r="B73" s="115" t="s">
        <v>11</v>
      </c>
      <c r="C73" s="115" t="s">
        <v>10</v>
      </c>
      <c r="D73" s="115" t="s">
        <v>19</v>
      </c>
      <c r="E73" s="98" t="s">
        <v>301</v>
      </c>
      <c r="F73" s="115" t="s">
        <v>476</v>
      </c>
      <c r="G73" s="115">
        <v>1</v>
      </c>
      <c r="H73" s="115">
        <v>16</v>
      </c>
      <c r="I73" s="194">
        <v>17</v>
      </c>
      <c r="J73" s="116">
        <v>85281</v>
      </c>
      <c r="K73" s="116">
        <v>1032969</v>
      </c>
      <c r="L73" s="116">
        <v>1360913</v>
      </c>
      <c r="M73" s="195">
        <v>1.0828025477707006E-2</v>
      </c>
      <c r="N73" s="195">
        <v>2.7336100076647885E-3</v>
      </c>
      <c r="O73" s="195">
        <v>2.9670853044241892E-2</v>
      </c>
      <c r="P73" s="195">
        <v>6.453597705274515E-2</v>
      </c>
    </row>
    <row r="74" spans="1:16" ht="22.5" customHeight="1">
      <c r="A74" s="115">
        <v>57</v>
      </c>
      <c r="B74" s="115" t="s">
        <v>67</v>
      </c>
      <c r="C74" s="115" t="s">
        <v>794</v>
      </c>
      <c r="D74" s="115" t="s">
        <v>7</v>
      </c>
      <c r="E74" s="98" t="s">
        <v>79</v>
      </c>
      <c r="F74" s="115" t="s">
        <v>483</v>
      </c>
      <c r="G74" s="115">
        <v>1</v>
      </c>
      <c r="H74" s="115">
        <v>16</v>
      </c>
      <c r="I74" s="194">
        <v>17</v>
      </c>
      <c r="J74" s="116">
        <v>170906</v>
      </c>
      <c r="K74" s="116">
        <v>310959</v>
      </c>
      <c r="L74" s="116">
        <v>13116</v>
      </c>
      <c r="M74" s="195">
        <v>6.1818181818181816E-3</v>
      </c>
      <c r="N74" s="195">
        <v>4.9060316924836207E-3</v>
      </c>
      <c r="O74" s="195">
        <v>9.9606055757596717E-3</v>
      </c>
      <c r="P74" s="195">
        <v>6.1624548258138638E-4</v>
      </c>
    </row>
    <row r="75" spans="1:16" ht="22.5" customHeight="1">
      <c r="A75" s="115">
        <v>48</v>
      </c>
      <c r="B75" s="115" t="s">
        <v>67</v>
      </c>
      <c r="C75" s="115" t="s">
        <v>14</v>
      </c>
      <c r="D75" s="115" t="s">
        <v>19</v>
      </c>
      <c r="E75" s="98" t="s">
        <v>900</v>
      </c>
      <c r="F75" s="115" t="s">
        <v>476</v>
      </c>
      <c r="G75" s="115">
        <v>2</v>
      </c>
      <c r="H75" s="115">
        <v>14</v>
      </c>
      <c r="I75" s="194">
        <v>16</v>
      </c>
      <c r="J75" s="116">
        <v>174397</v>
      </c>
      <c r="K75" s="116">
        <v>552945</v>
      </c>
      <c r="L75" s="116">
        <v>59233</v>
      </c>
      <c r="M75" s="195">
        <v>1.019108280254777E-2</v>
      </c>
      <c r="N75" s="195">
        <v>5.5901476824464546E-3</v>
      </c>
      <c r="O75" s="195">
        <v>1.588271268213115E-2</v>
      </c>
      <c r="P75" s="195">
        <v>2.8088933890448938E-3</v>
      </c>
    </row>
    <row r="76" spans="1:16" ht="22.5" customHeight="1">
      <c r="A76" s="115">
        <v>79</v>
      </c>
      <c r="B76" s="115" t="s">
        <v>11</v>
      </c>
      <c r="C76" s="115" t="s">
        <v>10</v>
      </c>
      <c r="D76" s="115" t="s">
        <v>19</v>
      </c>
      <c r="E76" s="98" t="s">
        <v>944</v>
      </c>
      <c r="F76" s="115" t="s">
        <v>476</v>
      </c>
      <c r="G76" s="115">
        <v>0</v>
      </c>
      <c r="H76" s="115">
        <v>15</v>
      </c>
      <c r="I76" s="194">
        <v>15</v>
      </c>
      <c r="J76" s="116">
        <v>27210</v>
      </c>
      <c r="K76" s="116">
        <v>411699</v>
      </c>
      <c r="L76" s="116">
        <v>1034228</v>
      </c>
      <c r="M76" s="195">
        <v>9.5541401273885346E-3</v>
      </c>
      <c r="N76" s="195">
        <v>8.7219343474582729E-4</v>
      </c>
      <c r="O76" s="195">
        <v>1.1825582885315379E-2</v>
      </c>
      <c r="P76" s="195">
        <v>4.9044218458715962E-2</v>
      </c>
    </row>
    <row r="77" spans="1:16" ht="22.5" customHeight="1">
      <c r="A77" s="115">
        <v>80</v>
      </c>
      <c r="B77" s="115" t="s">
        <v>11</v>
      </c>
      <c r="C77" s="115" t="s">
        <v>10</v>
      </c>
      <c r="D77" s="115" t="s">
        <v>19</v>
      </c>
      <c r="E77" s="98" t="s">
        <v>945</v>
      </c>
      <c r="F77" s="115" t="s">
        <v>476</v>
      </c>
      <c r="G77" s="115">
        <v>0</v>
      </c>
      <c r="H77" s="115">
        <v>14</v>
      </c>
      <c r="I77" s="194">
        <v>14</v>
      </c>
      <c r="J77" s="116">
        <v>80448</v>
      </c>
      <c r="K77" s="116">
        <v>758988</v>
      </c>
      <c r="L77" s="116">
        <v>1364561</v>
      </c>
      <c r="M77" s="195">
        <v>8.9171974522292991E-3</v>
      </c>
      <c r="N77" s="195">
        <v>2.5786922983620842E-3</v>
      </c>
      <c r="O77" s="195">
        <v>2.1801062190969007E-2</v>
      </c>
      <c r="P77" s="195">
        <v>6.4708969186914211E-2</v>
      </c>
    </row>
    <row r="78" spans="1:16" ht="22.5" customHeight="1">
      <c r="A78" s="115">
        <v>81</v>
      </c>
      <c r="B78" s="115" t="s">
        <v>11</v>
      </c>
      <c r="C78" s="115" t="s">
        <v>10</v>
      </c>
      <c r="D78" s="115" t="s">
        <v>19</v>
      </c>
      <c r="E78" s="98" t="s">
        <v>946</v>
      </c>
      <c r="F78" s="115" t="s">
        <v>476</v>
      </c>
      <c r="G78" s="115">
        <v>0</v>
      </c>
      <c r="H78" s="115">
        <v>14</v>
      </c>
      <c r="I78" s="194">
        <v>14</v>
      </c>
      <c r="J78" s="116">
        <v>59377</v>
      </c>
      <c r="K78" s="116">
        <v>600950</v>
      </c>
      <c r="L78" s="116">
        <v>1164460</v>
      </c>
      <c r="M78" s="195">
        <v>8.9171974522292991E-3</v>
      </c>
      <c r="N78" s="195">
        <v>1.903279293454722E-3</v>
      </c>
      <c r="O78" s="195">
        <v>1.7261601400368417E-2</v>
      </c>
      <c r="P78" s="195">
        <v>5.521996177480825E-2</v>
      </c>
    </row>
    <row r="79" spans="1:16" ht="22.5" customHeight="1">
      <c r="A79" s="115">
        <v>59</v>
      </c>
      <c r="B79" s="115" t="s">
        <v>67</v>
      </c>
      <c r="C79" s="115" t="s">
        <v>70</v>
      </c>
      <c r="D79" s="115" t="s">
        <v>7</v>
      </c>
      <c r="E79" s="98" t="s">
        <v>64</v>
      </c>
      <c r="F79" s="115" t="s">
        <v>483</v>
      </c>
      <c r="G79" s="115">
        <v>1</v>
      </c>
      <c r="H79" s="115">
        <v>13</v>
      </c>
      <c r="I79" s="194">
        <v>14</v>
      </c>
      <c r="J79" s="116">
        <v>205068</v>
      </c>
      <c r="K79" s="116">
        <v>342956</v>
      </c>
      <c r="L79" s="116">
        <v>28258</v>
      </c>
      <c r="M79" s="195">
        <v>5.0909090909090913E-3</v>
      </c>
      <c r="N79" s="195">
        <v>5.8866868753246291E-3</v>
      </c>
      <c r="O79" s="195">
        <v>1.0985530072582669E-2</v>
      </c>
      <c r="P79" s="195">
        <v>1.32768106486618E-3</v>
      </c>
    </row>
    <row r="80" spans="1:16" ht="22.5" customHeight="1">
      <c r="A80" s="115">
        <v>83</v>
      </c>
      <c r="B80" s="115" t="s">
        <v>67</v>
      </c>
      <c r="C80" s="115" t="s">
        <v>14</v>
      </c>
      <c r="D80" s="115" t="s">
        <v>19</v>
      </c>
      <c r="E80" s="98" t="s">
        <v>933</v>
      </c>
      <c r="F80" s="115" t="s">
        <v>476</v>
      </c>
      <c r="G80" s="115">
        <v>0</v>
      </c>
      <c r="H80" s="115">
        <v>13</v>
      </c>
      <c r="I80" s="194">
        <v>13</v>
      </c>
      <c r="J80" s="116">
        <v>228881</v>
      </c>
      <c r="K80" s="116">
        <v>757056</v>
      </c>
      <c r="L80" s="116">
        <v>71604</v>
      </c>
      <c r="M80" s="195">
        <v>8.2802547770700636E-3</v>
      </c>
      <c r="N80" s="195">
        <v>7.3365860175692646E-3</v>
      </c>
      <c r="O80" s="195">
        <v>2.1745567700736022E-2</v>
      </c>
      <c r="P80" s="195">
        <v>3.3955396861406746E-3</v>
      </c>
    </row>
    <row r="81" spans="1:16" ht="22.5" customHeight="1">
      <c r="A81" s="115">
        <v>82</v>
      </c>
      <c r="B81" s="115" t="s">
        <v>67</v>
      </c>
      <c r="C81" s="115" t="s">
        <v>794</v>
      </c>
      <c r="D81" s="115" t="s">
        <v>19</v>
      </c>
      <c r="E81" s="98" t="s">
        <v>89</v>
      </c>
      <c r="F81" s="115" t="s">
        <v>476</v>
      </c>
      <c r="G81" s="115">
        <v>0</v>
      </c>
      <c r="H81" s="115">
        <v>13</v>
      </c>
      <c r="I81" s="194">
        <v>13</v>
      </c>
      <c r="J81" s="116">
        <v>335954</v>
      </c>
      <c r="K81" s="116">
        <v>795463</v>
      </c>
      <c r="L81" s="116">
        <v>54553</v>
      </c>
      <c r="M81" s="195">
        <v>8.2802547770700636E-3</v>
      </c>
      <c r="N81" s="195">
        <v>1.0768720072642398E-2</v>
      </c>
      <c r="O81" s="195">
        <v>2.284876484689452E-2</v>
      </c>
      <c r="P81" s="195">
        <v>2.5869626906043267E-3</v>
      </c>
    </row>
    <row r="82" spans="1:16" ht="22.5" customHeight="1">
      <c r="A82" s="115">
        <v>60</v>
      </c>
      <c r="B82" s="115" t="s">
        <v>67</v>
      </c>
      <c r="C82" s="115" t="s">
        <v>14</v>
      </c>
      <c r="D82" s="115" t="s">
        <v>19</v>
      </c>
      <c r="E82" s="98" t="s">
        <v>930</v>
      </c>
      <c r="F82" s="115" t="s">
        <v>476</v>
      </c>
      <c r="G82" s="115">
        <v>1</v>
      </c>
      <c r="H82" s="115">
        <v>12</v>
      </c>
      <c r="I82" s="194">
        <v>13</v>
      </c>
      <c r="J82" s="116">
        <v>377393</v>
      </c>
      <c r="K82" s="116">
        <v>771143</v>
      </c>
      <c r="L82" s="116">
        <v>35015</v>
      </c>
      <c r="M82" s="195">
        <v>8.2802547770700636E-3</v>
      </c>
      <c r="N82" s="195">
        <v>1.2097012014664902E-2</v>
      </c>
      <c r="O82" s="195">
        <v>2.2150200663423419E-2</v>
      </c>
      <c r="P82" s="195">
        <v>1.6604494457043702E-3</v>
      </c>
    </row>
    <row r="83" spans="1:16" ht="22.5" customHeight="1">
      <c r="A83" s="115">
        <v>84</v>
      </c>
      <c r="B83" s="115" t="s">
        <v>67</v>
      </c>
      <c r="C83" s="115" t="s">
        <v>75</v>
      </c>
      <c r="D83" s="115" t="s">
        <v>7</v>
      </c>
      <c r="E83" s="98" t="s">
        <v>114</v>
      </c>
      <c r="F83" s="115" t="s">
        <v>483</v>
      </c>
      <c r="G83" s="115">
        <v>0</v>
      </c>
      <c r="H83" s="115">
        <v>13</v>
      </c>
      <c r="I83" s="194">
        <v>13</v>
      </c>
      <c r="J83" s="116">
        <v>194197</v>
      </c>
      <c r="K83" s="116">
        <v>298199</v>
      </c>
      <c r="L83" s="116">
        <v>29160</v>
      </c>
      <c r="M83" s="195">
        <v>4.7272727272727275E-3</v>
      </c>
      <c r="N83" s="195">
        <v>5.5746236912995548E-3</v>
      </c>
      <c r="O83" s="195">
        <v>9.5518786144988838E-3</v>
      </c>
      <c r="P83" s="195">
        <v>1.3700608624636495E-3</v>
      </c>
    </row>
    <row r="84" spans="1:16" ht="22.5" customHeight="1">
      <c r="A84" s="115">
        <v>61</v>
      </c>
      <c r="B84" s="115" t="s">
        <v>67</v>
      </c>
      <c r="C84" s="115" t="s">
        <v>14</v>
      </c>
      <c r="D84" s="115" t="s">
        <v>7</v>
      </c>
      <c r="E84" s="98" t="s">
        <v>82</v>
      </c>
      <c r="F84" s="115" t="s">
        <v>483</v>
      </c>
      <c r="G84" s="115">
        <v>1</v>
      </c>
      <c r="H84" s="115">
        <v>11</v>
      </c>
      <c r="I84" s="194">
        <v>12</v>
      </c>
      <c r="J84" s="116">
        <v>75235</v>
      </c>
      <c r="K84" s="116">
        <v>838541</v>
      </c>
      <c r="L84" s="116">
        <v>31975</v>
      </c>
      <c r="M84" s="195">
        <v>4.3636363636363638E-3</v>
      </c>
      <c r="N84" s="195">
        <v>2.1596976957158039E-3</v>
      </c>
      <c r="O84" s="195">
        <v>2.686005602057857E-2</v>
      </c>
      <c r="P84" s="195">
        <v>1.5023215390012068E-3</v>
      </c>
    </row>
    <row r="85" spans="1:16" ht="22.5" customHeight="1">
      <c r="A85" s="115">
        <v>86</v>
      </c>
      <c r="B85" s="115" t="s">
        <v>11</v>
      </c>
      <c r="C85" s="115" t="s">
        <v>10</v>
      </c>
      <c r="D85" s="115" t="s">
        <v>19</v>
      </c>
      <c r="E85" s="98" t="s">
        <v>907</v>
      </c>
      <c r="F85" s="115" t="s">
        <v>476</v>
      </c>
      <c r="G85" s="115">
        <v>0</v>
      </c>
      <c r="H85" s="115">
        <v>11</v>
      </c>
      <c r="I85" s="194">
        <v>11</v>
      </c>
      <c r="J85" s="116">
        <v>90721</v>
      </c>
      <c r="K85" s="116">
        <v>694545</v>
      </c>
      <c r="L85" s="116">
        <v>1266456</v>
      </c>
      <c r="M85" s="195">
        <v>7.0063694267515925E-3</v>
      </c>
      <c r="N85" s="195">
        <v>2.9079845863129801E-3</v>
      </c>
      <c r="O85" s="195">
        <v>1.9950010724051722E-2</v>
      </c>
      <c r="P85" s="195">
        <v>6.0056723210309117E-2</v>
      </c>
    </row>
    <row r="86" spans="1:16" ht="22.5" customHeight="1">
      <c r="A86" s="115">
        <v>85</v>
      </c>
      <c r="B86" s="115" t="s">
        <v>67</v>
      </c>
      <c r="C86" s="115" t="s">
        <v>14</v>
      </c>
      <c r="D86" s="115" t="s">
        <v>19</v>
      </c>
      <c r="E86" s="98" t="s">
        <v>931</v>
      </c>
      <c r="F86" s="115" t="s">
        <v>476</v>
      </c>
      <c r="G86" s="115">
        <v>0</v>
      </c>
      <c r="H86" s="115">
        <v>11</v>
      </c>
      <c r="I86" s="194">
        <v>11</v>
      </c>
      <c r="J86" s="116">
        <v>191107</v>
      </c>
      <c r="K86" s="116">
        <v>814966</v>
      </c>
      <c r="L86" s="116">
        <v>131826</v>
      </c>
      <c r="M86" s="195">
        <v>7.0063694267515925E-3</v>
      </c>
      <c r="N86" s="195">
        <v>6.1257725370808822E-3</v>
      </c>
      <c r="O86" s="195">
        <v>2.3408966214914131E-2</v>
      </c>
      <c r="P86" s="195">
        <v>6.2513325326124317E-3</v>
      </c>
    </row>
    <row r="87" spans="1:16" ht="22.5" customHeight="1">
      <c r="A87" s="115">
        <v>87</v>
      </c>
      <c r="B87" s="115" t="s">
        <v>67</v>
      </c>
      <c r="C87" s="115" t="s">
        <v>14</v>
      </c>
      <c r="D87" s="115" t="s">
        <v>19</v>
      </c>
      <c r="E87" s="98" t="s">
        <v>947</v>
      </c>
      <c r="F87" s="115" t="s">
        <v>476</v>
      </c>
      <c r="G87" s="115">
        <v>0</v>
      </c>
      <c r="H87" s="115">
        <v>10</v>
      </c>
      <c r="I87" s="194">
        <v>10</v>
      </c>
      <c r="J87" s="116">
        <v>154101</v>
      </c>
      <c r="K87" s="116">
        <v>869743</v>
      </c>
      <c r="L87" s="116">
        <v>92330</v>
      </c>
      <c r="M87" s="195">
        <v>6.369426751592357E-3</v>
      </c>
      <c r="N87" s="195">
        <v>4.9395766441663628E-3</v>
      </c>
      <c r="O87" s="195">
        <v>2.4982372887529126E-2</v>
      </c>
      <c r="P87" s="195">
        <v>4.3783891852601595E-3</v>
      </c>
    </row>
    <row r="88" spans="1:16" ht="22.5" customHeight="1">
      <c r="A88" s="115">
        <v>89</v>
      </c>
      <c r="B88" s="115" t="s">
        <v>67</v>
      </c>
      <c r="C88" s="115" t="s">
        <v>14</v>
      </c>
      <c r="D88" s="115" t="s">
        <v>19</v>
      </c>
      <c r="E88" s="98" t="s">
        <v>13</v>
      </c>
      <c r="F88" s="115" t="s">
        <v>476</v>
      </c>
      <c r="G88" s="115">
        <v>0</v>
      </c>
      <c r="H88" s="115">
        <v>9</v>
      </c>
      <c r="I88" s="194">
        <v>9</v>
      </c>
      <c r="J88" s="116">
        <v>167842</v>
      </c>
      <c r="K88" s="116">
        <v>721183</v>
      </c>
      <c r="L88" s="116">
        <v>73941</v>
      </c>
      <c r="M88" s="195">
        <v>5.7324840764331206E-3</v>
      </c>
      <c r="N88" s="195">
        <v>5.3800327260054813E-3</v>
      </c>
      <c r="O88" s="195">
        <v>2.0715156806259915E-2</v>
      </c>
      <c r="P88" s="195">
        <v>3.5063627720927268E-3</v>
      </c>
    </row>
    <row r="89" spans="1:16" ht="22.5" customHeight="1">
      <c r="A89" s="115">
        <v>88</v>
      </c>
      <c r="B89" s="115" t="s">
        <v>67</v>
      </c>
      <c r="C89" s="115" t="s">
        <v>794</v>
      </c>
      <c r="D89" s="115" t="s">
        <v>19</v>
      </c>
      <c r="E89" s="98" t="s">
        <v>829</v>
      </c>
      <c r="F89" s="115" t="s">
        <v>476</v>
      </c>
      <c r="G89" s="115">
        <v>0</v>
      </c>
      <c r="H89" s="115">
        <v>9</v>
      </c>
      <c r="I89" s="194">
        <v>9</v>
      </c>
      <c r="J89" s="116">
        <v>410600</v>
      </c>
      <c r="K89" s="116">
        <v>570004</v>
      </c>
      <c r="L89" s="116">
        <v>38378</v>
      </c>
      <c r="M89" s="195">
        <v>5.7324840764331206E-3</v>
      </c>
      <c r="N89" s="195">
        <v>1.3161434189880068E-2</v>
      </c>
      <c r="O89" s="195">
        <v>1.6372712945528913E-2</v>
      </c>
      <c r="P89" s="195">
        <v>1.8199265693914699E-3</v>
      </c>
    </row>
    <row r="90" spans="1:16" ht="22.5" customHeight="1">
      <c r="A90" s="115">
        <v>91</v>
      </c>
      <c r="B90" s="115" t="s">
        <v>11</v>
      </c>
      <c r="C90" s="115" t="s">
        <v>10</v>
      </c>
      <c r="D90" s="115" t="s">
        <v>7</v>
      </c>
      <c r="E90" s="98" t="s">
        <v>17</v>
      </c>
      <c r="F90" s="115" t="s">
        <v>483</v>
      </c>
      <c r="G90" s="115">
        <v>0</v>
      </c>
      <c r="H90" s="115">
        <v>8</v>
      </c>
      <c r="I90" s="194">
        <v>8</v>
      </c>
      <c r="J90" s="116">
        <v>163026</v>
      </c>
      <c r="K90" s="116">
        <v>610275</v>
      </c>
      <c r="L90" s="116">
        <v>1347477</v>
      </c>
      <c r="M90" s="195">
        <v>2.9090909090909089E-3</v>
      </c>
      <c r="N90" s="195">
        <v>4.6798282254504504E-3</v>
      </c>
      <c r="O90" s="195">
        <v>1.9548263815315634E-2</v>
      </c>
      <c r="P90" s="195">
        <v>6.3310202358365264E-2</v>
      </c>
    </row>
    <row r="91" spans="1:16" ht="22.5" customHeight="1">
      <c r="A91" s="115">
        <v>92</v>
      </c>
      <c r="B91" s="115" t="s">
        <v>11</v>
      </c>
      <c r="C91" s="115" t="s">
        <v>10</v>
      </c>
      <c r="D91" s="115" t="s">
        <v>19</v>
      </c>
      <c r="E91" s="98" t="s">
        <v>909</v>
      </c>
      <c r="F91" s="115" t="s">
        <v>476</v>
      </c>
      <c r="G91" s="115">
        <v>0</v>
      </c>
      <c r="H91" s="115">
        <v>8</v>
      </c>
      <c r="I91" s="194">
        <v>8</v>
      </c>
      <c r="J91" s="116">
        <v>34731</v>
      </c>
      <c r="K91" s="116">
        <v>745806</v>
      </c>
      <c r="L91" s="116">
        <v>975986</v>
      </c>
      <c r="M91" s="195">
        <v>5.0955414012738851E-3</v>
      </c>
      <c r="N91" s="195">
        <v>1.1132727005570499E-3</v>
      </c>
      <c r="O91" s="195">
        <v>2.1422424318168182E-2</v>
      </c>
      <c r="P91" s="195">
        <v>4.628231936927675E-2</v>
      </c>
    </row>
    <row r="92" spans="1:16" ht="22.5" customHeight="1">
      <c r="A92" s="115">
        <v>62</v>
      </c>
      <c r="B92" s="115" t="s">
        <v>11</v>
      </c>
      <c r="C92" s="115" t="s">
        <v>10</v>
      </c>
      <c r="D92" s="115" t="s">
        <v>19</v>
      </c>
      <c r="E92" s="98" t="s">
        <v>906</v>
      </c>
      <c r="F92" s="115" t="s">
        <v>476</v>
      </c>
      <c r="G92" s="115">
        <v>1</v>
      </c>
      <c r="H92" s="115">
        <v>7</v>
      </c>
      <c r="I92" s="194">
        <v>8</v>
      </c>
      <c r="J92" s="116">
        <v>6587</v>
      </c>
      <c r="K92" s="116">
        <v>908637</v>
      </c>
      <c r="L92" s="116">
        <v>819601</v>
      </c>
      <c r="M92" s="195">
        <v>5.0955414012738851E-3</v>
      </c>
      <c r="N92" s="195">
        <v>2.1114068925655143E-4</v>
      </c>
      <c r="O92" s="195">
        <v>2.6099558551670784E-2</v>
      </c>
      <c r="P92" s="195">
        <v>3.8866372301834852E-2</v>
      </c>
    </row>
    <row r="93" spans="1:16" ht="22.5" customHeight="1">
      <c r="A93" s="115">
        <v>90</v>
      </c>
      <c r="B93" s="115" t="s">
        <v>67</v>
      </c>
      <c r="C93" s="115" t="s">
        <v>14</v>
      </c>
      <c r="D93" s="115" t="s">
        <v>19</v>
      </c>
      <c r="E93" s="98" t="s">
        <v>929</v>
      </c>
      <c r="F93" s="115" t="s">
        <v>476</v>
      </c>
      <c r="G93" s="115">
        <v>0</v>
      </c>
      <c r="H93" s="115">
        <v>8</v>
      </c>
      <c r="I93" s="194">
        <v>8</v>
      </c>
      <c r="J93" s="116">
        <v>249523</v>
      </c>
      <c r="K93" s="116">
        <v>660246</v>
      </c>
      <c r="L93" s="116">
        <v>73584</v>
      </c>
      <c r="M93" s="195">
        <v>5.0955414012738851E-3</v>
      </c>
      <c r="N93" s="195">
        <v>7.99824779191779E-3</v>
      </c>
      <c r="O93" s="195">
        <v>1.8964811179278885E-2</v>
      </c>
      <c r="P93" s="195">
        <v>3.4894334431732222E-3</v>
      </c>
    </row>
    <row r="94" spans="1:16" ht="22.5" customHeight="1">
      <c r="A94" s="115">
        <v>93</v>
      </c>
      <c r="B94" s="115" t="s">
        <v>67</v>
      </c>
      <c r="C94" s="115" t="s">
        <v>14</v>
      </c>
      <c r="D94" s="115" t="s">
        <v>19</v>
      </c>
      <c r="E94" s="98" t="s">
        <v>690</v>
      </c>
      <c r="F94" s="115" t="s">
        <v>476</v>
      </c>
      <c r="G94" s="115">
        <v>0</v>
      </c>
      <c r="H94" s="115">
        <v>7</v>
      </c>
      <c r="I94" s="194">
        <v>7</v>
      </c>
      <c r="J94" s="116">
        <v>31316</v>
      </c>
      <c r="K94" s="116">
        <v>684753</v>
      </c>
      <c r="L94" s="116">
        <v>76654</v>
      </c>
      <c r="M94" s="195">
        <v>4.4585987261146496E-3</v>
      </c>
      <c r="N94" s="195">
        <v>1.003807776644628E-3</v>
      </c>
      <c r="O94" s="195">
        <v>1.9668746723864674E-2</v>
      </c>
      <c r="P94" s="195">
        <v>3.6350161876630813E-3</v>
      </c>
    </row>
    <row r="95" spans="1:16" ht="22.5" customHeight="1">
      <c r="A95" s="115">
        <v>95</v>
      </c>
      <c r="B95" s="115" t="s">
        <v>11</v>
      </c>
      <c r="C95" s="115" t="s">
        <v>10</v>
      </c>
      <c r="D95" s="115" t="s">
        <v>7</v>
      </c>
      <c r="E95" s="98" t="s">
        <v>115</v>
      </c>
      <c r="F95" s="115" t="s">
        <v>483</v>
      </c>
      <c r="G95" s="115">
        <v>0</v>
      </c>
      <c r="H95" s="115">
        <v>5</v>
      </c>
      <c r="I95" s="194">
        <v>5</v>
      </c>
      <c r="J95" s="116">
        <v>75266</v>
      </c>
      <c r="K95" s="116">
        <v>654196</v>
      </c>
      <c r="L95" s="116">
        <v>888354</v>
      </c>
      <c r="M95" s="195">
        <v>1.8181818181818182E-3</v>
      </c>
      <c r="N95" s="195">
        <v>2.1605875824515942E-3</v>
      </c>
      <c r="O95" s="195">
        <v>2.0955136610420262E-2</v>
      </c>
      <c r="P95" s="195">
        <v>4.1738650459980549E-2</v>
      </c>
    </row>
    <row r="96" spans="1:16" ht="22.5" customHeight="1">
      <c r="A96" s="115">
        <v>94</v>
      </c>
      <c r="B96" s="115" t="s">
        <v>67</v>
      </c>
      <c r="C96" s="115" t="s">
        <v>14</v>
      </c>
      <c r="D96" s="115" t="s">
        <v>19</v>
      </c>
      <c r="E96" s="98" t="s">
        <v>796</v>
      </c>
      <c r="F96" s="115" t="s">
        <v>476</v>
      </c>
      <c r="G96" s="115">
        <v>0</v>
      </c>
      <c r="H96" s="115">
        <v>5</v>
      </c>
      <c r="I96" s="194">
        <v>5</v>
      </c>
      <c r="J96" s="116">
        <v>164925</v>
      </c>
      <c r="K96" s="116">
        <v>792439</v>
      </c>
      <c r="L96" s="116">
        <v>66401</v>
      </c>
      <c r="M96" s="195">
        <v>3.1847133757961785E-3</v>
      </c>
      <c r="N96" s="195">
        <v>5.2865307690354857E-3</v>
      </c>
      <c r="O96" s="195">
        <v>2.2761903905660286E-2</v>
      </c>
      <c r="P96" s="195">
        <v>3.1488077579384802E-3</v>
      </c>
    </row>
    <row r="97" spans="1:16" ht="22.5" customHeight="1">
      <c r="A97" s="115">
        <v>96</v>
      </c>
      <c r="B97" s="115" t="s">
        <v>67</v>
      </c>
      <c r="C97" s="115" t="s">
        <v>14</v>
      </c>
      <c r="D97" s="115" t="s">
        <v>19</v>
      </c>
      <c r="E97" s="98" t="s">
        <v>932</v>
      </c>
      <c r="F97" s="115" t="s">
        <v>476</v>
      </c>
      <c r="G97" s="115">
        <v>0</v>
      </c>
      <c r="H97" s="115">
        <v>2</v>
      </c>
      <c r="I97" s="194">
        <v>2</v>
      </c>
      <c r="J97" s="116">
        <v>119827</v>
      </c>
      <c r="K97" s="116">
        <v>851571</v>
      </c>
      <c r="L97" s="116">
        <v>35594</v>
      </c>
      <c r="M97" s="195">
        <v>1.2738853503184713E-3</v>
      </c>
      <c r="N97" s="195">
        <v>3.8409526903817803E-3</v>
      </c>
      <c r="O97" s="195">
        <v>2.4460402972149322E-2</v>
      </c>
      <c r="P97" s="195">
        <v>1.6879062564729788E-3</v>
      </c>
    </row>
    <row r="98" spans="1:16" ht="22.5" hidden="1" customHeight="1">
      <c r="A98" s="115"/>
      <c r="B98" s="115"/>
      <c r="C98" s="115"/>
      <c r="D98" s="115"/>
      <c r="E98" s="98"/>
      <c r="F98" s="115"/>
      <c r="G98" s="115"/>
      <c r="H98" s="115"/>
      <c r="I98" s="194"/>
      <c r="J98" s="116"/>
      <c r="K98" s="116"/>
      <c r="L98" s="116"/>
      <c r="M98" s="195" t="e">
        <f>I98/(HLOOKUP(F98,Team_Composition_7[[#All],[Yellow]:[Red]],10,FALSE)+HLOOKUP(F98,Team_Composition_7[[#All],[Yellow]:[Red]],11,FALSE))</f>
        <v>#N/A</v>
      </c>
      <c r="N98" s="195" t="e">
        <f>J98/HLOOKUP(F98,Team_Composition_7[[#All],[Yellow]:[Red]],6,FALSE)</f>
        <v>#N/A</v>
      </c>
      <c r="O98" s="195" t="e">
        <f>K98/HLOOKUP(F98,Team_Composition_7[[#All],[Yellow]:[Red]],8,FALSE)</f>
        <v>#N/A</v>
      </c>
      <c r="P98" s="195" t="e">
        <f>L98/HLOOKUP(F98,Team_Composition_7[[#All],[Yellow]:[Red]],7,FALSE)</f>
        <v>#N/A</v>
      </c>
    </row>
    <row r="99" spans="1:16" ht="22.5" hidden="1" customHeight="1">
      <c r="A99" s="115"/>
      <c r="B99" s="115" t="e">
        <f>VLOOKUP(C99,Lists!I:J,2,FALSE)</f>
        <v>#N/A</v>
      </c>
      <c r="C99" s="115" t="e">
        <f>VLOOKUP(E99,Lists!E:F,2,FALSE)</f>
        <v>#N/A</v>
      </c>
      <c r="D99" s="115"/>
      <c r="E99" s="98"/>
      <c r="F99" s="115"/>
      <c r="G99" s="115"/>
      <c r="H99" s="115"/>
      <c r="I99" s="194">
        <f t="shared" ref="I99:I103" si="0">SUM(G99:H99)</f>
        <v>0</v>
      </c>
      <c r="J99" s="116"/>
      <c r="K99" s="116"/>
      <c r="L99" s="116"/>
      <c r="M99" s="195" t="e">
        <f>I99/(HLOOKUP(F99,Team_Composition_7[[#All],[Yellow]:[Red]],10,FALSE)+HLOOKUP(F99,Team_Composition_7[[#All],[Yellow]:[Red]],11,FALSE))</f>
        <v>#N/A</v>
      </c>
      <c r="N99" s="195" t="e">
        <f>J99/HLOOKUP(F99,Team_Composition_7[[#All],[Yellow]:[Red]],6,FALSE)</f>
        <v>#N/A</v>
      </c>
      <c r="O99" s="195" t="e">
        <f>K99/HLOOKUP(F99,Team_Composition_7[[#All],[Yellow]:[Red]],8,FALSE)</f>
        <v>#N/A</v>
      </c>
      <c r="P99" s="195" t="e">
        <f>L99/HLOOKUP(F99,Team_Composition_7[[#All],[Yellow]:[Red]],7,FALSE)</f>
        <v>#N/A</v>
      </c>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95" t="e">
        <f>I100/(HLOOKUP(F100,Team_Composition_7[[#All],[Yellow]:[Red]],10,FALSE)+HLOOKUP(F100,Team_Composition_7[[#All],[Yellow]:[Red]],11,FALSE))</f>
        <v>#N/A</v>
      </c>
      <c r="N100" s="195" t="e">
        <f>J100/HLOOKUP(F100,Team_Composition_7[[#All],[Yellow]:[Red]],6,FALSE)</f>
        <v>#N/A</v>
      </c>
      <c r="O100" s="195" t="e">
        <f>K100/HLOOKUP(F100,Team_Composition_7[[#All],[Yellow]:[Red]],8,FALSE)</f>
        <v>#N/A</v>
      </c>
      <c r="P100" s="195" t="e">
        <f>L100/HLOOKUP(F100,Team_Composition_7[[#All],[Yellow]:[Red]],7,FALSE)</f>
        <v>#N/A</v>
      </c>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95" t="e">
        <f>I101/(HLOOKUP(F101,Team_Composition_7[[#All],[Yellow]:[Red]],10,FALSE)+HLOOKUP(F101,Team_Composition_7[[#All],[Yellow]:[Red]],11,FALSE))</f>
        <v>#N/A</v>
      </c>
      <c r="N101" s="195" t="e">
        <f>J101/HLOOKUP(F101,Team_Composition_7[[#All],[Yellow]:[Red]],6,FALSE)</f>
        <v>#N/A</v>
      </c>
      <c r="O101" s="195" t="e">
        <f>K101/HLOOKUP(F101,Team_Composition_7[[#All],[Yellow]:[Red]],8,FALSE)</f>
        <v>#N/A</v>
      </c>
      <c r="P101" s="195" t="e">
        <f>L101/HLOOKUP(F101,Team_Composition_7[[#All],[Yellow]:[Red]],7,FALSE)</f>
        <v>#N/A</v>
      </c>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95" t="e">
        <f>I102/(HLOOKUP(F102,Team_Composition_7[[#All],[Yellow]:[Red]],10,FALSE)+HLOOKUP(F102,Team_Composition_7[[#All],[Yellow]:[Red]],11,FALSE))</f>
        <v>#N/A</v>
      </c>
      <c r="N102" s="195" t="e">
        <f>J102/HLOOKUP(F102,Team_Composition_7[[#All],[Yellow]:[Red]],6,FALSE)</f>
        <v>#N/A</v>
      </c>
      <c r="O102" s="195" t="e">
        <f>K102/HLOOKUP(F102,Team_Composition_7[[#All],[Yellow]:[Red]],8,FALSE)</f>
        <v>#N/A</v>
      </c>
      <c r="P102" s="195" t="e">
        <f>L102/HLOOKUP(F102,Team_Composition_7[[#All],[Yellow]:[Red]],7,FALSE)</f>
        <v>#N/A</v>
      </c>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95" t="e">
        <f>I103/(HLOOKUP(F103,Team_Composition_7[[#All],[Yellow]:[Red]],10,FALSE)+HLOOKUP(F103,Team_Composition_7[[#All],[Yellow]:[Red]],11,FALSE))</f>
        <v>#N/A</v>
      </c>
      <c r="N103" s="195" t="e">
        <f>J103/HLOOKUP(F103,Team_Composition_7[[#All],[Yellow]:[Red]],6,FALSE)</f>
        <v>#N/A</v>
      </c>
      <c r="O103" s="195" t="e">
        <f>K103/HLOOKUP(F103,Team_Composition_7[[#All],[Yellow]:[Red]],8,FALSE)</f>
        <v>#N/A</v>
      </c>
      <c r="P103" s="195" t="e">
        <f>L103/HLOOKUP(F103,Team_Composition_7[[#All],[Yellow]:[Red]],7,FALSE)</f>
        <v>#N/A</v>
      </c>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600-000000000000}">
      <formula1>#REF!</formula1>
    </dataValidation>
    <dataValidation type="list" allowBlank="1" sqref="F2:F103" xr:uid="{00000000-0002-0000-2600-000002000000}">
      <formula1>"Yellow,Red"</formula1>
    </dataValidation>
    <dataValidation type="custom" allowBlank="1" showDropDown="1" sqref="S4:T13 S17:T21 S25:T29 S33:T37 S41:T45 A2:A103 G2:L103" xr:uid="{00000000-0002-0000-2600-000003000000}">
      <formula1>AND(ISNUMBER(A2),(NOT(OR(NOT(ISERROR(DATEVALUE(A2))), AND(ISNUMBER(A2), LEFT(CELL("format", A2))="D")))))</formula1>
    </dataValidation>
    <dataValidation allowBlank="1" showDropDown="1" sqref="E2:E103" xr:uid="{00000000-0002-0000-2600-000004000000}"/>
  </dataValidations>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2" width="17.109375" customWidth="1"/>
    <col min="13" max="13" width="11.109375" customWidth="1"/>
    <col min="14" max="14" width="15.77734375" customWidth="1"/>
    <col min="15" max="15" width="16.33203125" customWidth="1"/>
    <col min="16" max="16" width="16.77734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6</v>
      </c>
      <c r="B2" s="115" t="s">
        <v>39</v>
      </c>
      <c r="C2" s="115" t="s">
        <v>56</v>
      </c>
      <c r="D2" s="115" t="s">
        <v>7</v>
      </c>
      <c r="E2" s="98" t="s">
        <v>842</v>
      </c>
      <c r="F2" s="115" t="s">
        <v>476</v>
      </c>
      <c r="G2" s="115">
        <v>44</v>
      </c>
      <c r="H2" s="115">
        <v>118</v>
      </c>
      <c r="I2" s="194">
        <v>162</v>
      </c>
      <c r="J2" s="116">
        <v>3194277</v>
      </c>
      <c r="K2" s="116">
        <v>980511</v>
      </c>
      <c r="L2" s="116">
        <v>28033</v>
      </c>
      <c r="M2" s="195">
        <v>5.180684362008315E-2</v>
      </c>
      <c r="N2" s="195">
        <v>7.3062511452195972E-2</v>
      </c>
      <c r="O2" s="195">
        <v>2.1525590742409405E-2</v>
      </c>
      <c r="P2" s="195">
        <v>9.5701042138705437E-4</v>
      </c>
      <c r="R2" s="232" t="s">
        <v>477</v>
      </c>
      <c r="S2" s="228"/>
      <c r="T2" s="228"/>
      <c r="V2" s="233" t="s">
        <v>478</v>
      </c>
      <c r="W2" s="228"/>
      <c r="X2" s="196"/>
      <c r="Y2" s="233" t="s">
        <v>479</v>
      </c>
      <c r="Z2" s="228"/>
    </row>
    <row r="3" spans="1:26" ht="22.5" customHeight="1">
      <c r="A3" s="115">
        <v>1</v>
      </c>
      <c r="B3" s="115" t="s">
        <v>39</v>
      </c>
      <c r="C3" s="115" t="s">
        <v>45</v>
      </c>
      <c r="D3" s="115" t="s">
        <v>7</v>
      </c>
      <c r="E3" s="98" t="s">
        <v>84</v>
      </c>
      <c r="F3" s="115" t="s">
        <v>476</v>
      </c>
      <c r="G3" s="115">
        <v>65</v>
      </c>
      <c r="H3" s="115">
        <v>95</v>
      </c>
      <c r="I3" s="194">
        <v>160</v>
      </c>
      <c r="J3" s="116">
        <v>3834087</v>
      </c>
      <c r="K3" s="116">
        <v>756837</v>
      </c>
      <c r="L3" s="116">
        <v>40251</v>
      </c>
      <c r="M3" s="195">
        <v>5.1167252958106813E-2</v>
      </c>
      <c r="N3" s="195">
        <v>8.7696848252739421E-2</v>
      </c>
      <c r="O3" s="195">
        <v>1.6615176699407663E-2</v>
      </c>
      <c r="P3" s="195">
        <v>1.3741171644579718E-3</v>
      </c>
      <c r="R3" s="190" t="s">
        <v>482</v>
      </c>
      <c r="S3" s="222" t="s">
        <v>476</v>
      </c>
      <c r="T3" s="222" t="s">
        <v>483</v>
      </c>
      <c r="V3" s="199" t="s">
        <v>1</v>
      </c>
      <c r="W3" s="200" t="s">
        <v>467</v>
      </c>
      <c r="Y3" s="199" t="s">
        <v>1</v>
      </c>
      <c r="Z3" s="200" t="s">
        <v>484</v>
      </c>
    </row>
    <row r="4" spans="1:26" ht="22.5" customHeight="1">
      <c r="A4" s="115">
        <v>12</v>
      </c>
      <c r="B4" s="115" t="s">
        <v>39</v>
      </c>
      <c r="C4" s="115" t="s">
        <v>32</v>
      </c>
      <c r="D4" s="115" t="s">
        <v>7</v>
      </c>
      <c r="E4" s="98" t="s">
        <v>107</v>
      </c>
      <c r="F4" s="115" t="s">
        <v>476</v>
      </c>
      <c r="G4" s="115">
        <v>36</v>
      </c>
      <c r="H4" s="115">
        <v>113</v>
      </c>
      <c r="I4" s="194">
        <v>149</v>
      </c>
      <c r="J4" s="116">
        <v>2423751</v>
      </c>
      <c r="K4" s="116">
        <v>621574</v>
      </c>
      <c r="L4" s="116">
        <v>19948</v>
      </c>
      <c r="M4" s="195">
        <v>4.7649504317236968E-2</v>
      </c>
      <c r="N4" s="195">
        <v>5.543831521022486E-2</v>
      </c>
      <c r="O4" s="195">
        <v>1.3645688360581762E-2</v>
      </c>
      <c r="P4" s="195">
        <v>6.8099896143220353E-4</v>
      </c>
      <c r="R4" s="223" t="s">
        <v>25</v>
      </c>
      <c r="S4" s="207">
        <f>COUNTIFS(Scoreboard_6[Role],R4,Scoreboard_6[Team],"Yellow")</f>
        <v>7</v>
      </c>
      <c r="T4" s="219">
        <f>COUNTIFS(Scoreboard_6[Role],R4,Scoreboard_6[Team],"Red")</f>
        <v>8</v>
      </c>
      <c r="V4" s="204" t="str">
        <f ca="1">IFERROR(__xludf.DUMMYFUNCTION("query(A1:P239, ""Select E,I where B!='Healer' Order by I Desc Limit 10"", 0)"),"Adversed")</f>
        <v>Adversed</v>
      </c>
      <c r="W4" s="116">
        <f ca="1">IFERROR(__xludf.DUMMYFUNCTION("""COMPUTED_VALUE"""),162)</f>
        <v>162</v>
      </c>
      <c r="Y4" s="204" t="str">
        <f ca="1">IFERROR(__xludf.DUMMYFUNCTION("query(A1:P239, ""Select E,J Order by J Desc Limit 10"", 0)"),"edmun")</f>
        <v>edmun</v>
      </c>
      <c r="Z4" s="116">
        <f ca="1">IFERROR(__xludf.DUMMYFUNCTION("""COMPUTED_VALUE"""),4666399)</f>
        <v>4666399</v>
      </c>
    </row>
    <row r="5" spans="1:26" ht="22.5" customHeight="1">
      <c r="A5" s="115">
        <v>13</v>
      </c>
      <c r="B5" s="115" t="s">
        <v>39</v>
      </c>
      <c r="C5" s="115" t="s">
        <v>56</v>
      </c>
      <c r="D5" s="115" t="s">
        <v>7</v>
      </c>
      <c r="E5" s="98" t="s">
        <v>76</v>
      </c>
      <c r="F5" s="115" t="s">
        <v>476</v>
      </c>
      <c r="G5" s="115">
        <v>34</v>
      </c>
      <c r="H5" s="115">
        <v>115</v>
      </c>
      <c r="I5" s="194">
        <v>149</v>
      </c>
      <c r="J5" s="116">
        <v>2667352</v>
      </c>
      <c r="K5" s="116">
        <v>1672969</v>
      </c>
      <c r="L5" s="116">
        <v>261840</v>
      </c>
      <c r="M5" s="195">
        <v>4.7649504317236968E-2</v>
      </c>
      <c r="N5" s="195">
        <v>6.1010186670422711E-2</v>
      </c>
      <c r="O5" s="195">
        <v>3.6727426840431079E-2</v>
      </c>
      <c r="P5" s="195">
        <v>8.9388794897437424E-3</v>
      </c>
      <c r="R5" s="223" t="s">
        <v>39</v>
      </c>
      <c r="S5" s="207">
        <f>COUNTIFS(Scoreboard_6[Role],R5,Scoreboard_6[Team],"Yellow")</f>
        <v>10</v>
      </c>
      <c r="T5" s="219">
        <f>COUNTIFS(Scoreboard_6[Role],R5,Scoreboard_6[Team],"Red")</f>
        <v>10</v>
      </c>
      <c r="V5" s="204" t="str">
        <f ca="1">IFERROR(__xludf.DUMMYFUNCTION("""COMPUTED_VALUE"""),"Nengja")</f>
        <v>Nengja</v>
      </c>
      <c r="W5" s="116">
        <f ca="1">IFERROR(__xludf.DUMMYFUNCTION("""COMPUTED_VALUE"""),160)</f>
        <v>160</v>
      </c>
      <c r="Y5" s="204" t="str">
        <f ca="1">IFERROR(__xludf.DUMMYFUNCTION("""COMPUTED_VALUE"""),"Nengja")</f>
        <v>Nengja</v>
      </c>
      <c r="Z5" s="116">
        <f ca="1">IFERROR(__xludf.DUMMYFUNCTION("""COMPUTED_VALUE"""),3834087)</f>
        <v>3834087</v>
      </c>
    </row>
    <row r="6" spans="1:26" ht="22.5" customHeight="1">
      <c r="A6" s="115">
        <v>5</v>
      </c>
      <c r="B6" s="115" t="s">
        <v>25</v>
      </c>
      <c r="C6" s="115" t="s">
        <v>23</v>
      </c>
      <c r="D6" s="115" t="s">
        <v>7</v>
      </c>
      <c r="E6" s="98" t="s">
        <v>912</v>
      </c>
      <c r="F6" s="115" t="s">
        <v>476</v>
      </c>
      <c r="G6" s="115">
        <v>45</v>
      </c>
      <c r="H6" s="115">
        <v>92</v>
      </c>
      <c r="I6" s="194">
        <v>137</v>
      </c>
      <c r="J6" s="116">
        <v>2535803</v>
      </c>
      <c r="K6" s="116">
        <v>1752094</v>
      </c>
      <c r="L6" s="116">
        <v>39930</v>
      </c>
      <c r="M6" s="195">
        <v>4.3811960345378959E-2</v>
      </c>
      <c r="N6" s="195">
        <v>5.8001274068596093E-2</v>
      </c>
      <c r="O6" s="195">
        <v>3.8464492888127789E-2</v>
      </c>
      <c r="P6" s="195">
        <v>1.363158638960692E-3</v>
      </c>
      <c r="R6" s="223" t="s">
        <v>67</v>
      </c>
      <c r="S6" s="207">
        <f>COUNTIFS(Scoreboard_6[Role],R6,Scoreboard_6[Team],"Yellow")</f>
        <v>15</v>
      </c>
      <c r="T6" s="219">
        <f>COUNTIFS(Scoreboard_6[Role],R6,Scoreboard_6[Team],"Red")</f>
        <v>14</v>
      </c>
      <c r="V6" s="204" t="str">
        <f ca="1">IFERROR(__xludf.DUMMYFUNCTION("""COMPUTED_VALUE"""),"TanksVicious")</f>
        <v>TanksVicious</v>
      </c>
      <c r="W6" s="116">
        <f ca="1">IFERROR(__xludf.DUMMYFUNCTION("""COMPUTED_VALUE"""),149)</f>
        <v>149</v>
      </c>
      <c r="Y6" s="204" t="str">
        <f ca="1">IFERROR(__xludf.DUMMYFUNCTION("""COMPUTED_VALUE"""),"Byul")</f>
        <v>Byul</v>
      </c>
      <c r="Z6" s="116">
        <f ca="1">IFERROR(__xludf.DUMMYFUNCTION("""COMPUTED_VALUE"""),3312382)</f>
        <v>3312382</v>
      </c>
    </row>
    <row r="7" spans="1:26" ht="22.5" customHeight="1">
      <c r="A7" s="115">
        <v>20</v>
      </c>
      <c r="B7" s="115" t="s">
        <v>39</v>
      </c>
      <c r="C7" s="115" t="s">
        <v>56</v>
      </c>
      <c r="D7" s="115" t="s">
        <v>19</v>
      </c>
      <c r="E7" s="98" t="s">
        <v>42</v>
      </c>
      <c r="F7" s="115" t="s">
        <v>483</v>
      </c>
      <c r="G7" s="115">
        <v>25</v>
      </c>
      <c r="H7" s="115">
        <v>106</v>
      </c>
      <c r="I7" s="194">
        <v>131</v>
      </c>
      <c r="J7" s="116">
        <v>4666399</v>
      </c>
      <c r="K7" s="116">
        <v>1312504</v>
      </c>
      <c r="L7" s="116">
        <v>103008</v>
      </c>
      <c r="M7" s="195">
        <v>4.9828832255610502E-2</v>
      </c>
      <c r="N7" s="195">
        <v>0.10246397319248179</v>
      </c>
      <c r="O7" s="195">
        <v>3.0027135067498621E-2</v>
      </c>
      <c r="P7" s="195">
        <v>3.8400167486285029E-3</v>
      </c>
      <c r="R7" s="223" t="s">
        <v>11</v>
      </c>
      <c r="S7" s="207">
        <f>COUNTIFS(Scoreboard_6[Role],R7,Scoreboard_6[Team],"Yellow")</f>
        <v>16</v>
      </c>
      <c r="T7" s="219">
        <f>COUNTIFS(Scoreboard_6[Role],R7,Scoreboard_6[Team],"Red")</f>
        <v>16</v>
      </c>
      <c r="V7" s="204" t="str">
        <f ca="1">IFERROR(__xludf.DUMMYFUNCTION("""COMPUTED_VALUE"""),"Kiefblunt")</f>
        <v>Kiefblunt</v>
      </c>
      <c r="W7" s="116">
        <f ca="1">IFERROR(__xludf.DUMMYFUNCTION("""COMPUTED_VALUE"""),149)</f>
        <v>149</v>
      </c>
      <c r="Y7" s="204" t="str">
        <f ca="1">IFERROR(__xludf.DUMMYFUNCTION("""COMPUTED_VALUE"""),"Adversed")</f>
        <v>Adversed</v>
      </c>
      <c r="Z7" s="116">
        <f ca="1">IFERROR(__xludf.DUMMYFUNCTION("""COMPUTED_VALUE"""),3194277)</f>
        <v>3194277</v>
      </c>
    </row>
    <row r="8" spans="1:26" ht="22.5" customHeight="1">
      <c r="A8" s="115">
        <v>2</v>
      </c>
      <c r="B8" s="115" t="s">
        <v>39</v>
      </c>
      <c r="C8" s="115" t="s">
        <v>54</v>
      </c>
      <c r="D8" s="115" t="s">
        <v>19</v>
      </c>
      <c r="E8" s="98" t="s">
        <v>910</v>
      </c>
      <c r="F8" s="115" t="s">
        <v>483</v>
      </c>
      <c r="G8" s="115">
        <v>64</v>
      </c>
      <c r="H8" s="115">
        <v>66</v>
      </c>
      <c r="I8" s="194">
        <v>130</v>
      </c>
      <c r="J8" s="116">
        <v>3118034</v>
      </c>
      <c r="K8" s="116">
        <v>621134</v>
      </c>
      <c r="L8" s="116">
        <v>29348</v>
      </c>
      <c r="M8" s="195">
        <v>4.9448459490300495E-2</v>
      </c>
      <c r="N8" s="195">
        <v>6.8465245297122418E-2</v>
      </c>
      <c r="O8" s="195">
        <v>1.4210146798040758E-2</v>
      </c>
      <c r="P8" s="195">
        <v>1.094058825904292E-3</v>
      </c>
      <c r="R8" s="223" t="s">
        <v>468</v>
      </c>
      <c r="S8" s="207">
        <f>SUMIFS(Scoreboard_6[Damage Dealt],Scoreboard_6[Team],"Yellow")</f>
        <v>43719781</v>
      </c>
      <c r="T8" s="219">
        <f>SUMIFS(Scoreboard_6[Damage Dealt],Scoreboard_6[Team],"Red")</f>
        <v>45541851</v>
      </c>
      <c r="V8" s="204" t="str">
        <f ca="1">IFERROR(__xludf.DUMMYFUNCTION("""COMPUTED_VALUE"""),"Fadeãµã¡")</f>
        <v>Fadeãµã¡</v>
      </c>
      <c r="W8" s="116">
        <f ca="1">IFERROR(__xludf.DUMMYFUNCTION("""COMPUTED_VALUE"""),137)</f>
        <v>137</v>
      </c>
      <c r="Y8" s="204" t="str">
        <f ca="1">IFERROR(__xludf.DUMMYFUNCTION("""COMPUTED_VALUE"""),"SpotÂ·")</f>
        <v>SpotÂ·</v>
      </c>
      <c r="Z8" s="116">
        <f ca="1">IFERROR(__xludf.DUMMYFUNCTION("""COMPUTED_VALUE"""),3118034)</f>
        <v>3118034</v>
      </c>
    </row>
    <row r="9" spans="1:26" ht="22.5" customHeight="1">
      <c r="A9" s="115">
        <v>21</v>
      </c>
      <c r="B9" s="115" t="s">
        <v>39</v>
      </c>
      <c r="C9" s="115" t="s">
        <v>32</v>
      </c>
      <c r="D9" s="115" t="s">
        <v>7</v>
      </c>
      <c r="E9" s="98" t="s">
        <v>877</v>
      </c>
      <c r="F9" s="115" t="s">
        <v>476</v>
      </c>
      <c r="G9" s="115">
        <v>25</v>
      </c>
      <c r="H9" s="115">
        <v>95</v>
      </c>
      <c r="I9" s="194">
        <v>120</v>
      </c>
      <c r="J9" s="116">
        <v>1888528</v>
      </c>
      <c r="K9" s="116">
        <v>848763</v>
      </c>
      <c r="L9" s="116">
        <v>8048</v>
      </c>
      <c r="M9" s="195">
        <v>3.8375439718580109E-2</v>
      </c>
      <c r="N9" s="195">
        <v>4.3196190758595064E-2</v>
      </c>
      <c r="O9" s="195">
        <v>1.8633268749967756E-2</v>
      </c>
      <c r="P9" s="195">
        <v>2.7474832773242297E-4</v>
      </c>
      <c r="R9" s="223" t="s">
        <v>470</v>
      </c>
      <c r="S9" s="207">
        <f>SUMIFS(Scoreboard_6[Amount Healed],Scoreboard_6[Team],"Yellow")</f>
        <v>29292262</v>
      </c>
      <c r="T9" s="219">
        <f>SUMIFS(Scoreboard_6[Amount Healed],Scoreboard_6[Team],"Red")</f>
        <v>26824883</v>
      </c>
      <c r="V9" s="204" t="str">
        <f ca="1">IFERROR(__xludf.DUMMYFUNCTION("""COMPUTED_VALUE"""),"edmun")</f>
        <v>edmun</v>
      </c>
      <c r="W9" s="116">
        <f ca="1">IFERROR(__xludf.DUMMYFUNCTION("""COMPUTED_VALUE"""),131)</f>
        <v>131</v>
      </c>
      <c r="Y9" s="204" t="str">
        <f ca="1">IFERROR(__xludf.DUMMYFUNCTION("""COMPUTED_VALUE"""),"cba")</f>
        <v>cba</v>
      </c>
      <c r="Z9" s="116">
        <f ca="1">IFERROR(__xludf.DUMMYFUNCTION("""COMPUTED_VALUE"""),2821769)</f>
        <v>2821769</v>
      </c>
    </row>
    <row r="10" spans="1:26" ht="22.5" customHeight="1">
      <c r="A10" s="115">
        <v>9</v>
      </c>
      <c r="B10" s="115" t="s">
        <v>39</v>
      </c>
      <c r="C10" s="115" t="s">
        <v>32</v>
      </c>
      <c r="D10" s="115" t="s">
        <v>7</v>
      </c>
      <c r="E10" s="98" t="s">
        <v>948</v>
      </c>
      <c r="F10" s="115" t="s">
        <v>476</v>
      </c>
      <c r="G10" s="115">
        <v>41</v>
      </c>
      <c r="H10" s="115">
        <v>77</v>
      </c>
      <c r="I10" s="194">
        <v>118</v>
      </c>
      <c r="J10" s="116">
        <v>2004251</v>
      </c>
      <c r="K10" s="116">
        <v>759050</v>
      </c>
      <c r="L10" s="116">
        <v>0</v>
      </c>
      <c r="M10" s="195">
        <v>3.7735849056603772E-2</v>
      </c>
      <c r="N10" s="195">
        <v>4.5843116185783274E-2</v>
      </c>
      <c r="O10" s="195">
        <v>1.666375966513977E-2</v>
      </c>
      <c r="P10" s="195">
        <v>0</v>
      </c>
      <c r="R10" s="223" t="s">
        <v>469</v>
      </c>
      <c r="S10" s="207">
        <f>SUMIFS(Scoreboard_6[Damage Taken],Scoreboard_6[Team],"Yellow")</f>
        <v>45550945</v>
      </c>
      <c r="T10" s="219">
        <f>SUMIFS(Scoreboard_6[Damage Taken],Scoreboard_6[Team],"Red")</f>
        <v>43710597</v>
      </c>
      <c r="V10" s="204" t="str">
        <f ca="1">IFERROR(__xludf.DUMMYFUNCTION("""COMPUTED_VALUE"""),"SpotÂ·")</f>
        <v>SpotÂ·</v>
      </c>
      <c r="W10" s="116">
        <f ca="1">IFERROR(__xludf.DUMMYFUNCTION("""COMPUTED_VALUE"""),130)</f>
        <v>130</v>
      </c>
      <c r="Y10" s="204" t="str">
        <f ca="1">IFERROR(__xludf.DUMMYFUNCTION("""COMPUTED_VALUE"""),"Kiefblunt")</f>
        <v>Kiefblunt</v>
      </c>
      <c r="Z10" s="116">
        <f ca="1">IFERROR(__xludf.DUMMYFUNCTION("""COMPUTED_VALUE"""),2667352)</f>
        <v>2667352</v>
      </c>
    </row>
    <row r="11" spans="1:26" ht="22.5" customHeight="1">
      <c r="A11" s="115">
        <v>3</v>
      </c>
      <c r="B11" s="115" t="s">
        <v>39</v>
      </c>
      <c r="C11" s="115" t="s">
        <v>54</v>
      </c>
      <c r="D11" s="115" t="s">
        <v>19</v>
      </c>
      <c r="E11" s="98" t="s">
        <v>898</v>
      </c>
      <c r="F11" s="115" t="s">
        <v>483</v>
      </c>
      <c r="G11" s="115">
        <v>63</v>
      </c>
      <c r="H11" s="115">
        <v>50</v>
      </c>
      <c r="I11" s="194">
        <v>113</v>
      </c>
      <c r="J11" s="116">
        <v>2536423</v>
      </c>
      <c r="K11" s="116">
        <v>395993</v>
      </c>
      <c r="L11" s="116">
        <v>6265</v>
      </c>
      <c r="M11" s="195">
        <v>4.298212248003043E-2</v>
      </c>
      <c r="N11" s="195">
        <v>5.5694332669965478E-2</v>
      </c>
      <c r="O11" s="195">
        <v>9.0594278545314769E-3</v>
      </c>
      <c r="P11" s="195">
        <v>2.3355181083175647E-4</v>
      </c>
      <c r="R11" s="223" t="s">
        <v>495</v>
      </c>
      <c r="S11" s="207">
        <f ca="1">IFERROR(DIVIDE(SUMIFS(Scoreboard_6[Amount Healed],Scoreboard_6[Team],"Yellow"), SUMIFS(Scoreboard_6[Damage Taken],Scoreboard_6[Team],"Yellow"))*(100),0)</f>
        <v>0</v>
      </c>
      <c r="T11" s="219">
        <f ca="1">IFERROR(DIVIDE(SUMIFS(Scoreboard_6[Amount Healed],Scoreboard_6[Team],"Red"), SUMIFS(Scoreboard_6[Damage Taken],Scoreboard_6[Team],"Red"))*(100),0)</f>
        <v>0</v>
      </c>
      <c r="V11" s="204" t="str">
        <f ca="1">IFERROR(__xludf.DUMMYFUNCTION("""COMPUTED_VALUE"""),"Overpowered")</f>
        <v>Overpowered</v>
      </c>
      <c r="W11" s="116">
        <f ca="1">IFERROR(__xludf.DUMMYFUNCTION("""COMPUTED_VALUE"""),120)</f>
        <v>120</v>
      </c>
      <c r="Y11" s="204" t="str">
        <f ca="1">IFERROR(__xludf.DUMMYFUNCTION("""COMPUTED_VALUE"""),"Bash")</f>
        <v>Bash</v>
      </c>
      <c r="Z11" s="116">
        <f ca="1">IFERROR(__xludf.DUMMYFUNCTION("""COMPUTED_VALUE"""),2536423)</f>
        <v>2536423</v>
      </c>
    </row>
    <row r="12" spans="1:26" ht="22.5" customHeight="1">
      <c r="A12" s="115">
        <v>19</v>
      </c>
      <c r="B12" s="115" t="s">
        <v>25</v>
      </c>
      <c r="C12" s="115" t="s">
        <v>23</v>
      </c>
      <c r="D12" s="115" t="s">
        <v>7</v>
      </c>
      <c r="E12" s="98" t="s">
        <v>935</v>
      </c>
      <c r="F12" s="115" t="s">
        <v>476</v>
      </c>
      <c r="G12" s="115">
        <v>29</v>
      </c>
      <c r="H12" s="115">
        <v>81</v>
      </c>
      <c r="I12" s="194">
        <v>110</v>
      </c>
      <c r="J12" s="116">
        <v>2238294</v>
      </c>
      <c r="K12" s="116">
        <v>1576505</v>
      </c>
      <c r="L12" s="116">
        <v>78038</v>
      </c>
      <c r="M12" s="195">
        <v>3.517748640869843E-2</v>
      </c>
      <c r="N12" s="195">
        <v>5.1196368069638773E-2</v>
      </c>
      <c r="O12" s="195">
        <v>3.4609710072974337E-2</v>
      </c>
      <c r="P12" s="195">
        <v>2.6641165506439894E-3</v>
      </c>
      <c r="R12" s="223" t="s">
        <v>465</v>
      </c>
      <c r="S12" s="207">
        <f>SUMIFS(Scoreboard_6[Kills],Scoreboard_6[Team],"Yellow")</f>
        <v>653</v>
      </c>
      <c r="T12" s="219">
        <f>SUMIFS(Scoreboard_6[Kills],Scoreboard_6[Team],"Red")</f>
        <v>566</v>
      </c>
      <c r="V12" s="204" t="str">
        <f ca="1">IFERROR(__xludf.DUMMYFUNCTION("""COMPUTED_VALUE"""),"æ„›RosesAreRosie")</f>
        <v>æ„›RosesAreRosie</v>
      </c>
      <c r="W12" s="116">
        <f ca="1">IFERROR(__xludf.DUMMYFUNCTION("""COMPUTED_VALUE"""),118)</f>
        <v>118</v>
      </c>
      <c r="Y12" s="204" t="str">
        <f ca="1">IFERROR(__xludf.DUMMYFUNCTION("""COMPUTED_VALUE"""),"Fadeãµã¡")</f>
        <v>Fadeãµã¡</v>
      </c>
      <c r="Z12" s="116">
        <f ca="1">IFERROR(__xludf.DUMMYFUNCTION("""COMPUTED_VALUE"""),2535803)</f>
        <v>2535803</v>
      </c>
    </row>
    <row r="13" spans="1:26" ht="22.5" customHeight="1">
      <c r="A13" s="115">
        <v>18</v>
      </c>
      <c r="B13" s="115" t="s">
        <v>39</v>
      </c>
      <c r="C13" s="115" t="s">
        <v>52</v>
      </c>
      <c r="D13" s="115" t="s">
        <v>7</v>
      </c>
      <c r="E13" s="98" t="s">
        <v>94</v>
      </c>
      <c r="F13" s="115" t="s">
        <v>476</v>
      </c>
      <c r="G13" s="115">
        <v>31</v>
      </c>
      <c r="H13" s="115">
        <v>76</v>
      </c>
      <c r="I13" s="194">
        <v>107</v>
      </c>
      <c r="J13" s="116">
        <v>2307884</v>
      </c>
      <c r="K13" s="116">
        <v>922563</v>
      </c>
      <c r="L13" s="116">
        <v>381650</v>
      </c>
      <c r="M13" s="195">
        <v>3.4218100415733928E-2</v>
      </c>
      <c r="N13" s="195">
        <v>5.2788096079438275E-2</v>
      </c>
      <c r="O13" s="195">
        <v>2.0253432722416625E-2</v>
      </c>
      <c r="P13" s="195">
        <v>1.3029038180800104E-2</v>
      </c>
      <c r="R13" s="223" t="s">
        <v>466</v>
      </c>
      <c r="S13" s="207">
        <f>SUMIFS(Scoreboard_6[Assists],Scoreboard_6[Team],"Yellow")</f>
        <v>2474</v>
      </c>
      <c r="T13" s="219">
        <f>SUMIFS(Scoreboard_6[Assists],Scoreboard_6[Team],"Red")</f>
        <v>2063</v>
      </c>
      <c r="V13" s="204" t="str">
        <f ca="1">IFERROR(__xludf.DUMMYFUNCTION("""COMPUTED_VALUE"""),"Bash")</f>
        <v>Bash</v>
      </c>
      <c r="W13" s="116">
        <f ca="1">IFERROR(__xludf.DUMMYFUNCTION("""COMPUTED_VALUE"""),113)</f>
        <v>113</v>
      </c>
      <c r="Y13" s="204" t="str">
        <f ca="1">IFERROR(__xludf.DUMMYFUNCTION("""COMPUTED_VALUE"""),"Ashãƒ„Chaos")</f>
        <v>Ashãƒ„Chaos</v>
      </c>
      <c r="Z13" s="116">
        <f ca="1">IFERROR(__xludf.DUMMYFUNCTION("""COMPUTED_VALUE"""),2440212)</f>
        <v>2440212</v>
      </c>
    </row>
    <row r="14" spans="1:26" ht="22.5" customHeight="1">
      <c r="A14" s="115">
        <v>15</v>
      </c>
      <c r="B14" s="115" t="s">
        <v>39</v>
      </c>
      <c r="C14" s="115" t="s">
        <v>58</v>
      </c>
      <c r="D14" s="115" t="s">
        <v>7</v>
      </c>
      <c r="E14" s="98" t="s">
        <v>949</v>
      </c>
      <c r="F14" s="115" t="s">
        <v>476</v>
      </c>
      <c r="G14" s="115">
        <v>32</v>
      </c>
      <c r="H14" s="115">
        <v>74</v>
      </c>
      <c r="I14" s="194">
        <v>106</v>
      </c>
      <c r="J14" s="116">
        <v>2162143</v>
      </c>
      <c r="K14" s="116">
        <v>922898</v>
      </c>
      <c r="L14" s="116">
        <v>0</v>
      </c>
      <c r="M14" s="195">
        <v>3.3898305084745763E-2</v>
      </c>
      <c r="N14" s="195">
        <v>4.9454570689638176E-2</v>
      </c>
      <c r="O14" s="195">
        <v>2.0260787125272593E-2</v>
      </c>
      <c r="P14" s="195">
        <v>0</v>
      </c>
    </row>
    <row r="15" spans="1:26" ht="22.5" customHeight="1">
      <c r="A15" s="115">
        <v>4</v>
      </c>
      <c r="B15" s="115" t="s">
        <v>39</v>
      </c>
      <c r="C15" s="115" t="s">
        <v>54</v>
      </c>
      <c r="D15" s="115" t="s">
        <v>19</v>
      </c>
      <c r="E15" s="98" t="s">
        <v>917</v>
      </c>
      <c r="F15" s="115" t="s">
        <v>483</v>
      </c>
      <c r="G15" s="115">
        <v>49</v>
      </c>
      <c r="H15" s="115">
        <v>56</v>
      </c>
      <c r="I15" s="194">
        <v>105</v>
      </c>
      <c r="J15" s="116">
        <v>2068523</v>
      </c>
      <c r="K15" s="116">
        <v>669552</v>
      </c>
      <c r="L15" s="116">
        <v>18273</v>
      </c>
      <c r="M15" s="195">
        <v>3.9939140357550397E-2</v>
      </c>
      <c r="N15" s="195">
        <v>4.5420266295280794E-2</v>
      </c>
      <c r="O15" s="195">
        <v>1.5317841575121931E-2</v>
      </c>
      <c r="P15" s="195">
        <v>6.811958881610034E-4</v>
      </c>
      <c r="R15" s="232" t="s">
        <v>25</v>
      </c>
      <c r="S15" s="228"/>
      <c r="T15" s="228"/>
      <c r="V15" s="233" t="s">
        <v>496</v>
      </c>
      <c r="W15" s="228"/>
      <c r="Y15" s="233" t="s">
        <v>497</v>
      </c>
      <c r="Z15" s="228"/>
    </row>
    <row r="16" spans="1:26" ht="22.5" customHeight="1">
      <c r="A16" s="115">
        <v>11</v>
      </c>
      <c r="B16" s="115" t="s">
        <v>25</v>
      </c>
      <c r="C16" s="115" t="s">
        <v>69</v>
      </c>
      <c r="D16" s="115" t="s">
        <v>19</v>
      </c>
      <c r="E16" s="98" t="s">
        <v>90</v>
      </c>
      <c r="F16" s="115" t="s">
        <v>483</v>
      </c>
      <c r="G16" s="115">
        <v>37</v>
      </c>
      <c r="H16" s="115">
        <v>60</v>
      </c>
      <c r="I16" s="194">
        <v>97</v>
      </c>
      <c r="J16" s="116">
        <v>2014356</v>
      </c>
      <c r="K16" s="116">
        <v>940932</v>
      </c>
      <c r="L16" s="116">
        <v>104333</v>
      </c>
      <c r="M16" s="195">
        <v>3.6896158235070371E-2</v>
      </c>
      <c r="N16" s="195">
        <v>4.4230876781885746E-2</v>
      </c>
      <c r="O16" s="195">
        <v>2.1526404683971715E-2</v>
      </c>
      <c r="P16" s="195">
        <v>3.8894111858754424E-3</v>
      </c>
      <c r="R16" s="190" t="s">
        <v>482</v>
      </c>
      <c r="S16" s="222" t="s">
        <v>476</v>
      </c>
      <c r="T16" s="222" t="s">
        <v>483</v>
      </c>
      <c r="V16" s="199" t="s">
        <v>1</v>
      </c>
      <c r="W16" s="200" t="s">
        <v>498</v>
      </c>
      <c r="Y16" s="199" t="s">
        <v>1</v>
      </c>
      <c r="Z16" s="200" t="s">
        <v>499</v>
      </c>
    </row>
    <row r="17" spans="1:26" ht="22.5" customHeight="1">
      <c r="A17" s="115">
        <v>24</v>
      </c>
      <c r="B17" s="115" t="s">
        <v>39</v>
      </c>
      <c r="C17" s="115" t="s">
        <v>32</v>
      </c>
      <c r="D17" s="115" t="s">
        <v>19</v>
      </c>
      <c r="E17" s="98" t="s">
        <v>894</v>
      </c>
      <c r="F17" s="115" t="s">
        <v>483</v>
      </c>
      <c r="G17" s="115">
        <v>22</v>
      </c>
      <c r="H17" s="115">
        <v>75</v>
      </c>
      <c r="I17" s="194">
        <v>97</v>
      </c>
      <c r="J17" s="116">
        <v>3312382</v>
      </c>
      <c r="K17" s="116">
        <v>773952</v>
      </c>
      <c r="L17" s="116">
        <v>29955</v>
      </c>
      <c r="M17" s="195">
        <v>3.6896158235070371E-2</v>
      </c>
      <c r="N17" s="195">
        <v>7.2732704693974776E-2</v>
      </c>
      <c r="O17" s="195">
        <v>1.7706278411159654E-2</v>
      </c>
      <c r="P17" s="195">
        <v>1.1166870699864748E-3</v>
      </c>
      <c r="R17" s="223" t="s">
        <v>468</v>
      </c>
      <c r="S17" s="207">
        <f>SUMIFS(Scoreboard_6[Damage Dealt],Scoreboard_6[Role],"Melee DPS",Scoreboard_6[Team],"Yellow")</f>
        <v>12414427</v>
      </c>
      <c r="T17" s="219">
        <f>SUMIFS(Scoreboard_6[Damage Dealt],Scoreboard_6[Role],"Melee DPS",Scoreboard_6[Team],"Red")</f>
        <v>13088486</v>
      </c>
      <c r="V17" s="204" t="str">
        <f ca="1">IFERROR(__xludf.DUMMYFUNCTION("query(A1:P239, ""Select E,K Order by K Desc Limit 10"", 0)"),"Fadeãµã¡")</f>
        <v>Fadeãµã¡</v>
      </c>
      <c r="W17" s="116">
        <f ca="1">IFERROR(__xludf.DUMMYFUNCTION("""COMPUTED_VALUE"""),1752094)</f>
        <v>1752094</v>
      </c>
      <c r="Y17" s="204" t="str">
        <f ca="1">IFERROR(__xludf.DUMMYFUNCTION("query(A1:P239, ""Select E,L Order by L Desc Limit 10"", 0)"),"Duskstorm")</f>
        <v>Duskstorm</v>
      </c>
      <c r="Z17" s="116">
        <f ca="1">IFERROR(__xludf.DUMMYFUNCTION("""COMPUTED_VALUE"""),2697143)</f>
        <v>2697143</v>
      </c>
    </row>
    <row r="18" spans="1:26" ht="22.5" customHeight="1">
      <c r="A18" s="115">
        <v>70</v>
      </c>
      <c r="B18" s="115" t="s">
        <v>11</v>
      </c>
      <c r="C18" s="115" t="s">
        <v>9</v>
      </c>
      <c r="D18" s="115" t="s">
        <v>19</v>
      </c>
      <c r="E18" s="98" t="s">
        <v>74</v>
      </c>
      <c r="F18" s="115" t="s">
        <v>483</v>
      </c>
      <c r="G18" s="115">
        <v>0</v>
      </c>
      <c r="H18" s="115">
        <v>95</v>
      </c>
      <c r="I18" s="194">
        <v>95</v>
      </c>
      <c r="J18" s="116">
        <v>64571</v>
      </c>
      <c r="K18" s="116">
        <v>417860</v>
      </c>
      <c r="L18" s="116">
        <v>675634</v>
      </c>
      <c r="M18" s="195">
        <v>3.6135412704450365E-2</v>
      </c>
      <c r="N18" s="195">
        <v>1.417838725966584E-3</v>
      </c>
      <c r="O18" s="195">
        <v>9.5596955584935153E-3</v>
      </c>
      <c r="P18" s="195">
        <v>2.5186838652753864E-2</v>
      </c>
      <c r="R18" s="223" t="s">
        <v>469</v>
      </c>
      <c r="S18" s="207">
        <f>SUMIFS(Scoreboard_6[Damage Taken],Scoreboard_6[Role],"Melee DPS",Scoreboard_6[Team],"Yellow")</f>
        <v>9004491</v>
      </c>
      <c r="T18" s="219">
        <f>SUMIFS(Scoreboard_6[Damage Taken],Scoreboard_6[Role],"Melee DPS",Scoreboard_6[Team],"Red")</f>
        <v>8678897</v>
      </c>
      <c r="V18" s="204" t="str">
        <f ca="1">IFERROR(__xludf.DUMMYFUNCTION("""COMPUTED_VALUE"""),"Kiefblunt")</f>
        <v>Kiefblunt</v>
      </c>
      <c r="W18" s="116">
        <f ca="1">IFERROR(__xludf.DUMMYFUNCTION("""COMPUTED_VALUE"""),1672969)</f>
        <v>1672969</v>
      </c>
      <c r="Y18" s="204" t="str">
        <f ca="1">IFERROR(__xludf.DUMMYFUNCTION("""COMPUTED_VALUE"""),"EgirlWaifu")</f>
        <v>EgirlWaifu</v>
      </c>
      <c r="Z18" s="116">
        <f ca="1">IFERROR(__xludf.DUMMYFUNCTION("""COMPUTED_VALUE"""),2562243)</f>
        <v>2562243</v>
      </c>
    </row>
    <row r="19" spans="1:26" ht="22.5" customHeight="1">
      <c r="A19" s="115">
        <v>27</v>
      </c>
      <c r="B19" s="115" t="s">
        <v>25</v>
      </c>
      <c r="C19" s="115" t="s">
        <v>23</v>
      </c>
      <c r="D19" s="115" t="s">
        <v>7</v>
      </c>
      <c r="E19" s="98" t="s">
        <v>22</v>
      </c>
      <c r="F19" s="115" t="s">
        <v>476</v>
      </c>
      <c r="G19" s="115">
        <v>21</v>
      </c>
      <c r="H19" s="115">
        <v>72</v>
      </c>
      <c r="I19" s="194">
        <v>93</v>
      </c>
      <c r="J19" s="116">
        <v>1743344</v>
      </c>
      <c r="K19" s="116">
        <v>1157746</v>
      </c>
      <c r="L19" s="116">
        <v>53930</v>
      </c>
      <c r="M19" s="195">
        <v>2.9740965781899584E-2</v>
      </c>
      <c r="N19" s="195">
        <v>3.987540559729702E-2</v>
      </c>
      <c r="O19" s="195">
        <v>2.541650892204322E-2</v>
      </c>
      <c r="P19" s="195">
        <v>1.8411005609604339E-3</v>
      </c>
      <c r="R19" s="223" t="s">
        <v>470</v>
      </c>
      <c r="S19" s="207">
        <f>SUMIFS(Scoreboard_6[Amount Healed],Scoreboard_6[Role],"Melee DPS",Scoreboard_6[Team],"Yellow")</f>
        <v>375215</v>
      </c>
      <c r="T19" s="219">
        <f>SUMIFS(Scoreboard_6[Amount Healed],Scoreboard_6[Role],"Melee DPS",Scoreboard_6[Team],"Red")</f>
        <v>606981</v>
      </c>
      <c r="V19" s="204" t="str">
        <f ca="1">IFERROR(__xludf.DUMMYFUNCTION("""COMPUTED_VALUE"""),"Riakou")</f>
        <v>Riakou</v>
      </c>
      <c r="W19" s="116">
        <f ca="1">IFERROR(__xludf.DUMMYFUNCTION("""COMPUTED_VALUE"""),1576505)</f>
        <v>1576505</v>
      </c>
      <c r="Y19" s="204" t="str">
        <f ca="1">IFERROR(__xludf.DUMMYFUNCTION("""COMPUTED_VALUE"""),"Spicyparrot")</f>
        <v>Spicyparrot</v>
      </c>
      <c r="Z19" s="116">
        <f ca="1">IFERROR(__xludf.DUMMYFUNCTION("""COMPUTED_VALUE"""),2498352)</f>
        <v>2498352</v>
      </c>
    </row>
    <row r="20" spans="1:26" ht="22.5" customHeight="1">
      <c r="A20" s="115">
        <v>26</v>
      </c>
      <c r="B20" s="115" t="s">
        <v>39</v>
      </c>
      <c r="C20" s="115" t="s">
        <v>32</v>
      </c>
      <c r="D20" s="115" t="s">
        <v>19</v>
      </c>
      <c r="E20" s="98" t="s">
        <v>112</v>
      </c>
      <c r="F20" s="115" t="s">
        <v>483</v>
      </c>
      <c r="G20" s="115">
        <v>21</v>
      </c>
      <c r="H20" s="115">
        <v>72</v>
      </c>
      <c r="I20" s="194">
        <v>93</v>
      </c>
      <c r="J20" s="116">
        <v>2266656</v>
      </c>
      <c r="K20" s="116">
        <v>932595</v>
      </c>
      <c r="L20" s="116">
        <v>65092</v>
      </c>
      <c r="M20" s="195">
        <v>3.5374667173830351E-2</v>
      </c>
      <c r="N20" s="195">
        <v>4.9770836060220744E-2</v>
      </c>
      <c r="O20" s="195">
        <v>2.1335672903300771E-2</v>
      </c>
      <c r="P20" s="195">
        <v>2.4265529881341888E-3</v>
      </c>
      <c r="R20" s="223" t="s">
        <v>465</v>
      </c>
      <c r="S20" s="207">
        <f>SUMIFS(Scoreboard_6[Kills],Scoreboard_6[Role],"Melee DPS",Scoreboard_6[Team],"Yellow")</f>
        <v>236</v>
      </c>
      <c r="T20" s="219">
        <f>SUMIFS(Scoreboard_6[Kills],Scoreboard_6[Role],"Melee DPS",Scoreboard_6[Team],"Red")</f>
        <v>190</v>
      </c>
      <c r="V20" s="204" t="str">
        <f ca="1">IFERROR(__xludf.DUMMYFUNCTION("""COMPUTED_VALUE"""),"QueenSkin")</f>
        <v>QueenSkin</v>
      </c>
      <c r="W20" s="116">
        <f ca="1">IFERROR(__xludf.DUMMYFUNCTION("""COMPUTED_VALUE"""),1408236)</f>
        <v>1408236</v>
      </c>
      <c r="Y20" s="204" t="str">
        <f ca="1">IFERROR(__xludf.DUMMYFUNCTION("""COMPUTED_VALUE"""),"Zyrwolf")</f>
        <v>Zyrwolf</v>
      </c>
      <c r="Z20" s="116">
        <f ca="1">IFERROR(__xludf.DUMMYFUNCTION("""COMPUTED_VALUE"""),2365784)</f>
        <v>2365784</v>
      </c>
    </row>
    <row r="21" spans="1:26" ht="22.5" customHeight="1">
      <c r="A21" s="115">
        <v>32</v>
      </c>
      <c r="B21" s="115" t="s">
        <v>39</v>
      </c>
      <c r="C21" s="115" t="s">
        <v>32</v>
      </c>
      <c r="D21" s="115" t="s">
        <v>19</v>
      </c>
      <c r="E21" s="98" t="s">
        <v>250</v>
      </c>
      <c r="F21" s="115" t="s">
        <v>483</v>
      </c>
      <c r="G21" s="115">
        <v>17</v>
      </c>
      <c r="H21" s="115">
        <v>76</v>
      </c>
      <c r="I21" s="194">
        <v>93</v>
      </c>
      <c r="J21" s="116">
        <v>2287067</v>
      </c>
      <c r="K21" s="116">
        <v>889559</v>
      </c>
      <c r="L21" s="116">
        <v>0</v>
      </c>
      <c r="M21" s="195">
        <v>3.5374667173830351E-2</v>
      </c>
      <c r="N21" s="195">
        <v>5.0219017228790283E-2</v>
      </c>
      <c r="O21" s="195">
        <v>2.0351106163111889E-2</v>
      </c>
      <c r="P21" s="195">
        <v>0</v>
      </c>
      <c r="R21" s="223" t="s">
        <v>466</v>
      </c>
      <c r="S21" s="207">
        <f>SUMIFS(Scoreboard_6[Assists],Scoreboard_6[Role],"Melee DPS",Scoreboard_6[Team],"Yellow")</f>
        <v>389</v>
      </c>
      <c r="T21" s="219">
        <f>SUMIFS(Scoreboard_6[Assists],Scoreboard_6[Role],"Melee DPS",Scoreboard_6[Team],"Red")</f>
        <v>414</v>
      </c>
      <c r="V21" s="204" t="str">
        <f ca="1">IFERROR(__xludf.DUMMYFUNCTION("""COMPUTED_VALUE"""),"Zyrwolf")</f>
        <v>Zyrwolf</v>
      </c>
      <c r="W21" s="116">
        <f ca="1">IFERROR(__xludf.DUMMYFUNCTION("""COMPUTED_VALUE"""),1387088)</f>
        <v>1387088</v>
      </c>
      <c r="Y21" s="204" t="str">
        <f ca="1">IFERROR(__xludf.DUMMYFUNCTION("""COMPUTED_VALUE"""),"Teensy")</f>
        <v>Teensy</v>
      </c>
      <c r="Z21" s="116">
        <f ca="1">IFERROR(__xludf.DUMMYFUNCTION("""COMPUTED_VALUE"""),2266298)</f>
        <v>2266298</v>
      </c>
    </row>
    <row r="22" spans="1:26" ht="22.5" customHeight="1">
      <c r="A22" s="115">
        <v>28</v>
      </c>
      <c r="B22" s="115" t="s">
        <v>67</v>
      </c>
      <c r="C22" s="115" t="s">
        <v>794</v>
      </c>
      <c r="D22" s="115" t="s">
        <v>19</v>
      </c>
      <c r="E22" s="98" t="s">
        <v>289</v>
      </c>
      <c r="F22" s="115" t="s">
        <v>483</v>
      </c>
      <c r="G22" s="115">
        <v>20</v>
      </c>
      <c r="H22" s="115">
        <v>71</v>
      </c>
      <c r="I22" s="194">
        <v>91</v>
      </c>
      <c r="J22" s="116">
        <v>2128351</v>
      </c>
      <c r="K22" s="116">
        <v>833527</v>
      </c>
      <c r="L22" s="116">
        <v>45425</v>
      </c>
      <c r="M22" s="195">
        <v>3.4613921643210345E-2</v>
      </c>
      <c r="N22" s="195">
        <v>4.6733959056692712E-2</v>
      </c>
      <c r="O22" s="195">
        <v>1.9069220216781757E-2</v>
      </c>
      <c r="P22" s="195">
        <v>1.6933904241073483E-3</v>
      </c>
      <c r="V22" s="204" t="str">
        <f ca="1">IFERROR(__xludf.DUMMYFUNCTION("""COMPUTED_VALUE"""),"cba")</f>
        <v>cba</v>
      </c>
      <c r="W22" s="116">
        <f ca="1">IFERROR(__xludf.DUMMYFUNCTION("""COMPUTED_VALUE"""),1321718)</f>
        <v>1321718</v>
      </c>
      <c r="Y22" s="204" t="str">
        <f ca="1">IFERROR(__xludf.DUMMYFUNCTION("""COMPUTED_VALUE"""),"apgonzo")</f>
        <v>apgonzo</v>
      </c>
      <c r="Z22" s="116">
        <f ca="1">IFERROR(__xludf.DUMMYFUNCTION("""COMPUTED_VALUE"""),2243328)</f>
        <v>2243328</v>
      </c>
    </row>
    <row r="23" spans="1:26" ht="22.5" customHeight="1">
      <c r="A23" s="115">
        <v>10</v>
      </c>
      <c r="B23" s="115" t="s">
        <v>25</v>
      </c>
      <c r="C23" s="115" t="s">
        <v>69</v>
      </c>
      <c r="D23" s="115" t="s">
        <v>19</v>
      </c>
      <c r="E23" s="98" t="s">
        <v>68</v>
      </c>
      <c r="F23" s="115" t="s">
        <v>483</v>
      </c>
      <c r="G23" s="115">
        <v>38</v>
      </c>
      <c r="H23" s="115">
        <v>52</v>
      </c>
      <c r="I23" s="194">
        <v>90</v>
      </c>
      <c r="J23" s="116">
        <v>1856352</v>
      </c>
      <c r="K23" s="116">
        <v>1012421</v>
      </c>
      <c r="L23" s="116">
        <v>109988</v>
      </c>
      <c r="M23" s="195">
        <v>3.4233548877900345E-2</v>
      </c>
      <c r="N23" s="195">
        <v>4.0761452581275191E-2</v>
      </c>
      <c r="O23" s="195">
        <v>2.3161911972970763E-2</v>
      </c>
      <c r="P23" s="195">
        <v>4.1002229161633246E-3</v>
      </c>
      <c r="R23" s="232" t="s">
        <v>39</v>
      </c>
      <c r="S23" s="228"/>
      <c r="T23" s="228"/>
      <c r="V23" s="204" t="str">
        <f ca="1">IFERROR(__xludf.DUMMYFUNCTION("""COMPUTED_VALUE"""),"edmun")</f>
        <v>edmun</v>
      </c>
      <c r="W23" s="116">
        <f ca="1">IFERROR(__xludf.DUMMYFUNCTION("""COMPUTED_VALUE"""),1312504)</f>
        <v>1312504</v>
      </c>
      <c r="Y23" s="204" t="str">
        <f ca="1">IFERROR(__xludf.DUMMYFUNCTION("""COMPUTED_VALUE"""),"QueenSkin")</f>
        <v>QueenSkin</v>
      </c>
      <c r="Z23" s="116">
        <f ca="1">IFERROR(__xludf.DUMMYFUNCTION("""COMPUTED_VALUE"""),2178973)</f>
        <v>2178973</v>
      </c>
    </row>
    <row r="24" spans="1:26" ht="22.5" customHeight="1">
      <c r="A24" s="115">
        <v>16</v>
      </c>
      <c r="B24" s="115" t="s">
        <v>25</v>
      </c>
      <c r="C24" s="115" t="s">
        <v>23</v>
      </c>
      <c r="D24" s="115" t="s">
        <v>7</v>
      </c>
      <c r="E24" s="98" t="s">
        <v>27</v>
      </c>
      <c r="F24" s="115" t="s">
        <v>476</v>
      </c>
      <c r="G24" s="115">
        <v>32</v>
      </c>
      <c r="H24" s="115">
        <v>57</v>
      </c>
      <c r="I24" s="194">
        <v>89</v>
      </c>
      <c r="J24" s="116">
        <v>1940784</v>
      </c>
      <c r="K24" s="116">
        <v>1219998</v>
      </c>
      <c r="L24" s="116">
        <v>35038</v>
      </c>
      <c r="M24" s="195">
        <v>2.8461784457946913E-2</v>
      </c>
      <c r="N24" s="195">
        <v>4.4391439197739808E-2</v>
      </c>
      <c r="O24" s="195">
        <v>2.6783154553654157E-2</v>
      </c>
      <c r="P24" s="195">
        <v>1.1961520759304965E-3</v>
      </c>
      <c r="R24" s="190" t="s">
        <v>482</v>
      </c>
      <c r="S24" s="222" t="s">
        <v>476</v>
      </c>
      <c r="T24" s="222" t="s">
        <v>483</v>
      </c>
      <c r="V24" s="204" t="str">
        <f ca="1">IFERROR(__xludf.DUMMYFUNCTION("""COMPUTED_VALUE"""),"Pimlyé›„")</f>
        <v>Pimlyé›„</v>
      </c>
      <c r="W24" s="116">
        <f ca="1">IFERROR(__xludf.DUMMYFUNCTION("""COMPUTED_VALUE"""),1310356)</f>
        <v>1310356</v>
      </c>
      <c r="Y24" s="204" t="str">
        <f ca="1">IFERROR(__xludf.DUMMYFUNCTION("""COMPUTED_VALUE"""),"Xskulled")</f>
        <v>Xskulled</v>
      </c>
      <c r="Z24" s="116">
        <f ca="1">IFERROR(__xludf.DUMMYFUNCTION("""COMPUTED_VALUE"""),2098318)</f>
        <v>2098318</v>
      </c>
    </row>
    <row r="25" spans="1:26" ht="22.5" customHeight="1">
      <c r="A25" s="115">
        <v>22</v>
      </c>
      <c r="B25" s="115" t="s">
        <v>25</v>
      </c>
      <c r="C25" s="115" t="s">
        <v>24</v>
      </c>
      <c r="D25" s="115" t="s">
        <v>19</v>
      </c>
      <c r="E25" s="98" t="s">
        <v>130</v>
      </c>
      <c r="F25" s="115" t="s">
        <v>483</v>
      </c>
      <c r="G25" s="115">
        <v>24</v>
      </c>
      <c r="H25" s="115">
        <v>65</v>
      </c>
      <c r="I25" s="194">
        <v>89</v>
      </c>
      <c r="J25" s="116">
        <v>2821769</v>
      </c>
      <c r="K25" s="116">
        <v>1321718</v>
      </c>
      <c r="L25" s="116">
        <v>11099</v>
      </c>
      <c r="M25" s="195">
        <v>3.3853176112590339E-2</v>
      </c>
      <c r="N25" s="195">
        <v>6.1959910237289216E-2</v>
      </c>
      <c r="O25" s="195">
        <v>3.0237930632702179E-2</v>
      </c>
      <c r="P25" s="195">
        <v>4.1375762943681805E-4</v>
      </c>
      <c r="R25" s="223" t="s">
        <v>468</v>
      </c>
      <c r="S25" s="207">
        <f>SUMIFS(Scoreboard_6[Damage Dealt],Scoreboard_6[Role],"Ranged DPS",Scoreboard_6[Team],"Yellow")</f>
        <v>23469914</v>
      </c>
      <c r="T25" s="219">
        <f>SUMIFS(Scoreboard_6[Damage Dealt],Scoreboard_6[Role],"Ranged DPS",Scoreboard_6[Team],"Red")</f>
        <v>26494081</v>
      </c>
      <c r="V25" s="204" t="str">
        <f ca="1">IFERROR(__xludf.DUMMYFUNCTION("""COMPUTED_VALUE"""),"Gravez")</f>
        <v>Gravez</v>
      </c>
      <c r="W25" s="116">
        <f ca="1">IFERROR(__xludf.DUMMYFUNCTION("""COMPUTED_VALUE"""),1306723)</f>
        <v>1306723</v>
      </c>
      <c r="Y25" s="204" t="str">
        <f ca="1">IFERROR(__xludf.DUMMYFUNCTION("""COMPUTED_VALUE"""),"ADub187")</f>
        <v>ADub187</v>
      </c>
      <c r="Z25" s="116">
        <f ca="1">IFERROR(__xludf.DUMMYFUNCTION("""COMPUTED_VALUE"""),2049886)</f>
        <v>2049886</v>
      </c>
    </row>
    <row r="26" spans="1:26" ht="22.5" customHeight="1">
      <c r="A26" s="115">
        <v>71</v>
      </c>
      <c r="B26" s="115" t="s">
        <v>11</v>
      </c>
      <c r="C26" s="115" t="s">
        <v>10</v>
      </c>
      <c r="D26" s="115" t="s">
        <v>7</v>
      </c>
      <c r="E26" s="98" t="s">
        <v>51</v>
      </c>
      <c r="F26" s="115" t="s">
        <v>476</v>
      </c>
      <c r="G26" s="115">
        <v>0</v>
      </c>
      <c r="H26" s="115">
        <v>88</v>
      </c>
      <c r="I26" s="194">
        <v>88</v>
      </c>
      <c r="J26" s="116">
        <v>150645</v>
      </c>
      <c r="K26" s="116">
        <v>464333</v>
      </c>
      <c r="L26" s="116">
        <v>1796841</v>
      </c>
      <c r="M26" s="195">
        <v>2.8141989126958745E-2</v>
      </c>
      <c r="N26" s="195">
        <v>3.4456942956781964E-3</v>
      </c>
      <c r="O26" s="195">
        <v>1.0193707287521697E-2</v>
      </c>
      <c r="P26" s="195">
        <v>6.1341831504852715E-2</v>
      </c>
      <c r="R26" s="223" t="s">
        <v>469</v>
      </c>
      <c r="S26" s="207">
        <f>SUMIFS(Scoreboard_6[Damage Taken],Scoreboard_6[Role],"Ranged DPS",Scoreboard_6[Team],"Yellow")</f>
        <v>8637870</v>
      </c>
      <c r="T26" s="219">
        <f>SUMIFS(Scoreboard_6[Damage Taken],Scoreboard_6[Role],"Ranged DPS",Scoreboard_6[Team],"Red")</f>
        <v>8075407</v>
      </c>
      <c r="V26" s="204" t="str">
        <f ca="1">IFERROR(__xludf.DUMMYFUNCTION("""COMPUTED_VALUE"""),"NGMilkMan")</f>
        <v>NGMilkMan</v>
      </c>
      <c r="W26" s="116">
        <f ca="1">IFERROR(__xludf.DUMMYFUNCTION("""COMPUTED_VALUE"""),1288218)</f>
        <v>1288218</v>
      </c>
      <c r="Y26" s="204" t="str">
        <f ca="1">IFERROR(__xludf.DUMMYFUNCTION("""COMPUTED_VALUE"""),"LeafãƒŸ")</f>
        <v>LeafãƒŸ</v>
      </c>
      <c r="Z26" s="116">
        <f ca="1">IFERROR(__xludf.DUMMYFUNCTION("""COMPUTED_VALUE"""),1883585)</f>
        <v>1883585</v>
      </c>
    </row>
    <row r="27" spans="1:26" ht="22.5" customHeight="1">
      <c r="A27" s="115">
        <v>72</v>
      </c>
      <c r="B27" s="115" t="s">
        <v>11</v>
      </c>
      <c r="C27" s="115" t="s">
        <v>10</v>
      </c>
      <c r="D27" s="115" t="s">
        <v>7</v>
      </c>
      <c r="E27" s="98" t="s">
        <v>115</v>
      </c>
      <c r="F27" s="115" t="s">
        <v>476</v>
      </c>
      <c r="G27" s="115">
        <v>0</v>
      </c>
      <c r="H27" s="115">
        <v>85</v>
      </c>
      <c r="I27" s="194">
        <v>85</v>
      </c>
      <c r="J27" s="116">
        <v>94788</v>
      </c>
      <c r="K27" s="116">
        <v>748719</v>
      </c>
      <c r="L27" s="116">
        <v>1715312</v>
      </c>
      <c r="M27" s="195">
        <v>2.7182603133994242E-2</v>
      </c>
      <c r="N27" s="195">
        <v>2.168080393632347E-3</v>
      </c>
      <c r="O27" s="195">
        <v>1.6436958662438286E-2</v>
      </c>
      <c r="P27" s="195">
        <v>5.8558536722087218E-2</v>
      </c>
      <c r="R27" s="223" t="s">
        <v>470</v>
      </c>
      <c r="S27" s="207">
        <f>SUMIFS(Scoreboard_6[Amount Healed],Scoreboard_6[Role],"Ranged DPS",Scoreboard_6[Team],"Yellow")</f>
        <v>907651</v>
      </c>
      <c r="T27" s="219">
        <f>SUMIFS(Scoreboard_6[Amount Healed],Scoreboard_6[Role],"Ranged DPS",Scoreboard_6[Team],"Red")</f>
        <v>378348</v>
      </c>
    </row>
    <row r="28" spans="1:26" ht="22.5" customHeight="1">
      <c r="A28" s="115">
        <v>23</v>
      </c>
      <c r="B28" s="115" t="s">
        <v>25</v>
      </c>
      <c r="C28" s="115" t="s">
        <v>69</v>
      </c>
      <c r="D28" s="115" t="s">
        <v>19</v>
      </c>
      <c r="E28" s="98" t="s">
        <v>125</v>
      </c>
      <c r="F28" s="115" t="s">
        <v>483</v>
      </c>
      <c r="G28" s="115">
        <v>23</v>
      </c>
      <c r="H28" s="115">
        <v>62</v>
      </c>
      <c r="I28" s="194">
        <v>85</v>
      </c>
      <c r="J28" s="116">
        <v>1247253</v>
      </c>
      <c r="K28" s="116">
        <v>1025478</v>
      </c>
      <c r="L28" s="116">
        <v>127854</v>
      </c>
      <c r="M28" s="195">
        <v>3.2331685051350326E-2</v>
      </c>
      <c r="N28" s="195">
        <v>2.7386963257158784E-2</v>
      </c>
      <c r="O28" s="195">
        <v>2.3460626721707782E-2</v>
      </c>
      <c r="P28" s="195">
        <v>4.7662463243548911E-3</v>
      </c>
      <c r="R28" s="223" t="s">
        <v>465</v>
      </c>
      <c r="S28" s="207">
        <f>SUMIFS(Scoreboard_6[Kills],Scoreboard_6[Role],"Ranged DPS",Scoreboard_6[Team],"Yellow")</f>
        <v>342</v>
      </c>
      <c r="T28" s="219">
        <f>SUMIFS(Scoreboard_6[Kills],Scoreboard_6[Role],"Ranged DPS",Scoreboard_6[Team],"Red")</f>
        <v>333</v>
      </c>
    </row>
    <row r="29" spans="1:26" ht="22.5" customHeight="1">
      <c r="A29" s="115">
        <v>40</v>
      </c>
      <c r="B29" s="115" t="s">
        <v>67</v>
      </c>
      <c r="C29" s="115" t="s">
        <v>14</v>
      </c>
      <c r="D29" s="115" t="s">
        <v>7</v>
      </c>
      <c r="E29" s="98" t="s">
        <v>55</v>
      </c>
      <c r="F29" s="115" t="s">
        <v>476</v>
      </c>
      <c r="G29" s="115">
        <v>8</v>
      </c>
      <c r="H29" s="115">
        <v>76</v>
      </c>
      <c r="I29" s="194">
        <v>84</v>
      </c>
      <c r="J29" s="116">
        <v>1097979</v>
      </c>
      <c r="K29" s="116">
        <v>1306723</v>
      </c>
      <c r="L29" s="116">
        <v>75469</v>
      </c>
      <c r="M29" s="195">
        <v>2.6862807803006077E-2</v>
      </c>
      <c r="N29" s="195">
        <v>2.5114009605857815E-2</v>
      </c>
      <c r="O29" s="195">
        <v>2.8687066755695188E-2</v>
      </c>
      <c r="P29" s="195">
        <v>2.5764142079570365E-3</v>
      </c>
      <c r="R29" s="223" t="s">
        <v>466</v>
      </c>
      <c r="S29" s="207">
        <f>SUMIFS(Scoreboard_6[Assists],Scoreboard_6[Role],"Ranged DPS",Scoreboard_6[Team],"Yellow")</f>
        <v>857</v>
      </c>
      <c r="T29" s="219">
        <f>SUMIFS(Scoreboard_6[Assists],Scoreboard_6[Role],"Ranged DPS",Scoreboard_6[Team],"Red")</f>
        <v>665</v>
      </c>
    </row>
    <row r="30" spans="1:26" ht="22.5" customHeight="1">
      <c r="A30" s="115">
        <v>8</v>
      </c>
      <c r="B30" s="115" t="s">
        <v>39</v>
      </c>
      <c r="C30" s="115" t="s">
        <v>54</v>
      </c>
      <c r="D30" s="115" t="s">
        <v>19</v>
      </c>
      <c r="E30" s="98" t="s">
        <v>53</v>
      </c>
      <c r="F30" s="115" t="s">
        <v>483</v>
      </c>
      <c r="G30" s="115">
        <v>43</v>
      </c>
      <c r="H30" s="115">
        <v>40</v>
      </c>
      <c r="I30" s="194">
        <v>83</v>
      </c>
      <c r="J30" s="116">
        <v>1630289</v>
      </c>
      <c r="K30" s="116">
        <v>654077</v>
      </c>
      <c r="L30" s="116">
        <v>15168</v>
      </c>
      <c r="M30" s="195">
        <v>3.1570939520730312E-2</v>
      </c>
      <c r="N30" s="195">
        <v>3.5797600760671761E-2</v>
      </c>
      <c r="O30" s="195">
        <v>1.4963808432998525E-2</v>
      </c>
      <c r="P30" s="195">
        <v>5.6544515031062758E-4</v>
      </c>
      <c r="R30" s="6"/>
      <c r="S30" s="6"/>
      <c r="T30" s="6"/>
    </row>
    <row r="31" spans="1:26" ht="22.5" customHeight="1">
      <c r="A31" s="115">
        <v>73</v>
      </c>
      <c r="B31" s="115" t="s">
        <v>11</v>
      </c>
      <c r="C31" s="115" t="s">
        <v>10</v>
      </c>
      <c r="D31" s="115" t="s">
        <v>19</v>
      </c>
      <c r="E31" s="98" t="s">
        <v>950</v>
      </c>
      <c r="F31" s="115" t="s">
        <v>483</v>
      </c>
      <c r="G31" s="115">
        <v>0</v>
      </c>
      <c r="H31" s="115">
        <v>83</v>
      </c>
      <c r="I31" s="194">
        <v>83</v>
      </c>
      <c r="J31" s="116">
        <v>78657</v>
      </c>
      <c r="K31" s="116">
        <v>440214</v>
      </c>
      <c r="L31" s="116">
        <v>1166364</v>
      </c>
      <c r="M31" s="195">
        <v>3.1570939520730312E-2</v>
      </c>
      <c r="N31" s="195">
        <v>1.727136650638113E-3</v>
      </c>
      <c r="O31" s="195">
        <v>1.0071104725474237E-2</v>
      </c>
      <c r="P31" s="195">
        <v>4.3480674267992146E-2</v>
      </c>
      <c r="R31" s="232" t="s">
        <v>67</v>
      </c>
      <c r="S31" s="228"/>
      <c r="T31" s="228"/>
    </row>
    <row r="32" spans="1:26" ht="22.5" customHeight="1">
      <c r="A32" s="115">
        <v>34</v>
      </c>
      <c r="B32" s="115" t="s">
        <v>39</v>
      </c>
      <c r="C32" s="115" t="s">
        <v>32</v>
      </c>
      <c r="D32" s="115" t="s">
        <v>19</v>
      </c>
      <c r="E32" s="98" t="s">
        <v>937</v>
      </c>
      <c r="F32" s="115" t="s">
        <v>483</v>
      </c>
      <c r="G32" s="115">
        <v>14</v>
      </c>
      <c r="H32" s="115">
        <v>68</v>
      </c>
      <c r="I32" s="194">
        <v>82</v>
      </c>
      <c r="J32" s="116">
        <v>2440212</v>
      </c>
      <c r="K32" s="116">
        <v>939202</v>
      </c>
      <c r="L32" s="116">
        <v>72864</v>
      </c>
      <c r="M32" s="195">
        <v>3.1190566755420313E-2</v>
      </c>
      <c r="N32" s="195">
        <v>5.3581748357131996E-2</v>
      </c>
      <c r="O32" s="195">
        <v>2.1486826180845804E-2</v>
      </c>
      <c r="P32" s="195">
        <v>2.7162839815554835E-3</v>
      </c>
      <c r="R32" s="190" t="s">
        <v>482</v>
      </c>
      <c r="S32" s="222" t="s">
        <v>476</v>
      </c>
      <c r="T32" s="222" t="s">
        <v>483</v>
      </c>
    </row>
    <row r="33" spans="1:20" ht="22.5" customHeight="1">
      <c r="A33" s="115">
        <v>74</v>
      </c>
      <c r="B33" s="115" t="s">
        <v>11</v>
      </c>
      <c r="C33" s="115" t="s">
        <v>10</v>
      </c>
      <c r="D33" s="115" t="s">
        <v>19</v>
      </c>
      <c r="E33" s="98" t="s">
        <v>913</v>
      </c>
      <c r="F33" s="115" t="s">
        <v>483</v>
      </c>
      <c r="G33" s="115">
        <v>0</v>
      </c>
      <c r="H33" s="115">
        <v>79</v>
      </c>
      <c r="I33" s="194">
        <v>79</v>
      </c>
      <c r="J33" s="116">
        <v>136221</v>
      </c>
      <c r="K33" s="116">
        <v>820001</v>
      </c>
      <c r="L33" s="116">
        <v>1600803</v>
      </c>
      <c r="M33" s="195">
        <v>3.0049448459490299E-2</v>
      </c>
      <c r="N33" s="195">
        <v>2.9911168959733322E-3</v>
      </c>
      <c r="O33" s="195">
        <v>1.8759775804480548E-2</v>
      </c>
      <c r="P33" s="195">
        <v>5.9676047794877611E-2</v>
      </c>
      <c r="R33" s="223" t="s">
        <v>468</v>
      </c>
      <c r="S33" s="207">
        <f>SUMIFS(Scoreboard_6[Damage Dealt],Scoreboard_6[Role],"Tank",Scoreboard_6[Team],"Yellow")</f>
        <v>6414091</v>
      </c>
      <c r="T33" s="219">
        <f>SUMIFS(Scoreboard_6[Damage Dealt],Scoreboard_6[Role],"Tank",Scoreboard_6[Team],"Red")</f>
        <v>4527788</v>
      </c>
    </row>
    <row r="34" spans="1:20" ht="22.5" customHeight="1">
      <c r="A34" s="115">
        <v>35</v>
      </c>
      <c r="B34" s="115" t="s">
        <v>25</v>
      </c>
      <c r="C34" s="115" t="s">
        <v>24</v>
      </c>
      <c r="D34" s="115" t="s">
        <v>19</v>
      </c>
      <c r="E34" s="98" t="s">
        <v>887</v>
      </c>
      <c r="F34" s="115" t="s">
        <v>483</v>
      </c>
      <c r="G34" s="115">
        <v>14</v>
      </c>
      <c r="H34" s="115">
        <v>58</v>
      </c>
      <c r="I34" s="194">
        <v>72</v>
      </c>
      <c r="J34" s="116">
        <v>1400607</v>
      </c>
      <c r="K34" s="116">
        <v>930191</v>
      </c>
      <c r="L34" s="116">
        <v>53036</v>
      </c>
      <c r="M34" s="195">
        <v>2.7386839102320273E-2</v>
      </c>
      <c r="N34" s="195">
        <v>3.0754283570951037E-2</v>
      </c>
      <c r="O34" s="195">
        <v>2.1280674798378984E-2</v>
      </c>
      <c r="P34" s="195">
        <v>1.9771195274178831E-3</v>
      </c>
      <c r="R34" s="223" t="s">
        <v>469</v>
      </c>
      <c r="S34" s="207">
        <f>SUMIFS(Scoreboard_6[Damage Taken],Scoreboard_6[Role],"Tank",Scoreboard_6[Team],"Yellow")</f>
        <v>14672760</v>
      </c>
      <c r="T34" s="219">
        <f>SUMIFS(Scoreboard_6[Damage Taken],Scoreboard_6[Role],"Tank",Scoreboard_6[Team],"Red")</f>
        <v>13197318</v>
      </c>
    </row>
    <row r="35" spans="1:20" ht="22.5" customHeight="1">
      <c r="A35" s="115">
        <v>17</v>
      </c>
      <c r="B35" s="115" t="s">
        <v>25</v>
      </c>
      <c r="C35" s="115" t="s">
        <v>24</v>
      </c>
      <c r="D35" s="115" t="s">
        <v>7</v>
      </c>
      <c r="E35" s="98" t="s">
        <v>169</v>
      </c>
      <c r="F35" s="115" t="s">
        <v>476</v>
      </c>
      <c r="G35" s="115">
        <v>32</v>
      </c>
      <c r="H35" s="115">
        <v>39</v>
      </c>
      <c r="I35" s="194">
        <v>71</v>
      </c>
      <c r="J35" s="116">
        <v>1329182</v>
      </c>
      <c r="K35" s="116">
        <v>918476</v>
      </c>
      <c r="L35" s="116">
        <v>7345</v>
      </c>
      <c r="M35" s="195">
        <v>2.2705468500159899E-2</v>
      </c>
      <c r="N35" s="195">
        <v>3.0402302335411972E-2</v>
      </c>
      <c r="O35" s="195">
        <v>2.0163709007573829E-2</v>
      </c>
      <c r="P35" s="195">
        <v>2.507488155062931E-4</v>
      </c>
      <c r="R35" s="223" t="s">
        <v>470</v>
      </c>
      <c r="S35" s="207">
        <f>SUMIFS(Scoreboard_6[Amount Healed],Scoreboard_6[Role],"Tank",Scoreboard_6[Team],"Yellow")</f>
        <v>979250</v>
      </c>
      <c r="T35" s="219">
        <f>SUMIFS(Scoreboard_6[Amount Healed],Scoreboard_6[Role],"Tank",Scoreboard_6[Team],"Red")</f>
        <v>1040484</v>
      </c>
    </row>
    <row r="36" spans="1:20" ht="22.5" customHeight="1">
      <c r="A36" s="115">
        <v>75</v>
      </c>
      <c r="B36" s="115" t="s">
        <v>11</v>
      </c>
      <c r="C36" s="115" t="s">
        <v>10</v>
      </c>
      <c r="D36" s="115" t="s">
        <v>7</v>
      </c>
      <c r="E36" s="98" t="s">
        <v>17</v>
      </c>
      <c r="F36" s="115" t="s">
        <v>476</v>
      </c>
      <c r="G36" s="115">
        <v>0</v>
      </c>
      <c r="H36" s="115">
        <v>71</v>
      </c>
      <c r="I36" s="194">
        <v>71</v>
      </c>
      <c r="J36" s="116">
        <v>135763</v>
      </c>
      <c r="K36" s="116">
        <v>967895</v>
      </c>
      <c r="L36" s="116">
        <v>2243328</v>
      </c>
      <c r="M36" s="195">
        <v>2.2705468500159899E-2</v>
      </c>
      <c r="N36" s="195">
        <v>3.1052991779624878E-3</v>
      </c>
      <c r="O36" s="195">
        <v>2.1248626126197823E-2</v>
      </c>
      <c r="P36" s="195">
        <v>7.6584321142559766E-2</v>
      </c>
      <c r="R36" s="223" t="s">
        <v>465</v>
      </c>
      <c r="S36" s="207">
        <f>SUMIFS(Scoreboard_6[Kills],Scoreboard_6[Role],"Tank",Scoreboard_6[Team],"Yellow")</f>
        <v>70</v>
      </c>
      <c r="T36" s="219">
        <f>SUMIFS(Scoreboard_6[Kills],Scoreboard_6[Role],"Tank",Scoreboard_6[Team],"Red")</f>
        <v>37</v>
      </c>
    </row>
    <row r="37" spans="1:20" ht="22.5" customHeight="1">
      <c r="A37" s="115">
        <v>33</v>
      </c>
      <c r="B37" s="115" t="s">
        <v>39</v>
      </c>
      <c r="C37" s="115" t="s">
        <v>45</v>
      </c>
      <c r="D37" s="115" t="s">
        <v>19</v>
      </c>
      <c r="E37" s="98" t="s">
        <v>943</v>
      </c>
      <c r="F37" s="115" t="s">
        <v>483</v>
      </c>
      <c r="G37" s="115">
        <v>15</v>
      </c>
      <c r="H37" s="115">
        <v>56</v>
      </c>
      <c r="I37" s="194">
        <v>71</v>
      </c>
      <c r="J37" s="116">
        <v>2168096</v>
      </c>
      <c r="K37" s="116">
        <v>886839</v>
      </c>
      <c r="L37" s="116">
        <v>38375</v>
      </c>
      <c r="M37" s="195">
        <v>2.700646633701027E-2</v>
      </c>
      <c r="N37" s="195">
        <v>4.7606672816175172E-2</v>
      </c>
      <c r="O37" s="195">
        <v>2.0288878689989066E-2</v>
      </c>
      <c r="P37" s="195">
        <v>1.4305747391330653E-3</v>
      </c>
      <c r="R37" s="223" t="s">
        <v>466</v>
      </c>
      <c r="S37" s="207">
        <f>SUMIFS(Scoreboard_6[Assists],Scoreboard_6[Role],"Tank",Scoreboard_6[Team],"Yellow")</f>
        <v>423</v>
      </c>
      <c r="T37" s="219">
        <f>SUMIFS(Scoreboard_6[Assists],Scoreboard_6[Role],"Tank",Scoreboard_6[Team],"Red")</f>
        <v>280</v>
      </c>
    </row>
    <row r="38" spans="1:20" ht="22.5" customHeight="1">
      <c r="A38" s="115">
        <v>36</v>
      </c>
      <c r="B38" s="115" t="s">
        <v>39</v>
      </c>
      <c r="C38" s="115" t="s">
        <v>52</v>
      </c>
      <c r="D38" s="115" t="s">
        <v>7</v>
      </c>
      <c r="E38" s="98" t="s">
        <v>99</v>
      </c>
      <c r="F38" s="115" t="s">
        <v>476</v>
      </c>
      <c r="G38" s="115">
        <v>12</v>
      </c>
      <c r="H38" s="115">
        <v>58</v>
      </c>
      <c r="I38" s="194">
        <v>70</v>
      </c>
      <c r="J38" s="116">
        <v>1788897</v>
      </c>
      <c r="K38" s="116">
        <v>354056</v>
      </c>
      <c r="L38" s="116">
        <v>151264</v>
      </c>
      <c r="M38" s="195">
        <v>2.238567316917173E-2</v>
      </c>
      <c r="N38" s="195">
        <v>4.0917336708525598E-2</v>
      </c>
      <c r="O38" s="195">
        <v>7.7727476345441351E-3</v>
      </c>
      <c r="P38" s="195">
        <v>5.163957634954924E-3</v>
      </c>
    </row>
    <row r="39" spans="1:20" ht="22.5" customHeight="1">
      <c r="A39" s="115">
        <v>76</v>
      </c>
      <c r="B39" s="115" t="s">
        <v>11</v>
      </c>
      <c r="C39" s="115" t="s">
        <v>10</v>
      </c>
      <c r="D39" s="115" t="s">
        <v>7</v>
      </c>
      <c r="E39" s="98" t="s">
        <v>41</v>
      </c>
      <c r="F39" s="115" t="s">
        <v>476</v>
      </c>
      <c r="G39" s="115">
        <v>0</v>
      </c>
      <c r="H39" s="115">
        <v>70</v>
      </c>
      <c r="I39" s="194">
        <v>70</v>
      </c>
      <c r="J39" s="116">
        <v>157287</v>
      </c>
      <c r="K39" s="116">
        <v>1069977</v>
      </c>
      <c r="L39" s="116">
        <v>2697143</v>
      </c>
      <c r="M39" s="195">
        <v>2.238567316917173E-2</v>
      </c>
      <c r="N39" s="195">
        <v>3.5976163741533837E-3</v>
      </c>
      <c r="O39" s="195">
        <v>2.3489677327221202E-2</v>
      </c>
      <c r="P39" s="195">
        <v>9.2076979237724968E-2</v>
      </c>
      <c r="R39" s="232" t="s">
        <v>11</v>
      </c>
      <c r="S39" s="228"/>
      <c r="T39" s="228"/>
    </row>
    <row r="40" spans="1:20" ht="22.5" customHeight="1">
      <c r="A40" s="115">
        <v>78</v>
      </c>
      <c r="B40" s="115" t="s">
        <v>11</v>
      </c>
      <c r="C40" s="115" t="s">
        <v>10</v>
      </c>
      <c r="D40" s="115" t="s">
        <v>7</v>
      </c>
      <c r="E40" s="98" t="s">
        <v>87</v>
      </c>
      <c r="F40" s="115" t="s">
        <v>476</v>
      </c>
      <c r="G40" s="115">
        <v>0</v>
      </c>
      <c r="H40" s="115">
        <v>70</v>
      </c>
      <c r="I40" s="194">
        <v>70</v>
      </c>
      <c r="J40" s="116">
        <v>7107</v>
      </c>
      <c r="K40" s="116">
        <v>733192</v>
      </c>
      <c r="L40" s="116">
        <v>1318508</v>
      </c>
      <c r="M40" s="195">
        <v>2.238567316917173E-2</v>
      </c>
      <c r="N40" s="195">
        <v>1.6255799634494968E-4</v>
      </c>
      <c r="O40" s="195">
        <v>1.6096087578424553E-2</v>
      </c>
      <c r="P40" s="195">
        <v>4.5012160549431107E-2</v>
      </c>
      <c r="R40" s="190" t="s">
        <v>482</v>
      </c>
      <c r="S40" s="222" t="s">
        <v>476</v>
      </c>
      <c r="T40" s="222" t="s">
        <v>483</v>
      </c>
    </row>
    <row r="41" spans="1:20" ht="22.5" customHeight="1">
      <c r="A41" s="115">
        <v>77</v>
      </c>
      <c r="B41" s="115" t="s">
        <v>11</v>
      </c>
      <c r="C41" s="115" t="s">
        <v>10</v>
      </c>
      <c r="D41" s="115" t="s">
        <v>19</v>
      </c>
      <c r="E41" s="98" t="s">
        <v>49</v>
      </c>
      <c r="F41" s="115" t="s">
        <v>483</v>
      </c>
      <c r="G41" s="115">
        <v>0</v>
      </c>
      <c r="H41" s="115">
        <v>70</v>
      </c>
      <c r="I41" s="194">
        <v>70</v>
      </c>
      <c r="J41" s="116">
        <v>49414</v>
      </c>
      <c r="K41" s="116">
        <v>524136</v>
      </c>
      <c r="L41" s="116">
        <v>1227603</v>
      </c>
      <c r="M41" s="195">
        <v>2.6626093571700267E-2</v>
      </c>
      <c r="N41" s="195">
        <v>1.0850239705891621E-3</v>
      </c>
      <c r="O41" s="195">
        <v>1.1991051048788009E-2</v>
      </c>
      <c r="P41" s="195">
        <v>4.5763591960494295E-2</v>
      </c>
      <c r="R41" s="223" t="s">
        <v>468</v>
      </c>
      <c r="S41" s="207">
        <f>SUMIFS(Scoreboard_6[Damage Dealt],Scoreboard_6[Role],"Healer",Scoreboard_6[Team],"Yellow")</f>
        <v>1421349</v>
      </c>
      <c r="T41" s="219">
        <f>SUMIFS(Scoreboard_6[Damage Dealt],Scoreboard_6[Role],"Healer",Scoreboard_6[Team],"Red")</f>
        <v>1431496</v>
      </c>
    </row>
    <row r="42" spans="1:20" ht="22.5" customHeight="1">
      <c r="A42" s="115">
        <v>79</v>
      </c>
      <c r="B42" s="115" t="s">
        <v>11</v>
      </c>
      <c r="C42" s="115" t="s">
        <v>10</v>
      </c>
      <c r="D42" s="115" t="s">
        <v>7</v>
      </c>
      <c r="E42" s="98" t="s">
        <v>72</v>
      </c>
      <c r="F42" s="115" t="s">
        <v>476</v>
      </c>
      <c r="G42" s="115">
        <v>0</v>
      </c>
      <c r="H42" s="115">
        <v>68</v>
      </c>
      <c r="I42" s="194">
        <v>68</v>
      </c>
      <c r="J42" s="116">
        <v>4875</v>
      </c>
      <c r="K42" s="116">
        <v>627729</v>
      </c>
      <c r="L42" s="116">
        <v>934293</v>
      </c>
      <c r="M42" s="195">
        <v>2.1746082507195393E-2</v>
      </c>
      <c r="N42" s="195">
        <v>1.1150559057009001E-4</v>
      </c>
      <c r="O42" s="195">
        <v>1.3780811792159306E-2</v>
      </c>
      <c r="P42" s="195">
        <v>3.189555658077891E-2</v>
      </c>
      <c r="R42" s="223" t="s">
        <v>469</v>
      </c>
      <c r="S42" s="207">
        <f>SUMIFS(Scoreboard_6[Damage Taken],Scoreboard_6[Role],"Healer",Scoreboard_6[Team],"Yellow")</f>
        <v>13235824</v>
      </c>
      <c r="T42" s="219">
        <f>SUMIFS(Scoreboard_6[Damage Taken],Scoreboard_6[Role],"Healer",Scoreboard_6[Team],"Red")</f>
        <v>13758975</v>
      </c>
    </row>
    <row r="43" spans="1:20" ht="22.5" customHeight="1">
      <c r="A43" s="115">
        <v>14</v>
      </c>
      <c r="B43" s="115" t="s">
        <v>25</v>
      </c>
      <c r="C43" s="115" t="s">
        <v>69</v>
      </c>
      <c r="D43" s="115" t="s">
        <v>7</v>
      </c>
      <c r="E43" s="98" t="s">
        <v>951</v>
      </c>
      <c r="F43" s="115" t="s">
        <v>476</v>
      </c>
      <c r="G43" s="115">
        <v>33</v>
      </c>
      <c r="H43" s="115">
        <v>31</v>
      </c>
      <c r="I43" s="194">
        <v>64</v>
      </c>
      <c r="J43" s="116">
        <v>1361328</v>
      </c>
      <c r="K43" s="116">
        <v>1310356</v>
      </c>
      <c r="L43" s="116">
        <v>33013</v>
      </c>
      <c r="M43" s="195">
        <v>2.0466901183242726E-2</v>
      </c>
      <c r="N43" s="195">
        <v>3.1137575917866561E-2</v>
      </c>
      <c r="O43" s="195">
        <v>2.876682360816005E-2</v>
      </c>
      <c r="P43" s="195">
        <v>1.1270211907841053E-3</v>
      </c>
      <c r="R43" s="223" t="s">
        <v>470</v>
      </c>
      <c r="S43" s="207">
        <f>SUMIFS(Scoreboard_6[Amount Healed],Scoreboard_6[Role],"Healer",Scoreboard_6[Team],"Yellow")</f>
        <v>27030146</v>
      </c>
      <c r="T43" s="219">
        <f>SUMIFS(Scoreboard_6[Amount Healed],Scoreboard_6[Role],"Healer",Scoreboard_6[Team],"Red")</f>
        <v>24799070</v>
      </c>
    </row>
    <row r="44" spans="1:20" ht="22.5" customHeight="1">
      <c r="A44" s="115">
        <v>29</v>
      </c>
      <c r="B44" s="115" t="s">
        <v>25</v>
      </c>
      <c r="C44" s="115" t="s">
        <v>23</v>
      </c>
      <c r="D44" s="115" t="s">
        <v>19</v>
      </c>
      <c r="E44" s="98" t="s">
        <v>71</v>
      </c>
      <c r="F44" s="115" t="s">
        <v>483</v>
      </c>
      <c r="G44" s="115">
        <v>18</v>
      </c>
      <c r="H44" s="115">
        <v>44</v>
      </c>
      <c r="I44" s="194">
        <v>62</v>
      </c>
      <c r="J44" s="116">
        <v>1097406</v>
      </c>
      <c r="K44" s="116">
        <v>1167081</v>
      </c>
      <c r="L44" s="116">
        <v>106233</v>
      </c>
      <c r="M44" s="195">
        <v>2.3583111449220234E-2</v>
      </c>
      <c r="N44" s="195">
        <v>2.4096649036070141E-2</v>
      </c>
      <c r="O44" s="195">
        <v>2.6700184396932395E-2</v>
      </c>
      <c r="P44" s="195">
        <v>3.9602409449465258E-3</v>
      </c>
      <c r="R44" s="223" t="s">
        <v>465</v>
      </c>
      <c r="S44" s="207">
        <f>SUMIFS(Scoreboard_6[Kills],Scoreboard_6[Role],"Healer",Scoreboard_6[Team],"Yellow")</f>
        <v>5</v>
      </c>
      <c r="T44" s="219">
        <f>SUMIFS(Scoreboard_6[Kills],Scoreboard_6[Role],"Healer",Scoreboard_6[Team],"Red")</f>
        <v>6</v>
      </c>
    </row>
    <row r="45" spans="1:20" ht="22.5" customHeight="1">
      <c r="A45" s="115">
        <v>7</v>
      </c>
      <c r="B45" s="115" t="s">
        <v>25</v>
      </c>
      <c r="C45" s="115" t="s">
        <v>69</v>
      </c>
      <c r="D45" s="115" t="s">
        <v>7</v>
      </c>
      <c r="E45" s="98" t="s">
        <v>110</v>
      </c>
      <c r="F45" s="115" t="s">
        <v>476</v>
      </c>
      <c r="G45" s="115">
        <v>44</v>
      </c>
      <c r="H45" s="115">
        <v>17</v>
      </c>
      <c r="I45" s="194">
        <v>61</v>
      </c>
      <c r="J45" s="116">
        <v>1265692</v>
      </c>
      <c r="K45" s="116">
        <v>1069316</v>
      </c>
      <c r="L45" s="116">
        <v>127921</v>
      </c>
      <c r="M45" s="195">
        <v>1.9507515190278223E-2</v>
      </c>
      <c r="N45" s="195">
        <v>2.8950099269710431E-2</v>
      </c>
      <c r="O45" s="195">
        <v>2.3475166102481518E-2</v>
      </c>
      <c r="P45" s="195">
        <v>4.3670577574377832E-3</v>
      </c>
      <c r="R45" s="223" t="s">
        <v>466</v>
      </c>
      <c r="S45" s="207">
        <f>SUMIFS(Scoreboard_6[Assists],Scoreboard_6[Role],"Healer",Scoreboard_6[Team],"Yellow")</f>
        <v>805</v>
      </c>
      <c r="T45" s="219">
        <f>SUMIFS(Scoreboard_6[Assists],Scoreboard_6[Role],"Healer",Scoreboard_6[Team],"Red")</f>
        <v>704</v>
      </c>
    </row>
    <row r="46" spans="1:20" ht="22.5" customHeight="1">
      <c r="A46" s="115">
        <v>25</v>
      </c>
      <c r="B46" s="115" t="s">
        <v>39</v>
      </c>
      <c r="C46" s="115" t="s">
        <v>54</v>
      </c>
      <c r="D46" s="115" t="s">
        <v>7</v>
      </c>
      <c r="E46" s="98" t="s">
        <v>922</v>
      </c>
      <c r="F46" s="115" t="s">
        <v>476</v>
      </c>
      <c r="G46" s="115">
        <v>22</v>
      </c>
      <c r="H46" s="115">
        <v>36</v>
      </c>
      <c r="I46" s="194">
        <v>58</v>
      </c>
      <c r="J46" s="116">
        <v>1198744</v>
      </c>
      <c r="K46" s="116">
        <v>798649</v>
      </c>
      <c r="L46" s="116">
        <v>16617</v>
      </c>
      <c r="M46" s="195">
        <v>1.8548129197313721E-2</v>
      </c>
      <c r="N46" s="195">
        <v>2.7418801571764507E-2</v>
      </c>
      <c r="O46" s="195">
        <v>1.7533093989597803E-2</v>
      </c>
      <c r="P46" s="195">
        <v>5.6728292270497927E-4</v>
      </c>
    </row>
    <row r="47" spans="1:20" ht="22.5" customHeight="1">
      <c r="A47" s="115">
        <v>80</v>
      </c>
      <c r="B47" s="115" t="s">
        <v>11</v>
      </c>
      <c r="C47" s="115" t="s">
        <v>10</v>
      </c>
      <c r="D47" s="115" t="s">
        <v>7</v>
      </c>
      <c r="E47" s="98" t="s">
        <v>96</v>
      </c>
      <c r="F47" s="115" t="s">
        <v>476</v>
      </c>
      <c r="G47" s="115">
        <v>0</v>
      </c>
      <c r="H47" s="115">
        <v>58</v>
      </c>
      <c r="I47" s="194">
        <v>58</v>
      </c>
      <c r="J47" s="116">
        <v>155200</v>
      </c>
      <c r="K47" s="116">
        <v>703750</v>
      </c>
      <c r="L47" s="116">
        <v>1516256</v>
      </c>
      <c r="M47" s="195">
        <v>1.8548129197313721E-2</v>
      </c>
      <c r="N47" s="195">
        <v>3.5498805449185574E-3</v>
      </c>
      <c r="O47" s="195">
        <v>1.544973435787117E-2</v>
      </c>
      <c r="P47" s="195">
        <v>5.1763021920260034E-2</v>
      </c>
    </row>
    <row r="48" spans="1:20" ht="22.5" customHeight="1">
      <c r="A48" s="115">
        <v>37</v>
      </c>
      <c r="B48" s="115" t="s">
        <v>67</v>
      </c>
      <c r="C48" s="115" t="s">
        <v>14</v>
      </c>
      <c r="D48" s="115" t="s">
        <v>7</v>
      </c>
      <c r="E48" s="98" t="s">
        <v>856</v>
      </c>
      <c r="F48" s="115" t="s">
        <v>476</v>
      </c>
      <c r="G48" s="115">
        <v>11</v>
      </c>
      <c r="H48" s="115">
        <v>46</v>
      </c>
      <c r="I48" s="194">
        <v>57</v>
      </c>
      <c r="J48" s="116">
        <v>867457</v>
      </c>
      <c r="K48" s="116">
        <v>749091</v>
      </c>
      <c r="L48" s="116">
        <v>40316</v>
      </c>
      <c r="M48" s="195">
        <v>1.8228333866325552E-2</v>
      </c>
      <c r="N48" s="195">
        <v>1.9841293349570986E-2</v>
      </c>
      <c r="O48" s="195">
        <v>1.6445125342624614E-2</v>
      </c>
      <c r="P48" s="195">
        <v>1.3763361805243992E-3</v>
      </c>
    </row>
    <row r="49" spans="1:16" ht="22.5" customHeight="1">
      <c r="A49" s="115">
        <v>30</v>
      </c>
      <c r="B49" s="115" t="s">
        <v>25</v>
      </c>
      <c r="C49" s="115" t="s">
        <v>23</v>
      </c>
      <c r="D49" s="115" t="s">
        <v>19</v>
      </c>
      <c r="E49" s="98" t="s">
        <v>920</v>
      </c>
      <c r="F49" s="115" t="s">
        <v>483</v>
      </c>
      <c r="G49" s="115">
        <v>18</v>
      </c>
      <c r="H49" s="115">
        <v>37</v>
      </c>
      <c r="I49" s="194">
        <v>55</v>
      </c>
      <c r="J49" s="116">
        <v>1112768</v>
      </c>
      <c r="K49" s="116">
        <v>1103170</v>
      </c>
      <c r="L49" s="116">
        <v>42711</v>
      </c>
      <c r="M49" s="195">
        <v>2.0920502092050208E-2</v>
      </c>
      <c r="N49" s="195">
        <v>2.4433965145597616E-2</v>
      </c>
      <c r="O49" s="195">
        <v>2.5238044678273328E-2</v>
      </c>
      <c r="P49" s="195">
        <v>1.5922157050973903E-3</v>
      </c>
    </row>
    <row r="50" spans="1:16" ht="22.5" customHeight="1">
      <c r="A50" s="115">
        <v>31</v>
      </c>
      <c r="B50" s="115" t="s">
        <v>25</v>
      </c>
      <c r="C50" s="115" t="s">
        <v>24</v>
      </c>
      <c r="D50" s="115" t="s">
        <v>19</v>
      </c>
      <c r="E50" s="98" t="s">
        <v>952</v>
      </c>
      <c r="F50" s="115" t="s">
        <v>483</v>
      </c>
      <c r="G50" s="115">
        <v>18</v>
      </c>
      <c r="H50" s="115">
        <v>36</v>
      </c>
      <c r="I50" s="194">
        <v>54</v>
      </c>
      <c r="J50" s="116">
        <v>1537975</v>
      </c>
      <c r="K50" s="116">
        <v>1177906</v>
      </c>
      <c r="L50" s="116">
        <v>51727</v>
      </c>
      <c r="M50" s="195">
        <v>2.0540129326740205E-2</v>
      </c>
      <c r="N50" s="195">
        <v>3.3770586092339551E-2</v>
      </c>
      <c r="O50" s="195">
        <v>2.6947836013312743E-2</v>
      </c>
      <c r="P50" s="195">
        <v>1.9283215512999627E-3</v>
      </c>
    </row>
    <row r="51" spans="1:16" ht="22.5" customHeight="1">
      <c r="A51" s="115">
        <v>53</v>
      </c>
      <c r="B51" s="115" t="s">
        <v>11</v>
      </c>
      <c r="C51" s="115" t="s">
        <v>10</v>
      </c>
      <c r="D51" s="115" t="s">
        <v>7</v>
      </c>
      <c r="E51" s="98" t="s">
        <v>858</v>
      </c>
      <c r="F51" s="115" t="s">
        <v>476</v>
      </c>
      <c r="G51" s="115">
        <v>1</v>
      </c>
      <c r="H51" s="115">
        <v>51</v>
      </c>
      <c r="I51" s="194">
        <v>52</v>
      </c>
      <c r="J51" s="116">
        <v>40183</v>
      </c>
      <c r="K51" s="116">
        <v>754039</v>
      </c>
      <c r="L51" s="116">
        <v>1105849</v>
      </c>
      <c r="M51" s="195">
        <v>1.6629357211384713E-2</v>
      </c>
      <c r="N51" s="195">
        <v>9.1910341453906182E-4</v>
      </c>
      <c r="O51" s="195">
        <v>1.6553750970479317E-2</v>
      </c>
      <c r="P51" s="195">
        <v>3.7752256892963743E-2</v>
      </c>
    </row>
    <row r="52" spans="1:16" ht="22.5" customHeight="1">
      <c r="A52" s="115">
        <v>81</v>
      </c>
      <c r="B52" s="115" t="s">
        <v>11</v>
      </c>
      <c r="C52" s="115" t="s">
        <v>10</v>
      </c>
      <c r="D52" s="115" t="s">
        <v>7</v>
      </c>
      <c r="E52" s="98" t="s">
        <v>108</v>
      </c>
      <c r="F52" s="115" t="s">
        <v>476</v>
      </c>
      <c r="G52" s="115">
        <v>0</v>
      </c>
      <c r="H52" s="115">
        <v>51</v>
      </c>
      <c r="I52" s="194">
        <v>51</v>
      </c>
      <c r="J52" s="116">
        <v>108423</v>
      </c>
      <c r="K52" s="116">
        <v>1047547</v>
      </c>
      <c r="L52" s="116">
        <v>2266298</v>
      </c>
      <c r="M52" s="195">
        <v>1.6309561880396548E-2</v>
      </c>
      <c r="N52" s="195">
        <v>2.4799529531037679E-3</v>
      </c>
      <c r="O52" s="195">
        <v>2.2997261637491825E-2</v>
      </c>
      <c r="P52" s="195">
        <v>7.7368487281726489E-2</v>
      </c>
    </row>
    <row r="53" spans="1:16" ht="22.5" customHeight="1">
      <c r="A53" s="115">
        <v>54</v>
      </c>
      <c r="B53" s="115" t="s">
        <v>11</v>
      </c>
      <c r="C53" s="115" t="s">
        <v>10</v>
      </c>
      <c r="D53" s="115" t="s">
        <v>7</v>
      </c>
      <c r="E53" s="98" t="s">
        <v>44</v>
      </c>
      <c r="F53" s="115" t="s">
        <v>476</v>
      </c>
      <c r="G53" s="115">
        <v>1</v>
      </c>
      <c r="H53" s="115">
        <v>45</v>
      </c>
      <c r="I53" s="194">
        <v>46</v>
      </c>
      <c r="J53" s="116">
        <v>170959</v>
      </c>
      <c r="K53" s="116">
        <v>1141255</v>
      </c>
      <c r="L53" s="116">
        <v>2562243</v>
      </c>
      <c r="M53" s="195">
        <v>1.4710585225455708E-2</v>
      </c>
      <c r="N53" s="195">
        <v>3.9103352324660542E-3</v>
      </c>
      <c r="O53" s="195">
        <v>2.5054474720557388E-2</v>
      </c>
      <c r="P53" s="195">
        <v>8.7471667432170316E-2</v>
      </c>
    </row>
    <row r="54" spans="1:16" ht="22.5" customHeight="1">
      <c r="A54" s="115">
        <v>55</v>
      </c>
      <c r="B54" s="115" t="s">
        <v>11</v>
      </c>
      <c r="C54" s="115" t="s">
        <v>10</v>
      </c>
      <c r="D54" s="115" t="s">
        <v>19</v>
      </c>
      <c r="E54" s="98" t="s">
        <v>945</v>
      </c>
      <c r="F54" s="115" t="s">
        <v>483</v>
      </c>
      <c r="G54" s="115">
        <v>1</v>
      </c>
      <c r="H54" s="115">
        <v>44</v>
      </c>
      <c r="I54" s="194">
        <v>45</v>
      </c>
      <c r="J54" s="116">
        <v>140851</v>
      </c>
      <c r="K54" s="116">
        <v>806845</v>
      </c>
      <c r="L54" s="116">
        <v>1676636</v>
      </c>
      <c r="M54" s="195">
        <v>1.7116774438950173E-2</v>
      </c>
      <c r="N54" s="195">
        <v>3.0927816262891904E-3</v>
      </c>
      <c r="O54" s="195">
        <v>1.8458796158743841E-2</v>
      </c>
      <c r="P54" s="195">
        <v>6.250301259468681E-2</v>
      </c>
    </row>
    <row r="55" spans="1:16" ht="22.5" customHeight="1">
      <c r="A55" s="115">
        <v>57</v>
      </c>
      <c r="B55" s="115" t="s">
        <v>11</v>
      </c>
      <c r="C55" s="115" t="s">
        <v>10</v>
      </c>
      <c r="D55" s="115" t="s">
        <v>7</v>
      </c>
      <c r="E55" s="98" t="s">
        <v>102</v>
      </c>
      <c r="F55" s="115" t="s">
        <v>476</v>
      </c>
      <c r="G55" s="115">
        <v>1</v>
      </c>
      <c r="H55" s="115">
        <v>43</v>
      </c>
      <c r="I55" s="194">
        <v>44</v>
      </c>
      <c r="J55" s="116">
        <v>82849</v>
      </c>
      <c r="K55" s="116">
        <v>677085</v>
      </c>
      <c r="L55" s="116">
        <v>2498352</v>
      </c>
      <c r="M55" s="195">
        <v>1.4070994563479372E-2</v>
      </c>
      <c r="N55" s="195">
        <v>1.8950003432084896E-3</v>
      </c>
      <c r="O55" s="195">
        <v>1.486434584397755E-2</v>
      </c>
      <c r="P55" s="195">
        <v>8.5290511193707064E-2</v>
      </c>
    </row>
    <row r="56" spans="1:16" ht="22.5" customHeight="1">
      <c r="A56" s="115">
        <v>56</v>
      </c>
      <c r="B56" s="115" t="s">
        <v>11</v>
      </c>
      <c r="C56" s="115" t="s">
        <v>10</v>
      </c>
      <c r="D56" s="115" t="s">
        <v>19</v>
      </c>
      <c r="E56" s="98" t="s">
        <v>946</v>
      </c>
      <c r="F56" s="115" t="s">
        <v>483</v>
      </c>
      <c r="G56" s="115">
        <v>1</v>
      </c>
      <c r="H56" s="115">
        <v>43</v>
      </c>
      <c r="I56" s="194">
        <v>44</v>
      </c>
      <c r="J56" s="116">
        <v>125220</v>
      </c>
      <c r="K56" s="116">
        <v>660157</v>
      </c>
      <c r="L56" s="116">
        <v>1597372</v>
      </c>
      <c r="M56" s="195">
        <v>1.6736401673640166E-2</v>
      </c>
      <c r="N56" s="195">
        <v>2.7495588618038384E-3</v>
      </c>
      <c r="O56" s="195">
        <v>1.5102905137626009E-2</v>
      </c>
      <c r="P56" s="195">
        <v>5.9548144161523466E-2</v>
      </c>
    </row>
    <row r="57" spans="1:16" ht="22.5" customHeight="1">
      <c r="A57" s="115">
        <v>39</v>
      </c>
      <c r="B57" s="115" t="s">
        <v>67</v>
      </c>
      <c r="C57" s="115" t="s">
        <v>14</v>
      </c>
      <c r="D57" s="115" t="s">
        <v>7</v>
      </c>
      <c r="E57" s="98" t="s">
        <v>953</v>
      </c>
      <c r="F57" s="115" t="s">
        <v>476</v>
      </c>
      <c r="G57" s="115">
        <v>10</v>
      </c>
      <c r="H57" s="115">
        <v>33</v>
      </c>
      <c r="I57" s="194">
        <v>43</v>
      </c>
      <c r="J57" s="116">
        <v>607274</v>
      </c>
      <c r="K57" s="116">
        <v>844731</v>
      </c>
      <c r="L57" s="116">
        <v>67603</v>
      </c>
      <c r="M57" s="195">
        <v>1.3751199232491206E-2</v>
      </c>
      <c r="N57" s="195">
        <v>1.3890142770843248E-2</v>
      </c>
      <c r="O57" s="195">
        <v>1.8544752474399819E-2</v>
      </c>
      <c r="P57" s="195">
        <v>2.3078791252106102E-3</v>
      </c>
    </row>
    <row r="58" spans="1:16" ht="22.5" customHeight="1">
      <c r="A58" s="115">
        <v>58</v>
      </c>
      <c r="B58" s="115" t="s">
        <v>11</v>
      </c>
      <c r="C58" s="115" t="s">
        <v>9</v>
      </c>
      <c r="D58" s="115" t="s">
        <v>19</v>
      </c>
      <c r="E58" s="98" t="s">
        <v>128</v>
      </c>
      <c r="F58" s="115" t="s">
        <v>483</v>
      </c>
      <c r="G58" s="115">
        <v>1</v>
      </c>
      <c r="H58" s="115">
        <v>41</v>
      </c>
      <c r="I58" s="194">
        <v>42</v>
      </c>
      <c r="J58" s="116">
        <v>24844</v>
      </c>
      <c r="K58" s="116">
        <v>559466</v>
      </c>
      <c r="L58" s="116">
        <v>1191566</v>
      </c>
      <c r="M58" s="195">
        <v>1.5975656143020159E-2</v>
      </c>
      <c r="N58" s="195">
        <v>5.4552020733632451E-4</v>
      </c>
      <c r="O58" s="195">
        <v>1.2799321866960546E-2</v>
      </c>
      <c r="P58" s="195">
        <v>4.4420175103839221E-2</v>
      </c>
    </row>
    <row r="59" spans="1:16" ht="22.5" customHeight="1">
      <c r="A59" s="115">
        <v>82</v>
      </c>
      <c r="B59" s="115" t="s">
        <v>11</v>
      </c>
      <c r="C59" s="115" t="s">
        <v>10</v>
      </c>
      <c r="D59" s="115" t="s">
        <v>19</v>
      </c>
      <c r="E59" s="98" t="s">
        <v>921</v>
      </c>
      <c r="F59" s="115" t="s">
        <v>483</v>
      </c>
      <c r="G59" s="115">
        <v>0</v>
      </c>
      <c r="H59" s="115">
        <v>40</v>
      </c>
      <c r="I59" s="194">
        <v>40</v>
      </c>
      <c r="J59" s="116">
        <v>470</v>
      </c>
      <c r="K59" s="116">
        <v>928082</v>
      </c>
      <c r="L59" s="116">
        <v>1624552</v>
      </c>
      <c r="M59" s="195">
        <v>1.5214910612400151E-2</v>
      </c>
      <c r="N59" s="195">
        <v>1.0320177807441335E-5</v>
      </c>
      <c r="O59" s="195">
        <v>2.1232425628961323E-2</v>
      </c>
      <c r="P59" s="195">
        <v>6.0561382504445593E-2</v>
      </c>
    </row>
    <row r="60" spans="1:16" ht="22.5" customHeight="1">
      <c r="A60" s="115">
        <v>59</v>
      </c>
      <c r="B60" s="115" t="s">
        <v>11</v>
      </c>
      <c r="C60" s="115" t="s">
        <v>10</v>
      </c>
      <c r="D60" s="115" t="s">
        <v>7</v>
      </c>
      <c r="E60" s="98" t="s">
        <v>106</v>
      </c>
      <c r="F60" s="115" t="s">
        <v>476</v>
      </c>
      <c r="G60" s="115">
        <v>1</v>
      </c>
      <c r="H60" s="115">
        <v>37</v>
      </c>
      <c r="I60" s="194">
        <v>38</v>
      </c>
      <c r="J60" s="116">
        <v>67453</v>
      </c>
      <c r="K60" s="116">
        <v>838950</v>
      </c>
      <c r="L60" s="116">
        <v>1269722</v>
      </c>
      <c r="M60" s="195">
        <v>1.2152222577550368E-2</v>
      </c>
      <c r="N60" s="195">
        <v>1.5428485334819037E-3</v>
      </c>
      <c r="O60" s="195">
        <v>1.8417839629891321E-2</v>
      </c>
      <c r="P60" s="195">
        <v>4.3346669506096863E-2</v>
      </c>
    </row>
    <row r="61" spans="1:16" ht="22.5" customHeight="1">
      <c r="A61" s="115">
        <v>38</v>
      </c>
      <c r="B61" s="115" t="s">
        <v>67</v>
      </c>
      <c r="C61" s="115" t="s">
        <v>14</v>
      </c>
      <c r="D61" s="115" t="s">
        <v>7</v>
      </c>
      <c r="E61" s="98" t="s">
        <v>80</v>
      </c>
      <c r="F61" s="115" t="s">
        <v>476</v>
      </c>
      <c r="G61" s="115">
        <v>11</v>
      </c>
      <c r="H61" s="115">
        <v>26</v>
      </c>
      <c r="I61" s="194">
        <v>37</v>
      </c>
      <c r="J61" s="116">
        <v>915455</v>
      </c>
      <c r="K61" s="116">
        <v>789174</v>
      </c>
      <c r="L61" s="116">
        <v>0</v>
      </c>
      <c r="M61" s="195">
        <v>1.1832427246562201E-2</v>
      </c>
      <c r="N61" s="195">
        <v>2.0939148803147022E-2</v>
      </c>
      <c r="O61" s="195">
        <v>1.732508513270142E-2</v>
      </c>
      <c r="P61" s="195">
        <v>0</v>
      </c>
    </row>
    <row r="62" spans="1:16" ht="22.5" customHeight="1">
      <c r="A62" s="115">
        <v>41</v>
      </c>
      <c r="B62" s="115" t="s">
        <v>67</v>
      </c>
      <c r="C62" s="115" t="s">
        <v>14</v>
      </c>
      <c r="D62" s="115" t="s">
        <v>7</v>
      </c>
      <c r="E62" s="98" t="s">
        <v>85</v>
      </c>
      <c r="F62" s="115" t="s">
        <v>476</v>
      </c>
      <c r="G62" s="115">
        <v>5</v>
      </c>
      <c r="H62" s="115">
        <v>32</v>
      </c>
      <c r="I62" s="194">
        <v>37</v>
      </c>
      <c r="J62" s="116">
        <v>274051</v>
      </c>
      <c r="K62" s="116">
        <v>1288218</v>
      </c>
      <c r="L62" s="116">
        <v>89022</v>
      </c>
      <c r="M62" s="195">
        <v>1.1832427246562201E-2</v>
      </c>
      <c r="N62" s="195">
        <v>6.2683525336048691E-3</v>
      </c>
      <c r="O62" s="195">
        <v>2.8280818323308112E-2</v>
      </c>
      <c r="P62" s="195">
        <v>3.0390961271615008E-3</v>
      </c>
    </row>
    <row r="63" spans="1:16" ht="22.5" customHeight="1">
      <c r="A63" s="115">
        <v>60</v>
      </c>
      <c r="B63" s="115" t="s">
        <v>11</v>
      </c>
      <c r="C63" s="115" t="s">
        <v>10</v>
      </c>
      <c r="D63" s="115" t="s">
        <v>19</v>
      </c>
      <c r="E63" s="98" t="s">
        <v>901</v>
      </c>
      <c r="F63" s="115" t="s">
        <v>483</v>
      </c>
      <c r="G63" s="115">
        <v>1</v>
      </c>
      <c r="H63" s="115">
        <v>33</v>
      </c>
      <c r="I63" s="194">
        <v>34</v>
      </c>
      <c r="J63" s="116">
        <v>133001</v>
      </c>
      <c r="K63" s="116">
        <v>1387088</v>
      </c>
      <c r="L63" s="116">
        <v>2365784</v>
      </c>
      <c r="M63" s="195">
        <v>1.2932674020540129E-2</v>
      </c>
      <c r="N63" s="195">
        <v>2.9204126990797982E-3</v>
      </c>
      <c r="O63" s="195">
        <v>3.1733448984922349E-2</v>
      </c>
      <c r="P63" s="195">
        <v>8.8193637228538888E-2</v>
      </c>
    </row>
    <row r="64" spans="1:16" ht="22.5" customHeight="1">
      <c r="A64" s="115">
        <v>49</v>
      </c>
      <c r="B64" s="115" t="s">
        <v>67</v>
      </c>
      <c r="C64" s="115" t="s">
        <v>14</v>
      </c>
      <c r="D64" s="115" t="s">
        <v>7</v>
      </c>
      <c r="E64" s="98" t="s">
        <v>93</v>
      </c>
      <c r="F64" s="115" t="s">
        <v>476</v>
      </c>
      <c r="G64" s="115">
        <v>2</v>
      </c>
      <c r="H64" s="115">
        <v>31</v>
      </c>
      <c r="I64" s="194">
        <v>33</v>
      </c>
      <c r="J64" s="116">
        <v>357167</v>
      </c>
      <c r="K64" s="116">
        <v>1285948</v>
      </c>
      <c r="L64" s="116">
        <v>94005</v>
      </c>
      <c r="M64" s="195">
        <v>1.055324592260953E-2</v>
      </c>
      <c r="N64" s="195">
        <v>8.16945995223535E-3</v>
      </c>
      <c r="O64" s="195">
        <v>2.8230984011418422E-2</v>
      </c>
      <c r="P64" s="195">
        <v>3.2092093126846947E-3</v>
      </c>
    </row>
    <row r="65" spans="1:16" ht="22.5" customHeight="1">
      <c r="A65" s="115">
        <v>61</v>
      </c>
      <c r="B65" s="115" t="s">
        <v>67</v>
      </c>
      <c r="C65" s="115" t="s">
        <v>14</v>
      </c>
      <c r="D65" s="115" t="s">
        <v>19</v>
      </c>
      <c r="E65" s="98" t="s">
        <v>929</v>
      </c>
      <c r="F65" s="115" t="s">
        <v>483</v>
      </c>
      <c r="G65" s="115">
        <v>1</v>
      </c>
      <c r="H65" s="115">
        <v>32</v>
      </c>
      <c r="I65" s="194">
        <v>33</v>
      </c>
      <c r="J65" s="116">
        <v>253546</v>
      </c>
      <c r="K65" s="116">
        <v>1103911</v>
      </c>
      <c r="L65" s="116">
        <v>182496</v>
      </c>
      <c r="M65" s="195">
        <v>1.2552301255230125E-2</v>
      </c>
      <c r="N65" s="195">
        <v>5.5673187284372783E-3</v>
      </c>
      <c r="O65" s="195">
        <v>2.52549970891498E-2</v>
      </c>
      <c r="P65" s="195">
        <v>6.8032356375981214E-3</v>
      </c>
    </row>
    <row r="66" spans="1:16" ht="22.5" customHeight="1">
      <c r="A66" s="115">
        <v>62</v>
      </c>
      <c r="B66" s="115" t="s">
        <v>11</v>
      </c>
      <c r="C66" s="115" t="s">
        <v>10</v>
      </c>
      <c r="D66" s="115" t="s">
        <v>19</v>
      </c>
      <c r="E66" s="98" t="s">
        <v>925</v>
      </c>
      <c r="F66" s="115" t="s">
        <v>483</v>
      </c>
      <c r="G66" s="115">
        <v>1</v>
      </c>
      <c r="H66" s="115">
        <v>32</v>
      </c>
      <c r="I66" s="194">
        <v>33</v>
      </c>
      <c r="J66" s="116">
        <v>150252</v>
      </c>
      <c r="K66" s="116">
        <v>1056767</v>
      </c>
      <c r="L66" s="116">
        <v>1883585</v>
      </c>
      <c r="M66" s="195">
        <v>1.2552301255230125E-2</v>
      </c>
      <c r="N66" s="195">
        <v>3.2992071402631394E-3</v>
      </c>
      <c r="O66" s="195">
        <v>2.4176448562347477E-2</v>
      </c>
      <c r="P66" s="195">
        <v>7.0217827231529764E-2</v>
      </c>
    </row>
    <row r="67" spans="1:16" ht="22.5" customHeight="1">
      <c r="A67" s="115">
        <v>63</v>
      </c>
      <c r="B67" s="115" t="s">
        <v>11</v>
      </c>
      <c r="C67" s="115" t="s">
        <v>10</v>
      </c>
      <c r="D67" s="115" t="s">
        <v>7</v>
      </c>
      <c r="E67" s="98" t="s">
        <v>105</v>
      </c>
      <c r="F67" s="115" t="s">
        <v>476</v>
      </c>
      <c r="G67" s="115">
        <v>1</v>
      </c>
      <c r="H67" s="115">
        <v>28</v>
      </c>
      <c r="I67" s="194">
        <v>29</v>
      </c>
      <c r="J67" s="116">
        <v>35693</v>
      </c>
      <c r="K67" s="116">
        <v>950351</v>
      </c>
      <c r="L67" s="116">
        <v>998210</v>
      </c>
      <c r="M67" s="195">
        <v>9.2740645986568605E-3</v>
      </c>
      <c r="N67" s="195">
        <v>8.1640390650630204E-4</v>
      </c>
      <c r="O67" s="195">
        <v>2.0863474950958756E-2</v>
      </c>
      <c r="P67" s="195">
        <v>3.4077600425668729E-2</v>
      </c>
    </row>
    <row r="68" spans="1:16" ht="22.5" customHeight="1">
      <c r="A68" s="115">
        <v>42</v>
      </c>
      <c r="B68" s="115" t="s">
        <v>67</v>
      </c>
      <c r="C68" s="115" t="s">
        <v>794</v>
      </c>
      <c r="D68" s="115" t="s">
        <v>19</v>
      </c>
      <c r="E68" s="98" t="s">
        <v>89</v>
      </c>
      <c r="F68" s="115" t="s">
        <v>483</v>
      </c>
      <c r="G68" s="115">
        <v>5</v>
      </c>
      <c r="H68" s="115">
        <v>24</v>
      </c>
      <c r="I68" s="194">
        <v>29</v>
      </c>
      <c r="J68" s="116">
        <v>414278</v>
      </c>
      <c r="K68" s="116">
        <v>740551</v>
      </c>
      <c r="L68" s="116">
        <v>22727</v>
      </c>
      <c r="M68" s="195">
        <v>1.1030810193990111E-2</v>
      </c>
      <c r="N68" s="195">
        <v>9.0966438759812369E-3</v>
      </c>
      <c r="O68" s="195">
        <v>1.6942138767859886E-2</v>
      </c>
      <c r="P68" s="195">
        <v>8.4723575495184822E-4</v>
      </c>
    </row>
    <row r="69" spans="1:16" ht="22.5" customHeight="1">
      <c r="A69" s="115">
        <v>43</v>
      </c>
      <c r="B69" s="115" t="s">
        <v>67</v>
      </c>
      <c r="C69" s="115" t="s">
        <v>14</v>
      </c>
      <c r="D69" s="115" t="s">
        <v>7</v>
      </c>
      <c r="E69" s="98" t="s">
        <v>954</v>
      </c>
      <c r="F69" s="115" t="s">
        <v>476</v>
      </c>
      <c r="G69" s="115">
        <v>5</v>
      </c>
      <c r="H69" s="115">
        <v>23</v>
      </c>
      <c r="I69" s="194">
        <v>28</v>
      </c>
      <c r="J69" s="116">
        <v>430184</v>
      </c>
      <c r="K69" s="116">
        <v>1002856</v>
      </c>
      <c r="L69" s="116">
        <v>83925</v>
      </c>
      <c r="M69" s="195">
        <v>8.9542692676686918E-3</v>
      </c>
      <c r="N69" s="195">
        <v>9.8395735330879166E-3</v>
      </c>
      <c r="O69" s="195">
        <v>2.2016140389623091E-2</v>
      </c>
      <c r="P69" s="195">
        <v>2.8650911288448807E-3</v>
      </c>
    </row>
    <row r="70" spans="1:16" ht="22.5" customHeight="1">
      <c r="A70" s="115">
        <v>83</v>
      </c>
      <c r="B70" s="115" t="s">
        <v>67</v>
      </c>
      <c r="C70" s="115" t="s">
        <v>14</v>
      </c>
      <c r="D70" s="115" t="s">
        <v>19</v>
      </c>
      <c r="E70" s="98" t="s">
        <v>900</v>
      </c>
      <c r="F70" s="115" t="s">
        <v>483</v>
      </c>
      <c r="G70" s="115">
        <v>0</v>
      </c>
      <c r="H70" s="115">
        <v>28</v>
      </c>
      <c r="I70" s="194">
        <v>28</v>
      </c>
      <c r="J70" s="116">
        <v>226402</v>
      </c>
      <c r="K70" s="116">
        <v>801307</v>
      </c>
      <c r="L70" s="116">
        <v>46679</v>
      </c>
      <c r="M70" s="195">
        <v>1.0650437428680106E-2</v>
      </c>
      <c r="N70" s="195">
        <v>4.9712955233198576E-3</v>
      </c>
      <c r="O70" s="195">
        <v>1.8332099193245976E-2</v>
      </c>
      <c r="P70" s="195">
        <v>1.7401380650942633E-3</v>
      </c>
    </row>
    <row r="71" spans="1:16" ht="22.5" customHeight="1">
      <c r="A71" s="115">
        <v>84</v>
      </c>
      <c r="B71" s="115" t="s">
        <v>11</v>
      </c>
      <c r="C71" s="115" t="s">
        <v>10</v>
      </c>
      <c r="D71" s="115" t="s">
        <v>19</v>
      </c>
      <c r="E71" s="98" t="s">
        <v>904</v>
      </c>
      <c r="F71" s="115" t="s">
        <v>483</v>
      </c>
      <c r="G71" s="115">
        <v>0</v>
      </c>
      <c r="H71" s="115">
        <v>27</v>
      </c>
      <c r="I71" s="194">
        <v>27</v>
      </c>
      <c r="J71" s="116">
        <v>104496</v>
      </c>
      <c r="K71" s="116">
        <v>884988</v>
      </c>
      <c r="L71" s="116">
        <v>1385752</v>
      </c>
      <c r="M71" s="195">
        <v>1.0270064663370103E-2</v>
      </c>
      <c r="N71" s="195">
        <v>2.2945048939710423E-3</v>
      </c>
      <c r="O71" s="195">
        <v>2.0246531979419086E-2</v>
      </c>
      <c r="P71" s="195">
        <v>5.1659200153827328E-2</v>
      </c>
    </row>
    <row r="72" spans="1:16" ht="22.5" customHeight="1">
      <c r="A72" s="115">
        <v>45</v>
      </c>
      <c r="B72" s="115" t="s">
        <v>67</v>
      </c>
      <c r="C72" s="115" t="s">
        <v>14</v>
      </c>
      <c r="D72" s="115" t="s">
        <v>7</v>
      </c>
      <c r="E72" s="98" t="s">
        <v>57</v>
      </c>
      <c r="F72" s="115" t="s">
        <v>476</v>
      </c>
      <c r="G72" s="115">
        <v>4</v>
      </c>
      <c r="H72" s="115">
        <v>22</v>
      </c>
      <c r="I72" s="194">
        <v>26</v>
      </c>
      <c r="J72" s="116">
        <v>314956</v>
      </c>
      <c r="K72" s="116">
        <v>1084091</v>
      </c>
      <c r="L72" s="116">
        <v>39274</v>
      </c>
      <c r="M72" s="195">
        <v>8.3146786056923563E-3</v>
      </c>
      <c r="N72" s="195">
        <v>7.2039702120191319E-3</v>
      </c>
      <c r="O72" s="195">
        <v>2.3799528198591709E-2</v>
      </c>
      <c r="P72" s="195">
        <v>1.3407636460441327E-3</v>
      </c>
    </row>
    <row r="73" spans="1:16" ht="22.5" customHeight="1">
      <c r="A73" s="115">
        <v>50</v>
      </c>
      <c r="B73" s="115" t="s">
        <v>67</v>
      </c>
      <c r="C73" s="115" t="s">
        <v>70</v>
      </c>
      <c r="D73" s="115" t="s">
        <v>7</v>
      </c>
      <c r="E73" s="98" t="s">
        <v>64</v>
      </c>
      <c r="F73" s="115" t="s">
        <v>476</v>
      </c>
      <c r="G73" s="115">
        <v>2</v>
      </c>
      <c r="H73" s="115">
        <v>24</v>
      </c>
      <c r="I73" s="194">
        <v>26</v>
      </c>
      <c r="J73" s="116">
        <v>348330</v>
      </c>
      <c r="K73" s="116">
        <v>687876</v>
      </c>
      <c r="L73" s="116">
        <v>66678</v>
      </c>
      <c r="M73" s="195">
        <v>8.3146786056923563E-3</v>
      </c>
      <c r="N73" s="195">
        <v>7.967331766826553E-3</v>
      </c>
      <c r="O73" s="195">
        <v>1.5101245429705135E-2</v>
      </c>
      <c r="P73" s="195">
        <v>2.2763008196499128E-3</v>
      </c>
    </row>
    <row r="74" spans="1:16" ht="22.5" customHeight="1">
      <c r="A74" s="115">
        <v>85</v>
      </c>
      <c r="B74" s="115" t="s">
        <v>11</v>
      </c>
      <c r="C74" s="115" t="s">
        <v>10</v>
      </c>
      <c r="D74" s="115" t="s">
        <v>7</v>
      </c>
      <c r="E74" s="98" t="s">
        <v>91</v>
      </c>
      <c r="F74" s="115" t="s">
        <v>476</v>
      </c>
      <c r="G74" s="115">
        <v>0</v>
      </c>
      <c r="H74" s="115">
        <v>26</v>
      </c>
      <c r="I74" s="194">
        <v>26</v>
      </c>
      <c r="J74" s="116">
        <v>6722</v>
      </c>
      <c r="K74" s="116">
        <v>678254</v>
      </c>
      <c r="L74" s="116">
        <v>1026063</v>
      </c>
      <c r="M74" s="195">
        <v>8.3146786056923563E-3</v>
      </c>
      <c r="N74" s="195">
        <v>1.5375191380761948E-4</v>
      </c>
      <c r="O74" s="195">
        <v>1.4890009416928671E-2</v>
      </c>
      <c r="P74" s="195">
        <v>3.5028465879487221E-2</v>
      </c>
    </row>
    <row r="75" spans="1:16" ht="22.5" customHeight="1">
      <c r="A75" s="115">
        <v>86</v>
      </c>
      <c r="B75" s="115" t="s">
        <v>11</v>
      </c>
      <c r="C75" s="115" t="s">
        <v>10</v>
      </c>
      <c r="D75" s="115" t="s">
        <v>19</v>
      </c>
      <c r="E75" s="98" t="s">
        <v>301</v>
      </c>
      <c r="F75" s="115" t="s">
        <v>483</v>
      </c>
      <c r="G75" s="115">
        <v>0</v>
      </c>
      <c r="H75" s="115">
        <v>25</v>
      </c>
      <c r="I75" s="194">
        <v>25</v>
      </c>
      <c r="J75" s="116">
        <v>145325</v>
      </c>
      <c r="K75" s="116">
        <v>1408236</v>
      </c>
      <c r="L75" s="116">
        <v>2178973</v>
      </c>
      <c r="M75" s="195">
        <v>9.5093191327500944E-3</v>
      </c>
      <c r="N75" s="195">
        <v>3.191020935885983E-3</v>
      </c>
      <c r="O75" s="195">
        <v>3.2217267588452295E-2</v>
      </c>
      <c r="P75" s="195">
        <v>8.1229543480208277E-2</v>
      </c>
    </row>
    <row r="76" spans="1:16" ht="22.5" customHeight="1">
      <c r="A76" s="115">
        <v>87</v>
      </c>
      <c r="B76" s="115" t="s">
        <v>11</v>
      </c>
      <c r="C76" s="115" t="s">
        <v>10</v>
      </c>
      <c r="D76" s="115" t="s">
        <v>19</v>
      </c>
      <c r="E76" s="98" t="s">
        <v>907</v>
      </c>
      <c r="F76" s="115" t="s">
        <v>483</v>
      </c>
      <c r="G76" s="115">
        <v>0</v>
      </c>
      <c r="H76" s="115">
        <v>25</v>
      </c>
      <c r="I76" s="194">
        <v>25</v>
      </c>
      <c r="J76" s="116">
        <v>119246</v>
      </c>
      <c r="K76" s="116">
        <v>1035464</v>
      </c>
      <c r="L76" s="116">
        <v>2098318</v>
      </c>
      <c r="M76" s="195">
        <v>9.5093191327500944E-3</v>
      </c>
      <c r="N76" s="195">
        <v>2.6183828145237222E-3</v>
      </c>
      <c r="O76" s="195">
        <v>2.3689083907959436E-2</v>
      </c>
      <c r="P76" s="195">
        <v>7.8222820207640792E-2</v>
      </c>
    </row>
    <row r="77" spans="1:16" ht="22.5" customHeight="1">
      <c r="A77" s="115">
        <v>88</v>
      </c>
      <c r="B77" s="115" t="s">
        <v>11</v>
      </c>
      <c r="C77" s="115" t="s">
        <v>10</v>
      </c>
      <c r="D77" s="115" t="s">
        <v>19</v>
      </c>
      <c r="E77" s="98" t="s">
        <v>944</v>
      </c>
      <c r="F77" s="115" t="s">
        <v>483</v>
      </c>
      <c r="G77" s="115">
        <v>0</v>
      </c>
      <c r="H77" s="115">
        <v>25</v>
      </c>
      <c r="I77" s="194">
        <v>25</v>
      </c>
      <c r="J77" s="116">
        <v>94359</v>
      </c>
      <c r="K77" s="116">
        <v>825444</v>
      </c>
      <c r="L77" s="116">
        <v>1324067</v>
      </c>
      <c r="M77" s="195">
        <v>9.5093191327500944E-3</v>
      </c>
      <c r="N77" s="195">
        <v>2.0719184207071426E-3</v>
      </c>
      <c r="O77" s="195">
        <v>1.8884299383968607E-2</v>
      </c>
      <c r="P77" s="195">
        <v>4.935965610735376E-2</v>
      </c>
    </row>
    <row r="78" spans="1:16" ht="22.5" customHeight="1">
      <c r="A78" s="115">
        <v>89</v>
      </c>
      <c r="B78" s="115" t="s">
        <v>11</v>
      </c>
      <c r="C78" s="115" t="s">
        <v>9</v>
      </c>
      <c r="D78" s="115" t="s">
        <v>19</v>
      </c>
      <c r="E78" s="98" t="s">
        <v>315</v>
      </c>
      <c r="F78" s="115" t="s">
        <v>483</v>
      </c>
      <c r="G78" s="115">
        <v>0</v>
      </c>
      <c r="H78" s="115">
        <v>25</v>
      </c>
      <c r="I78" s="194">
        <v>25</v>
      </c>
      <c r="J78" s="116">
        <v>1244</v>
      </c>
      <c r="K78" s="116">
        <v>905922</v>
      </c>
      <c r="L78" s="116">
        <v>1470155</v>
      </c>
      <c r="M78" s="195">
        <v>9.5093191327500944E-3</v>
      </c>
      <c r="N78" s="195">
        <v>2.7315534452036215E-5</v>
      </c>
      <c r="O78" s="195">
        <v>2.0725454744990098E-2</v>
      </c>
      <c r="P78" s="195">
        <v>5.480564444586767E-2</v>
      </c>
    </row>
    <row r="79" spans="1:16" ht="22.5" customHeight="1">
      <c r="A79" s="115">
        <v>64</v>
      </c>
      <c r="B79" s="115" t="s">
        <v>67</v>
      </c>
      <c r="C79" s="115" t="s">
        <v>14</v>
      </c>
      <c r="D79" s="115" t="s">
        <v>7</v>
      </c>
      <c r="E79" s="98" t="s">
        <v>109</v>
      </c>
      <c r="F79" s="115" t="s">
        <v>476</v>
      </c>
      <c r="G79" s="115">
        <v>1</v>
      </c>
      <c r="H79" s="115">
        <v>23</v>
      </c>
      <c r="I79" s="194">
        <v>24</v>
      </c>
      <c r="J79" s="116">
        <v>221367</v>
      </c>
      <c r="K79" s="116">
        <v>1230945</v>
      </c>
      <c r="L79" s="116">
        <v>75834</v>
      </c>
      <c r="M79" s="195">
        <v>7.6750879437160217E-3</v>
      </c>
      <c r="N79" s="195">
        <v>5.0633144754316127E-3</v>
      </c>
      <c r="O79" s="195">
        <v>2.7023478876234071E-2</v>
      </c>
      <c r="P79" s="195">
        <v>2.588874836637744E-3</v>
      </c>
    </row>
    <row r="80" spans="1:16" ht="22.5" customHeight="1">
      <c r="A80" s="115">
        <v>44</v>
      </c>
      <c r="B80" s="115" t="s">
        <v>67</v>
      </c>
      <c r="C80" s="115" t="s">
        <v>14</v>
      </c>
      <c r="D80" s="115" t="s">
        <v>19</v>
      </c>
      <c r="E80" s="98" t="s">
        <v>931</v>
      </c>
      <c r="F80" s="115" t="s">
        <v>483</v>
      </c>
      <c r="G80" s="115">
        <v>5</v>
      </c>
      <c r="H80" s="115">
        <v>19</v>
      </c>
      <c r="I80" s="194">
        <v>24</v>
      </c>
      <c r="J80" s="116">
        <v>398169</v>
      </c>
      <c r="K80" s="116">
        <v>1150561</v>
      </c>
      <c r="L80" s="116">
        <v>122064</v>
      </c>
      <c r="M80" s="195">
        <v>9.1289463674400911E-3</v>
      </c>
      <c r="N80" s="195">
        <v>8.7429252710874671E-3</v>
      </c>
      <c r="O80" s="195">
        <v>2.6322244008701139E-2</v>
      </c>
      <c r="P80" s="195">
        <v>4.5504019532909053E-3</v>
      </c>
    </row>
    <row r="81" spans="1:16" ht="22.5" customHeight="1">
      <c r="A81" s="115">
        <v>46</v>
      </c>
      <c r="B81" s="115" t="s">
        <v>67</v>
      </c>
      <c r="C81" s="115" t="s">
        <v>14</v>
      </c>
      <c r="D81" s="115" t="s">
        <v>7</v>
      </c>
      <c r="E81" s="98" t="s">
        <v>123</v>
      </c>
      <c r="F81" s="115" t="s">
        <v>476</v>
      </c>
      <c r="G81" s="115">
        <v>3</v>
      </c>
      <c r="H81" s="115">
        <v>20</v>
      </c>
      <c r="I81" s="194">
        <v>23</v>
      </c>
      <c r="J81" s="116">
        <v>292319</v>
      </c>
      <c r="K81" s="116">
        <v>1199827</v>
      </c>
      <c r="L81" s="116">
        <v>66220</v>
      </c>
      <c r="M81" s="195">
        <v>7.355292612727854E-3</v>
      </c>
      <c r="N81" s="195">
        <v>6.6861954317657723E-3</v>
      </c>
      <c r="O81" s="195">
        <v>2.6340331687959493E-2</v>
      </c>
      <c r="P81" s="195">
        <v>2.2606652910587785E-3</v>
      </c>
    </row>
    <row r="82" spans="1:16" ht="22.5" customHeight="1">
      <c r="A82" s="115">
        <v>65</v>
      </c>
      <c r="B82" s="115" t="s">
        <v>67</v>
      </c>
      <c r="C82" s="115" t="s">
        <v>794</v>
      </c>
      <c r="D82" s="115" t="s">
        <v>7</v>
      </c>
      <c r="E82" s="98" t="s">
        <v>79</v>
      </c>
      <c r="F82" s="115" t="s">
        <v>476</v>
      </c>
      <c r="G82" s="115">
        <v>1</v>
      </c>
      <c r="H82" s="115">
        <v>21</v>
      </c>
      <c r="I82" s="194">
        <v>22</v>
      </c>
      <c r="J82" s="116">
        <v>289175</v>
      </c>
      <c r="K82" s="116">
        <v>601153</v>
      </c>
      <c r="L82" s="116">
        <v>31936</v>
      </c>
      <c r="M82" s="195">
        <v>7.0354972817396862E-3</v>
      </c>
      <c r="N82" s="195">
        <v>6.6142829032011848E-3</v>
      </c>
      <c r="O82" s="195">
        <v>1.3197377134546825E-2</v>
      </c>
      <c r="P82" s="195">
        <v>1.0902538014988395E-3</v>
      </c>
    </row>
    <row r="83" spans="1:16" ht="22.5" customHeight="1">
      <c r="A83" s="115">
        <v>66</v>
      </c>
      <c r="B83" s="115" t="s">
        <v>67</v>
      </c>
      <c r="C83" s="115" t="s">
        <v>14</v>
      </c>
      <c r="D83" s="115" t="s">
        <v>19</v>
      </c>
      <c r="E83" s="98" t="s">
        <v>930</v>
      </c>
      <c r="F83" s="115" t="s">
        <v>483</v>
      </c>
      <c r="G83" s="115">
        <v>1</v>
      </c>
      <c r="H83" s="115">
        <v>19</v>
      </c>
      <c r="I83" s="194">
        <v>20</v>
      </c>
      <c r="J83" s="116">
        <v>184582</v>
      </c>
      <c r="K83" s="116">
        <v>1044427</v>
      </c>
      <c r="L83" s="116">
        <v>50435</v>
      </c>
      <c r="M83" s="195">
        <v>7.6074553062000757E-3</v>
      </c>
      <c r="N83" s="195">
        <v>4.0530192767088014E-3</v>
      </c>
      <c r="O83" s="195">
        <v>2.3894137158547619E-2</v>
      </c>
      <c r="P83" s="195">
        <v>1.880157315131626E-3</v>
      </c>
    </row>
    <row r="84" spans="1:16" ht="22.5" customHeight="1">
      <c r="A84" s="115">
        <v>67</v>
      </c>
      <c r="B84" s="115" t="s">
        <v>67</v>
      </c>
      <c r="C84" s="115" t="s">
        <v>75</v>
      </c>
      <c r="D84" s="115" t="s">
        <v>7</v>
      </c>
      <c r="E84" s="98" t="s">
        <v>114</v>
      </c>
      <c r="F84" s="115" t="s">
        <v>476</v>
      </c>
      <c r="G84" s="115">
        <v>1</v>
      </c>
      <c r="H84" s="115">
        <v>18</v>
      </c>
      <c r="I84" s="194">
        <v>19</v>
      </c>
      <c r="J84" s="116">
        <v>222449</v>
      </c>
      <c r="K84" s="116">
        <v>542749</v>
      </c>
      <c r="L84" s="116">
        <v>82156</v>
      </c>
      <c r="M84" s="195">
        <v>6.0761112887751838E-3</v>
      </c>
      <c r="N84" s="195">
        <v>5.088062998302759E-3</v>
      </c>
      <c r="O84" s="195">
        <v>1.1915208345293386E-2</v>
      </c>
      <c r="P84" s="195">
        <v>2.8046997531293418E-3</v>
      </c>
    </row>
    <row r="85" spans="1:16" ht="22.5" customHeight="1">
      <c r="A85" s="115">
        <v>47</v>
      </c>
      <c r="B85" s="115" t="s">
        <v>67</v>
      </c>
      <c r="C85" s="115" t="s">
        <v>14</v>
      </c>
      <c r="D85" s="115" t="s">
        <v>7</v>
      </c>
      <c r="E85" s="98" t="s">
        <v>712</v>
      </c>
      <c r="F85" s="115" t="s">
        <v>476</v>
      </c>
      <c r="G85" s="115">
        <v>3</v>
      </c>
      <c r="H85" s="115">
        <v>15</v>
      </c>
      <c r="I85" s="194">
        <v>18</v>
      </c>
      <c r="J85" s="116">
        <v>84903</v>
      </c>
      <c r="K85" s="116">
        <v>1081325</v>
      </c>
      <c r="L85" s="116">
        <v>90918</v>
      </c>
      <c r="M85" s="195">
        <v>5.7563159577870161E-3</v>
      </c>
      <c r="N85" s="195">
        <v>1.9419813653686875E-3</v>
      </c>
      <c r="O85" s="195">
        <v>2.3738804979786917E-2</v>
      </c>
      <c r="P85" s="195">
        <v>3.1038231188837517E-3</v>
      </c>
    </row>
    <row r="86" spans="1:16" ht="22.5" customHeight="1">
      <c r="A86" s="115">
        <v>68</v>
      </c>
      <c r="B86" s="115" t="s">
        <v>11</v>
      </c>
      <c r="C86" s="115" t="s">
        <v>10</v>
      </c>
      <c r="D86" s="115" t="s">
        <v>19</v>
      </c>
      <c r="E86" s="98" t="s">
        <v>909</v>
      </c>
      <c r="F86" s="115" t="s">
        <v>483</v>
      </c>
      <c r="G86" s="115">
        <v>1</v>
      </c>
      <c r="H86" s="115">
        <v>17</v>
      </c>
      <c r="I86" s="194">
        <v>18</v>
      </c>
      <c r="J86" s="116">
        <v>63325</v>
      </c>
      <c r="K86" s="116">
        <v>1098305</v>
      </c>
      <c r="L86" s="116">
        <v>1331906</v>
      </c>
      <c r="M86" s="195">
        <v>6.8467097755800684E-3</v>
      </c>
      <c r="N86" s="195">
        <v>1.3904792758643034E-3</v>
      </c>
      <c r="O86" s="195">
        <v>2.5126744436823868E-2</v>
      </c>
      <c r="P86" s="195">
        <v>4.9651884781752822E-2</v>
      </c>
    </row>
    <row r="87" spans="1:16" ht="22.5" customHeight="1">
      <c r="A87" s="115">
        <v>51</v>
      </c>
      <c r="B87" s="115" t="s">
        <v>67</v>
      </c>
      <c r="C87" s="115" t="s">
        <v>14</v>
      </c>
      <c r="D87" s="115" t="s">
        <v>19</v>
      </c>
      <c r="E87" s="98" t="s">
        <v>35</v>
      </c>
      <c r="F87" s="115" t="s">
        <v>483</v>
      </c>
      <c r="G87" s="115">
        <v>2</v>
      </c>
      <c r="H87" s="115">
        <v>15</v>
      </c>
      <c r="I87" s="194">
        <v>17</v>
      </c>
      <c r="J87" s="116">
        <v>116752</v>
      </c>
      <c r="K87" s="116">
        <v>529404</v>
      </c>
      <c r="L87" s="116">
        <v>11343</v>
      </c>
      <c r="M87" s="195">
        <v>6.4663370102700643E-3</v>
      </c>
      <c r="N87" s="195">
        <v>2.5636199986689167E-3</v>
      </c>
      <c r="O87" s="195">
        <v>1.2111571022468534E-2</v>
      </c>
      <c r="P87" s="195">
        <v>4.2285366165436769E-4</v>
      </c>
    </row>
    <row r="88" spans="1:16" ht="22.5" customHeight="1">
      <c r="A88" s="115">
        <v>48</v>
      </c>
      <c r="B88" s="115" t="s">
        <v>67</v>
      </c>
      <c r="C88" s="115" t="s">
        <v>14</v>
      </c>
      <c r="D88" s="115" t="s">
        <v>7</v>
      </c>
      <c r="E88" s="98" t="s">
        <v>82</v>
      </c>
      <c r="F88" s="115" t="s">
        <v>476</v>
      </c>
      <c r="G88" s="115">
        <v>3</v>
      </c>
      <c r="H88" s="115">
        <v>13</v>
      </c>
      <c r="I88" s="194">
        <v>16</v>
      </c>
      <c r="J88" s="116">
        <v>91025</v>
      </c>
      <c r="K88" s="116">
        <v>978053</v>
      </c>
      <c r="L88" s="116">
        <v>75894</v>
      </c>
      <c r="M88" s="195">
        <v>5.1167252958106814E-3</v>
      </c>
      <c r="N88" s="195">
        <v>2.0820095141830652E-3</v>
      </c>
      <c r="O88" s="195">
        <v>2.1471629183543832E-2</v>
      </c>
      <c r="P88" s="195">
        <v>2.5909231591606002E-3</v>
      </c>
    </row>
    <row r="89" spans="1:16" ht="22.5" customHeight="1">
      <c r="A89" s="115">
        <v>52</v>
      </c>
      <c r="B89" s="115" t="s">
        <v>67</v>
      </c>
      <c r="C89" s="115" t="s">
        <v>14</v>
      </c>
      <c r="D89" s="115" t="s">
        <v>19</v>
      </c>
      <c r="E89" s="98" t="s">
        <v>933</v>
      </c>
      <c r="F89" s="115" t="s">
        <v>483</v>
      </c>
      <c r="G89" s="115">
        <v>2</v>
      </c>
      <c r="H89" s="115">
        <v>13</v>
      </c>
      <c r="I89" s="194">
        <v>15</v>
      </c>
      <c r="J89" s="116">
        <v>227746</v>
      </c>
      <c r="K89" s="116">
        <v>1045401</v>
      </c>
      <c r="L89" s="116">
        <v>63127</v>
      </c>
      <c r="M89" s="195">
        <v>5.705591479650057E-3</v>
      </c>
      <c r="N89" s="195">
        <v>5.0008068402841157E-3</v>
      </c>
      <c r="O89" s="195">
        <v>2.3916420084584982E-2</v>
      </c>
      <c r="P89" s="195">
        <v>2.3533001057264632E-3</v>
      </c>
    </row>
    <row r="90" spans="1:16" ht="22.5" customHeight="1">
      <c r="A90" s="115">
        <v>90</v>
      </c>
      <c r="B90" s="115" t="s">
        <v>67</v>
      </c>
      <c r="C90" s="115" t="s">
        <v>14</v>
      </c>
      <c r="D90" s="115" t="s">
        <v>19</v>
      </c>
      <c r="E90" s="98" t="s">
        <v>83</v>
      </c>
      <c r="F90" s="115" t="s">
        <v>483</v>
      </c>
      <c r="G90" s="115">
        <v>0</v>
      </c>
      <c r="H90" s="115">
        <v>13</v>
      </c>
      <c r="I90" s="194">
        <v>13</v>
      </c>
      <c r="J90" s="116">
        <v>44873</v>
      </c>
      <c r="K90" s="116">
        <v>600978</v>
      </c>
      <c r="L90" s="116">
        <v>69123</v>
      </c>
      <c r="M90" s="195">
        <v>4.9448459490300497E-3</v>
      </c>
      <c r="N90" s="195">
        <v>9.8531348670918102E-4</v>
      </c>
      <c r="O90" s="195">
        <v>1.3749022920002671E-2</v>
      </c>
      <c r="P90" s="195">
        <v>2.5768239138265767E-3</v>
      </c>
    </row>
    <row r="91" spans="1:16" ht="22.5" customHeight="1">
      <c r="A91" s="115">
        <v>91</v>
      </c>
      <c r="B91" s="115" t="s">
        <v>67</v>
      </c>
      <c r="C91" s="115" t="s">
        <v>14</v>
      </c>
      <c r="D91" s="115" t="s">
        <v>19</v>
      </c>
      <c r="E91" s="98" t="s">
        <v>955</v>
      </c>
      <c r="F91" s="115" t="s">
        <v>483</v>
      </c>
      <c r="G91" s="115">
        <v>0</v>
      </c>
      <c r="H91" s="115">
        <v>12</v>
      </c>
      <c r="I91" s="194">
        <v>12</v>
      </c>
      <c r="J91" s="116">
        <v>114618</v>
      </c>
      <c r="K91" s="116">
        <v>960780</v>
      </c>
      <c r="L91" s="116">
        <v>153318</v>
      </c>
      <c r="M91" s="195">
        <v>4.5644731837200456E-3</v>
      </c>
      <c r="N91" s="195">
        <v>2.5167619998581084E-3</v>
      </c>
      <c r="O91" s="195">
        <v>2.1980482215788542E-2</v>
      </c>
      <c r="P91" s="195">
        <v>5.7155142111896626E-3</v>
      </c>
    </row>
    <row r="92" spans="1:16" ht="22.5" customHeight="1">
      <c r="A92" s="115">
        <v>69</v>
      </c>
      <c r="B92" s="115" t="s">
        <v>67</v>
      </c>
      <c r="C92" s="115" t="s">
        <v>14</v>
      </c>
      <c r="D92" s="115" t="s">
        <v>19</v>
      </c>
      <c r="E92" s="98" t="s">
        <v>932</v>
      </c>
      <c r="F92" s="115" t="s">
        <v>483</v>
      </c>
      <c r="G92" s="115">
        <v>1</v>
      </c>
      <c r="H92" s="115">
        <v>9</v>
      </c>
      <c r="I92" s="194">
        <v>10</v>
      </c>
      <c r="J92" s="116">
        <v>185225</v>
      </c>
      <c r="K92" s="116">
        <v>1149326</v>
      </c>
      <c r="L92" s="116">
        <v>34402</v>
      </c>
      <c r="M92" s="195">
        <v>3.8037276531000378E-3</v>
      </c>
      <c r="N92" s="195">
        <v>4.0671381582623864E-3</v>
      </c>
      <c r="O92" s="195">
        <v>2.6293989990573682E-2</v>
      </c>
      <c r="P92" s="195">
        <v>1.2824659850333737E-3</v>
      </c>
    </row>
    <row r="93" spans="1:16" ht="22.5" customHeight="1">
      <c r="A93" s="115">
        <v>92</v>
      </c>
      <c r="B93" s="115" t="s">
        <v>11</v>
      </c>
      <c r="C93" s="115" t="s">
        <v>10</v>
      </c>
      <c r="D93" s="115" t="s">
        <v>7</v>
      </c>
      <c r="E93" s="98" t="s">
        <v>871</v>
      </c>
      <c r="F93" s="115" t="s">
        <v>476</v>
      </c>
      <c r="G93" s="115">
        <v>0</v>
      </c>
      <c r="H93" s="115">
        <v>9</v>
      </c>
      <c r="I93" s="194">
        <v>9</v>
      </c>
      <c r="J93" s="116">
        <v>163260</v>
      </c>
      <c r="K93" s="116">
        <v>1094536</v>
      </c>
      <c r="L93" s="116">
        <v>2049886</v>
      </c>
      <c r="M93" s="195">
        <v>2.878157978893508E-3</v>
      </c>
      <c r="N93" s="195">
        <v>3.7342364546611062E-3</v>
      </c>
      <c r="O93" s="195">
        <v>2.4028831893608354E-2</v>
      </c>
      <c r="P93" s="195">
        <v>6.9980461051454473E-2</v>
      </c>
    </row>
    <row r="94" spans="1:16" ht="22.5" customHeight="1">
      <c r="A94" s="115">
        <v>93</v>
      </c>
      <c r="B94" s="115" t="s">
        <v>67</v>
      </c>
      <c r="C94" s="115" t="s">
        <v>14</v>
      </c>
      <c r="D94" s="115" t="s">
        <v>19</v>
      </c>
      <c r="E94" s="98" t="s">
        <v>690</v>
      </c>
      <c r="F94" s="115" t="s">
        <v>483</v>
      </c>
      <c r="G94" s="115">
        <v>0</v>
      </c>
      <c r="H94" s="115">
        <v>9</v>
      </c>
      <c r="I94" s="194">
        <v>9</v>
      </c>
      <c r="J94" s="116">
        <v>35946</v>
      </c>
      <c r="K94" s="116">
        <v>893657</v>
      </c>
      <c r="L94" s="116">
        <v>68106</v>
      </c>
      <c r="M94" s="195">
        <v>3.4233548877900342E-3</v>
      </c>
      <c r="N94" s="195">
        <v>7.8929598184316219E-4</v>
      </c>
      <c r="O94" s="195">
        <v>2.0444859172250609E-2</v>
      </c>
      <c r="P94" s="195">
        <v>2.538911353313265E-3</v>
      </c>
    </row>
    <row r="95" spans="1:16" ht="22.5" customHeight="1">
      <c r="A95" s="115">
        <v>94</v>
      </c>
      <c r="B95" s="115" t="s">
        <v>67</v>
      </c>
      <c r="C95" s="115" t="s">
        <v>14</v>
      </c>
      <c r="D95" s="115" t="s">
        <v>19</v>
      </c>
      <c r="E95" s="98" t="s">
        <v>796</v>
      </c>
      <c r="F95" s="115" t="s">
        <v>483</v>
      </c>
      <c r="G95" s="115">
        <v>0</v>
      </c>
      <c r="H95" s="115">
        <v>8</v>
      </c>
      <c r="I95" s="194">
        <v>8</v>
      </c>
      <c r="J95" s="116">
        <v>130048</v>
      </c>
      <c r="K95" s="116">
        <v>1147877</v>
      </c>
      <c r="L95" s="116">
        <v>100681</v>
      </c>
      <c r="M95" s="195">
        <v>3.0429821224800305E-3</v>
      </c>
      <c r="N95" s="195">
        <v>2.8555712414938955E-3</v>
      </c>
      <c r="O95" s="195">
        <v>2.6260840134487297E-2</v>
      </c>
      <c r="P95" s="195">
        <v>3.7532689331767075E-3</v>
      </c>
    </row>
    <row r="96" spans="1:16" ht="22.5" customHeight="1">
      <c r="A96" s="115">
        <v>95</v>
      </c>
      <c r="B96" s="115" t="s">
        <v>67</v>
      </c>
      <c r="C96" s="115" t="s">
        <v>14</v>
      </c>
      <c r="D96" s="115" t="s">
        <v>19</v>
      </c>
      <c r="E96" s="98" t="s">
        <v>13</v>
      </c>
      <c r="F96" s="115" t="s">
        <v>483</v>
      </c>
      <c r="G96" s="115">
        <v>0</v>
      </c>
      <c r="H96" s="115">
        <v>8</v>
      </c>
      <c r="I96" s="194">
        <v>8</v>
      </c>
      <c r="J96" s="116">
        <v>67252</v>
      </c>
      <c r="K96" s="116">
        <v>1195611</v>
      </c>
      <c r="L96" s="116">
        <v>70558</v>
      </c>
      <c r="M96" s="195">
        <v>3.0429821224800305E-3</v>
      </c>
      <c r="N96" s="195">
        <v>1.4767076551192441E-3</v>
      </c>
      <c r="O96" s="195">
        <v>2.7352886532297876E-2</v>
      </c>
      <c r="P96" s="195">
        <v>2.6303190213355265E-3</v>
      </c>
    </row>
    <row r="97" spans="1:16" ht="22.5" customHeight="1">
      <c r="A97" s="115">
        <v>96</v>
      </c>
      <c r="B97" s="115" t="s">
        <v>11</v>
      </c>
      <c r="C97" s="115" t="s">
        <v>9</v>
      </c>
      <c r="D97" s="115" t="s">
        <v>7</v>
      </c>
      <c r="E97" s="98" t="s">
        <v>934</v>
      </c>
      <c r="F97" s="115" t="s">
        <v>476</v>
      </c>
      <c r="G97" s="115">
        <v>0</v>
      </c>
      <c r="H97" s="115">
        <v>5</v>
      </c>
      <c r="I97" s="194">
        <v>5</v>
      </c>
      <c r="J97" s="116">
        <v>40142</v>
      </c>
      <c r="K97" s="116">
        <v>738212</v>
      </c>
      <c r="L97" s="116">
        <v>1031842</v>
      </c>
      <c r="M97" s="195">
        <v>1.5989766549408379E-3</v>
      </c>
      <c r="N97" s="195">
        <v>9.1816562393119033E-4</v>
      </c>
      <c r="O97" s="195">
        <v>1.6206293854057256E-2</v>
      </c>
      <c r="P97" s="195">
        <v>3.5225753477146966E-2</v>
      </c>
    </row>
    <row r="98" spans="1:16" ht="22.5" hidden="1" customHeight="1">
      <c r="A98" s="115"/>
      <c r="B98" s="115" t="e">
        <f>VLOOKUP(C98,Lists!I:J,2,FALSE)</f>
        <v>#N/A</v>
      </c>
      <c r="C98" s="115" t="e">
        <f>VLOOKUP(E98,Lists!E:F,2,FALSE)</f>
        <v>#N/A</v>
      </c>
      <c r="D98" s="115"/>
      <c r="E98" s="98"/>
      <c r="F98" s="115"/>
      <c r="G98" s="115"/>
      <c r="H98" s="115"/>
      <c r="I98" s="194">
        <f t="shared" ref="I98:I103" si="0">SUM(G98:H98)</f>
        <v>0</v>
      </c>
      <c r="J98" s="116"/>
      <c r="K98" s="116"/>
      <c r="L98" s="116"/>
      <c r="M98" s="116"/>
      <c r="N98" s="116"/>
      <c r="O98" s="116"/>
      <c r="P98" s="116"/>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16"/>
      <c r="N99" s="116"/>
      <c r="O99" s="116"/>
      <c r="P99" s="116"/>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16"/>
      <c r="N100" s="116"/>
      <c r="O100" s="116"/>
      <c r="P100" s="116"/>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16"/>
      <c r="N101" s="116"/>
      <c r="O101" s="116"/>
      <c r="P101" s="116"/>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16"/>
      <c r="N102" s="116"/>
      <c r="O102" s="116"/>
      <c r="P102" s="116"/>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16"/>
      <c r="N103" s="116"/>
      <c r="O103" s="116"/>
      <c r="P103" s="116"/>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700-000000000000}">
      <formula1>#REF!</formula1>
    </dataValidation>
    <dataValidation type="list" allowBlank="1" sqref="F2:F103" xr:uid="{00000000-0002-0000-2700-000002000000}">
      <formula1>"Yellow,Red"</formula1>
    </dataValidation>
    <dataValidation type="custom" allowBlank="1" showDropDown="1" sqref="S4:T13 S17:T21 S25:T29 S33:T37 S41:T45 A2:A103 G2:L103" xr:uid="{00000000-0002-0000-2700-000003000000}">
      <formula1>AND(ISNUMBER(A2),(NOT(OR(NOT(ISERROR(DATEVALUE(A2))), AND(ISNUMBER(A2), LEFT(CELL("format", A2))="D")))))</formula1>
    </dataValidation>
    <dataValidation allowBlank="1" showDropDown="1" sqref="E2:E103" xr:uid="{00000000-0002-0000-2700-000004000000}"/>
  </dataValidations>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1</v>
      </c>
      <c r="B2" s="115" t="s">
        <v>39</v>
      </c>
      <c r="C2" s="115" t="s">
        <v>56</v>
      </c>
      <c r="D2" s="115" t="s">
        <v>667</v>
      </c>
      <c r="E2" s="98" t="s">
        <v>668</v>
      </c>
      <c r="F2" s="115" t="s">
        <v>476</v>
      </c>
      <c r="G2" s="115">
        <v>61</v>
      </c>
      <c r="H2" s="115">
        <v>242</v>
      </c>
      <c r="I2" s="194">
        <v>303</v>
      </c>
      <c r="J2" s="116">
        <v>6816762</v>
      </c>
      <c r="K2" s="116">
        <v>2189154</v>
      </c>
      <c r="L2" s="116">
        <v>523530</v>
      </c>
      <c r="M2" s="195">
        <v>7.9548437910212655E-2</v>
      </c>
      <c r="N2" s="195">
        <v>8.734796253283543E-2</v>
      </c>
      <c r="O2" s="195">
        <v>3.0263986947116444E-2</v>
      </c>
      <c r="P2" s="195">
        <v>1.1254533156469935E-2</v>
      </c>
      <c r="R2" s="232" t="s">
        <v>477</v>
      </c>
      <c r="S2" s="228"/>
      <c r="T2" s="228"/>
      <c r="V2" s="233" t="s">
        <v>478</v>
      </c>
      <c r="W2" s="228"/>
      <c r="X2" s="196"/>
      <c r="Y2" s="233" t="s">
        <v>479</v>
      </c>
      <c r="Z2" s="228"/>
    </row>
    <row r="3" spans="1:26" ht="22.5" customHeight="1">
      <c r="A3" s="115">
        <v>3</v>
      </c>
      <c r="B3" s="115" t="s">
        <v>39</v>
      </c>
      <c r="C3" s="115" t="s">
        <v>32</v>
      </c>
      <c r="D3" s="115" t="s">
        <v>667</v>
      </c>
      <c r="E3" s="98" t="s">
        <v>86</v>
      </c>
      <c r="F3" s="115" t="s">
        <v>476</v>
      </c>
      <c r="G3" s="115">
        <v>54</v>
      </c>
      <c r="H3" s="115">
        <v>193</v>
      </c>
      <c r="I3" s="194">
        <v>247</v>
      </c>
      <c r="J3" s="116">
        <v>6778437</v>
      </c>
      <c r="K3" s="116">
        <v>1891148</v>
      </c>
      <c r="L3" s="116">
        <v>0</v>
      </c>
      <c r="M3" s="195">
        <v>6.4846416382252553E-2</v>
      </c>
      <c r="N3" s="195">
        <v>8.6856877371864441E-2</v>
      </c>
      <c r="O3" s="195">
        <v>2.6144199260109323E-2</v>
      </c>
      <c r="P3" s="195">
        <v>0</v>
      </c>
      <c r="R3" s="190" t="s">
        <v>482</v>
      </c>
      <c r="S3" s="222" t="s">
        <v>476</v>
      </c>
      <c r="T3" s="222" t="s">
        <v>483</v>
      </c>
      <c r="V3" s="199" t="s">
        <v>1</v>
      </c>
      <c r="W3" s="200" t="s">
        <v>467</v>
      </c>
      <c r="Y3" s="199" t="s">
        <v>1</v>
      </c>
      <c r="Z3" s="200" t="s">
        <v>484</v>
      </c>
    </row>
    <row r="4" spans="1:26" ht="22.5" customHeight="1">
      <c r="A4" s="115">
        <v>10</v>
      </c>
      <c r="B4" s="115" t="s">
        <v>39</v>
      </c>
      <c r="C4" s="115" t="s">
        <v>56</v>
      </c>
      <c r="D4" s="115" t="s">
        <v>667</v>
      </c>
      <c r="E4" s="98" t="s">
        <v>956</v>
      </c>
      <c r="F4" s="115" t="s">
        <v>476</v>
      </c>
      <c r="G4" s="115">
        <v>39</v>
      </c>
      <c r="H4" s="115">
        <v>181</v>
      </c>
      <c r="I4" s="194">
        <v>220</v>
      </c>
      <c r="J4" s="116">
        <v>5462159</v>
      </c>
      <c r="K4" s="116">
        <v>1986808</v>
      </c>
      <c r="L4" s="116">
        <v>284661</v>
      </c>
      <c r="M4" s="195">
        <v>5.7757941716986089E-2</v>
      </c>
      <c r="N4" s="195">
        <v>6.9990482237811721E-2</v>
      </c>
      <c r="O4" s="195">
        <v>2.7466652130652539E-2</v>
      </c>
      <c r="P4" s="195">
        <v>6.1194710195287532E-3</v>
      </c>
      <c r="R4" s="223" t="s">
        <v>25</v>
      </c>
      <c r="S4" s="207">
        <f>COUNTIFS(Scoreboard_5[Role],R4,Scoreboard_5[Team],"Yellow")</f>
        <v>7</v>
      </c>
      <c r="T4" s="219">
        <f>COUNTIFS(Scoreboard_5[Role],R4,Scoreboard_5[Team],"Red")</f>
        <v>8</v>
      </c>
      <c r="V4" s="204" t="str">
        <f ca="1">IFERROR(__xludf.DUMMYFUNCTION("query(A1:P239, ""Select E,I where B!='Healer' Order by I Desc Limit 10"", 0)"),"Leyv1ng")</f>
        <v>Leyv1ng</v>
      </c>
      <c r="W4" s="116">
        <f ca="1">IFERROR(__xludf.DUMMYFUNCTION("""COMPUTED_VALUE"""),303)</f>
        <v>303</v>
      </c>
      <c r="Y4" s="204" t="str">
        <f ca="1">IFERROR(__xludf.DUMMYFUNCTION("query(A1:P239, ""Select E,J Order by J Desc Limit 10"", 0)"),"Leyv1ng")</f>
        <v>Leyv1ng</v>
      </c>
      <c r="Z4" s="116">
        <f ca="1">IFERROR(__xludf.DUMMYFUNCTION("""COMPUTED_VALUE"""),6816762)</f>
        <v>6816762</v>
      </c>
    </row>
    <row r="5" spans="1:26" ht="22.5" customHeight="1">
      <c r="A5" s="115">
        <v>4</v>
      </c>
      <c r="B5" s="115" t="s">
        <v>25</v>
      </c>
      <c r="C5" s="115" t="s">
        <v>24</v>
      </c>
      <c r="D5" s="115" t="s">
        <v>667</v>
      </c>
      <c r="E5" s="98" t="s">
        <v>632</v>
      </c>
      <c r="F5" s="115" t="s">
        <v>476</v>
      </c>
      <c r="G5" s="115">
        <v>53</v>
      </c>
      <c r="H5" s="115">
        <v>153</v>
      </c>
      <c r="I5" s="194">
        <v>206</v>
      </c>
      <c r="J5" s="116">
        <v>5067563</v>
      </c>
      <c r="K5" s="116">
        <v>2539675</v>
      </c>
      <c r="L5" s="116">
        <v>1846</v>
      </c>
      <c r="M5" s="195">
        <v>5.4082436334996063E-2</v>
      </c>
      <c r="N5" s="195">
        <v>6.4934246355789316E-2</v>
      </c>
      <c r="O5" s="195">
        <v>3.5109768910692417E-2</v>
      </c>
      <c r="P5" s="195">
        <v>3.9684198053298759E-5</v>
      </c>
      <c r="R5" s="223" t="s">
        <v>39</v>
      </c>
      <c r="S5" s="207">
        <f>COUNTIFS(Scoreboard_5[Role],R5,Scoreboard_5[Team],"Yellow")</f>
        <v>9</v>
      </c>
      <c r="T5" s="219">
        <f>COUNTIFS(Scoreboard_5[Role],R5,Scoreboard_5[Team],"Red")</f>
        <v>10</v>
      </c>
      <c r="V5" s="204" t="str">
        <f ca="1">IFERROR(__xludf.DUMMYFUNCTION("""COMPUTED_VALUE"""),"Nsin")</f>
        <v>Nsin</v>
      </c>
      <c r="W5" s="116">
        <f ca="1">IFERROR(__xludf.DUMMYFUNCTION("""COMPUTED_VALUE"""),247)</f>
        <v>247</v>
      </c>
      <c r="Y5" s="204" t="str">
        <f ca="1">IFERROR(__xludf.DUMMYFUNCTION("""COMPUTED_VALUE"""),"Nsin")</f>
        <v>Nsin</v>
      </c>
      <c r="Z5" s="116">
        <f ca="1">IFERROR(__xludf.DUMMYFUNCTION("""COMPUTED_VALUE"""),6778437)</f>
        <v>6778437</v>
      </c>
    </row>
    <row r="6" spans="1:26" ht="22.5" customHeight="1">
      <c r="A6" s="115">
        <v>5</v>
      </c>
      <c r="B6" s="115" t="s">
        <v>39</v>
      </c>
      <c r="C6" s="115" t="s">
        <v>45</v>
      </c>
      <c r="D6" s="115" t="s">
        <v>667</v>
      </c>
      <c r="E6" s="98" t="s">
        <v>670</v>
      </c>
      <c r="F6" s="115" t="s">
        <v>476</v>
      </c>
      <c r="G6" s="115">
        <v>49</v>
      </c>
      <c r="H6" s="115">
        <v>121</v>
      </c>
      <c r="I6" s="194">
        <v>170</v>
      </c>
      <c r="J6" s="116">
        <v>4369827</v>
      </c>
      <c r="K6" s="116">
        <v>1356549</v>
      </c>
      <c r="L6" s="116">
        <v>35432</v>
      </c>
      <c r="M6" s="195">
        <v>4.463113678130743E-2</v>
      </c>
      <c r="N6" s="195">
        <v>5.5993664597791835E-2</v>
      </c>
      <c r="O6" s="195">
        <v>1.8753628675334793E-2</v>
      </c>
      <c r="P6" s="195">
        <v>7.6169583175757401E-4</v>
      </c>
      <c r="R6" s="223" t="s">
        <v>67</v>
      </c>
      <c r="S6" s="207">
        <f>COUNTIFS(Scoreboard_5[Role],R6,Scoreboard_5[Team],"Yellow")</f>
        <v>16</v>
      </c>
      <c r="T6" s="219">
        <f>COUNTIFS(Scoreboard_5[Role],R6,Scoreboard_5[Team],"Red")</f>
        <v>14</v>
      </c>
      <c r="V6" s="204" t="str">
        <f ca="1">IFERROR(__xludf.DUMMYFUNCTION("""COMPUTED_VALUE"""),"ArtemisÂ°")</f>
        <v>ArtemisÂ°</v>
      </c>
      <c r="W6" s="116">
        <f ca="1">IFERROR(__xludf.DUMMYFUNCTION("""COMPUTED_VALUE"""),220)</f>
        <v>220</v>
      </c>
      <c r="Y6" s="204" t="str">
        <f ca="1">IFERROR(__xludf.DUMMYFUNCTION("""COMPUTED_VALUE"""),"Adversed")</f>
        <v>Adversed</v>
      </c>
      <c r="Z6" s="116">
        <f ca="1">IFERROR(__xludf.DUMMYFUNCTION("""COMPUTED_VALUE"""),6405252)</f>
        <v>6405252</v>
      </c>
    </row>
    <row r="7" spans="1:26" ht="22.5" customHeight="1">
      <c r="A7" s="115">
        <v>6</v>
      </c>
      <c r="B7" s="115" t="s">
        <v>25</v>
      </c>
      <c r="C7" s="115" t="s">
        <v>23</v>
      </c>
      <c r="D7" s="115" t="s">
        <v>667</v>
      </c>
      <c r="E7" s="98" t="s">
        <v>678</v>
      </c>
      <c r="F7" s="115" t="s">
        <v>476</v>
      </c>
      <c r="G7" s="115">
        <v>48</v>
      </c>
      <c r="H7" s="115">
        <v>113</v>
      </c>
      <c r="I7" s="194">
        <v>161</v>
      </c>
      <c r="J7" s="116">
        <v>3963395</v>
      </c>
      <c r="K7" s="116">
        <v>2428360</v>
      </c>
      <c r="L7" s="116">
        <v>50270</v>
      </c>
      <c r="M7" s="195">
        <v>4.2268311892885269E-2</v>
      </c>
      <c r="N7" s="195">
        <v>5.0785765729070093E-2</v>
      </c>
      <c r="O7" s="195">
        <v>3.3570893296177282E-2</v>
      </c>
      <c r="P7" s="195">
        <v>1.0806742340949776E-3</v>
      </c>
      <c r="R7" s="223" t="s">
        <v>11</v>
      </c>
      <c r="S7" s="207">
        <f>COUNTIFS(Scoreboard_5[Role],R7,Scoreboard_5[Team],"Yellow")</f>
        <v>16</v>
      </c>
      <c r="T7" s="219">
        <f>COUNTIFS(Scoreboard_5[Role],R7,Scoreboard_5[Team],"Red")</f>
        <v>16</v>
      </c>
      <c r="V7" s="204" t="str">
        <f ca="1">IFERROR(__xludf.DUMMYFUNCTION("""COMPUTED_VALUE"""),"BBlast")</f>
        <v>BBlast</v>
      </c>
      <c r="W7" s="116">
        <f ca="1">IFERROR(__xludf.DUMMYFUNCTION("""COMPUTED_VALUE"""),206)</f>
        <v>206</v>
      </c>
      <c r="Y7" s="204" t="str">
        <f ca="1">IFERROR(__xludf.DUMMYFUNCTION("""COMPUTED_VALUE"""),"CLEMË£")</f>
        <v>CLEMË£</v>
      </c>
      <c r="Z7" s="116">
        <f ca="1">IFERROR(__xludf.DUMMYFUNCTION("""COMPUTED_VALUE"""),5680600)</f>
        <v>5680600</v>
      </c>
    </row>
    <row r="8" spans="1:26" ht="22.5" customHeight="1">
      <c r="A8" s="115">
        <v>12</v>
      </c>
      <c r="B8" s="115" t="s">
        <v>25</v>
      </c>
      <c r="C8" s="115" t="s">
        <v>23</v>
      </c>
      <c r="D8" s="115" t="s">
        <v>667</v>
      </c>
      <c r="E8" s="98" t="s">
        <v>669</v>
      </c>
      <c r="F8" s="115" t="s">
        <v>476</v>
      </c>
      <c r="G8" s="115">
        <v>37</v>
      </c>
      <c r="H8" s="115">
        <v>115</v>
      </c>
      <c r="I8" s="194">
        <v>152</v>
      </c>
      <c r="J8" s="116">
        <v>3922297</v>
      </c>
      <c r="K8" s="116">
        <v>2050605</v>
      </c>
      <c r="L8" s="116">
        <v>35632</v>
      </c>
      <c r="M8" s="195">
        <v>3.9905487004463114E-2</v>
      </c>
      <c r="N8" s="195">
        <v>5.0259148170150703E-2</v>
      </c>
      <c r="O8" s="195">
        <v>2.8348614557811701E-2</v>
      </c>
      <c r="P8" s="195">
        <v>7.6599531150332682E-4</v>
      </c>
      <c r="R8" s="223" t="s">
        <v>468</v>
      </c>
      <c r="S8" s="207">
        <f>SUMIFS(Scoreboard_5[Damage Dealt],Scoreboard_5[Team],"Yellow")</f>
        <v>78041454</v>
      </c>
      <c r="T8" s="219">
        <f>SUMIFS(Scoreboard_5[Damage Dealt],Scoreboard_5[Team],"Red")</f>
        <v>72252420</v>
      </c>
      <c r="V8" s="204" t="str">
        <f ca="1">IFERROR(__xludf.DUMMYFUNCTION("""COMPUTED_VALUE"""),"TechnoDroid")</f>
        <v>TechnoDroid</v>
      </c>
      <c r="W8" s="116">
        <f ca="1">IFERROR(__xludf.DUMMYFUNCTION("""COMPUTED_VALUE"""),170)</f>
        <v>170</v>
      </c>
      <c r="Y8" s="204" t="str">
        <f ca="1">IFERROR(__xludf.DUMMYFUNCTION("""COMPUTED_VALUE"""),"ArtemisÂ°")</f>
        <v>ArtemisÂ°</v>
      </c>
      <c r="Z8" s="116">
        <f ca="1">IFERROR(__xludf.DUMMYFUNCTION("""COMPUTED_VALUE"""),5462159)</f>
        <v>5462159</v>
      </c>
    </row>
    <row r="9" spans="1:26" ht="22.5" customHeight="1">
      <c r="A9" s="115">
        <v>13</v>
      </c>
      <c r="B9" s="115" t="s">
        <v>39</v>
      </c>
      <c r="C9" s="115" t="s">
        <v>56</v>
      </c>
      <c r="D9" s="115" t="s">
        <v>7</v>
      </c>
      <c r="E9" s="98" t="s">
        <v>842</v>
      </c>
      <c r="F9" s="115" t="s">
        <v>483</v>
      </c>
      <c r="G9" s="115">
        <v>34</v>
      </c>
      <c r="H9" s="115">
        <v>117</v>
      </c>
      <c r="I9" s="194">
        <v>151</v>
      </c>
      <c r="J9" s="116">
        <v>6405252</v>
      </c>
      <c r="K9" s="116">
        <v>2680459</v>
      </c>
      <c r="L9" s="116">
        <v>20747</v>
      </c>
      <c r="M9" s="195">
        <v>6.9457221711131556E-2</v>
      </c>
      <c r="N9" s="195">
        <v>8.8651037570783089E-2</v>
      </c>
      <c r="O9" s="195">
        <v>3.4363276060886065E-2</v>
      </c>
      <c r="P9" s="195">
        <v>4.3946511543621906E-4</v>
      </c>
      <c r="R9" s="223" t="s">
        <v>470</v>
      </c>
      <c r="S9" s="207">
        <f>SUMIFS(Scoreboard_5[Amount Healed],Scoreboard_5[Team],"Yellow")</f>
        <v>46517256</v>
      </c>
      <c r="T9" s="219">
        <f>SUMIFS(Scoreboard_5[Amount Healed],Scoreboard_5[Team],"Red")</f>
        <v>47209663</v>
      </c>
      <c r="V9" s="204" t="str">
        <f ca="1">IFERROR(__xludf.DUMMYFUNCTION("""COMPUTED_VALUE"""),"Stigmates")</f>
        <v>Stigmates</v>
      </c>
      <c r="W9" s="116">
        <f ca="1">IFERROR(__xludf.DUMMYFUNCTION("""COMPUTED_VALUE"""),161)</f>
        <v>161</v>
      </c>
      <c r="Y9" s="204" t="str">
        <f ca="1">IFERROR(__xludf.DUMMYFUNCTION("""COMPUTED_VALUE"""),"BBlast")</f>
        <v>BBlast</v>
      </c>
      <c r="Z9" s="116">
        <f ca="1">IFERROR(__xludf.DUMMYFUNCTION("""COMPUTED_VALUE"""),5067563)</f>
        <v>5067563</v>
      </c>
    </row>
    <row r="10" spans="1:26" ht="22.5" customHeight="1">
      <c r="A10" s="115">
        <v>8</v>
      </c>
      <c r="B10" s="115" t="s">
        <v>25</v>
      </c>
      <c r="C10" s="115" t="s">
        <v>24</v>
      </c>
      <c r="D10" s="115" t="s">
        <v>667</v>
      </c>
      <c r="E10" s="98" t="s">
        <v>957</v>
      </c>
      <c r="F10" s="115" t="s">
        <v>476</v>
      </c>
      <c r="G10" s="115">
        <v>43</v>
      </c>
      <c r="H10" s="115">
        <v>103</v>
      </c>
      <c r="I10" s="194">
        <v>146</v>
      </c>
      <c r="J10" s="116">
        <v>4007658</v>
      </c>
      <c r="K10" s="116">
        <v>1624783</v>
      </c>
      <c r="L10" s="116">
        <v>16773</v>
      </c>
      <c r="M10" s="195">
        <v>3.8330270412181677E-2</v>
      </c>
      <c r="N10" s="195">
        <v>5.1352938657447361E-2</v>
      </c>
      <c r="O10" s="195">
        <v>2.2461832974700134E-2</v>
      </c>
      <c r="P10" s="195">
        <v>3.6057586887756232E-4</v>
      </c>
      <c r="R10" s="223" t="s">
        <v>469</v>
      </c>
      <c r="S10" s="207">
        <f>SUMIFS(Scoreboard_5[Damage Taken],Scoreboard_5[Team],"Yellow")</f>
        <v>72335281</v>
      </c>
      <c r="T10" s="219">
        <f>SUMIFS(Scoreboard_5[Damage Taken],Scoreboard_5[Team],"Red")</f>
        <v>78003593</v>
      </c>
      <c r="V10" s="204" t="str">
        <f ca="1">IFERROR(__xludf.DUMMYFUNCTION("""COMPUTED_VALUE"""),"Cygg")</f>
        <v>Cygg</v>
      </c>
      <c r="W10" s="116">
        <f ca="1">IFERROR(__xludf.DUMMYFUNCTION("""COMPUTED_VALUE"""),152)</f>
        <v>152</v>
      </c>
      <c r="Y10" s="204" t="str">
        <f ca="1">IFERROR(__xludf.DUMMYFUNCTION("""COMPUTED_VALUE"""),"Nengja")</f>
        <v>Nengja</v>
      </c>
      <c r="Z10" s="116">
        <f ca="1">IFERROR(__xludf.DUMMYFUNCTION("""COMPUTED_VALUE"""),4822557)</f>
        <v>4822557</v>
      </c>
    </row>
    <row r="11" spans="1:26" ht="22.5" customHeight="1">
      <c r="A11" s="115">
        <v>7</v>
      </c>
      <c r="B11" s="115" t="s">
        <v>39</v>
      </c>
      <c r="C11" s="115" t="s">
        <v>45</v>
      </c>
      <c r="D11" s="115" t="s">
        <v>667</v>
      </c>
      <c r="E11" s="98" t="s">
        <v>673</v>
      </c>
      <c r="F11" s="115" t="s">
        <v>476</v>
      </c>
      <c r="G11" s="115">
        <v>48</v>
      </c>
      <c r="H11" s="115">
        <v>77</v>
      </c>
      <c r="I11" s="194">
        <v>125</v>
      </c>
      <c r="J11" s="116">
        <v>3129574</v>
      </c>
      <c r="K11" s="116">
        <v>1753812</v>
      </c>
      <c r="L11" s="116">
        <v>44119</v>
      </c>
      <c r="M11" s="195">
        <v>3.2817012339196643E-2</v>
      </c>
      <c r="N11" s="195">
        <v>4.0101431221412145E-2</v>
      </c>
      <c r="O11" s="195">
        <v>2.4245596004527858E-2</v>
      </c>
      <c r="P11" s="195">
        <v>9.4844373451434885E-4</v>
      </c>
      <c r="R11" s="223" t="s">
        <v>495</v>
      </c>
      <c r="S11" s="207">
        <f ca="1">IFERROR(DIVIDE(SUMIFS(Scoreboard_5[Amount Healed],Scoreboard_5[Team],"Yellow"), SUMIFS(Scoreboard_5[Damage Taken],Scoreboard_5[Team],"Yellow"))*(100),0)</f>
        <v>0</v>
      </c>
      <c r="T11" s="219">
        <f ca="1">IFERROR(DIVIDE(SUMIFS(Scoreboard_5[Amount Healed],Scoreboard_5[Team],"Red"), SUMIFS(Scoreboard_5[Damage Taken],Scoreboard_5[Team],"Red"))*(100),0)</f>
        <v>0</v>
      </c>
      <c r="V11" s="204" t="str">
        <f ca="1">IFERROR(__xludf.DUMMYFUNCTION("""COMPUTED_VALUE"""),"Adversed")</f>
        <v>Adversed</v>
      </c>
      <c r="W11" s="116">
        <f ca="1">IFERROR(__xludf.DUMMYFUNCTION("""COMPUTED_VALUE"""),151)</f>
        <v>151</v>
      </c>
      <c r="Y11" s="204" t="str">
        <f ca="1">IFERROR(__xludf.DUMMYFUNCTION("""COMPUTED_VALUE"""),"Regalians")</f>
        <v>Regalians</v>
      </c>
      <c r="Z11" s="116">
        <f ca="1">IFERROR(__xludf.DUMMYFUNCTION("""COMPUTED_VALUE"""),4374444)</f>
        <v>4374444</v>
      </c>
    </row>
    <row r="12" spans="1:26" ht="22.5" customHeight="1">
      <c r="A12" s="115">
        <v>24</v>
      </c>
      <c r="B12" s="115" t="s">
        <v>25</v>
      </c>
      <c r="C12" s="115" t="s">
        <v>23</v>
      </c>
      <c r="D12" s="115" t="s">
        <v>667</v>
      </c>
      <c r="E12" s="98" t="s">
        <v>958</v>
      </c>
      <c r="F12" s="115" t="s">
        <v>476</v>
      </c>
      <c r="G12" s="115">
        <v>21</v>
      </c>
      <c r="H12" s="115">
        <v>103</v>
      </c>
      <c r="I12" s="194">
        <v>124</v>
      </c>
      <c r="J12" s="116">
        <v>3293079</v>
      </c>
      <c r="K12" s="116">
        <v>1341708</v>
      </c>
      <c r="L12" s="116">
        <v>64012</v>
      </c>
      <c r="M12" s="195">
        <v>3.255447624048307E-2</v>
      </c>
      <c r="N12" s="195">
        <v>4.2196535702679248E-2</v>
      </c>
      <c r="O12" s="195">
        <v>1.854845908457866E-2</v>
      </c>
      <c r="P12" s="195">
        <v>1.3760914874256555E-3</v>
      </c>
      <c r="R12" s="223" t="s">
        <v>465</v>
      </c>
      <c r="S12" s="207">
        <f>SUMIFS(Scoreboard_5[Kills],Scoreboard_5[Team],"Yellow")</f>
        <v>728</v>
      </c>
      <c r="T12" s="219">
        <f>SUMIFS(Scoreboard_5[Kills],Scoreboard_5[Team],"Red")</f>
        <v>408</v>
      </c>
      <c r="V12" s="204" t="str">
        <f ca="1">IFERROR(__xludf.DUMMYFUNCTION("""COMPUTED_VALUE"""),"dimenãƒ„")</f>
        <v>dimenãƒ„</v>
      </c>
      <c r="W12" s="116">
        <f ca="1">IFERROR(__xludf.DUMMYFUNCTION("""COMPUTED_VALUE"""),146)</f>
        <v>146</v>
      </c>
      <c r="Y12" s="204" t="str">
        <f ca="1">IFERROR(__xludf.DUMMYFUNCTION("""COMPUTED_VALUE"""),"TechnoDroid")</f>
        <v>TechnoDroid</v>
      </c>
      <c r="Z12" s="116">
        <f ca="1">IFERROR(__xludf.DUMMYFUNCTION("""COMPUTED_VALUE"""),4369827)</f>
        <v>4369827</v>
      </c>
    </row>
    <row r="13" spans="1:26" ht="22.5" customHeight="1">
      <c r="A13" s="115">
        <v>16</v>
      </c>
      <c r="B13" s="115" t="s">
        <v>39</v>
      </c>
      <c r="C13" s="115" t="s">
        <v>56</v>
      </c>
      <c r="D13" s="115" t="s">
        <v>7</v>
      </c>
      <c r="E13" s="98" t="s">
        <v>959</v>
      </c>
      <c r="F13" s="115" t="s">
        <v>483</v>
      </c>
      <c r="G13" s="115">
        <v>28</v>
      </c>
      <c r="H13" s="115">
        <v>92</v>
      </c>
      <c r="I13" s="194">
        <v>120</v>
      </c>
      <c r="J13" s="116">
        <v>5680600</v>
      </c>
      <c r="K13" s="116">
        <v>2138845</v>
      </c>
      <c r="L13" s="116">
        <v>243083</v>
      </c>
      <c r="M13" s="195">
        <v>5.5197792088316468E-2</v>
      </c>
      <c r="N13" s="195">
        <v>7.8621588038158441E-2</v>
      </c>
      <c r="O13" s="195">
        <v>2.7419826673881549E-2</v>
      </c>
      <c r="P13" s="195">
        <v>5.1490094305481487E-3</v>
      </c>
      <c r="R13" s="223" t="s">
        <v>466</v>
      </c>
      <c r="S13" s="207">
        <f>SUMIFS(Scoreboard_5[Assists],Scoreboard_5[Team],"Yellow")</f>
        <v>3081</v>
      </c>
      <c r="T13" s="219">
        <f>SUMIFS(Scoreboard_5[Assists],Scoreboard_5[Team],"Red")</f>
        <v>1766</v>
      </c>
      <c r="V13" s="204" t="str">
        <f ca="1">IFERROR(__xludf.DUMMYFUNCTION("""COMPUTED_VALUE"""),"Zahli")</f>
        <v>Zahli</v>
      </c>
      <c r="W13" s="116">
        <f ca="1">IFERROR(__xludf.DUMMYFUNCTION("""COMPUTED_VALUE"""),125)</f>
        <v>125</v>
      </c>
      <c r="Y13" s="204" t="str">
        <f ca="1">IFERROR(__xludf.DUMMYFUNCTION("""COMPUTED_VALUE"""),"RosesAreRosie")</f>
        <v>RosesAreRosie</v>
      </c>
      <c r="Z13" s="116">
        <f ca="1">IFERROR(__xludf.DUMMYFUNCTION("""COMPUTED_VALUE"""),4050268)</f>
        <v>4050268</v>
      </c>
    </row>
    <row r="14" spans="1:26" ht="22.5" customHeight="1">
      <c r="A14" s="115">
        <v>17</v>
      </c>
      <c r="B14" s="115" t="s">
        <v>39</v>
      </c>
      <c r="C14" s="115" t="s">
        <v>32</v>
      </c>
      <c r="D14" s="115" t="s">
        <v>667</v>
      </c>
      <c r="E14" s="98" t="s">
        <v>672</v>
      </c>
      <c r="F14" s="115" t="s">
        <v>476</v>
      </c>
      <c r="G14" s="115">
        <v>28</v>
      </c>
      <c r="H14" s="115">
        <v>92</v>
      </c>
      <c r="I14" s="194">
        <v>120</v>
      </c>
      <c r="J14" s="116">
        <v>3344122</v>
      </c>
      <c r="K14" s="116">
        <v>1684189</v>
      </c>
      <c r="L14" s="116">
        <v>14172</v>
      </c>
      <c r="M14" s="195">
        <v>3.1504331845628772E-2</v>
      </c>
      <c r="N14" s="195">
        <v>4.2850585536245905E-2</v>
      </c>
      <c r="O14" s="195">
        <v>2.3283091967251777E-2</v>
      </c>
      <c r="P14" s="195">
        <v>3.0466113478404657E-4</v>
      </c>
    </row>
    <row r="15" spans="1:26" ht="22.5" customHeight="1">
      <c r="A15" s="115">
        <v>2</v>
      </c>
      <c r="B15" s="115" t="s">
        <v>39</v>
      </c>
      <c r="C15" s="115" t="s">
        <v>54</v>
      </c>
      <c r="D15" s="115" t="s">
        <v>667</v>
      </c>
      <c r="E15" s="98" t="s">
        <v>671</v>
      </c>
      <c r="F15" s="115" t="s">
        <v>476</v>
      </c>
      <c r="G15" s="115">
        <v>61</v>
      </c>
      <c r="H15" s="115">
        <v>37</v>
      </c>
      <c r="I15" s="194">
        <v>98</v>
      </c>
      <c r="J15" s="116">
        <v>3251997</v>
      </c>
      <c r="K15" s="116">
        <v>1242313</v>
      </c>
      <c r="L15" s="116">
        <v>13142</v>
      </c>
      <c r="M15" s="195">
        <v>2.5728537673930164E-2</v>
      </c>
      <c r="N15" s="195">
        <v>4.1670123163005141E-2</v>
      </c>
      <c r="O15" s="195">
        <v>1.7174371659660796E-2</v>
      </c>
      <c r="P15" s="195">
        <v>2.8251881409341946E-4</v>
      </c>
      <c r="R15" s="232" t="s">
        <v>25</v>
      </c>
      <c r="S15" s="228"/>
      <c r="T15" s="228"/>
      <c r="V15" s="233" t="s">
        <v>496</v>
      </c>
      <c r="W15" s="228"/>
      <c r="Y15" s="233" t="s">
        <v>497</v>
      </c>
      <c r="Z15" s="228"/>
    </row>
    <row r="16" spans="1:26" ht="22.5" customHeight="1">
      <c r="A16" s="115">
        <v>9</v>
      </c>
      <c r="B16" s="115" t="s">
        <v>25</v>
      </c>
      <c r="C16" s="115" t="s">
        <v>69</v>
      </c>
      <c r="D16" s="115" t="s">
        <v>667</v>
      </c>
      <c r="E16" s="98" t="s">
        <v>960</v>
      </c>
      <c r="F16" s="115" t="s">
        <v>476</v>
      </c>
      <c r="G16" s="115">
        <v>40</v>
      </c>
      <c r="H16" s="115">
        <v>58</v>
      </c>
      <c r="I16" s="194">
        <v>98</v>
      </c>
      <c r="J16" s="116">
        <v>2801776</v>
      </c>
      <c r="K16" s="116">
        <v>1415299</v>
      </c>
      <c r="L16" s="116">
        <v>11608</v>
      </c>
      <c r="M16" s="195">
        <v>2.5728537673930164E-2</v>
      </c>
      <c r="N16" s="195">
        <v>3.5901125061047687E-2</v>
      </c>
      <c r="O16" s="195">
        <v>1.9565818787653566E-2</v>
      </c>
      <c r="P16" s="195">
        <v>2.495418044434951E-4</v>
      </c>
      <c r="R16" s="190" t="s">
        <v>482</v>
      </c>
      <c r="S16" s="222" t="s">
        <v>476</v>
      </c>
      <c r="T16" s="222" t="s">
        <v>483</v>
      </c>
      <c r="V16" s="199" t="s">
        <v>1</v>
      </c>
      <c r="W16" s="200" t="s">
        <v>498</v>
      </c>
      <c r="Y16" s="199" t="s">
        <v>1</v>
      </c>
      <c r="Z16" s="200" t="s">
        <v>499</v>
      </c>
    </row>
    <row r="17" spans="1:26" ht="22.5" customHeight="1">
      <c r="A17" s="115">
        <v>11</v>
      </c>
      <c r="B17" s="115" t="s">
        <v>25</v>
      </c>
      <c r="C17" s="115" t="s">
        <v>69</v>
      </c>
      <c r="D17" s="115" t="s">
        <v>7</v>
      </c>
      <c r="E17" s="98" t="s">
        <v>98</v>
      </c>
      <c r="F17" s="115" t="s">
        <v>483</v>
      </c>
      <c r="G17" s="115">
        <v>38</v>
      </c>
      <c r="H17" s="115">
        <v>59</v>
      </c>
      <c r="I17" s="194">
        <v>97</v>
      </c>
      <c r="J17" s="116">
        <v>3525895</v>
      </c>
      <c r="K17" s="116">
        <v>2271637</v>
      </c>
      <c r="L17" s="116">
        <v>39538</v>
      </c>
      <c r="M17" s="195">
        <v>4.4618215271389143E-2</v>
      </c>
      <c r="N17" s="195">
        <v>4.8799680342886786E-2</v>
      </c>
      <c r="O17" s="195">
        <v>2.9122209793592455E-2</v>
      </c>
      <c r="P17" s="195">
        <v>8.3749803509506097E-4</v>
      </c>
      <c r="R17" s="223" t="s">
        <v>468</v>
      </c>
      <c r="S17" s="207">
        <f>SUMIFS(Scoreboard_5[Damage Dealt],Scoreboard_5[Role],"Melee DPS",Scoreboard_5[Team],"Yellow")</f>
        <v>25280475</v>
      </c>
      <c r="T17" s="219">
        <f>SUMIFS(Scoreboard_5[Damage Dealt],Scoreboard_5[Role],"Melee DPS",Scoreboard_5[Team],"Red")</f>
        <v>22554178</v>
      </c>
      <c r="V17" s="204" t="str">
        <f ca="1">IFERROR(__xludf.DUMMYFUNCTION("query(A1:P239, ""Select E,K Order by K Desc Limit 10"", 0)"),"Wari0")</f>
        <v>Wari0</v>
      </c>
      <c r="W17" s="116">
        <f ca="1">IFERROR(__xludf.DUMMYFUNCTION("""COMPUTED_VALUE"""),2841812)</f>
        <v>2841812</v>
      </c>
      <c r="Y17" s="204" t="str">
        <f ca="1">IFERROR(__xludf.DUMMYFUNCTION("query(A1:P239, ""Select E,L Order by L Desc Limit 10"", 0)"),"Ellione")</f>
        <v>Ellione</v>
      </c>
      <c r="Z17" s="116">
        <f ca="1">IFERROR(__xludf.DUMMYFUNCTION("""COMPUTED_VALUE"""),4289218)</f>
        <v>4289218</v>
      </c>
    </row>
    <row r="18" spans="1:26" ht="22.5" customHeight="1">
      <c r="A18" s="115">
        <v>19</v>
      </c>
      <c r="B18" s="115" t="s">
        <v>39</v>
      </c>
      <c r="C18" s="115" t="s">
        <v>45</v>
      </c>
      <c r="D18" s="115" t="s">
        <v>7</v>
      </c>
      <c r="E18" s="98" t="s">
        <v>84</v>
      </c>
      <c r="F18" s="115" t="s">
        <v>483</v>
      </c>
      <c r="G18" s="115">
        <v>26</v>
      </c>
      <c r="H18" s="115">
        <v>70</v>
      </c>
      <c r="I18" s="194">
        <v>96</v>
      </c>
      <c r="J18" s="116">
        <v>4822557</v>
      </c>
      <c r="K18" s="116">
        <v>2298460</v>
      </c>
      <c r="L18" s="116">
        <v>65369</v>
      </c>
      <c r="M18" s="195">
        <v>4.4158233670653177E-2</v>
      </c>
      <c r="N18" s="195">
        <v>6.6745958128461305E-2</v>
      </c>
      <c r="O18" s="195">
        <v>2.9466078568970534E-2</v>
      </c>
      <c r="P18" s="195">
        <v>1.3846529681857717E-3</v>
      </c>
      <c r="R18" s="223" t="s">
        <v>469</v>
      </c>
      <c r="S18" s="207">
        <f>SUMIFS(Scoreboard_5[Damage Taken],Scoreboard_5[Role],"Melee DPS",Scoreboard_5[Team],"Yellow")</f>
        <v>12630457</v>
      </c>
      <c r="T18" s="219">
        <f>SUMIFS(Scoreboard_5[Damage Taken],Scoreboard_5[Role],"Melee DPS",Scoreboard_5[Team],"Red")</f>
        <v>16202777</v>
      </c>
      <c r="V18" s="204" t="str">
        <f ca="1">IFERROR(__xludf.DUMMYFUNCTION("""COMPUTED_VALUE"""),"Adversed")</f>
        <v>Adversed</v>
      </c>
      <c r="W18" s="116">
        <f ca="1">IFERROR(__xludf.DUMMYFUNCTION("""COMPUTED_VALUE"""),2680459)</f>
        <v>2680459</v>
      </c>
      <c r="Y18" s="204" t="str">
        <f ca="1">IFERROR(__xludf.DUMMYFUNCTION("""COMPUTED_VALUE"""),"hamstersprevail")</f>
        <v>hamstersprevail</v>
      </c>
      <c r="Z18" s="116">
        <f ca="1">IFERROR(__xludf.DUMMYFUNCTION("""COMPUTED_VALUE"""),3944389)</f>
        <v>3944389</v>
      </c>
    </row>
    <row r="19" spans="1:26" ht="22.5" customHeight="1">
      <c r="A19" s="115">
        <v>21</v>
      </c>
      <c r="B19" s="115" t="s">
        <v>39</v>
      </c>
      <c r="C19" s="115" t="s">
        <v>63</v>
      </c>
      <c r="D19" s="115" t="s">
        <v>667</v>
      </c>
      <c r="E19" s="98" t="s">
        <v>700</v>
      </c>
      <c r="F19" s="115" t="s">
        <v>476</v>
      </c>
      <c r="G19" s="115">
        <v>24</v>
      </c>
      <c r="H19" s="115">
        <v>71</v>
      </c>
      <c r="I19" s="194">
        <v>95</v>
      </c>
      <c r="J19" s="116">
        <v>3251092</v>
      </c>
      <c r="K19" s="116">
        <v>1361475</v>
      </c>
      <c r="L19" s="116">
        <v>37162</v>
      </c>
      <c r="M19" s="195">
        <v>2.4940929377789446E-2</v>
      </c>
      <c r="N19" s="195">
        <v>4.1658526761943725E-2</v>
      </c>
      <c r="O19" s="195">
        <v>1.882172822415662E-2</v>
      </c>
      <c r="P19" s="195">
        <v>7.9888633155833608E-4</v>
      </c>
      <c r="R19" s="223" t="s">
        <v>470</v>
      </c>
      <c r="S19" s="207">
        <f>SUMIFS(Scoreboard_5[Amount Healed],Scoreboard_5[Role],"Melee DPS",Scoreboard_5[Team],"Yellow")</f>
        <v>249036</v>
      </c>
      <c r="T19" s="219">
        <f>SUMIFS(Scoreboard_5[Amount Healed],Scoreboard_5[Role],"Melee DPS",Scoreboard_5[Team],"Red")</f>
        <v>458705</v>
      </c>
      <c r="V19" s="204" t="str">
        <f ca="1">IFERROR(__xludf.DUMMYFUNCTION("""COMPUTED_VALUE"""),"KyurleZ")</f>
        <v>KyurleZ</v>
      </c>
      <c r="W19" s="116">
        <f ca="1">IFERROR(__xludf.DUMMYFUNCTION("""COMPUTED_VALUE"""),2577987)</f>
        <v>2577987</v>
      </c>
      <c r="Y19" s="204" t="str">
        <f ca="1">IFERROR(__xludf.DUMMYFUNCTION("""COMPUTED_VALUE"""),"OTOT")</f>
        <v>OTOT</v>
      </c>
      <c r="Z19" s="116">
        <f ca="1">IFERROR(__xludf.DUMMYFUNCTION("""COMPUTED_VALUE"""),3874653)</f>
        <v>3874653</v>
      </c>
    </row>
    <row r="20" spans="1:26" ht="22.5" customHeight="1">
      <c r="A20" s="115">
        <v>20</v>
      </c>
      <c r="B20" s="115" t="s">
        <v>25</v>
      </c>
      <c r="C20" s="115" t="s">
        <v>23</v>
      </c>
      <c r="D20" s="115" t="s">
        <v>7</v>
      </c>
      <c r="E20" s="98" t="s">
        <v>27</v>
      </c>
      <c r="F20" s="115" t="s">
        <v>483</v>
      </c>
      <c r="G20" s="115">
        <v>26</v>
      </c>
      <c r="H20" s="115">
        <v>67</v>
      </c>
      <c r="I20" s="194">
        <v>93</v>
      </c>
      <c r="J20" s="116">
        <v>3510196</v>
      </c>
      <c r="K20" s="116">
        <v>1914995</v>
      </c>
      <c r="L20" s="116">
        <v>63162</v>
      </c>
      <c r="M20" s="195">
        <v>4.2778288868445265E-2</v>
      </c>
      <c r="N20" s="195">
        <v>4.8582400423404504E-2</v>
      </c>
      <c r="O20" s="195">
        <v>2.4550087070989154E-2</v>
      </c>
      <c r="P20" s="195">
        <v>1.337904064259048E-3</v>
      </c>
      <c r="R20" s="223" t="s">
        <v>465</v>
      </c>
      <c r="S20" s="207">
        <f>SUMIFS(Scoreboard_5[Kills],Scoreboard_5[Role],"Melee DPS",Scoreboard_5[Team],"Yellow")</f>
        <v>265</v>
      </c>
      <c r="T20" s="219">
        <f>SUMIFS(Scoreboard_5[Kills],Scoreboard_5[Role],"Melee DPS",Scoreboard_5[Team],"Red")</f>
        <v>175</v>
      </c>
      <c r="V20" s="204" t="str">
        <f ca="1">IFERROR(__xludf.DUMMYFUNCTION("""COMPUTED_VALUE"""),"BBlast")</f>
        <v>BBlast</v>
      </c>
      <c r="W20" s="116">
        <f ca="1">IFERROR(__xludf.DUMMYFUNCTION("""COMPUTED_VALUE"""),2539675)</f>
        <v>2539675</v>
      </c>
      <c r="Y20" s="204" t="str">
        <f ca="1">IFERROR(__xludf.DUMMYFUNCTION("""COMPUTED_VALUE"""),"apgonzo")</f>
        <v>apgonzo</v>
      </c>
      <c r="Z20" s="116">
        <f ca="1">IFERROR(__xludf.DUMMYFUNCTION("""COMPUTED_VALUE"""),3811368)</f>
        <v>3811368</v>
      </c>
    </row>
    <row r="21" spans="1:26" ht="22.5" customHeight="1">
      <c r="A21" s="115">
        <v>78</v>
      </c>
      <c r="B21" s="115" t="s">
        <v>11</v>
      </c>
      <c r="C21" s="115" t="s">
        <v>10</v>
      </c>
      <c r="D21" s="115" t="s">
        <v>667</v>
      </c>
      <c r="E21" s="98" t="s">
        <v>639</v>
      </c>
      <c r="F21" s="115" t="s">
        <v>476</v>
      </c>
      <c r="G21" s="115">
        <v>0</v>
      </c>
      <c r="H21" s="115">
        <v>93</v>
      </c>
      <c r="I21" s="194">
        <v>93</v>
      </c>
      <c r="J21" s="116">
        <v>242140</v>
      </c>
      <c r="K21" s="116">
        <v>1488554</v>
      </c>
      <c r="L21" s="116">
        <v>3078228</v>
      </c>
      <c r="M21" s="195">
        <v>2.4415857180362301E-2</v>
      </c>
      <c r="N21" s="195">
        <v>3.102710003327206E-3</v>
      </c>
      <c r="O21" s="195">
        <v>2.0578533454511636E-2</v>
      </c>
      <c r="P21" s="195">
        <v>6.6173894694046442E-2</v>
      </c>
      <c r="R21" s="223" t="s">
        <v>466</v>
      </c>
      <c r="S21" s="207">
        <f>SUMIFS(Scoreboard_5[Assists],Scoreboard_5[Role],"Melee DPS",Scoreboard_5[Team],"Yellow")</f>
        <v>690</v>
      </c>
      <c r="T21" s="219">
        <f>SUMIFS(Scoreboard_5[Assists],Scoreboard_5[Role],"Melee DPS",Scoreboard_5[Team],"Red")</f>
        <v>384</v>
      </c>
      <c r="V21" s="204" t="str">
        <f ca="1">IFERROR(__xludf.DUMMYFUNCTION("""COMPUTED_VALUE"""),"Fadeãµã¡")</f>
        <v>Fadeãµã¡</v>
      </c>
      <c r="W21" s="116">
        <f ca="1">IFERROR(__xludf.DUMMYFUNCTION("""COMPUTED_VALUE"""),2463707)</f>
        <v>2463707</v>
      </c>
      <c r="Y21" s="204" t="str">
        <f ca="1">IFERROR(__xludf.DUMMYFUNCTION("""COMPUTED_VALUE"""),"AnastheTHICCEST")</f>
        <v>AnastheTHICCEST</v>
      </c>
      <c r="Z21" s="116">
        <f ca="1">IFERROR(__xludf.DUMMYFUNCTION("""COMPUTED_VALUE"""),3715709)</f>
        <v>3715709</v>
      </c>
    </row>
    <row r="22" spans="1:26" ht="22.5" customHeight="1">
      <c r="A22" s="115">
        <v>28</v>
      </c>
      <c r="B22" s="115" t="s">
        <v>39</v>
      </c>
      <c r="C22" s="115" t="s">
        <v>32</v>
      </c>
      <c r="D22" s="115" t="s">
        <v>7</v>
      </c>
      <c r="E22" s="98" t="s">
        <v>961</v>
      </c>
      <c r="F22" s="115" t="s">
        <v>483</v>
      </c>
      <c r="G22" s="115">
        <v>13</v>
      </c>
      <c r="H22" s="115">
        <v>70</v>
      </c>
      <c r="I22" s="194">
        <v>83</v>
      </c>
      <c r="J22" s="116">
        <v>4050268</v>
      </c>
      <c r="K22" s="116">
        <v>1541974</v>
      </c>
      <c r="L22" s="116">
        <v>0</v>
      </c>
      <c r="M22" s="195">
        <v>3.8178472861085555E-2</v>
      </c>
      <c r="N22" s="195">
        <v>5.6057195039280347E-2</v>
      </c>
      <c r="O22" s="195">
        <v>1.9767986841324092E-2</v>
      </c>
      <c r="P22" s="195">
        <v>0</v>
      </c>
      <c r="V22" s="204" t="str">
        <f ca="1">IFERROR(__xludf.DUMMYFUNCTION("""COMPUTED_VALUE"""),"Jacobstips")</f>
        <v>Jacobstips</v>
      </c>
      <c r="W22" s="116">
        <f ca="1">IFERROR(__xludf.DUMMYFUNCTION("""COMPUTED_VALUE"""),2441783)</f>
        <v>2441783</v>
      </c>
      <c r="Y22" s="204" t="str">
        <f ca="1">IFERROR(__xludf.DUMMYFUNCTION("""COMPUTED_VALUE"""),"dev8081")</f>
        <v>dev8081</v>
      </c>
      <c r="Z22" s="116">
        <f ca="1">IFERROR(__xludf.DUMMYFUNCTION("""COMPUTED_VALUE"""),3517853)</f>
        <v>3517853</v>
      </c>
    </row>
    <row r="23" spans="1:26" ht="22.5" customHeight="1">
      <c r="A23" s="115">
        <v>18</v>
      </c>
      <c r="B23" s="115" t="s">
        <v>39</v>
      </c>
      <c r="C23" s="115" t="s">
        <v>63</v>
      </c>
      <c r="D23" s="115" t="s">
        <v>667</v>
      </c>
      <c r="E23" s="98" t="s">
        <v>962</v>
      </c>
      <c r="F23" s="115" t="s">
        <v>476</v>
      </c>
      <c r="G23" s="115">
        <v>27</v>
      </c>
      <c r="H23" s="115">
        <v>54</v>
      </c>
      <c r="I23" s="194">
        <v>81</v>
      </c>
      <c r="J23" s="116">
        <v>3016623</v>
      </c>
      <c r="K23" s="116">
        <v>1812847</v>
      </c>
      <c r="L23" s="116">
        <v>18951</v>
      </c>
      <c r="M23" s="195">
        <v>2.1265423995799424E-2</v>
      </c>
      <c r="N23" s="195">
        <v>3.8654110673027695E-2</v>
      </c>
      <c r="O23" s="195">
        <v>2.5061726102923412E-2</v>
      </c>
      <c r="P23" s="195">
        <v>4.073972033088108E-4</v>
      </c>
      <c r="R23" s="232" t="s">
        <v>39</v>
      </c>
      <c r="S23" s="228"/>
      <c r="T23" s="228"/>
      <c r="V23" s="204" t="str">
        <f ca="1">IFERROR(__xludf.DUMMYFUNCTION("""COMPUTED_VALUE"""),"Stigmates")</f>
        <v>Stigmates</v>
      </c>
      <c r="W23" s="116">
        <f ca="1">IFERROR(__xludf.DUMMYFUNCTION("""COMPUTED_VALUE"""),2428360)</f>
        <v>2428360</v>
      </c>
      <c r="Y23" s="204" t="str">
        <f ca="1">IFERROR(__xludf.DUMMYFUNCTION("""COMPUTED_VALUE"""),"Teensy")</f>
        <v>Teensy</v>
      </c>
      <c r="Z23" s="116">
        <f ca="1">IFERROR(__xludf.DUMMYFUNCTION("""COMPUTED_VALUE"""),3325296)</f>
        <v>3325296</v>
      </c>
    </row>
    <row r="24" spans="1:26" ht="22.5" customHeight="1">
      <c r="A24" s="115">
        <v>57</v>
      </c>
      <c r="B24" s="115" t="s">
        <v>11</v>
      </c>
      <c r="C24" s="115" t="s">
        <v>10</v>
      </c>
      <c r="D24" s="115" t="s">
        <v>667</v>
      </c>
      <c r="E24" s="98" t="s">
        <v>597</v>
      </c>
      <c r="F24" s="115" t="s">
        <v>476</v>
      </c>
      <c r="G24" s="115">
        <v>1</v>
      </c>
      <c r="H24" s="115">
        <v>80</v>
      </c>
      <c r="I24" s="194">
        <v>81</v>
      </c>
      <c r="J24" s="116">
        <v>225479</v>
      </c>
      <c r="K24" s="116">
        <v>1205368</v>
      </c>
      <c r="L24" s="116">
        <v>4289218</v>
      </c>
      <c r="M24" s="195">
        <v>2.1265423995799424E-2</v>
      </c>
      <c r="N24" s="195">
        <v>2.8892209004716903E-3</v>
      </c>
      <c r="O24" s="195">
        <v>1.66636250434971E-2</v>
      </c>
      <c r="P24" s="195">
        <v>9.2207029580592625E-2</v>
      </c>
      <c r="R24" s="190" t="s">
        <v>482</v>
      </c>
      <c r="S24" s="222" t="s">
        <v>476</v>
      </c>
      <c r="T24" s="222" t="s">
        <v>483</v>
      </c>
      <c r="V24" s="204" t="str">
        <f ca="1">IFERROR(__xludf.DUMMYFUNCTION("""COMPUTED_VALUE"""),"Batman")</f>
        <v>Batman</v>
      </c>
      <c r="W24" s="116">
        <f ca="1">IFERROR(__xludf.DUMMYFUNCTION("""COMPUTED_VALUE"""),2357783)</f>
        <v>2357783</v>
      </c>
      <c r="Y24" s="204" t="str">
        <f ca="1">IFERROR(__xludf.DUMMYFUNCTION("""COMPUTED_VALUE"""),"Reinnier")</f>
        <v>Reinnier</v>
      </c>
      <c r="Z24" s="116">
        <f ca="1">IFERROR(__xludf.DUMMYFUNCTION("""COMPUTED_VALUE"""),3252731)</f>
        <v>3252731</v>
      </c>
    </row>
    <row r="25" spans="1:26" ht="22.5" customHeight="1">
      <c r="A25" s="115">
        <v>58</v>
      </c>
      <c r="B25" s="115" t="s">
        <v>11</v>
      </c>
      <c r="C25" s="115" t="s">
        <v>10</v>
      </c>
      <c r="D25" s="115" t="s">
        <v>667</v>
      </c>
      <c r="E25" s="98" t="s">
        <v>653</v>
      </c>
      <c r="F25" s="115" t="s">
        <v>476</v>
      </c>
      <c r="G25" s="115">
        <v>1</v>
      </c>
      <c r="H25" s="115">
        <v>79</v>
      </c>
      <c r="I25" s="194">
        <v>80</v>
      </c>
      <c r="J25" s="116">
        <v>290093</v>
      </c>
      <c r="K25" s="116">
        <v>1097628</v>
      </c>
      <c r="L25" s="116">
        <v>3517853</v>
      </c>
      <c r="M25" s="195">
        <v>2.1002887897085848E-2</v>
      </c>
      <c r="N25" s="195">
        <v>3.717165495148258E-3</v>
      </c>
      <c r="O25" s="195">
        <v>1.5174172061348598E-2</v>
      </c>
      <c r="P25" s="195">
        <v>7.5624688610179416E-2</v>
      </c>
      <c r="R25" s="223" t="s">
        <v>468</v>
      </c>
      <c r="S25" s="207">
        <f>SUMIFS(Scoreboard_5[Damage Dealt],Scoreboard_5[Role],"Ranged DPS",Scoreboard_5[Team],"Yellow")</f>
        <v>39420593</v>
      </c>
      <c r="T25" s="219">
        <f>SUMIFS(Scoreboard_5[Damage Dealt],Scoreboard_5[Role],"Ranged DPS",Scoreboard_5[Team],"Red")</f>
        <v>38468025</v>
      </c>
      <c r="V25" s="204" t="str">
        <f ca="1">IFERROR(__xludf.DUMMYFUNCTION("""COMPUTED_VALUE"""),"jaMESSSSS")</f>
        <v>jaMESSSSS</v>
      </c>
      <c r="W25" s="116">
        <f ca="1">IFERROR(__xludf.DUMMYFUNCTION("""COMPUTED_VALUE"""),2326117)</f>
        <v>2326117</v>
      </c>
      <c r="Y25" s="204" t="str">
        <f ca="1">IFERROR(__xludf.DUMMYFUNCTION("""COMPUTED_VALUE"""),"Franks")</f>
        <v>Franks</v>
      </c>
      <c r="Z25" s="116">
        <f ca="1">IFERROR(__xludf.DUMMYFUNCTION("""COMPUTED_VALUE"""),3078228)</f>
        <v>3078228</v>
      </c>
    </row>
    <row r="26" spans="1:26" ht="22.5" customHeight="1">
      <c r="A26" s="115">
        <v>15</v>
      </c>
      <c r="B26" s="115" t="s">
        <v>25</v>
      </c>
      <c r="C26" s="115" t="s">
        <v>24</v>
      </c>
      <c r="D26" s="115" t="s">
        <v>7</v>
      </c>
      <c r="E26" s="98" t="s">
        <v>169</v>
      </c>
      <c r="F26" s="115" t="s">
        <v>483</v>
      </c>
      <c r="G26" s="115">
        <v>29</v>
      </c>
      <c r="H26" s="115">
        <v>49</v>
      </c>
      <c r="I26" s="194">
        <v>78</v>
      </c>
      <c r="J26" s="116">
        <v>3453070</v>
      </c>
      <c r="K26" s="116">
        <v>1969882</v>
      </c>
      <c r="L26" s="116">
        <v>10949</v>
      </c>
      <c r="M26" s="195">
        <v>3.5878564857405704E-2</v>
      </c>
      <c r="N26" s="195">
        <v>4.7791755625624717E-2</v>
      </c>
      <c r="O26" s="195">
        <v>2.5253734145297642E-2</v>
      </c>
      <c r="P26" s="195">
        <v>2.3192285867408119E-4</v>
      </c>
      <c r="R26" s="223" t="s">
        <v>469</v>
      </c>
      <c r="S26" s="207">
        <f>SUMIFS(Scoreboard_5[Damage Taken],Scoreboard_5[Role],"Ranged DPS",Scoreboard_5[Team],"Yellow")</f>
        <v>15278295</v>
      </c>
      <c r="T26" s="219">
        <f>SUMIFS(Scoreboard_5[Damage Taken],Scoreboard_5[Role],"Ranged DPS",Scoreboard_5[Team],"Red")</f>
        <v>17335632</v>
      </c>
      <c r="V26" s="204" t="str">
        <f ca="1">IFERROR(__xludf.DUMMYFUNCTION("""COMPUTED_VALUE"""),"Nengja")</f>
        <v>Nengja</v>
      </c>
      <c r="W26" s="116">
        <f ca="1">IFERROR(__xludf.DUMMYFUNCTION("""COMPUTED_VALUE"""),2298460)</f>
        <v>2298460</v>
      </c>
      <c r="Y26" s="204" t="str">
        <f ca="1">IFERROR(__xludf.DUMMYFUNCTION("""COMPUTED_VALUE"""),"Fuji")</f>
        <v>Fuji</v>
      </c>
      <c r="Z26" s="116">
        <f ca="1">IFERROR(__xludf.DUMMYFUNCTION("""COMPUTED_VALUE"""),2933998)</f>
        <v>2933998</v>
      </c>
    </row>
    <row r="27" spans="1:26" ht="22.5" customHeight="1">
      <c r="A27" s="115">
        <v>14</v>
      </c>
      <c r="B27" s="115" t="s">
        <v>25</v>
      </c>
      <c r="C27" s="115" t="s">
        <v>23</v>
      </c>
      <c r="D27" s="115" t="s">
        <v>7</v>
      </c>
      <c r="E27" s="98" t="s">
        <v>912</v>
      </c>
      <c r="F27" s="115" t="s">
        <v>483</v>
      </c>
      <c r="G27" s="115">
        <v>31</v>
      </c>
      <c r="H27" s="115">
        <v>46</v>
      </c>
      <c r="I27" s="194">
        <v>77</v>
      </c>
      <c r="J27" s="116">
        <v>3747662</v>
      </c>
      <c r="K27" s="116">
        <v>2463707</v>
      </c>
      <c r="L27" s="116">
        <v>100883</v>
      </c>
      <c r="M27" s="195">
        <v>3.5418583256669731E-2</v>
      </c>
      <c r="N27" s="195">
        <v>5.1869016982406958E-2</v>
      </c>
      <c r="O27" s="195">
        <v>3.1584532266353424E-2</v>
      </c>
      <c r="P27" s="195">
        <v>2.1369142160578441E-3</v>
      </c>
      <c r="R27" s="223" t="s">
        <v>470</v>
      </c>
      <c r="S27" s="207">
        <f>SUMIFS(Scoreboard_5[Amount Healed],Scoreboard_5[Role],"Ranged DPS",Scoreboard_5[Team],"Yellow")</f>
        <v>971169</v>
      </c>
      <c r="T27" s="219">
        <f>SUMIFS(Scoreboard_5[Amount Healed],Scoreboard_5[Role],"Ranged DPS",Scoreboard_5[Team],"Red")</f>
        <v>2073768</v>
      </c>
    </row>
    <row r="28" spans="1:26" ht="22.5" customHeight="1">
      <c r="A28" s="115">
        <v>23</v>
      </c>
      <c r="B28" s="115" t="s">
        <v>39</v>
      </c>
      <c r="C28" s="115" t="s">
        <v>52</v>
      </c>
      <c r="D28" s="115" t="s">
        <v>7</v>
      </c>
      <c r="E28" s="98" t="s">
        <v>94</v>
      </c>
      <c r="F28" s="115" t="s">
        <v>483</v>
      </c>
      <c r="G28" s="115">
        <v>22</v>
      </c>
      <c r="H28" s="115">
        <v>55</v>
      </c>
      <c r="I28" s="194">
        <v>77</v>
      </c>
      <c r="J28" s="116">
        <v>4374444</v>
      </c>
      <c r="K28" s="116">
        <v>1460661</v>
      </c>
      <c r="L28" s="116">
        <v>397935</v>
      </c>
      <c r="M28" s="195">
        <v>3.5418583256669731E-2</v>
      </c>
      <c r="N28" s="195">
        <v>6.0543909809526106E-2</v>
      </c>
      <c r="O28" s="195">
        <v>1.8725560500783597E-2</v>
      </c>
      <c r="P28" s="195">
        <v>8.4291006271322039E-3</v>
      </c>
      <c r="R28" s="223" t="s">
        <v>465</v>
      </c>
      <c r="S28" s="207">
        <f>SUMIFS(Scoreboard_5[Kills],Scoreboard_5[Role],"Ranged DPS",Scoreboard_5[Team],"Yellow")</f>
        <v>391</v>
      </c>
      <c r="T28" s="219">
        <f>SUMIFS(Scoreboard_5[Kills],Scoreboard_5[Role],"Ranged DPS",Scoreboard_5[Team],"Red")</f>
        <v>190</v>
      </c>
    </row>
    <row r="29" spans="1:26" ht="22.5" customHeight="1">
      <c r="A29" s="115">
        <v>47</v>
      </c>
      <c r="B29" s="115" t="s">
        <v>11</v>
      </c>
      <c r="C29" s="115" t="s">
        <v>10</v>
      </c>
      <c r="D29" s="115" t="s">
        <v>667</v>
      </c>
      <c r="E29" s="98" t="s">
        <v>677</v>
      </c>
      <c r="F29" s="115" t="s">
        <v>476</v>
      </c>
      <c r="G29" s="115">
        <v>3</v>
      </c>
      <c r="H29" s="115">
        <v>71</v>
      </c>
      <c r="I29" s="194">
        <v>74</v>
      </c>
      <c r="J29" s="116">
        <v>346586</v>
      </c>
      <c r="K29" s="116">
        <v>1196015</v>
      </c>
      <c r="L29" s="116">
        <v>3715709</v>
      </c>
      <c r="M29" s="195">
        <v>1.9427671304804411E-2</v>
      </c>
      <c r="N29" s="195">
        <v>4.4410500091400145E-3</v>
      </c>
      <c r="O29" s="195">
        <v>1.6534324377615952E-2</v>
      </c>
      <c r="P29" s="195">
        <v>7.9878077933057789E-2</v>
      </c>
      <c r="R29" s="223" t="s">
        <v>466</v>
      </c>
      <c r="S29" s="207">
        <f>SUMIFS(Scoreboard_5[Assists],Scoreboard_5[Role],"Ranged DPS",Scoreboard_5[Team],"Yellow")</f>
        <v>1068</v>
      </c>
      <c r="T29" s="219">
        <f>SUMIFS(Scoreboard_5[Assists],Scoreboard_5[Role],"Ranged DPS",Scoreboard_5[Team],"Red")</f>
        <v>613</v>
      </c>
    </row>
    <row r="30" spans="1:26" ht="22.5" customHeight="1">
      <c r="A30" s="115">
        <v>29</v>
      </c>
      <c r="B30" s="115" t="s">
        <v>39</v>
      </c>
      <c r="C30" s="115" t="s">
        <v>32</v>
      </c>
      <c r="D30" s="115" t="s">
        <v>7</v>
      </c>
      <c r="E30" s="98" t="s">
        <v>877</v>
      </c>
      <c r="F30" s="115" t="s">
        <v>483</v>
      </c>
      <c r="G30" s="115">
        <v>13</v>
      </c>
      <c r="H30" s="115">
        <v>60</v>
      </c>
      <c r="I30" s="194">
        <v>73</v>
      </c>
      <c r="J30" s="116">
        <v>3498077</v>
      </c>
      <c r="K30" s="116">
        <v>1323010</v>
      </c>
      <c r="L30" s="116">
        <v>16688</v>
      </c>
      <c r="M30" s="195">
        <v>3.3578656853725852E-2</v>
      </c>
      <c r="N30" s="195">
        <v>4.8414669017314574E-2</v>
      </c>
      <c r="O30" s="195">
        <v>1.6960885378703005E-2</v>
      </c>
      <c r="P30" s="195">
        <v>3.534869545669072E-4</v>
      </c>
      <c r="R30" s="6"/>
      <c r="S30" s="6"/>
      <c r="T30" s="6"/>
    </row>
    <row r="31" spans="1:26" ht="22.5" customHeight="1">
      <c r="A31" s="115">
        <v>79</v>
      </c>
      <c r="B31" s="115" t="s">
        <v>11</v>
      </c>
      <c r="C31" s="115" t="s">
        <v>10</v>
      </c>
      <c r="D31" s="115" t="s">
        <v>667</v>
      </c>
      <c r="E31" s="98" t="s">
        <v>126</v>
      </c>
      <c r="F31" s="115" t="s">
        <v>476</v>
      </c>
      <c r="G31" s="115">
        <v>0</v>
      </c>
      <c r="H31" s="115">
        <v>70</v>
      </c>
      <c r="I31" s="194">
        <v>70</v>
      </c>
      <c r="J31" s="116">
        <v>298997</v>
      </c>
      <c r="K31" s="116">
        <v>1582585</v>
      </c>
      <c r="L31" s="116">
        <v>3944389</v>
      </c>
      <c r="M31" s="195">
        <v>1.8377526909950117E-2</v>
      </c>
      <c r="N31" s="195">
        <v>3.8312587051491892E-3</v>
      </c>
      <c r="O31" s="195">
        <v>2.1878466194110727E-2</v>
      </c>
      <c r="P31" s="195">
        <v>8.479410307435159E-2</v>
      </c>
      <c r="R31" s="232" t="s">
        <v>67</v>
      </c>
      <c r="S31" s="228"/>
      <c r="T31" s="228"/>
    </row>
    <row r="32" spans="1:26" ht="22.5" customHeight="1">
      <c r="A32" s="115">
        <v>22</v>
      </c>
      <c r="B32" s="115" t="s">
        <v>25</v>
      </c>
      <c r="C32" s="115" t="s">
        <v>69</v>
      </c>
      <c r="D32" s="115" t="s">
        <v>667</v>
      </c>
      <c r="E32" s="98" t="s">
        <v>963</v>
      </c>
      <c r="F32" s="115" t="s">
        <v>476</v>
      </c>
      <c r="G32" s="115">
        <v>23</v>
      </c>
      <c r="H32" s="115">
        <v>45</v>
      </c>
      <c r="I32" s="194">
        <v>68</v>
      </c>
      <c r="J32" s="116">
        <v>2224707</v>
      </c>
      <c r="K32" s="116">
        <v>1230027</v>
      </c>
      <c r="L32" s="116">
        <v>68895</v>
      </c>
      <c r="M32" s="195">
        <v>1.7852454712522971E-2</v>
      </c>
      <c r="N32" s="195">
        <v>2.8506734382473191E-2</v>
      </c>
      <c r="O32" s="195">
        <v>1.7004523698470185E-2</v>
      </c>
      <c r="P32" s="195">
        <v>1.4810632854182113E-3</v>
      </c>
      <c r="R32" s="190" t="s">
        <v>482</v>
      </c>
      <c r="S32" s="222" t="s">
        <v>476</v>
      </c>
      <c r="T32" s="222" t="s">
        <v>483</v>
      </c>
    </row>
    <row r="33" spans="1:20" ht="22.5" customHeight="1">
      <c r="A33" s="115">
        <v>80</v>
      </c>
      <c r="B33" s="115" t="s">
        <v>11</v>
      </c>
      <c r="C33" s="115" t="s">
        <v>10</v>
      </c>
      <c r="D33" s="115" t="s">
        <v>667</v>
      </c>
      <c r="E33" s="98" t="s">
        <v>679</v>
      </c>
      <c r="F33" s="115" t="s">
        <v>476</v>
      </c>
      <c r="G33" s="115">
        <v>0</v>
      </c>
      <c r="H33" s="115">
        <v>68</v>
      </c>
      <c r="I33" s="194">
        <v>68</v>
      </c>
      <c r="J33" s="116">
        <v>226414</v>
      </c>
      <c r="K33" s="116">
        <v>1101971</v>
      </c>
      <c r="L33" s="116">
        <v>2656453</v>
      </c>
      <c r="M33" s="195">
        <v>1.7852454712522971E-2</v>
      </c>
      <c r="N33" s="195">
        <v>2.9012017126180145E-3</v>
      </c>
      <c r="O33" s="195">
        <v>1.523421191935371E-2</v>
      </c>
      <c r="P33" s="195">
        <v>5.7106829345221911E-2</v>
      </c>
      <c r="R33" s="223" t="s">
        <v>468</v>
      </c>
      <c r="S33" s="207">
        <f>SUMIFS(Scoreboard_5[Damage Dealt],Scoreboard_5[Role],"Tank",Scoreboard_5[Team],"Yellow")</f>
        <v>9714328</v>
      </c>
      <c r="T33" s="219">
        <f>SUMIFS(Scoreboard_5[Damage Dealt],Scoreboard_5[Role],"Tank",Scoreboard_5[Team],"Red")</f>
        <v>7872328</v>
      </c>
    </row>
    <row r="34" spans="1:20" ht="22.5" customHeight="1">
      <c r="A34" s="115">
        <v>81</v>
      </c>
      <c r="B34" s="115" t="s">
        <v>11</v>
      </c>
      <c r="C34" s="115" t="s">
        <v>10</v>
      </c>
      <c r="D34" s="115" t="s">
        <v>667</v>
      </c>
      <c r="E34" s="98" t="s">
        <v>645</v>
      </c>
      <c r="F34" s="115" t="s">
        <v>476</v>
      </c>
      <c r="G34" s="115">
        <v>0</v>
      </c>
      <c r="H34" s="115">
        <v>68</v>
      </c>
      <c r="I34" s="194">
        <v>68</v>
      </c>
      <c r="J34" s="116">
        <v>94101</v>
      </c>
      <c r="K34" s="116">
        <v>661495</v>
      </c>
      <c r="L34" s="116">
        <v>1852245</v>
      </c>
      <c r="M34" s="195">
        <v>1.7852454712522971E-2</v>
      </c>
      <c r="N34" s="195">
        <v>1.2057822500334246E-3</v>
      </c>
      <c r="O34" s="195">
        <v>9.1448459293328802E-3</v>
      </c>
      <c r="P34" s="195">
        <v>3.9818449308359892E-2</v>
      </c>
      <c r="R34" s="223" t="s">
        <v>469</v>
      </c>
      <c r="S34" s="207">
        <f>SUMIFS(Scoreboard_5[Damage Taken],Scoreboard_5[Role],"Tank",Scoreboard_5[Team],"Yellow")</f>
        <v>26914481</v>
      </c>
      <c r="T34" s="219">
        <f>SUMIFS(Scoreboard_5[Damage Taken],Scoreboard_5[Role],"Tank",Scoreboard_5[Team],"Red")</f>
        <v>23788509</v>
      </c>
    </row>
    <row r="35" spans="1:20" ht="22.5" customHeight="1">
      <c r="A35" s="115">
        <v>82</v>
      </c>
      <c r="B35" s="115" t="s">
        <v>11</v>
      </c>
      <c r="C35" s="115" t="s">
        <v>10</v>
      </c>
      <c r="D35" s="115" t="s">
        <v>667</v>
      </c>
      <c r="E35" s="98" t="s">
        <v>964</v>
      </c>
      <c r="F35" s="115" t="s">
        <v>476</v>
      </c>
      <c r="G35" s="115">
        <v>0</v>
      </c>
      <c r="H35" s="115">
        <v>66</v>
      </c>
      <c r="I35" s="194">
        <v>66</v>
      </c>
      <c r="J35" s="116">
        <v>153777</v>
      </c>
      <c r="K35" s="116">
        <v>1309704</v>
      </c>
      <c r="L35" s="116">
        <v>2025916</v>
      </c>
      <c r="M35" s="195">
        <v>1.7327382515095826E-2</v>
      </c>
      <c r="N35" s="195">
        <v>1.970452780134004E-3</v>
      </c>
      <c r="O35" s="195">
        <v>1.8106019384925041E-2</v>
      </c>
      <c r="P35" s="195">
        <v>4.3551924042983102E-2</v>
      </c>
      <c r="R35" s="223" t="s">
        <v>470</v>
      </c>
      <c r="S35" s="207">
        <f>SUMIFS(Scoreboard_5[Amount Healed],Scoreboard_5[Role],"Tank",Scoreboard_5[Team],"Yellow")</f>
        <v>1197481</v>
      </c>
      <c r="T35" s="219">
        <f>SUMIFS(Scoreboard_5[Amount Healed],Scoreboard_5[Role],"Tank",Scoreboard_5[Team],"Red")</f>
        <v>1167614</v>
      </c>
    </row>
    <row r="36" spans="1:20" ht="22.5" customHeight="1">
      <c r="A36" s="115">
        <v>25</v>
      </c>
      <c r="B36" s="115" t="s">
        <v>39</v>
      </c>
      <c r="C36" s="115" t="s">
        <v>56</v>
      </c>
      <c r="D36" s="115" t="s">
        <v>7</v>
      </c>
      <c r="E36" s="98" t="s">
        <v>76</v>
      </c>
      <c r="F36" s="115" t="s">
        <v>483</v>
      </c>
      <c r="G36" s="115">
        <v>20</v>
      </c>
      <c r="H36" s="115">
        <v>45</v>
      </c>
      <c r="I36" s="194">
        <v>65</v>
      </c>
      <c r="J36" s="116">
        <v>3006810</v>
      </c>
      <c r="K36" s="116">
        <v>1808436</v>
      </c>
      <c r="L36" s="116">
        <v>160177</v>
      </c>
      <c r="M36" s="195">
        <v>2.9898804047838085E-2</v>
      </c>
      <c r="N36" s="195">
        <v>4.1615353506498469E-2</v>
      </c>
      <c r="O36" s="195">
        <v>2.3184008972509766E-2</v>
      </c>
      <c r="P36" s="195">
        <v>3.3928859013460867E-3</v>
      </c>
      <c r="R36" s="223" t="s">
        <v>465</v>
      </c>
      <c r="S36" s="207">
        <f>SUMIFS(Scoreboard_5[Kills],Scoreboard_5[Role],"Tank",Scoreboard_5[Team],"Yellow")</f>
        <v>61</v>
      </c>
      <c r="T36" s="219">
        <f>SUMIFS(Scoreboard_5[Kills],Scoreboard_5[Role],"Tank",Scoreboard_5[Team],"Red")</f>
        <v>34</v>
      </c>
    </row>
    <row r="37" spans="1:20" ht="22.5" customHeight="1">
      <c r="A37" s="115">
        <v>59</v>
      </c>
      <c r="B37" s="115" t="s">
        <v>11</v>
      </c>
      <c r="C37" s="115" t="s">
        <v>10</v>
      </c>
      <c r="D37" s="115" t="s">
        <v>667</v>
      </c>
      <c r="E37" s="98" t="s">
        <v>693</v>
      </c>
      <c r="F37" s="115" t="s">
        <v>476</v>
      </c>
      <c r="G37" s="115">
        <v>1</v>
      </c>
      <c r="H37" s="115">
        <v>64</v>
      </c>
      <c r="I37" s="194">
        <v>65</v>
      </c>
      <c r="J37" s="116">
        <v>152458</v>
      </c>
      <c r="K37" s="116">
        <v>680072</v>
      </c>
      <c r="L37" s="116">
        <v>1704576</v>
      </c>
      <c r="M37" s="195">
        <v>1.7064846416382253E-2</v>
      </c>
      <c r="N37" s="195">
        <v>1.9535515061008474E-3</v>
      </c>
      <c r="O37" s="195">
        <v>9.401663898976214E-3</v>
      </c>
      <c r="P37" s="195">
        <v>3.6643949935482006E-2</v>
      </c>
      <c r="R37" s="223" t="s">
        <v>466</v>
      </c>
      <c r="S37" s="207">
        <f>SUMIFS(Scoreboard_5[Assists],Scoreboard_5[Role],"Tank",Scoreboard_5[Team],"Yellow")</f>
        <v>309</v>
      </c>
      <c r="T37" s="219">
        <f>SUMIFS(Scoreboard_5[Assists],Scoreboard_5[Role],"Tank",Scoreboard_5[Team],"Red")</f>
        <v>160</v>
      </c>
    </row>
    <row r="38" spans="1:20" ht="22.5" customHeight="1">
      <c r="A38" s="115">
        <v>27</v>
      </c>
      <c r="B38" s="115" t="s">
        <v>39</v>
      </c>
      <c r="C38" s="115" t="s">
        <v>52</v>
      </c>
      <c r="D38" s="115" t="s">
        <v>7</v>
      </c>
      <c r="E38" s="98" t="s">
        <v>99</v>
      </c>
      <c r="F38" s="115" t="s">
        <v>483</v>
      </c>
      <c r="G38" s="115">
        <v>18</v>
      </c>
      <c r="H38" s="115">
        <v>45</v>
      </c>
      <c r="I38" s="194">
        <v>63</v>
      </c>
      <c r="J38" s="116">
        <v>3493377</v>
      </c>
      <c r="K38" s="116">
        <v>798199</v>
      </c>
      <c r="L38" s="116">
        <v>290210</v>
      </c>
      <c r="M38" s="195">
        <v>2.8978840846366146E-2</v>
      </c>
      <c r="N38" s="195">
        <v>4.8349619293028522E-2</v>
      </c>
      <c r="O38" s="195">
        <v>1.0232849145807937E-2</v>
      </c>
      <c r="P38" s="195">
        <v>6.1472584542702621E-3</v>
      </c>
    </row>
    <row r="39" spans="1:20" ht="22.5" customHeight="1">
      <c r="A39" s="115">
        <v>31</v>
      </c>
      <c r="B39" s="115" t="s">
        <v>25</v>
      </c>
      <c r="C39" s="115" t="s">
        <v>23</v>
      </c>
      <c r="D39" s="115" t="s">
        <v>7</v>
      </c>
      <c r="E39" s="98" t="s">
        <v>22</v>
      </c>
      <c r="F39" s="115" t="s">
        <v>483</v>
      </c>
      <c r="G39" s="115">
        <v>9</v>
      </c>
      <c r="H39" s="115">
        <v>54</v>
      </c>
      <c r="I39" s="194">
        <v>63</v>
      </c>
      <c r="J39" s="116">
        <v>2679166</v>
      </c>
      <c r="K39" s="116">
        <v>1796232</v>
      </c>
      <c r="L39" s="116">
        <v>49954</v>
      </c>
      <c r="M39" s="195">
        <v>2.8978840846366146E-2</v>
      </c>
      <c r="N39" s="195">
        <v>3.7080640343949728E-2</v>
      </c>
      <c r="O39" s="195">
        <v>2.3027554640976604E-2</v>
      </c>
      <c r="P39" s="195">
        <v>1.0581308322408487E-3</v>
      </c>
      <c r="R39" s="232" t="s">
        <v>11</v>
      </c>
      <c r="S39" s="228"/>
      <c r="T39" s="228"/>
    </row>
    <row r="40" spans="1:20" ht="22.5" customHeight="1">
      <c r="A40" s="115">
        <v>60</v>
      </c>
      <c r="B40" s="115" t="s">
        <v>11</v>
      </c>
      <c r="C40" s="115" t="s">
        <v>10</v>
      </c>
      <c r="D40" s="115" t="s">
        <v>667</v>
      </c>
      <c r="E40" s="98" t="s">
        <v>790</v>
      </c>
      <c r="F40" s="115" t="s">
        <v>476</v>
      </c>
      <c r="G40" s="115">
        <v>1</v>
      </c>
      <c r="H40" s="115">
        <v>61</v>
      </c>
      <c r="I40" s="194">
        <v>62</v>
      </c>
      <c r="J40" s="116">
        <v>303242</v>
      </c>
      <c r="K40" s="116">
        <v>910530</v>
      </c>
      <c r="L40" s="116">
        <v>2480560</v>
      </c>
      <c r="M40" s="195">
        <v>1.6277238120241535E-2</v>
      </c>
      <c r="N40" s="195">
        <v>3.885652873663784E-3</v>
      </c>
      <c r="O40" s="195">
        <v>1.258763341224872E-2</v>
      </c>
      <c r="P40" s="195">
        <v>5.3325587390623382E-2</v>
      </c>
      <c r="R40" s="190" t="s">
        <v>482</v>
      </c>
      <c r="S40" s="222" t="s">
        <v>476</v>
      </c>
      <c r="T40" s="222" t="s">
        <v>483</v>
      </c>
    </row>
    <row r="41" spans="1:20" ht="22.5" customHeight="1">
      <c r="A41" s="115">
        <v>26</v>
      </c>
      <c r="B41" s="115" t="s">
        <v>25</v>
      </c>
      <c r="C41" s="115" t="s">
        <v>69</v>
      </c>
      <c r="D41" s="115" t="s">
        <v>7</v>
      </c>
      <c r="E41" s="98" t="s">
        <v>110</v>
      </c>
      <c r="F41" s="115" t="s">
        <v>483</v>
      </c>
      <c r="G41" s="115">
        <v>20</v>
      </c>
      <c r="H41" s="115">
        <v>41</v>
      </c>
      <c r="I41" s="194">
        <v>61</v>
      </c>
      <c r="J41" s="116">
        <v>1535600</v>
      </c>
      <c r="K41" s="116">
        <v>1093592</v>
      </c>
      <c r="L41" s="116">
        <v>49627</v>
      </c>
      <c r="M41" s="195">
        <v>2.8058877644894203E-2</v>
      </c>
      <c r="N41" s="195">
        <v>2.1253267364608686E-2</v>
      </c>
      <c r="O41" s="195">
        <v>1.4019764448542775E-2</v>
      </c>
      <c r="P41" s="195">
        <v>1.0512042841737718E-3</v>
      </c>
      <c r="R41" s="223" t="s">
        <v>468</v>
      </c>
      <c r="S41" s="207">
        <f>SUMIFS(Scoreboard_5[Damage Dealt],Scoreboard_5[Role],"Healer",Scoreboard_5[Team],"Yellow")</f>
        <v>3626058</v>
      </c>
      <c r="T41" s="219">
        <f>SUMIFS(Scoreboard_5[Damage Dealt],Scoreboard_5[Role],"Healer",Scoreboard_5[Team],"Red")</f>
        <v>3357889</v>
      </c>
    </row>
    <row r="42" spans="1:20" ht="22.5" customHeight="1">
      <c r="A42" s="115">
        <v>61</v>
      </c>
      <c r="B42" s="115" t="s">
        <v>11</v>
      </c>
      <c r="C42" s="115" t="s">
        <v>10</v>
      </c>
      <c r="D42" s="115" t="s">
        <v>7</v>
      </c>
      <c r="E42" s="98" t="s">
        <v>858</v>
      </c>
      <c r="F42" s="115" t="s">
        <v>483</v>
      </c>
      <c r="G42" s="115">
        <v>1</v>
      </c>
      <c r="H42" s="115">
        <v>59</v>
      </c>
      <c r="I42" s="194">
        <v>60</v>
      </c>
      <c r="J42" s="116">
        <v>148816</v>
      </c>
      <c r="K42" s="116">
        <v>698308</v>
      </c>
      <c r="L42" s="116">
        <v>1792288</v>
      </c>
      <c r="M42" s="195">
        <v>2.7598896044158234E-2</v>
      </c>
      <c r="N42" s="195">
        <v>2.0596680360325647E-3</v>
      </c>
      <c r="O42" s="195">
        <v>8.9522542891069135E-3</v>
      </c>
      <c r="P42" s="195">
        <v>3.7964431137752455E-2</v>
      </c>
      <c r="R42" s="223" t="s">
        <v>469</v>
      </c>
      <c r="S42" s="207">
        <f>SUMIFS(Scoreboard_5[Damage Taken],Scoreboard_5[Role],"Healer",Scoreboard_5[Team],"Yellow")</f>
        <v>17512048</v>
      </c>
      <c r="T42" s="219">
        <f>SUMIFS(Scoreboard_5[Damage Taken],Scoreboard_5[Role],"Healer",Scoreboard_5[Team],"Red")</f>
        <v>20676675</v>
      </c>
    </row>
    <row r="43" spans="1:20" ht="22.5" customHeight="1">
      <c r="A43" s="115">
        <v>62</v>
      </c>
      <c r="B43" s="115" t="s">
        <v>11</v>
      </c>
      <c r="C43" s="115" t="s">
        <v>10</v>
      </c>
      <c r="D43" s="115" t="s">
        <v>667</v>
      </c>
      <c r="E43" s="98" t="s">
        <v>785</v>
      </c>
      <c r="F43" s="115" t="s">
        <v>476</v>
      </c>
      <c r="G43" s="115">
        <v>1</v>
      </c>
      <c r="H43" s="115">
        <v>58</v>
      </c>
      <c r="I43" s="194">
        <v>59</v>
      </c>
      <c r="J43" s="116">
        <v>334845</v>
      </c>
      <c r="K43" s="116">
        <v>1418613</v>
      </c>
      <c r="L43" s="116">
        <v>2873232</v>
      </c>
      <c r="M43" s="195">
        <v>1.5489629824100813E-2</v>
      </c>
      <c r="N43" s="195">
        <v>4.2906043242095411E-3</v>
      </c>
      <c r="O43" s="195">
        <v>1.9611633222244618E-2</v>
      </c>
      <c r="P43" s="195">
        <v>6.1767013944244692E-2</v>
      </c>
      <c r="R43" s="223" t="s">
        <v>470</v>
      </c>
      <c r="S43" s="207">
        <f>SUMIFS(Scoreboard_5[Amount Healed],Scoreboard_5[Role],"Healer",Scoreboard_5[Team],"Yellow")</f>
        <v>44099570</v>
      </c>
      <c r="T43" s="219">
        <f>SUMIFS(Scoreboard_5[Amount Healed],Scoreboard_5[Role],"Healer",Scoreboard_5[Team],"Red")</f>
        <v>43509576</v>
      </c>
    </row>
    <row r="44" spans="1:20" ht="22.5" customHeight="1">
      <c r="A44" s="115">
        <v>63</v>
      </c>
      <c r="B44" s="115" t="s">
        <v>11</v>
      </c>
      <c r="C44" s="115" t="s">
        <v>10</v>
      </c>
      <c r="D44" s="115" t="s">
        <v>965</v>
      </c>
      <c r="E44" s="98" t="s">
        <v>420</v>
      </c>
      <c r="F44" s="115" t="s">
        <v>476</v>
      </c>
      <c r="G44" s="115">
        <v>1</v>
      </c>
      <c r="H44" s="115">
        <v>58</v>
      </c>
      <c r="I44" s="194">
        <v>59</v>
      </c>
      <c r="J44" s="116">
        <v>247553</v>
      </c>
      <c r="K44" s="116">
        <v>805883</v>
      </c>
      <c r="L44" s="116">
        <v>2467381</v>
      </c>
      <c r="M44" s="195">
        <v>1.5489629824100813E-2</v>
      </c>
      <c r="N44" s="195">
        <v>3.1720705767475832E-3</v>
      </c>
      <c r="O44" s="195">
        <v>1.1140939647417697E-2</v>
      </c>
      <c r="P44" s="195">
        <v>5.3042273172777002E-2</v>
      </c>
      <c r="R44" s="223" t="s">
        <v>465</v>
      </c>
      <c r="S44" s="207">
        <f>SUMIFS(Scoreboard_5[Kills],Scoreboard_5[Role],"Healer",Scoreboard_5[Team],"Yellow")</f>
        <v>11</v>
      </c>
      <c r="T44" s="219">
        <f>SUMIFS(Scoreboard_5[Kills],Scoreboard_5[Role],"Healer",Scoreboard_5[Team],"Red")</f>
        <v>9</v>
      </c>
    </row>
    <row r="45" spans="1:20" ht="22.5" customHeight="1">
      <c r="A45" s="115">
        <v>83</v>
      </c>
      <c r="B45" s="115" t="s">
        <v>11</v>
      </c>
      <c r="C45" s="115" t="s">
        <v>10</v>
      </c>
      <c r="D45" s="115" t="s">
        <v>966</v>
      </c>
      <c r="E45" s="98" t="s">
        <v>967</v>
      </c>
      <c r="F45" s="115" t="s">
        <v>476</v>
      </c>
      <c r="G45" s="115">
        <v>0</v>
      </c>
      <c r="H45" s="115">
        <v>56</v>
      </c>
      <c r="I45" s="194">
        <v>56</v>
      </c>
      <c r="J45" s="116">
        <v>167436</v>
      </c>
      <c r="K45" s="116">
        <v>1001412</v>
      </c>
      <c r="L45" s="116">
        <v>2150376</v>
      </c>
      <c r="M45" s="195">
        <v>1.4702021527960095E-2</v>
      </c>
      <c r="N45" s="195">
        <v>2.1454751470929797E-3</v>
      </c>
      <c r="O45" s="195">
        <v>1.3844032761827524E-2</v>
      </c>
      <c r="P45" s="195">
        <v>4.6227490288765098E-2</v>
      </c>
      <c r="R45" s="223" t="s">
        <v>466</v>
      </c>
      <c r="S45" s="207">
        <f>SUMIFS(Scoreboard_5[Assists],Scoreboard_5[Role],"Healer",Scoreboard_5[Team],"Yellow")</f>
        <v>1014</v>
      </c>
      <c r="T45" s="219">
        <f>SUMIFS(Scoreboard_5[Assists],Scoreboard_5[Role],"Healer",Scoreboard_5[Team],"Red")</f>
        <v>609</v>
      </c>
    </row>
    <row r="46" spans="1:20" ht="22.5" customHeight="1">
      <c r="A46" s="115">
        <v>64</v>
      </c>
      <c r="B46" s="115" t="s">
        <v>11</v>
      </c>
      <c r="C46" s="115" t="s">
        <v>10</v>
      </c>
      <c r="D46" s="115" t="s">
        <v>7</v>
      </c>
      <c r="E46" s="98" t="s">
        <v>44</v>
      </c>
      <c r="F46" s="115" t="s">
        <v>483</v>
      </c>
      <c r="G46" s="115">
        <v>1</v>
      </c>
      <c r="H46" s="115">
        <v>54</v>
      </c>
      <c r="I46" s="194">
        <v>55</v>
      </c>
      <c r="J46" s="116">
        <v>137373</v>
      </c>
      <c r="K46" s="116">
        <v>1149205</v>
      </c>
      <c r="L46" s="116">
        <v>2376092</v>
      </c>
      <c r="M46" s="195">
        <v>2.5298988040478382E-2</v>
      </c>
      <c r="N46" s="195">
        <v>1.9012927179463332E-3</v>
      </c>
      <c r="O46" s="195">
        <v>1.473271878642821E-2</v>
      </c>
      <c r="P46" s="195">
        <v>5.0330628286840345E-2</v>
      </c>
    </row>
    <row r="47" spans="1:20" ht="22.5" customHeight="1">
      <c r="A47" s="115">
        <v>30</v>
      </c>
      <c r="B47" s="115" t="s">
        <v>25</v>
      </c>
      <c r="C47" s="115" t="s">
        <v>23</v>
      </c>
      <c r="D47" s="115" t="s">
        <v>7</v>
      </c>
      <c r="E47" s="98" t="s">
        <v>850</v>
      </c>
      <c r="F47" s="115" t="s">
        <v>483</v>
      </c>
      <c r="G47" s="115">
        <v>13</v>
      </c>
      <c r="H47" s="115">
        <v>41</v>
      </c>
      <c r="I47" s="194">
        <v>54</v>
      </c>
      <c r="J47" s="116">
        <v>2523381</v>
      </c>
      <c r="K47" s="116">
        <v>2577987</v>
      </c>
      <c r="L47" s="116">
        <v>83287</v>
      </c>
      <c r="M47" s="195">
        <v>2.4839006439742409E-2</v>
      </c>
      <c r="N47" s="195">
        <v>3.4924518791204499E-2</v>
      </c>
      <c r="O47" s="195">
        <v>3.3049592984774431E-2</v>
      </c>
      <c r="P47" s="195">
        <v>1.7641939108948945E-3</v>
      </c>
    </row>
    <row r="48" spans="1:20" ht="22.5" customHeight="1">
      <c r="A48" s="115">
        <v>48</v>
      </c>
      <c r="B48" s="115" t="s">
        <v>11</v>
      </c>
      <c r="C48" s="115" t="s">
        <v>10</v>
      </c>
      <c r="D48" s="115" t="s">
        <v>7</v>
      </c>
      <c r="E48" s="98" t="s">
        <v>96</v>
      </c>
      <c r="F48" s="115" t="s">
        <v>483</v>
      </c>
      <c r="G48" s="115">
        <v>3</v>
      </c>
      <c r="H48" s="115">
        <v>51</v>
      </c>
      <c r="I48" s="194">
        <v>54</v>
      </c>
      <c r="J48" s="116">
        <v>256655</v>
      </c>
      <c r="K48" s="116">
        <v>1581418</v>
      </c>
      <c r="L48" s="116">
        <v>2584556</v>
      </c>
      <c r="M48" s="195">
        <v>2.4839006439742409E-2</v>
      </c>
      <c r="N48" s="195">
        <v>3.5521993588588452E-3</v>
      </c>
      <c r="O48" s="195">
        <v>2.0273655855827053E-2</v>
      </c>
      <c r="P48" s="195">
        <v>5.4746334452758116E-2</v>
      </c>
    </row>
    <row r="49" spans="1:16" ht="22.5" customHeight="1">
      <c r="A49" s="115">
        <v>52</v>
      </c>
      <c r="B49" s="115" t="s">
        <v>11</v>
      </c>
      <c r="C49" s="115" t="s">
        <v>10</v>
      </c>
      <c r="D49" s="115" t="s">
        <v>667</v>
      </c>
      <c r="E49" s="98" t="s">
        <v>968</v>
      </c>
      <c r="F49" s="115" t="s">
        <v>476</v>
      </c>
      <c r="G49" s="115">
        <v>2</v>
      </c>
      <c r="H49" s="115">
        <v>52</v>
      </c>
      <c r="I49" s="194">
        <v>54</v>
      </c>
      <c r="J49" s="116">
        <v>144407</v>
      </c>
      <c r="K49" s="116">
        <v>1005178</v>
      </c>
      <c r="L49" s="116">
        <v>1831658</v>
      </c>
      <c r="M49" s="195">
        <v>1.4176949330532948E-2</v>
      </c>
      <c r="N49" s="195">
        <v>1.8503883846141564E-3</v>
      </c>
      <c r="O49" s="195">
        <v>1.3896095876091226E-2</v>
      </c>
      <c r="P49" s="195">
        <v>3.9375882360730821E-2</v>
      </c>
    </row>
    <row r="50" spans="1:16" ht="22.5" customHeight="1">
      <c r="A50" s="115">
        <v>32</v>
      </c>
      <c r="B50" s="115" t="s">
        <v>67</v>
      </c>
      <c r="C50" s="115" t="s">
        <v>14</v>
      </c>
      <c r="D50" s="115" t="s">
        <v>667</v>
      </c>
      <c r="E50" s="98" t="s">
        <v>686</v>
      </c>
      <c r="F50" s="115" t="s">
        <v>476</v>
      </c>
      <c r="G50" s="115">
        <v>9</v>
      </c>
      <c r="H50" s="115">
        <v>42</v>
      </c>
      <c r="I50" s="194">
        <v>51</v>
      </c>
      <c r="J50" s="116">
        <v>1398821</v>
      </c>
      <c r="K50" s="116">
        <v>2357783</v>
      </c>
      <c r="L50" s="116">
        <v>163620</v>
      </c>
      <c r="M50" s="195">
        <v>1.3389341034392229E-2</v>
      </c>
      <c r="N50" s="195">
        <v>1.7924076606773625E-2</v>
      </c>
      <c r="O50" s="195">
        <v>3.2595200673928397E-2</v>
      </c>
      <c r="P50" s="195">
        <v>3.5174043800004023E-3</v>
      </c>
    </row>
    <row r="51" spans="1:16" ht="22.5" customHeight="1">
      <c r="A51" s="115">
        <v>65</v>
      </c>
      <c r="B51" s="115" t="s">
        <v>11</v>
      </c>
      <c r="C51" s="115" t="s">
        <v>10</v>
      </c>
      <c r="D51" s="115" t="s">
        <v>7</v>
      </c>
      <c r="E51" s="98" t="s">
        <v>87</v>
      </c>
      <c r="F51" s="115" t="s">
        <v>483</v>
      </c>
      <c r="G51" s="115">
        <v>1</v>
      </c>
      <c r="H51" s="115">
        <v>50</v>
      </c>
      <c r="I51" s="194">
        <v>51</v>
      </c>
      <c r="J51" s="116">
        <v>223890</v>
      </c>
      <c r="K51" s="116">
        <v>1304729</v>
      </c>
      <c r="L51" s="116">
        <v>3874653</v>
      </c>
      <c r="M51" s="195">
        <v>2.3459061637534497E-2</v>
      </c>
      <c r="N51" s="195">
        <v>3.0987197383838495E-3</v>
      </c>
      <c r="O51" s="195">
        <v>1.6726524379460317E-2</v>
      </c>
      <c r="P51" s="195">
        <v>8.2073303509919149E-2</v>
      </c>
    </row>
    <row r="52" spans="1:16" ht="22.5" customHeight="1">
      <c r="A52" s="115">
        <v>84</v>
      </c>
      <c r="B52" s="115" t="s">
        <v>11</v>
      </c>
      <c r="C52" s="115" t="s">
        <v>10</v>
      </c>
      <c r="D52" s="115" t="s">
        <v>7</v>
      </c>
      <c r="E52" s="98" t="s">
        <v>51</v>
      </c>
      <c r="F52" s="115" t="s">
        <v>483</v>
      </c>
      <c r="G52" s="115">
        <v>0</v>
      </c>
      <c r="H52" s="115">
        <v>47</v>
      </c>
      <c r="I52" s="194">
        <v>47</v>
      </c>
      <c r="J52" s="116">
        <v>309621</v>
      </c>
      <c r="K52" s="116">
        <v>985967</v>
      </c>
      <c r="L52" s="116">
        <v>2933998</v>
      </c>
      <c r="M52" s="195">
        <v>2.1619135234590615E-2</v>
      </c>
      <c r="N52" s="195">
        <v>4.2852682304620384E-3</v>
      </c>
      <c r="O52" s="195">
        <v>1.2640020312910458E-2</v>
      </c>
      <c r="P52" s="195">
        <v>6.2148251301857416E-2</v>
      </c>
    </row>
    <row r="53" spans="1:16" ht="22.5" customHeight="1">
      <c r="A53" s="115">
        <v>66</v>
      </c>
      <c r="B53" s="115" t="s">
        <v>11</v>
      </c>
      <c r="C53" s="115" t="s">
        <v>10</v>
      </c>
      <c r="D53" s="115" t="s">
        <v>7</v>
      </c>
      <c r="E53" s="98" t="s">
        <v>17</v>
      </c>
      <c r="F53" s="115" t="s">
        <v>483</v>
      </c>
      <c r="G53" s="115">
        <v>1</v>
      </c>
      <c r="H53" s="115">
        <v>44</v>
      </c>
      <c r="I53" s="194">
        <v>45</v>
      </c>
      <c r="J53" s="116">
        <v>285441</v>
      </c>
      <c r="K53" s="116">
        <v>1598414</v>
      </c>
      <c r="L53" s="116">
        <v>3811368</v>
      </c>
      <c r="M53" s="195">
        <v>2.0699172033118676E-2</v>
      </c>
      <c r="N53" s="195">
        <v>3.9506081595606073E-3</v>
      </c>
      <c r="O53" s="195">
        <v>2.0491543254936986E-2</v>
      </c>
      <c r="P53" s="195">
        <v>8.0732794046845871E-2</v>
      </c>
    </row>
    <row r="54" spans="1:16" ht="22.5" customHeight="1">
      <c r="A54" s="115">
        <v>85</v>
      </c>
      <c r="B54" s="115" t="s">
        <v>11</v>
      </c>
      <c r="C54" s="115" t="s">
        <v>10</v>
      </c>
      <c r="D54" s="115" t="s">
        <v>667</v>
      </c>
      <c r="E54" s="98" t="s">
        <v>969</v>
      </c>
      <c r="F54" s="115" t="s">
        <v>476</v>
      </c>
      <c r="G54" s="115">
        <v>0</v>
      </c>
      <c r="H54" s="115">
        <v>45</v>
      </c>
      <c r="I54" s="194">
        <v>45</v>
      </c>
      <c r="J54" s="116">
        <v>259769</v>
      </c>
      <c r="K54" s="116">
        <v>1311090</v>
      </c>
      <c r="L54" s="116">
        <v>2627661</v>
      </c>
      <c r="M54" s="195">
        <v>1.1814124442110789E-2</v>
      </c>
      <c r="N54" s="195">
        <v>3.3286027705224457E-3</v>
      </c>
      <c r="O54" s="195">
        <v>1.8125180159319489E-2</v>
      </c>
      <c r="P54" s="195">
        <v>5.6487876241023333E-2</v>
      </c>
    </row>
    <row r="55" spans="1:16" ht="22.5" customHeight="1">
      <c r="A55" s="115">
        <v>86</v>
      </c>
      <c r="B55" s="115" t="s">
        <v>11</v>
      </c>
      <c r="C55" s="115" t="s">
        <v>10</v>
      </c>
      <c r="D55" s="115" t="s">
        <v>7</v>
      </c>
      <c r="E55" s="98" t="s">
        <v>29</v>
      </c>
      <c r="F55" s="115" t="s">
        <v>483</v>
      </c>
      <c r="G55" s="115">
        <v>0</v>
      </c>
      <c r="H55" s="115">
        <v>44</v>
      </c>
      <c r="I55" s="194">
        <v>44</v>
      </c>
      <c r="J55" s="116">
        <v>191461</v>
      </c>
      <c r="K55" s="116">
        <v>1086867</v>
      </c>
      <c r="L55" s="116">
        <v>2692795</v>
      </c>
      <c r="M55" s="195">
        <v>2.0239190432382703E-2</v>
      </c>
      <c r="N55" s="195">
        <v>2.6498904811769627E-3</v>
      </c>
      <c r="O55" s="195">
        <v>1.3933550471194321E-2</v>
      </c>
      <c r="P55" s="195">
        <v>5.7039064227168916E-2</v>
      </c>
    </row>
    <row r="56" spans="1:16" ht="22.5" customHeight="1">
      <c r="A56" s="115">
        <v>87</v>
      </c>
      <c r="B56" s="115" t="s">
        <v>11</v>
      </c>
      <c r="C56" s="115" t="s">
        <v>10</v>
      </c>
      <c r="D56" s="115" t="s">
        <v>7</v>
      </c>
      <c r="E56" s="98" t="s">
        <v>108</v>
      </c>
      <c r="F56" s="115" t="s">
        <v>483</v>
      </c>
      <c r="G56" s="115">
        <v>0</v>
      </c>
      <c r="H56" s="115">
        <v>40</v>
      </c>
      <c r="I56" s="194">
        <v>40</v>
      </c>
      <c r="J56" s="116">
        <v>192650</v>
      </c>
      <c r="K56" s="116">
        <v>1166439</v>
      </c>
      <c r="L56" s="116">
        <v>3325296</v>
      </c>
      <c r="M56" s="195">
        <v>1.8399264029438821E-2</v>
      </c>
      <c r="N56" s="195">
        <v>2.6663466773846466E-3</v>
      </c>
      <c r="O56" s="195">
        <v>1.4953657327041332E-2</v>
      </c>
      <c r="P56" s="195">
        <v>7.0436766303542564E-2</v>
      </c>
    </row>
    <row r="57" spans="1:16" ht="22.5" customHeight="1">
      <c r="A57" s="115">
        <v>35</v>
      </c>
      <c r="B57" s="115" t="s">
        <v>39</v>
      </c>
      <c r="C57" s="115" t="s">
        <v>52</v>
      </c>
      <c r="D57" s="115" t="s">
        <v>7</v>
      </c>
      <c r="E57" s="98" t="s">
        <v>65</v>
      </c>
      <c r="F57" s="115" t="s">
        <v>483</v>
      </c>
      <c r="G57" s="115">
        <v>7</v>
      </c>
      <c r="H57" s="115">
        <v>32</v>
      </c>
      <c r="I57" s="194">
        <v>39</v>
      </c>
      <c r="J57" s="116">
        <v>2198635</v>
      </c>
      <c r="K57" s="116">
        <v>2326117</v>
      </c>
      <c r="L57" s="116">
        <v>853284</v>
      </c>
      <c r="M57" s="195">
        <v>1.7939282428702852E-2</v>
      </c>
      <c r="N57" s="195">
        <v>3.0429915011843202E-2</v>
      </c>
      <c r="O57" s="195">
        <v>2.982063915953205E-2</v>
      </c>
      <c r="P57" s="195">
        <v>1.8074350583693003E-2</v>
      </c>
    </row>
    <row r="58" spans="1:16" ht="22.5" customHeight="1">
      <c r="A58" s="115">
        <v>41</v>
      </c>
      <c r="B58" s="115" t="s">
        <v>67</v>
      </c>
      <c r="C58" s="115" t="s">
        <v>14</v>
      </c>
      <c r="D58" s="115" t="s">
        <v>667</v>
      </c>
      <c r="E58" s="98" t="s">
        <v>970</v>
      </c>
      <c r="F58" s="115" t="s">
        <v>476</v>
      </c>
      <c r="G58" s="115">
        <v>5</v>
      </c>
      <c r="H58" s="115">
        <v>34</v>
      </c>
      <c r="I58" s="194">
        <v>39</v>
      </c>
      <c r="J58" s="116">
        <v>1006681</v>
      </c>
      <c r="K58" s="116">
        <v>1903007</v>
      </c>
      <c r="L58" s="116">
        <v>202457</v>
      </c>
      <c r="M58" s="195">
        <v>1.0238907849829351E-2</v>
      </c>
      <c r="N58" s="195">
        <v>1.2899311178902433E-2</v>
      </c>
      <c r="O58" s="195">
        <v>2.6308144154441038E-2</v>
      </c>
      <c r="P58" s="195">
        <v>4.3522988544294188E-3</v>
      </c>
    </row>
    <row r="59" spans="1:16" ht="22.5" customHeight="1">
      <c r="A59" s="115">
        <v>67</v>
      </c>
      <c r="B59" s="115" t="s">
        <v>67</v>
      </c>
      <c r="C59" s="115" t="s">
        <v>14</v>
      </c>
      <c r="D59" s="115" t="s">
        <v>667</v>
      </c>
      <c r="E59" s="98" t="s">
        <v>971</v>
      </c>
      <c r="F59" s="115" t="s">
        <v>476</v>
      </c>
      <c r="G59" s="115">
        <v>1</v>
      </c>
      <c r="H59" s="115">
        <v>38</v>
      </c>
      <c r="I59" s="194">
        <v>39</v>
      </c>
      <c r="J59" s="116">
        <v>434703</v>
      </c>
      <c r="K59" s="116">
        <v>817065</v>
      </c>
      <c r="L59" s="116">
        <v>159245</v>
      </c>
      <c r="M59" s="195">
        <v>1.0238907849829351E-2</v>
      </c>
      <c r="N59" s="195">
        <v>5.5701550614369643E-3</v>
      </c>
      <c r="O59" s="195">
        <v>1.129552534675299E-2</v>
      </c>
      <c r="P59" s="195">
        <v>3.423353260562059E-3</v>
      </c>
    </row>
    <row r="60" spans="1:16" ht="22.5" customHeight="1">
      <c r="A60" s="115">
        <v>68</v>
      </c>
      <c r="B60" s="115" t="s">
        <v>11</v>
      </c>
      <c r="C60" s="115" t="s">
        <v>10</v>
      </c>
      <c r="D60" s="115" t="s">
        <v>7</v>
      </c>
      <c r="E60" s="98" t="s">
        <v>41</v>
      </c>
      <c r="F60" s="115" t="s">
        <v>483</v>
      </c>
      <c r="G60" s="115">
        <v>1</v>
      </c>
      <c r="H60" s="115">
        <v>38</v>
      </c>
      <c r="I60" s="194">
        <v>39</v>
      </c>
      <c r="J60" s="116">
        <v>234911</v>
      </c>
      <c r="K60" s="116">
        <v>1509201</v>
      </c>
      <c r="L60" s="116">
        <v>2786899</v>
      </c>
      <c r="M60" s="195">
        <v>1.7939282428702852E-2</v>
      </c>
      <c r="N60" s="195">
        <v>3.2512544216512056E-3</v>
      </c>
      <c r="O60" s="195">
        <v>1.9347839528366342E-2</v>
      </c>
      <c r="P60" s="195">
        <v>5.9032384958986044E-2</v>
      </c>
    </row>
    <row r="61" spans="1:16" ht="22.5" customHeight="1">
      <c r="A61" s="115">
        <v>53</v>
      </c>
      <c r="B61" s="115" t="s">
        <v>67</v>
      </c>
      <c r="C61" s="115" t="s">
        <v>14</v>
      </c>
      <c r="D61" s="115" t="s">
        <v>667</v>
      </c>
      <c r="E61" s="98" t="s">
        <v>216</v>
      </c>
      <c r="F61" s="115" t="s">
        <v>476</v>
      </c>
      <c r="G61" s="115">
        <v>2</v>
      </c>
      <c r="H61" s="115">
        <v>36</v>
      </c>
      <c r="I61" s="194">
        <v>38</v>
      </c>
      <c r="J61" s="116">
        <v>666714</v>
      </c>
      <c r="K61" s="116">
        <v>2085473</v>
      </c>
      <c r="L61" s="116">
        <v>81008</v>
      </c>
      <c r="M61" s="195">
        <v>9.9763717511157785E-3</v>
      </c>
      <c r="N61" s="195">
        <v>8.5430750687961292E-3</v>
      </c>
      <c r="O61" s="195">
        <v>2.8830647661408821E-2</v>
      </c>
      <c r="P61" s="195">
        <v>1.7414612762197323E-3</v>
      </c>
    </row>
    <row r="62" spans="1:16" ht="22.5" customHeight="1">
      <c r="A62" s="115">
        <v>88</v>
      </c>
      <c r="B62" s="115" t="s">
        <v>11</v>
      </c>
      <c r="C62" s="115" t="s">
        <v>10</v>
      </c>
      <c r="D62" s="115" t="s">
        <v>7</v>
      </c>
      <c r="E62" s="98" t="s">
        <v>100</v>
      </c>
      <c r="F62" s="115" t="s">
        <v>483</v>
      </c>
      <c r="G62" s="115">
        <v>0</v>
      </c>
      <c r="H62" s="115">
        <v>38</v>
      </c>
      <c r="I62" s="194">
        <v>38</v>
      </c>
      <c r="J62" s="116">
        <v>199031</v>
      </c>
      <c r="K62" s="116">
        <v>1281901</v>
      </c>
      <c r="L62" s="116">
        <v>2197080</v>
      </c>
      <c r="M62" s="195">
        <v>1.7479300827966882E-2</v>
      </c>
      <c r="N62" s="195">
        <v>2.7546620583781137E-3</v>
      </c>
      <c r="O62" s="195">
        <v>1.6433871193600017E-2</v>
      </c>
      <c r="P62" s="195">
        <v>4.6538777453251468E-2</v>
      </c>
    </row>
    <row r="63" spans="1:16" ht="22.5" customHeight="1">
      <c r="A63" s="115">
        <v>33</v>
      </c>
      <c r="B63" s="115" t="s">
        <v>25</v>
      </c>
      <c r="C63" s="115" t="s">
        <v>23</v>
      </c>
      <c r="D63" s="115" t="s">
        <v>7</v>
      </c>
      <c r="E63" s="98" t="s">
        <v>935</v>
      </c>
      <c r="F63" s="115" t="s">
        <v>483</v>
      </c>
      <c r="G63" s="115">
        <v>9</v>
      </c>
      <c r="H63" s="115">
        <v>27</v>
      </c>
      <c r="I63" s="194">
        <v>36</v>
      </c>
      <c r="J63" s="116">
        <v>1579208</v>
      </c>
      <c r="K63" s="116">
        <v>2114745</v>
      </c>
      <c r="L63" s="116">
        <v>61305</v>
      </c>
      <c r="M63" s="195">
        <v>1.655933762649494E-2</v>
      </c>
      <c r="N63" s="195">
        <v>2.1856818083048291E-2</v>
      </c>
      <c r="O63" s="195">
        <v>2.7110866546878169E-2</v>
      </c>
      <c r="P63" s="195">
        <v>1.2985688967955564E-3</v>
      </c>
    </row>
    <row r="64" spans="1:16" ht="22.5" customHeight="1">
      <c r="A64" s="115">
        <v>34</v>
      </c>
      <c r="B64" s="115" t="s">
        <v>39</v>
      </c>
      <c r="C64" s="115" t="s">
        <v>54</v>
      </c>
      <c r="D64" s="115" t="s">
        <v>7</v>
      </c>
      <c r="E64" s="98" t="s">
        <v>972</v>
      </c>
      <c r="F64" s="115" t="s">
        <v>483</v>
      </c>
      <c r="G64" s="115">
        <v>9</v>
      </c>
      <c r="H64" s="115">
        <v>27</v>
      </c>
      <c r="I64" s="194">
        <v>36</v>
      </c>
      <c r="J64" s="116">
        <v>938005</v>
      </c>
      <c r="K64" s="116">
        <v>959471</v>
      </c>
      <c r="L64" s="116">
        <v>26275</v>
      </c>
      <c r="M64" s="195">
        <v>1.655933762649494E-2</v>
      </c>
      <c r="N64" s="195">
        <v>1.298233332530592E-2</v>
      </c>
      <c r="O64" s="195">
        <v>1.2300343652118691E-2</v>
      </c>
      <c r="P64" s="195">
        <v>5.5655978734692516E-4</v>
      </c>
    </row>
    <row r="65" spans="1:16" ht="22.5" customHeight="1">
      <c r="A65" s="115">
        <v>44</v>
      </c>
      <c r="B65" s="115" t="s">
        <v>67</v>
      </c>
      <c r="C65" s="115" t="s">
        <v>14</v>
      </c>
      <c r="D65" s="115" t="s">
        <v>7</v>
      </c>
      <c r="E65" s="98" t="s">
        <v>973</v>
      </c>
      <c r="F65" s="115" t="s">
        <v>483</v>
      </c>
      <c r="G65" s="115">
        <v>4</v>
      </c>
      <c r="H65" s="115">
        <v>32</v>
      </c>
      <c r="I65" s="194">
        <v>36</v>
      </c>
      <c r="J65" s="116">
        <v>677915</v>
      </c>
      <c r="K65" s="116">
        <v>799852</v>
      </c>
      <c r="L65" s="116">
        <v>58993</v>
      </c>
      <c r="M65" s="195">
        <v>1.655933762649494E-2</v>
      </c>
      <c r="N65" s="195">
        <v>9.3825923062507803E-3</v>
      </c>
      <c r="O65" s="195">
        <v>1.0254040477340576E-2</v>
      </c>
      <c r="P65" s="195">
        <v>1.2495958719298632E-3</v>
      </c>
    </row>
    <row r="66" spans="1:16" ht="22.5" customHeight="1">
      <c r="A66" s="115">
        <v>36</v>
      </c>
      <c r="B66" s="115" t="s">
        <v>67</v>
      </c>
      <c r="C66" s="115" t="s">
        <v>14</v>
      </c>
      <c r="D66" s="115" t="s">
        <v>667</v>
      </c>
      <c r="E66" s="98" t="s">
        <v>692</v>
      </c>
      <c r="F66" s="115" t="s">
        <v>476</v>
      </c>
      <c r="G66" s="115">
        <v>7</v>
      </c>
      <c r="H66" s="115">
        <v>27</v>
      </c>
      <c r="I66" s="194">
        <v>34</v>
      </c>
      <c r="J66" s="116">
        <v>1094599</v>
      </c>
      <c r="K66" s="116">
        <v>2441783</v>
      </c>
      <c r="L66" s="116">
        <v>91151</v>
      </c>
      <c r="M66" s="195">
        <v>8.9262273562614857E-3</v>
      </c>
      <c r="N66" s="195">
        <v>1.4025866304336155E-2</v>
      </c>
      <c r="O66" s="195">
        <v>3.3756459728137365E-2</v>
      </c>
      <c r="P66" s="195">
        <v>1.9595093915255879E-3</v>
      </c>
    </row>
    <row r="67" spans="1:16" ht="22.5" customHeight="1">
      <c r="A67" s="115">
        <v>45</v>
      </c>
      <c r="B67" s="115" t="s">
        <v>67</v>
      </c>
      <c r="C67" s="115" t="s">
        <v>14</v>
      </c>
      <c r="D67" s="115" t="s">
        <v>7</v>
      </c>
      <c r="E67" s="98" t="s">
        <v>55</v>
      </c>
      <c r="F67" s="115" t="s">
        <v>483</v>
      </c>
      <c r="G67" s="115">
        <v>4</v>
      </c>
      <c r="H67" s="115">
        <v>30</v>
      </c>
      <c r="I67" s="194">
        <v>34</v>
      </c>
      <c r="J67" s="116">
        <v>1716781</v>
      </c>
      <c r="K67" s="116">
        <v>2295872</v>
      </c>
      <c r="L67" s="116">
        <v>136036</v>
      </c>
      <c r="M67" s="195">
        <v>1.5639374425023E-2</v>
      </c>
      <c r="N67" s="195">
        <v>2.37608788743685E-2</v>
      </c>
      <c r="O67" s="195">
        <v>2.9432900610103948E-2</v>
      </c>
      <c r="P67" s="195">
        <v>2.8815287243206967E-3</v>
      </c>
    </row>
    <row r="68" spans="1:16" ht="22.5" customHeight="1">
      <c r="A68" s="115">
        <v>89</v>
      </c>
      <c r="B68" s="115" t="s">
        <v>11</v>
      </c>
      <c r="C68" s="115" t="s">
        <v>10</v>
      </c>
      <c r="D68" s="115" t="s">
        <v>7</v>
      </c>
      <c r="E68" s="98" t="s">
        <v>974</v>
      </c>
      <c r="F68" s="115" t="s">
        <v>483</v>
      </c>
      <c r="G68" s="115">
        <v>0</v>
      </c>
      <c r="H68" s="115">
        <v>30</v>
      </c>
      <c r="I68" s="194">
        <v>30</v>
      </c>
      <c r="J68" s="116">
        <v>243101</v>
      </c>
      <c r="K68" s="116">
        <v>1156837</v>
      </c>
      <c r="L68" s="116">
        <v>2827081</v>
      </c>
      <c r="M68" s="195">
        <v>1.3799448022079117E-2</v>
      </c>
      <c r="N68" s="195">
        <v>3.3646070263113679E-3</v>
      </c>
      <c r="O68" s="195">
        <v>1.4830560433286708E-2</v>
      </c>
      <c r="P68" s="195">
        <v>5.9883524269173455E-2</v>
      </c>
    </row>
    <row r="69" spans="1:16" ht="22.5" customHeight="1">
      <c r="A69" s="115">
        <v>90</v>
      </c>
      <c r="B69" s="115" t="s">
        <v>11</v>
      </c>
      <c r="C69" s="115" t="s">
        <v>10</v>
      </c>
      <c r="D69" s="115" t="s">
        <v>7</v>
      </c>
      <c r="E69" s="98" t="s">
        <v>102</v>
      </c>
      <c r="F69" s="115" t="s">
        <v>483</v>
      </c>
      <c r="G69" s="115">
        <v>0</v>
      </c>
      <c r="H69" s="115">
        <v>29</v>
      </c>
      <c r="I69" s="194">
        <v>29</v>
      </c>
      <c r="J69" s="116">
        <v>153931</v>
      </c>
      <c r="K69" s="116">
        <v>1177832</v>
      </c>
      <c r="L69" s="116">
        <v>2680497</v>
      </c>
      <c r="M69" s="195">
        <v>1.3339466421343146E-2</v>
      </c>
      <c r="N69" s="195">
        <v>2.1304615125694059E-3</v>
      </c>
      <c r="O69" s="195">
        <v>1.5099714701603553E-2</v>
      </c>
      <c r="P69" s="195">
        <v>5.6778566709955118E-2</v>
      </c>
    </row>
    <row r="70" spans="1:16" ht="22.5" customHeight="1">
      <c r="A70" s="115">
        <v>37</v>
      </c>
      <c r="B70" s="115" t="s">
        <v>67</v>
      </c>
      <c r="C70" s="115" t="s">
        <v>14</v>
      </c>
      <c r="D70" s="115" t="s">
        <v>667</v>
      </c>
      <c r="E70" s="98" t="s">
        <v>685</v>
      </c>
      <c r="F70" s="115" t="s">
        <v>476</v>
      </c>
      <c r="G70" s="115">
        <v>7</v>
      </c>
      <c r="H70" s="115">
        <v>18</v>
      </c>
      <c r="I70" s="194">
        <v>25</v>
      </c>
      <c r="J70" s="116">
        <v>562052</v>
      </c>
      <c r="K70" s="116">
        <v>2116002</v>
      </c>
      <c r="L70" s="116">
        <v>45183</v>
      </c>
      <c r="M70" s="195">
        <v>6.5634024678393283E-3</v>
      </c>
      <c r="N70" s="195">
        <v>7.2019673031719781E-3</v>
      </c>
      <c r="O70" s="195">
        <v>2.9252696205051033E-2</v>
      </c>
      <c r="P70" s="195">
        <v>9.7131696676175394E-4</v>
      </c>
    </row>
    <row r="71" spans="1:16" ht="22.5" customHeight="1">
      <c r="A71" s="115">
        <v>54</v>
      </c>
      <c r="B71" s="115" t="s">
        <v>67</v>
      </c>
      <c r="C71" s="115" t="s">
        <v>14</v>
      </c>
      <c r="D71" s="115" t="s">
        <v>667</v>
      </c>
      <c r="E71" s="98" t="s">
        <v>296</v>
      </c>
      <c r="F71" s="115" t="s">
        <v>476</v>
      </c>
      <c r="G71" s="115">
        <v>2</v>
      </c>
      <c r="H71" s="115">
        <v>23</v>
      </c>
      <c r="I71" s="194">
        <v>25</v>
      </c>
      <c r="J71" s="116">
        <v>417441</v>
      </c>
      <c r="K71" s="116">
        <v>1248160</v>
      </c>
      <c r="L71" s="116">
        <v>76289</v>
      </c>
      <c r="M71" s="195">
        <v>6.5634024678393283E-3</v>
      </c>
      <c r="N71" s="195">
        <v>5.3489649231804421E-3</v>
      </c>
      <c r="O71" s="195">
        <v>1.725520358454127E-2</v>
      </c>
      <c r="P71" s="195">
        <v>1.640015051618694E-3</v>
      </c>
    </row>
    <row r="72" spans="1:16" ht="22.5" customHeight="1">
      <c r="A72" s="115">
        <v>91</v>
      </c>
      <c r="B72" s="115" t="s">
        <v>11</v>
      </c>
      <c r="C72" s="115" t="s">
        <v>10</v>
      </c>
      <c r="D72" s="115" t="s">
        <v>7</v>
      </c>
      <c r="E72" s="98" t="s">
        <v>857</v>
      </c>
      <c r="F72" s="115" t="s">
        <v>483</v>
      </c>
      <c r="G72" s="115">
        <v>0</v>
      </c>
      <c r="H72" s="115">
        <v>25</v>
      </c>
      <c r="I72" s="194">
        <v>25</v>
      </c>
      <c r="J72" s="116">
        <v>199548</v>
      </c>
      <c r="K72" s="116">
        <v>1326633</v>
      </c>
      <c r="L72" s="116">
        <v>2389154</v>
      </c>
      <c r="M72" s="195">
        <v>1.1499540018399264E-2</v>
      </c>
      <c r="N72" s="195">
        <v>2.7618175280495795E-3</v>
      </c>
      <c r="O72" s="195">
        <v>1.700733195713177E-2</v>
      </c>
      <c r="P72" s="195">
        <v>5.0607308931648165E-2</v>
      </c>
    </row>
    <row r="73" spans="1:16" ht="22.5" customHeight="1">
      <c r="A73" s="115">
        <v>92</v>
      </c>
      <c r="B73" s="115" t="s">
        <v>11</v>
      </c>
      <c r="C73" s="115" t="s">
        <v>10</v>
      </c>
      <c r="D73" s="115" t="s">
        <v>667</v>
      </c>
      <c r="E73" s="98" t="s">
        <v>975</v>
      </c>
      <c r="F73" s="115" t="s">
        <v>476</v>
      </c>
      <c r="G73" s="115">
        <v>0</v>
      </c>
      <c r="H73" s="115">
        <v>25</v>
      </c>
      <c r="I73" s="194">
        <v>25</v>
      </c>
      <c r="J73" s="116">
        <v>138761</v>
      </c>
      <c r="K73" s="116">
        <v>735950</v>
      </c>
      <c r="L73" s="116">
        <v>2884115</v>
      </c>
      <c r="M73" s="195">
        <v>6.5634024678393283E-3</v>
      </c>
      <c r="N73" s="195">
        <v>1.7780422184343208E-3</v>
      </c>
      <c r="O73" s="195">
        <v>1.017415001125108E-2</v>
      </c>
      <c r="P73" s="195">
        <v>6.2000970134609833E-2</v>
      </c>
    </row>
    <row r="74" spans="1:16" ht="22.5" customHeight="1">
      <c r="A74" s="115">
        <v>38</v>
      </c>
      <c r="B74" s="115" t="s">
        <v>67</v>
      </c>
      <c r="C74" s="115" t="s">
        <v>14</v>
      </c>
      <c r="D74" s="115" t="s">
        <v>667</v>
      </c>
      <c r="E74" s="98" t="s">
        <v>408</v>
      </c>
      <c r="F74" s="115" t="s">
        <v>476</v>
      </c>
      <c r="G74" s="115">
        <v>7</v>
      </c>
      <c r="H74" s="115">
        <v>17</v>
      </c>
      <c r="I74" s="194">
        <v>24</v>
      </c>
      <c r="J74" s="116">
        <v>737738</v>
      </c>
      <c r="K74" s="116">
        <v>1926478</v>
      </c>
      <c r="L74" s="116">
        <v>33577</v>
      </c>
      <c r="M74" s="195">
        <v>6.3008663691257547E-3</v>
      </c>
      <c r="N74" s="195">
        <v>9.4531554986148764E-3</v>
      </c>
      <c r="O74" s="195">
        <v>2.6632619288504595E-2</v>
      </c>
      <c r="P74" s="195">
        <v>7.2181815711571632E-4</v>
      </c>
    </row>
    <row r="75" spans="1:16" ht="22.5" customHeight="1">
      <c r="A75" s="115">
        <v>93</v>
      </c>
      <c r="B75" s="115" t="s">
        <v>11</v>
      </c>
      <c r="C75" s="115" t="s">
        <v>10</v>
      </c>
      <c r="D75" s="115" t="s">
        <v>7</v>
      </c>
      <c r="E75" s="98" t="s">
        <v>105</v>
      </c>
      <c r="F75" s="115" t="s">
        <v>483</v>
      </c>
      <c r="G75" s="115">
        <v>0</v>
      </c>
      <c r="H75" s="115">
        <v>24</v>
      </c>
      <c r="I75" s="194">
        <v>24</v>
      </c>
      <c r="J75" s="116">
        <v>186680</v>
      </c>
      <c r="K75" s="116">
        <v>1259876</v>
      </c>
      <c r="L75" s="116">
        <v>2156282</v>
      </c>
      <c r="M75" s="195">
        <v>1.1039558417663294E-2</v>
      </c>
      <c r="N75" s="195">
        <v>2.5837196871744917E-3</v>
      </c>
      <c r="O75" s="195">
        <v>1.6151512405332406E-2</v>
      </c>
      <c r="P75" s="195">
        <v>4.5674589966888772E-2</v>
      </c>
    </row>
    <row r="76" spans="1:16" ht="22.5" customHeight="1">
      <c r="A76" s="115">
        <v>69</v>
      </c>
      <c r="B76" s="115" t="s">
        <v>67</v>
      </c>
      <c r="C76" s="115" t="s">
        <v>14</v>
      </c>
      <c r="D76" s="115" t="s">
        <v>7</v>
      </c>
      <c r="E76" s="98" t="s">
        <v>109</v>
      </c>
      <c r="F76" s="115" t="s">
        <v>483</v>
      </c>
      <c r="G76" s="115">
        <v>1</v>
      </c>
      <c r="H76" s="115">
        <v>22</v>
      </c>
      <c r="I76" s="194">
        <v>23</v>
      </c>
      <c r="J76" s="116">
        <v>551335</v>
      </c>
      <c r="K76" s="116">
        <v>1867485</v>
      </c>
      <c r="L76" s="116">
        <v>116917</v>
      </c>
      <c r="M76" s="195">
        <v>1.0579576816927323E-2</v>
      </c>
      <c r="N76" s="195">
        <v>7.6306786679255865E-3</v>
      </c>
      <c r="O76" s="195">
        <v>2.3941012563357178E-2</v>
      </c>
      <c r="P76" s="195">
        <v>2.4765480744905976E-3</v>
      </c>
    </row>
    <row r="77" spans="1:16" ht="22.5" customHeight="1">
      <c r="A77" s="115">
        <v>70</v>
      </c>
      <c r="B77" s="115" t="s">
        <v>11</v>
      </c>
      <c r="C77" s="115" t="s">
        <v>10</v>
      </c>
      <c r="D77" s="115" t="s">
        <v>7</v>
      </c>
      <c r="E77" s="98" t="s">
        <v>165</v>
      </c>
      <c r="F77" s="115" t="s">
        <v>483</v>
      </c>
      <c r="G77" s="115">
        <v>1</v>
      </c>
      <c r="H77" s="115">
        <v>22</v>
      </c>
      <c r="I77" s="194">
        <v>23</v>
      </c>
      <c r="J77" s="116">
        <v>300663</v>
      </c>
      <c r="K77" s="116">
        <v>1634043</v>
      </c>
      <c r="L77" s="116">
        <v>3252731</v>
      </c>
      <c r="M77" s="195">
        <v>1.0579576816927323E-2</v>
      </c>
      <c r="N77" s="195">
        <v>4.1612862240461984E-3</v>
      </c>
      <c r="O77" s="195">
        <v>2.0948304265932981E-2</v>
      </c>
      <c r="P77" s="195">
        <v>6.8899686913672736E-2</v>
      </c>
    </row>
    <row r="78" spans="1:16" ht="22.5" customHeight="1">
      <c r="A78" s="115">
        <v>49</v>
      </c>
      <c r="B78" s="115" t="s">
        <v>67</v>
      </c>
      <c r="C78" s="115" t="s">
        <v>14</v>
      </c>
      <c r="D78" s="115" t="s">
        <v>7</v>
      </c>
      <c r="E78" s="98" t="s">
        <v>976</v>
      </c>
      <c r="F78" s="115" t="s">
        <v>483</v>
      </c>
      <c r="G78" s="115">
        <v>3</v>
      </c>
      <c r="H78" s="115">
        <v>17</v>
      </c>
      <c r="I78" s="194">
        <v>20</v>
      </c>
      <c r="J78" s="116">
        <v>722184</v>
      </c>
      <c r="K78" s="116">
        <v>1917596</v>
      </c>
      <c r="L78" s="116">
        <v>122261</v>
      </c>
      <c r="M78" s="195">
        <v>9.1996320147194107E-3</v>
      </c>
      <c r="N78" s="195">
        <v>9.9952915071910391E-3</v>
      </c>
      <c r="O78" s="195">
        <v>2.4583431688845411E-2</v>
      </c>
      <c r="P78" s="195">
        <v>2.5897452392320613E-3</v>
      </c>
    </row>
    <row r="79" spans="1:16" ht="22.5" customHeight="1">
      <c r="A79" s="115">
        <v>39</v>
      </c>
      <c r="B79" s="115" t="s">
        <v>67</v>
      </c>
      <c r="C79" s="115" t="s">
        <v>14</v>
      </c>
      <c r="D79" s="115" t="s">
        <v>667</v>
      </c>
      <c r="E79" s="98" t="s">
        <v>977</v>
      </c>
      <c r="F79" s="115" t="s">
        <v>476</v>
      </c>
      <c r="G79" s="115">
        <v>6</v>
      </c>
      <c r="H79" s="115">
        <v>12</v>
      </c>
      <c r="I79" s="194">
        <v>18</v>
      </c>
      <c r="J79" s="116">
        <v>944198</v>
      </c>
      <c r="K79" s="116">
        <v>2841812</v>
      </c>
      <c r="L79" s="116">
        <v>57788</v>
      </c>
      <c r="M79" s="195">
        <v>4.7256497768443165E-3</v>
      </c>
      <c r="N79" s="195">
        <v>1.2098672584957221E-2</v>
      </c>
      <c r="O79" s="195">
        <v>3.9286665659044026E-2</v>
      </c>
      <c r="P79" s="195">
        <v>1.242291677737827E-3</v>
      </c>
    </row>
    <row r="80" spans="1:16" ht="22.5" customHeight="1">
      <c r="A80" s="115">
        <v>42</v>
      </c>
      <c r="B80" s="115" t="s">
        <v>67</v>
      </c>
      <c r="C80" s="115" t="s">
        <v>14</v>
      </c>
      <c r="D80" s="115" t="s">
        <v>667</v>
      </c>
      <c r="E80" s="98" t="s">
        <v>786</v>
      </c>
      <c r="F80" s="115" t="s">
        <v>476</v>
      </c>
      <c r="G80" s="115">
        <v>5</v>
      </c>
      <c r="H80" s="115">
        <v>13</v>
      </c>
      <c r="I80" s="194">
        <v>18</v>
      </c>
      <c r="J80" s="116">
        <v>550084</v>
      </c>
      <c r="K80" s="116">
        <v>1828047</v>
      </c>
      <c r="L80" s="116">
        <v>44060</v>
      </c>
      <c r="M80" s="195">
        <v>4.7256497768443165E-3</v>
      </c>
      <c r="N80" s="195">
        <v>7.0486129076990289E-3</v>
      </c>
      <c r="O80" s="195">
        <v>2.5271858693685034E-2</v>
      </c>
      <c r="P80" s="195">
        <v>9.4717538798935177E-4</v>
      </c>
    </row>
    <row r="81" spans="1:16" ht="22.5" customHeight="1">
      <c r="A81" s="115">
        <v>40</v>
      </c>
      <c r="B81" s="115" t="s">
        <v>67</v>
      </c>
      <c r="C81" s="115" t="s">
        <v>14</v>
      </c>
      <c r="D81" s="115" t="s">
        <v>667</v>
      </c>
      <c r="E81" s="98" t="s">
        <v>781</v>
      </c>
      <c r="F81" s="115" t="s">
        <v>476</v>
      </c>
      <c r="G81" s="115">
        <v>6</v>
      </c>
      <c r="H81" s="115">
        <v>11</v>
      </c>
      <c r="I81" s="194">
        <v>17</v>
      </c>
      <c r="J81" s="116">
        <v>742768</v>
      </c>
      <c r="K81" s="116">
        <v>1960481</v>
      </c>
      <c r="L81" s="116">
        <v>45012</v>
      </c>
      <c r="M81" s="195">
        <v>4.4631136781307429E-3</v>
      </c>
      <c r="N81" s="195">
        <v>9.517608423851253E-3</v>
      </c>
      <c r="O81" s="195">
        <v>2.7102694188745877E-2</v>
      </c>
      <c r="P81" s="195">
        <v>9.6764091157913528E-4</v>
      </c>
    </row>
    <row r="82" spans="1:16" ht="22.5" customHeight="1">
      <c r="A82" s="115">
        <v>46</v>
      </c>
      <c r="B82" s="115" t="s">
        <v>67</v>
      </c>
      <c r="C82" s="115" t="s">
        <v>14</v>
      </c>
      <c r="D82" s="115" t="s">
        <v>7</v>
      </c>
      <c r="E82" s="98" t="s">
        <v>85</v>
      </c>
      <c r="F82" s="115" t="s">
        <v>483</v>
      </c>
      <c r="G82" s="115">
        <v>4</v>
      </c>
      <c r="H82" s="115">
        <v>11</v>
      </c>
      <c r="I82" s="194">
        <v>15</v>
      </c>
      <c r="J82" s="116">
        <v>514640</v>
      </c>
      <c r="K82" s="116">
        <v>1331323</v>
      </c>
      <c r="L82" s="116">
        <v>119845</v>
      </c>
      <c r="M82" s="195">
        <v>6.8997240110395585E-3</v>
      </c>
      <c r="N82" s="195">
        <v>7.1228064056539564E-3</v>
      </c>
      <c r="O82" s="195">
        <v>1.7067457392635748E-2</v>
      </c>
      <c r="P82" s="195">
        <v>2.5385692755315794E-3</v>
      </c>
    </row>
    <row r="83" spans="1:16" ht="22.5" customHeight="1">
      <c r="A83" s="115">
        <v>94</v>
      </c>
      <c r="B83" s="115" t="s">
        <v>11</v>
      </c>
      <c r="C83" s="115" t="s">
        <v>10</v>
      </c>
      <c r="D83" s="115" t="s">
        <v>7</v>
      </c>
      <c r="E83" s="98" t="s">
        <v>934</v>
      </c>
      <c r="F83" s="115" t="s">
        <v>483</v>
      </c>
      <c r="G83" s="115">
        <v>0</v>
      </c>
      <c r="H83" s="115">
        <v>14</v>
      </c>
      <c r="I83" s="194">
        <v>14</v>
      </c>
      <c r="J83" s="116">
        <v>94117</v>
      </c>
      <c r="K83" s="116">
        <v>1759005</v>
      </c>
      <c r="L83" s="116">
        <v>1828806</v>
      </c>
      <c r="M83" s="195">
        <v>6.439742410303588E-3</v>
      </c>
      <c r="N83" s="195">
        <v>1.3026138086447486E-3</v>
      </c>
      <c r="O83" s="195">
        <v>2.2550307394173498E-2</v>
      </c>
      <c r="P83" s="195">
        <v>3.8737959218221915E-2</v>
      </c>
    </row>
    <row r="84" spans="1:16" ht="22.5" customHeight="1">
      <c r="A84" s="115">
        <v>71</v>
      </c>
      <c r="B84" s="115" t="s">
        <v>67</v>
      </c>
      <c r="C84" s="115" t="s">
        <v>14</v>
      </c>
      <c r="D84" s="115" t="s">
        <v>7</v>
      </c>
      <c r="E84" s="98" t="s">
        <v>123</v>
      </c>
      <c r="F84" s="115" t="s">
        <v>483</v>
      </c>
      <c r="G84" s="115">
        <v>1</v>
      </c>
      <c r="H84" s="115">
        <v>11</v>
      </c>
      <c r="I84" s="194">
        <v>12</v>
      </c>
      <c r="J84" s="116">
        <v>541817</v>
      </c>
      <c r="K84" s="116">
        <v>1743059</v>
      </c>
      <c r="L84" s="116">
        <v>102456</v>
      </c>
      <c r="M84" s="195">
        <v>5.5197792088316471E-3</v>
      </c>
      <c r="N84" s="195">
        <v>7.4989460560628976E-3</v>
      </c>
      <c r="O84" s="195">
        <v>2.2345880913459973E-2</v>
      </c>
      <c r="P84" s="195">
        <v>2.1702336659340273E-3</v>
      </c>
    </row>
    <row r="85" spans="1:16" ht="22.5" customHeight="1">
      <c r="A85" s="115">
        <v>43</v>
      </c>
      <c r="B85" s="115" t="s">
        <v>67</v>
      </c>
      <c r="C85" s="115" t="s">
        <v>62</v>
      </c>
      <c r="D85" s="115" t="s">
        <v>7</v>
      </c>
      <c r="E85" s="98" t="s">
        <v>88</v>
      </c>
      <c r="F85" s="115" t="s">
        <v>483</v>
      </c>
      <c r="G85" s="115">
        <v>5</v>
      </c>
      <c r="H85" s="115">
        <v>5</v>
      </c>
      <c r="I85" s="194">
        <v>10</v>
      </c>
      <c r="J85" s="116">
        <v>397188</v>
      </c>
      <c r="K85" s="116">
        <v>1563835</v>
      </c>
      <c r="L85" s="116">
        <v>37663</v>
      </c>
      <c r="M85" s="195">
        <v>4.5998160073597054E-3</v>
      </c>
      <c r="N85" s="195">
        <v>5.4972276361123958E-3</v>
      </c>
      <c r="O85" s="195">
        <v>2.0048243162337408E-2</v>
      </c>
      <c r="P85" s="195">
        <v>7.9778158975631747E-4</v>
      </c>
    </row>
    <row r="86" spans="1:16" ht="22.5" customHeight="1">
      <c r="A86" s="115">
        <v>72</v>
      </c>
      <c r="B86" s="115" t="s">
        <v>67</v>
      </c>
      <c r="C86" s="115" t="s">
        <v>794</v>
      </c>
      <c r="D86" s="115" t="s">
        <v>667</v>
      </c>
      <c r="E86" s="98" t="s">
        <v>978</v>
      </c>
      <c r="F86" s="115" t="s">
        <v>476</v>
      </c>
      <c r="G86" s="115">
        <v>1</v>
      </c>
      <c r="H86" s="115">
        <v>9</v>
      </c>
      <c r="I86" s="194">
        <v>10</v>
      </c>
      <c r="J86" s="116">
        <v>340633</v>
      </c>
      <c r="K86" s="116">
        <v>881289</v>
      </c>
      <c r="L86" s="116">
        <v>32462</v>
      </c>
      <c r="M86" s="195">
        <v>2.625360987135731E-3</v>
      </c>
      <c r="N86" s="195">
        <v>4.3647700361912787E-3</v>
      </c>
      <c r="O86" s="195">
        <v>1.2183390840771047E-2</v>
      </c>
      <c r="P86" s="195">
        <v>6.9784855753314426E-4</v>
      </c>
    </row>
    <row r="87" spans="1:16" ht="22.5" customHeight="1">
      <c r="A87" s="115">
        <v>73</v>
      </c>
      <c r="B87" s="115" t="s">
        <v>67</v>
      </c>
      <c r="C87" s="115" t="s">
        <v>14</v>
      </c>
      <c r="D87" s="115" t="s">
        <v>667</v>
      </c>
      <c r="E87" s="98" t="s">
        <v>979</v>
      </c>
      <c r="F87" s="115" t="s">
        <v>476</v>
      </c>
      <c r="G87" s="115">
        <v>1</v>
      </c>
      <c r="H87" s="115">
        <v>9</v>
      </c>
      <c r="I87" s="194">
        <v>10</v>
      </c>
      <c r="J87" s="116">
        <v>75938</v>
      </c>
      <c r="K87" s="116">
        <v>450918</v>
      </c>
      <c r="L87" s="116">
        <v>29608</v>
      </c>
      <c r="M87" s="195">
        <v>2.625360987135731E-3</v>
      </c>
      <c r="N87" s="195">
        <v>9.7304696552680833E-4</v>
      </c>
      <c r="O87" s="195">
        <v>6.2337215500690461E-3</v>
      </c>
      <c r="P87" s="195">
        <v>6.3649498156125115E-4</v>
      </c>
    </row>
    <row r="88" spans="1:16" ht="22.5" customHeight="1">
      <c r="A88" s="115">
        <v>95</v>
      </c>
      <c r="B88" s="115" t="s">
        <v>67</v>
      </c>
      <c r="C88" s="115" t="s">
        <v>14</v>
      </c>
      <c r="D88" s="115" t="s">
        <v>7</v>
      </c>
      <c r="E88" s="98" t="s">
        <v>954</v>
      </c>
      <c r="F88" s="115" t="s">
        <v>483</v>
      </c>
      <c r="G88" s="115">
        <v>0</v>
      </c>
      <c r="H88" s="115">
        <v>10</v>
      </c>
      <c r="I88" s="194">
        <v>10</v>
      </c>
      <c r="J88" s="116">
        <v>691874</v>
      </c>
      <c r="K88" s="116">
        <v>1786941</v>
      </c>
      <c r="L88" s="116">
        <v>107990</v>
      </c>
      <c r="M88" s="195">
        <v>4.5998160073597054E-3</v>
      </c>
      <c r="N88" s="195">
        <v>9.575789987380354E-3</v>
      </c>
      <c r="O88" s="195">
        <v>2.2908444743051773E-2</v>
      </c>
      <c r="P88" s="195">
        <v>2.2874554304698172E-3</v>
      </c>
    </row>
    <row r="89" spans="1:16" ht="22.5" customHeight="1">
      <c r="A89" s="115">
        <v>50</v>
      </c>
      <c r="B89" s="115" t="s">
        <v>67</v>
      </c>
      <c r="C89" s="115" t="s">
        <v>14</v>
      </c>
      <c r="D89" s="115" t="s">
        <v>7</v>
      </c>
      <c r="E89" s="98" t="s">
        <v>93</v>
      </c>
      <c r="F89" s="115" t="s">
        <v>483</v>
      </c>
      <c r="G89" s="115">
        <v>3</v>
      </c>
      <c r="H89" s="115">
        <v>5</v>
      </c>
      <c r="I89" s="194">
        <v>8</v>
      </c>
      <c r="J89" s="116">
        <v>450382</v>
      </c>
      <c r="K89" s="116">
        <v>2226512</v>
      </c>
      <c r="L89" s="116">
        <v>61279</v>
      </c>
      <c r="M89" s="195">
        <v>3.6798528058877645E-3</v>
      </c>
      <c r="N89" s="195">
        <v>6.2334521113618065E-3</v>
      </c>
      <c r="O89" s="195">
        <v>2.854371080060376E-2</v>
      </c>
      <c r="P89" s="195">
        <v>1.2980181620868593E-3</v>
      </c>
    </row>
    <row r="90" spans="1:16" ht="22.5" customHeight="1">
      <c r="A90" s="115">
        <v>74</v>
      </c>
      <c r="B90" s="115" t="s">
        <v>67</v>
      </c>
      <c r="C90" s="115" t="s">
        <v>794</v>
      </c>
      <c r="D90" s="115" t="s">
        <v>667</v>
      </c>
      <c r="E90" s="98" t="s">
        <v>694</v>
      </c>
      <c r="F90" s="115" t="s">
        <v>476</v>
      </c>
      <c r="G90" s="115">
        <v>1</v>
      </c>
      <c r="H90" s="115">
        <v>7</v>
      </c>
      <c r="I90" s="194">
        <v>8</v>
      </c>
      <c r="J90" s="116">
        <v>233949</v>
      </c>
      <c r="K90" s="116">
        <v>1191468</v>
      </c>
      <c r="L90" s="116">
        <v>32226</v>
      </c>
      <c r="M90" s="195">
        <v>2.1002887897085851E-3</v>
      </c>
      <c r="N90" s="195">
        <v>2.9977529634442742E-3</v>
      </c>
      <c r="O90" s="195">
        <v>1.6471464319050617E-2</v>
      </c>
      <c r="P90" s="195">
        <v>6.9277517143315594E-4</v>
      </c>
    </row>
    <row r="91" spans="1:16" ht="22.5" customHeight="1">
      <c r="A91" s="115">
        <v>96</v>
      </c>
      <c r="B91" s="115" t="s">
        <v>67</v>
      </c>
      <c r="C91" s="115" t="s">
        <v>794</v>
      </c>
      <c r="D91" s="115" t="s">
        <v>667</v>
      </c>
      <c r="E91" s="98" t="s">
        <v>980</v>
      </c>
      <c r="F91" s="115" t="s">
        <v>476</v>
      </c>
      <c r="G91" s="115">
        <v>0</v>
      </c>
      <c r="H91" s="115">
        <v>8</v>
      </c>
      <c r="I91" s="194">
        <v>8</v>
      </c>
      <c r="J91" s="116">
        <v>215773</v>
      </c>
      <c r="K91" s="116">
        <v>810521</v>
      </c>
      <c r="L91" s="116">
        <v>43810</v>
      </c>
      <c r="M91" s="195">
        <v>2.1002887897085851E-3</v>
      </c>
      <c r="N91" s="195">
        <v>2.7648511008008642E-3</v>
      </c>
      <c r="O91" s="195">
        <v>1.1205057736625092E-2</v>
      </c>
      <c r="P91" s="195">
        <v>9.4180103830716064E-4</v>
      </c>
    </row>
    <row r="92" spans="1:16" ht="22.5" customHeight="1">
      <c r="A92" s="115">
        <v>75</v>
      </c>
      <c r="B92" s="115" t="s">
        <v>67</v>
      </c>
      <c r="C92" s="115" t="s">
        <v>14</v>
      </c>
      <c r="D92" s="115" t="s">
        <v>7</v>
      </c>
      <c r="E92" s="98" t="s">
        <v>981</v>
      </c>
      <c r="F92" s="115" t="s">
        <v>483</v>
      </c>
      <c r="G92" s="115">
        <v>1</v>
      </c>
      <c r="H92" s="115">
        <v>6</v>
      </c>
      <c r="I92" s="194">
        <v>7</v>
      </c>
      <c r="J92" s="116">
        <v>146774</v>
      </c>
      <c r="K92" s="116">
        <v>1518638</v>
      </c>
      <c r="L92" s="116">
        <v>32527</v>
      </c>
      <c r="M92" s="195">
        <v>3.219871205151794E-3</v>
      </c>
      <c r="N92" s="195">
        <v>2.0314060068853056E-3</v>
      </c>
      <c r="O92" s="195">
        <v>1.9468821134944386E-2</v>
      </c>
      <c r="P92" s="195">
        <v>6.8899030268443134E-4</v>
      </c>
    </row>
    <row r="93" spans="1:16" ht="22.5" customHeight="1">
      <c r="A93" s="115">
        <v>55</v>
      </c>
      <c r="B93" s="115" t="s">
        <v>67</v>
      </c>
      <c r="C93" s="115" t="s">
        <v>70</v>
      </c>
      <c r="D93" s="115" t="s">
        <v>7</v>
      </c>
      <c r="E93" s="98" t="s">
        <v>64</v>
      </c>
      <c r="F93" s="115" t="s">
        <v>483</v>
      </c>
      <c r="G93" s="115">
        <v>2</v>
      </c>
      <c r="H93" s="115">
        <v>4</v>
      </c>
      <c r="I93" s="194">
        <v>6</v>
      </c>
      <c r="J93" s="116">
        <v>479445</v>
      </c>
      <c r="K93" s="116">
        <v>1795978</v>
      </c>
      <c r="L93" s="116">
        <v>94180</v>
      </c>
      <c r="M93" s="195">
        <v>2.7598896044158236E-3</v>
      </c>
      <c r="N93" s="195">
        <v>6.6356946936863845E-3</v>
      </c>
      <c r="O93" s="195">
        <v>2.3024298380716898E-2</v>
      </c>
      <c r="P93" s="195">
        <v>1.9949305717348585E-3</v>
      </c>
    </row>
    <row r="94" spans="1:16" ht="22.5" customHeight="1">
      <c r="A94" s="115">
        <v>76</v>
      </c>
      <c r="B94" s="115" t="s">
        <v>67</v>
      </c>
      <c r="C94" s="115" t="s">
        <v>14</v>
      </c>
      <c r="D94" s="115" t="s">
        <v>667</v>
      </c>
      <c r="E94" s="98" t="s">
        <v>982</v>
      </c>
      <c r="F94" s="115" t="s">
        <v>476</v>
      </c>
      <c r="G94" s="115">
        <v>1</v>
      </c>
      <c r="H94" s="115">
        <v>5</v>
      </c>
      <c r="I94" s="194">
        <v>6</v>
      </c>
      <c r="J94" s="116">
        <v>292236</v>
      </c>
      <c r="K94" s="116">
        <v>2054194</v>
      </c>
      <c r="L94" s="116">
        <v>59985</v>
      </c>
      <c r="M94" s="195">
        <v>1.5752165922814387E-3</v>
      </c>
      <c r="N94" s="195">
        <v>3.7446252603135764E-3</v>
      </c>
      <c r="O94" s="195">
        <v>2.8398230733354034E-2</v>
      </c>
      <c r="P94" s="195">
        <v>1.2895214627449221E-3</v>
      </c>
    </row>
    <row r="95" spans="1:16" ht="22.5" customHeight="1">
      <c r="A95" s="115">
        <v>51</v>
      </c>
      <c r="B95" s="115" t="s">
        <v>67</v>
      </c>
      <c r="C95" s="115" t="s">
        <v>14</v>
      </c>
      <c r="D95" s="115" t="s">
        <v>7</v>
      </c>
      <c r="E95" s="98" t="s">
        <v>57</v>
      </c>
      <c r="F95" s="115" t="s">
        <v>483</v>
      </c>
      <c r="G95" s="115">
        <v>3</v>
      </c>
      <c r="H95" s="115">
        <v>2</v>
      </c>
      <c r="I95" s="194">
        <v>5</v>
      </c>
      <c r="J95" s="116">
        <v>447983</v>
      </c>
      <c r="K95" s="116">
        <v>2159825</v>
      </c>
      <c r="L95" s="116">
        <v>58948</v>
      </c>
      <c r="M95" s="195">
        <v>2.2999080036798527E-3</v>
      </c>
      <c r="N95" s="195">
        <v>6.2002490712421811E-3</v>
      </c>
      <c r="O95" s="195">
        <v>2.7688788643364159E-2</v>
      </c>
      <c r="P95" s="195">
        <v>1.2486426772417333E-3</v>
      </c>
    </row>
    <row r="96" spans="1:16" ht="22.5" customHeight="1">
      <c r="A96" s="115">
        <v>56</v>
      </c>
      <c r="B96" s="115" t="s">
        <v>67</v>
      </c>
      <c r="C96" s="115" t="s">
        <v>794</v>
      </c>
      <c r="D96" s="115" t="s">
        <v>7</v>
      </c>
      <c r="E96" s="98" t="s">
        <v>79</v>
      </c>
      <c r="F96" s="115" t="s">
        <v>483</v>
      </c>
      <c r="G96" s="115">
        <v>2</v>
      </c>
      <c r="H96" s="115">
        <v>2</v>
      </c>
      <c r="I96" s="194">
        <v>4</v>
      </c>
      <c r="J96" s="116">
        <v>295673</v>
      </c>
      <c r="K96" s="116">
        <v>1701699</v>
      </c>
      <c r="L96" s="116">
        <v>69263</v>
      </c>
      <c r="M96" s="195">
        <v>1.8399264029438822E-3</v>
      </c>
      <c r="N96" s="195">
        <v>4.0922227933680288E-3</v>
      </c>
      <c r="O96" s="195">
        <v>2.1815648927864129E-2</v>
      </c>
      <c r="P96" s="195">
        <v>1.4671360818652741E-3</v>
      </c>
    </row>
    <row r="97" spans="1:16" ht="22.5" customHeight="1">
      <c r="A97" s="115">
        <v>77</v>
      </c>
      <c r="B97" s="115" t="s">
        <v>67</v>
      </c>
      <c r="C97" s="115" t="s">
        <v>62</v>
      </c>
      <c r="D97" s="115" t="s">
        <v>7</v>
      </c>
      <c r="E97" s="98" t="s">
        <v>114</v>
      </c>
      <c r="F97" s="115" t="s">
        <v>483</v>
      </c>
      <c r="G97" s="115">
        <v>1</v>
      </c>
      <c r="H97" s="115">
        <v>3</v>
      </c>
      <c r="I97" s="194">
        <v>4</v>
      </c>
      <c r="J97" s="116">
        <v>238337</v>
      </c>
      <c r="K97" s="116">
        <v>1079894</v>
      </c>
      <c r="L97" s="116">
        <v>49256</v>
      </c>
      <c r="M97" s="195">
        <v>1.8399264029438822E-3</v>
      </c>
      <c r="N97" s="195">
        <v>3.2986715185456764E-3</v>
      </c>
      <c r="O97" s="195">
        <v>1.3844157153119856E-2</v>
      </c>
      <c r="P97" s="195">
        <v>1.0433457235227458E-3</v>
      </c>
    </row>
    <row r="98" spans="1:16" ht="22.5" hidden="1" customHeight="1">
      <c r="A98" s="115"/>
      <c r="B98" s="115" t="e">
        <f>VLOOKUP(C98,Lists!I:J,2,FALSE)</f>
        <v>#N/A</v>
      </c>
      <c r="C98" s="115" t="e">
        <f>VLOOKUP(E98,Lists!E:F,2,FALSE)</f>
        <v>#N/A</v>
      </c>
      <c r="D98" s="115"/>
      <c r="E98" s="98"/>
      <c r="F98" s="115"/>
      <c r="G98" s="115"/>
      <c r="H98" s="115"/>
      <c r="I98" s="194">
        <f t="shared" ref="I98:I103" si="0">SUM(G98:H98)</f>
        <v>0</v>
      </c>
      <c r="J98" s="116"/>
      <c r="K98" s="116"/>
      <c r="L98" s="116"/>
      <c r="M98" s="116"/>
      <c r="N98" s="116"/>
      <c r="O98" s="116"/>
      <c r="P98" s="116"/>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16"/>
      <c r="N99" s="116"/>
      <c r="O99" s="116"/>
      <c r="P99" s="116"/>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16"/>
      <c r="N100" s="116"/>
      <c r="O100" s="116"/>
      <c r="P100" s="116"/>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16"/>
      <c r="N101" s="116"/>
      <c r="O101" s="116"/>
      <c r="P101" s="116"/>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16"/>
      <c r="N102" s="116"/>
      <c r="O102" s="116"/>
      <c r="P102" s="116"/>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16"/>
      <c r="N103" s="116"/>
      <c r="O103" s="116"/>
      <c r="P103" s="116"/>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800-000000000000}">
      <formula1>#REF!</formula1>
    </dataValidation>
    <dataValidation type="list" allowBlank="1" sqref="F2:F103" xr:uid="{00000000-0002-0000-2800-000002000000}">
      <formula1>"Yellow,Red"</formula1>
    </dataValidation>
    <dataValidation type="custom" allowBlank="1" showDropDown="1" sqref="S4:T13 S17:T21 S25:T29 S33:T37 S41:T45 A2:A103 G2:L103" xr:uid="{00000000-0002-0000-2800-000003000000}">
      <formula1>AND(ISNUMBER(A2),(NOT(OR(NOT(ISERROR(DATEVALUE(A2))), AND(ISNUMBER(A2), LEFT(CELL("format", A2))="D")))))</formula1>
    </dataValidation>
    <dataValidation allowBlank="1" showDropDown="1" sqref="E2:E103" xr:uid="{00000000-0002-0000-2800-000004000000}"/>
  </dataValidations>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Z104"/>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3</v>
      </c>
      <c r="B2" s="115" t="s">
        <v>39</v>
      </c>
      <c r="C2" s="115" t="s">
        <v>32</v>
      </c>
      <c r="D2" s="115" t="s">
        <v>667</v>
      </c>
      <c r="E2" s="98" t="s">
        <v>86</v>
      </c>
      <c r="F2" s="115" t="s">
        <v>483</v>
      </c>
      <c r="G2" s="115">
        <v>55</v>
      </c>
      <c r="H2" s="115">
        <v>183</v>
      </c>
      <c r="I2" s="194">
        <v>238</v>
      </c>
      <c r="J2" s="116">
        <v>5890287</v>
      </c>
      <c r="K2" s="116">
        <v>978155</v>
      </c>
      <c r="L2" s="116">
        <v>0</v>
      </c>
      <c r="M2" s="195">
        <v>6.0116190957312451E-2</v>
      </c>
      <c r="N2" s="195">
        <v>7.9140757057184291E-2</v>
      </c>
      <c r="O2" s="195">
        <v>1.5564437300294007E-2</v>
      </c>
      <c r="P2" s="195">
        <v>0</v>
      </c>
      <c r="R2" s="232" t="s">
        <v>477</v>
      </c>
      <c r="S2" s="228"/>
      <c r="T2" s="228"/>
      <c r="V2" s="233" t="s">
        <v>478</v>
      </c>
      <c r="W2" s="228"/>
      <c r="X2" s="196"/>
      <c r="Y2" s="233" t="s">
        <v>479</v>
      </c>
      <c r="Z2" s="228"/>
    </row>
    <row r="3" spans="1:26" ht="22.5" customHeight="1">
      <c r="A3" s="115">
        <v>4</v>
      </c>
      <c r="B3" s="115" t="s">
        <v>39</v>
      </c>
      <c r="C3" s="115" t="s">
        <v>56</v>
      </c>
      <c r="D3" s="115" t="s">
        <v>667</v>
      </c>
      <c r="E3" s="98" t="s">
        <v>633</v>
      </c>
      <c r="F3" s="115" t="s">
        <v>483</v>
      </c>
      <c r="G3" s="115">
        <v>48</v>
      </c>
      <c r="H3" s="115">
        <v>168</v>
      </c>
      <c r="I3" s="194">
        <v>216</v>
      </c>
      <c r="J3" s="116">
        <v>4954435</v>
      </c>
      <c r="K3" s="116">
        <v>1415447</v>
      </c>
      <c r="L3" s="116">
        <v>381572</v>
      </c>
      <c r="M3" s="195">
        <v>5.4559232129325584E-2</v>
      </c>
      <c r="N3" s="195">
        <v>6.6566830562010113E-2</v>
      </c>
      <c r="O3" s="195">
        <v>2.2522643224631322E-2</v>
      </c>
      <c r="P3" s="195">
        <v>9.7782769324616676E-3</v>
      </c>
      <c r="R3" s="190" t="s">
        <v>482</v>
      </c>
      <c r="S3" s="222" t="s">
        <v>476</v>
      </c>
      <c r="T3" s="222" t="s">
        <v>483</v>
      </c>
      <c r="V3" s="199" t="s">
        <v>1</v>
      </c>
      <c r="W3" s="200" t="s">
        <v>467</v>
      </c>
      <c r="Y3" s="199" t="s">
        <v>1</v>
      </c>
      <c r="Z3" s="200" t="s">
        <v>484</v>
      </c>
    </row>
    <row r="4" spans="1:26" ht="22.5" customHeight="1">
      <c r="A4" s="115">
        <v>2</v>
      </c>
      <c r="B4" s="115" t="s">
        <v>39</v>
      </c>
      <c r="C4" s="115" t="s">
        <v>32</v>
      </c>
      <c r="D4" s="115" t="s">
        <v>667</v>
      </c>
      <c r="E4" s="98" t="s">
        <v>632</v>
      </c>
      <c r="F4" s="115" t="s">
        <v>483</v>
      </c>
      <c r="G4" s="115">
        <v>59</v>
      </c>
      <c r="H4" s="115">
        <v>145</v>
      </c>
      <c r="I4" s="194">
        <v>204</v>
      </c>
      <c r="J4" s="116">
        <v>4486406</v>
      </c>
      <c r="K4" s="116">
        <v>1419765</v>
      </c>
      <c r="L4" s="116">
        <v>0</v>
      </c>
      <c r="M4" s="195">
        <v>5.1528163677696387E-2</v>
      </c>
      <c r="N4" s="195">
        <v>6.0278483426341359E-2</v>
      </c>
      <c r="O4" s="195">
        <v>2.2591351394872918E-2</v>
      </c>
      <c r="P4" s="195">
        <v>0</v>
      </c>
      <c r="R4" s="223" t="s">
        <v>25</v>
      </c>
      <c r="S4" s="207">
        <f>COUNTIFS(Scoreboard_4[Role],R4,Scoreboard_4[Team],"Yellow")</f>
        <v>8</v>
      </c>
      <c r="T4" s="219">
        <f>COUNTIFS(Scoreboard_4[Role],R4,Scoreboard_4[Team],"Red")</f>
        <v>7</v>
      </c>
      <c r="V4" s="204" t="str">
        <f ca="1">IFERROR(__xludf.DUMMYFUNCTION("query(A1:P239, ""Select E,I where B!='Healer' Order by I Desc Limit 10"", 0)"),"Nsin")</f>
        <v>Nsin</v>
      </c>
      <c r="W4" s="116">
        <f ca="1">IFERROR(__xludf.DUMMYFUNCTION("""COMPUTED_VALUE"""),238)</f>
        <v>238</v>
      </c>
      <c r="Y4" s="204" t="str">
        <f ca="1">IFERROR(__xludf.DUMMYFUNCTION("query(A1:P239, ""Select E,J Order by J Desc Limit 10"", 0)"),"Adversed")</f>
        <v>Adversed</v>
      </c>
      <c r="Z4" s="116">
        <f ca="1">IFERROR(__xludf.DUMMYFUNCTION("""COMPUTED_VALUE"""),7373860)</f>
        <v>7373860</v>
      </c>
    </row>
    <row r="5" spans="1:26" ht="22.5" customHeight="1">
      <c r="A5" s="115">
        <v>1</v>
      </c>
      <c r="B5" s="115" t="s">
        <v>25</v>
      </c>
      <c r="C5" s="115" t="s">
        <v>24</v>
      </c>
      <c r="D5" s="115" t="s">
        <v>667</v>
      </c>
      <c r="E5" s="98" t="s">
        <v>983</v>
      </c>
      <c r="F5" s="115" t="s">
        <v>483</v>
      </c>
      <c r="G5" s="115">
        <v>62</v>
      </c>
      <c r="H5" s="115">
        <v>122</v>
      </c>
      <c r="I5" s="194">
        <v>184</v>
      </c>
      <c r="J5" s="116">
        <v>4397657</v>
      </c>
      <c r="K5" s="116">
        <v>1372828</v>
      </c>
      <c r="L5" s="116">
        <v>18472</v>
      </c>
      <c r="M5" s="195">
        <v>4.6476382924981054E-2</v>
      </c>
      <c r="N5" s="195">
        <v>5.9086069024790459E-2</v>
      </c>
      <c r="O5" s="195">
        <v>2.1844488174254613E-2</v>
      </c>
      <c r="P5" s="195">
        <v>4.7336893560437327E-4</v>
      </c>
      <c r="R5" s="223" t="s">
        <v>39</v>
      </c>
      <c r="S5" s="207">
        <f>COUNTIFS(Scoreboard_4[Role],R5,Scoreboard_4[Team],"Yellow")</f>
        <v>10</v>
      </c>
      <c r="T5" s="219">
        <f>COUNTIFS(Scoreboard_4[Role],R5,Scoreboard_4[Team],"Red")</f>
        <v>10</v>
      </c>
      <c r="V5" s="204" t="str">
        <f ca="1">IFERROR(__xludf.DUMMYFUNCTION("""COMPUTED_VALUE"""),"Levy1ng")</f>
        <v>Levy1ng</v>
      </c>
      <c r="W5" s="116">
        <f ca="1">IFERROR(__xludf.DUMMYFUNCTION("""COMPUTED_VALUE"""),216)</f>
        <v>216</v>
      </c>
      <c r="Y5" s="204" t="str">
        <f ca="1">IFERROR(__xludf.DUMMYFUNCTION("""COMPUTED_VALUE"""),"Nsin")</f>
        <v>Nsin</v>
      </c>
      <c r="Z5" s="116">
        <f ca="1">IFERROR(__xludf.DUMMYFUNCTION("""COMPUTED_VALUE"""),5890287)</f>
        <v>5890287</v>
      </c>
    </row>
    <row r="6" spans="1:26" ht="22.5" customHeight="1">
      <c r="A6" s="115">
        <v>14</v>
      </c>
      <c r="B6" s="115" t="s">
        <v>39</v>
      </c>
      <c r="C6" s="115" t="s">
        <v>32</v>
      </c>
      <c r="D6" s="115" t="s">
        <v>667</v>
      </c>
      <c r="E6" s="98" t="s">
        <v>672</v>
      </c>
      <c r="F6" s="115" t="s">
        <v>483</v>
      </c>
      <c r="G6" s="115">
        <v>31</v>
      </c>
      <c r="H6" s="115">
        <v>123</v>
      </c>
      <c r="I6" s="194">
        <v>154</v>
      </c>
      <c r="J6" s="116">
        <v>3580732</v>
      </c>
      <c r="K6" s="116">
        <v>1294629</v>
      </c>
      <c r="L6" s="116">
        <v>11012</v>
      </c>
      <c r="M6" s="195">
        <v>3.8898711795908057E-2</v>
      </c>
      <c r="N6" s="195">
        <v>4.8110022703288589E-2</v>
      </c>
      <c r="O6" s="195">
        <v>2.0600182892938572E-2</v>
      </c>
      <c r="P6" s="195">
        <v>2.8219676910325674E-4</v>
      </c>
      <c r="R6" s="223" t="s">
        <v>67</v>
      </c>
      <c r="S6" s="207">
        <f>COUNTIFS(Scoreboard_4[Role],R6,Scoreboard_4[Team],"Yellow")</f>
        <v>14</v>
      </c>
      <c r="T6" s="219">
        <f>COUNTIFS(Scoreboard_4[Role],R6,Scoreboard_4[Team],"Red")</f>
        <v>15</v>
      </c>
      <c r="V6" s="204" t="str">
        <f ca="1">IFERROR(__xludf.DUMMYFUNCTION("""COMPUTED_VALUE"""),"BBlast")</f>
        <v>BBlast</v>
      </c>
      <c r="W6" s="116">
        <f ca="1">IFERROR(__xludf.DUMMYFUNCTION("""COMPUTED_VALUE"""),204)</f>
        <v>204</v>
      </c>
      <c r="Y6" s="204" t="str">
        <f ca="1">IFERROR(__xludf.DUMMYFUNCTION("""COMPUTED_VALUE"""),"Levy1ng")</f>
        <v>Levy1ng</v>
      </c>
      <c r="Z6" s="116">
        <f ca="1">IFERROR(__xludf.DUMMYFUNCTION("""COMPUTED_VALUE"""),4954435)</f>
        <v>4954435</v>
      </c>
    </row>
    <row r="7" spans="1:26" ht="22.5" customHeight="1">
      <c r="A7" s="115">
        <v>9</v>
      </c>
      <c r="B7" s="115" t="s">
        <v>25</v>
      </c>
      <c r="C7" s="115" t="s">
        <v>23</v>
      </c>
      <c r="D7" s="115" t="s">
        <v>667</v>
      </c>
      <c r="E7" s="98" t="s">
        <v>669</v>
      </c>
      <c r="F7" s="115" t="s">
        <v>483</v>
      </c>
      <c r="G7" s="115">
        <v>39</v>
      </c>
      <c r="H7" s="115">
        <v>114</v>
      </c>
      <c r="I7" s="194">
        <v>153</v>
      </c>
      <c r="J7" s="116">
        <v>4103820</v>
      </c>
      <c r="K7" s="116">
        <v>2366538</v>
      </c>
      <c r="L7" s="116">
        <v>34663</v>
      </c>
      <c r="M7" s="195">
        <v>3.864612275827229E-2</v>
      </c>
      <c r="N7" s="195">
        <v>5.5138131915544022E-2</v>
      </c>
      <c r="O7" s="195">
        <v>3.7656437190182718E-2</v>
      </c>
      <c r="P7" s="195">
        <v>8.8828429053997352E-4</v>
      </c>
      <c r="R7" s="223" t="s">
        <v>11</v>
      </c>
      <c r="S7" s="207">
        <f>COUNTIFS(Scoreboard_4[Role],R7,Scoreboard_4[Team],"Yellow")</f>
        <v>16</v>
      </c>
      <c r="T7" s="219">
        <f>COUNTIFS(Scoreboard_4[Role],R7,Scoreboard_4[Team],"Red")</f>
        <v>16</v>
      </c>
      <c r="V7" s="204" t="str">
        <f ca="1">IFERROR(__xludf.DUMMYFUNCTION("""COMPUTED_VALUE"""),"Cooterãƒ¡")</f>
        <v>Cooterãƒ¡</v>
      </c>
      <c r="W7" s="116">
        <f ca="1">IFERROR(__xludf.DUMMYFUNCTION("""COMPUTED_VALUE"""),184)</f>
        <v>184</v>
      </c>
      <c r="Y7" s="204" t="str">
        <f ca="1">IFERROR(__xludf.DUMMYFUNCTION("""COMPUTED_VALUE"""),"CLEM*")</f>
        <v>CLEM*</v>
      </c>
      <c r="Z7" s="116">
        <f ca="1">IFERROR(__xludf.DUMMYFUNCTION("""COMPUTED_VALUE"""),4675014)</f>
        <v>4675014</v>
      </c>
    </row>
    <row r="8" spans="1:26" ht="22.5" customHeight="1">
      <c r="A8" s="115">
        <v>6</v>
      </c>
      <c r="B8" s="115" t="s">
        <v>39</v>
      </c>
      <c r="C8" s="115" t="s">
        <v>32</v>
      </c>
      <c r="D8" s="115" t="s">
        <v>667</v>
      </c>
      <c r="E8" s="98" t="s">
        <v>984</v>
      </c>
      <c r="F8" s="115" t="s">
        <v>483</v>
      </c>
      <c r="G8" s="115">
        <v>45</v>
      </c>
      <c r="H8" s="115">
        <v>108</v>
      </c>
      <c r="I8" s="194">
        <v>153</v>
      </c>
      <c r="J8" s="116">
        <v>3519985</v>
      </c>
      <c r="K8" s="116">
        <v>1574721</v>
      </c>
      <c r="L8" s="116">
        <v>9427</v>
      </c>
      <c r="M8" s="195">
        <v>3.864612275827229E-2</v>
      </c>
      <c r="N8" s="195">
        <v>4.7293837758658086E-2</v>
      </c>
      <c r="O8" s="195">
        <v>2.5057016801995877E-2</v>
      </c>
      <c r="P8" s="195">
        <v>2.4157909029571387E-4</v>
      </c>
      <c r="R8" s="223" t="s">
        <v>468</v>
      </c>
      <c r="S8" s="207">
        <f>SUMIFS(Scoreboard_4[Damage Dealt],Scoreboard_4[Team],"Yellow")</f>
        <v>62860867</v>
      </c>
      <c r="T8" s="219">
        <f>SUMIFS(Scoreboard_4[Damage Dealt],Scoreboard_4[Team],"Red")</f>
        <v>74427984</v>
      </c>
      <c r="V8" s="204" t="str">
        <f ca="1">IFERROR(__xludf.DUMMYFUNCTION("""COMPUTED_VALUE"""),"Crypticx")</f>
        <v>Crypticx</v>
      </c>
      <c r="W8" s="116">
        <f ca="1">IFERROR(__xludf.DUMMYFUNCTION("""COMPUTED_VALUE"""),154)</f>
        <v>154</v>
      </c>
      <c r="Y8" s="204" t="str">
        <f ca="1">IFERROR(__xludf.DUMMYFUNCTION("""COMPUTED_VALUE"""),"BBlast")</f>
        <v>BBlast</v>
      </c>
      <c r="Z8" s="116">
        <f ca="1">IFERROR(__xludf.DUMMYFUNCTION("""COMPUTED_VALUE"""),4486406)</f>
        <v>4486406</v>
      </c>
    </row>
    <row r="9" spans="1:26" ht="22.5" customHeight="1">
      <c r="A9" s="115">
        <v>17</v>
      </c>
      <c r="B9" s="115" t="s">
        <v>25</v>
      </c>
      <c r="C9" s="115" t="s">
        <v>23</v>
      </c>
      <c r="D9" s="115" t="s">
        <v>667</v>
      </c>
      <c r="E9" s="98" t="s">
        <v>985</v>
      </c>
      <c r="F9" s="115" t="s">
        <v>483</v>
      </c>
      <c r="G9" s="115">
        <v>26</v>
      </c>
      <c r="H9" s="115">
        <v>109</v>
      </c>
      <c r="I9" s="194">
        <v>135</v>
      </c>
      <c r="J9" s="116">
        <v>3963849</v>
      </c>
      <c r="K9" s="116">
        <v>2299557</v>
      </c>
      <c r="L9" s="116">
        <v>119757</v>
      </c>
      <c r="M9" s="195">
        <v>3.4099520080828491E-2</v>
      </c>
      <c r="N9" s="195">
        <v>5.3257508627400148E-2</v>
      </c>
      <c r="O9" s="195">
        <v>3.6590633125580488E-2</v>
      </c>
      <c r="P9" s="195">
        <v>3.0689283034415833E-3</v>
      </c>
      <c r="R9" s="223" t="s">
        <v>470</v>
      </c>
      <c r="S9" s="207">
        <f>SUMIFS(Scoreboard_4[Amount Healed],Scoreboard_4[Team],"Yellow")</f>
        <v>43371964</v>
      </c>
      <c r="T9" s="219">
        <f>SUMIFS(Scoreboard_4[Amount Healed],Scoreboard_4[Team],"Red")</f>
        <v>39022417</v>
      </c>
      <c r="V9" s="204" t="str">
        <f ca="1">IFERROR(__xludf.DUMMYFUNCTION("""COMPUTED_VALUE"""),"Cygg")</f>
        <v>Cygg</v>
      </c>
      <c r="W9" s="116">
        <f ca="1">IFERROR(__xludf.DUMMYFUNCTION("""COMPUTED_VALUE"""),153)</f>
        <v>153</v>
      </c>
      <c r="Y9" s="204" t="str">
        <f ca="1">IFERROR(__xludf.DUMMYFUNCTION("""COMPUTED_VALUE"""),"Cooterãƒ¡")</f>
        <v>Cooterãƒ¡</v>
      </c>
      <c r="Z9" s="116">
        <f ca="1">IFERROR(__xludf.DUMMYFUNCTION("""COMPUTED_VALUE"""),4397657)</f>
        <v>4397657</v>
      </c>
    </row>
    <row r="10" spans="1:26" ht="22.5" customHeight="1">
      <c r="A10" s="115">
        <v>10</v>
      </c>
      <c r="B10" s="115" t="s">
        <v>25</v>
      </c>
      <c r="C10" s="115" t="s">
        <v>23</v>
      </c>
      <c r="D10" s="115" t="s">
        <v>667</v>
      </c>
      <c r="E10" s="98" t="s">
        <v>678</v>
      </c>
      <c r="F10" s="115" t="s">
        <v>483</v>
      </c>
      <c r="G10" s="115">
        <v>37</v>
      </c>
      <c r="H10" s="115">
        <v>90</v>
      </c>
      <c r="I10" s="194">
        <v>127</v>
      </c>
      <c r="J10" s="116">
        <v>3443459</v>
      </c>
      <c r="K10" s="116">
        <v>1871689</v>
      </c>
      <c r="L10" s="116">
        <v>94585</v>
      </c>
      <c r="M10" s="195">
        <v>3.2078807779742362E-2</v>
      </c>
      <c r="N10" s="195">
        <v>4.6265649221400383E-2</v>
      </c>
      <c r="O10" s="195">
        <v>2.9782382225874211E-2</v>
      </c>
      <c r="P10" s="195">
        <v>2.4238631861270921E-3</v>
      </c>
      <c r="R10" s="223" t="s">
        <v>469</v>
      </c>
      <c r="S10" s="207">
        <f>SUMIFS(Scoreboard_4[Damage Taken],Scoreboard_4[Team],"Yellow")</f>
        <v>74383341</v>
      </c>
      <c r="T10" s="219">
        <f>SUMIFS(Scoreboard_4[Damage Taken],Scoreboard_4[Team],"Red")</f>
        <v>62845510</v>
      </c>
      <c r="V10" s="204" t="str">
        <f ca="1">IFERROR(__xludf.DUMMYFUNCTION("""COMPUTED_VALUE"""),"Dhakoãƒ„")</f>
        <v>Dhakoãƒ„</v>
      </c>
      <c r="W10" s="116">
        <f ca="1">IFERROR(__xludf.DUMMYFUNCTION("""COMPUTED_VALUE"""),153)</f>
        <v>153</v>
      </c>
      <c r="Y10" s="204" t="str">
        <f ca="1">IFERROR(__xludf.DUMMYFUNCTION("""COMPUTED_VALUE"""),"Regalians")</f>
        <v>Regalians</v>
      </c>
      <c r="Z10" s="116">
        <f ca="1">IFERROR(__xludf.DUMMYFUNCTION("""COMPUTED_VALUE"""),4300878)</f>
        <v>4300878</v>
      </c>
    </row>
    <row r="11" spans="1:26" ht="22.5" customHeight="1">
      <c r="A11" s="115">
        <v>13</v>
      </c>
      <c r="B11" s="115" t="s">
        <v>39</v>
      </c>
      <c r="C11" s="115" t="s">
        <v>45</v>
      </c>
      <c r="D11" s="115" t="s">
        <v>667</v>
      </c>
      <c r="E11" s="98" t="s">
        <v>670</v>
      </c>
      <c r="F11" s="115" t="s">
        <v>483</v>
      </c>
      <c r="G11" s="115">
        <v>33</v>
      </c>
      <c r="H11" s="115">
        <v>94</v>
      </c>
      <c r="I11" s="194">
        <v>127</v>
      </c>
      <c r="J11" s="116">
        <v>3394255</v>
      </c>
      <c r="K11" s="116">
        <v>1243162</v>
      </c>
      <c r="L11" s="116">
        <v>55859</v>
      </c>
      <c r="M11" s="195">
        <v>3.2078807779742362E-2</v>
      </c>
      <c r="N11" s="195">
        <v>4.5604553792562758E-2</v>
      </c>
      <c r="O11" s="195">
        <v>1.9781238150505899E-2</v>
      </c>
      <c r="P11" s="195">
        <v>1.4314592558426096E-3</v>
      </c>
      <c r="R11" s="223" t="s">
        <v>495</v>
      </c>
      <c r="S11" s="207">
        <f ca="1">IFERROR(DIVIDE(SUMIFS(Scoreboard_4[Amount Healed],Scoreboard_4[Team],"Yellow"), SUMIFS(Scoreboard_4[Damage Taken],Scoreboard_4[Team],"Yellow"))*(100),0)</f>
        <v>0</v>
      </c>
      <c r="T11" s="219">
        <f ca="1">IFERROR(DIVIDE(SUMIFS(Scoreboard_4[Amount Healed],Scoreboard_4[Team],"Red"), SUMIFS(Scoreboard_4[Damage Taken],Scoreboard_4[Team],"Red"))*(100),0)</f>
        <v>0</v>
      </c>
      <c r="V11" s="204" t="str">
        <f ca="1">IFERROR(__xludf.DUMMYFUNCTION("""COMPUTED_VALUE"""),"Kunaãƒ„")</f>
        <v>Kunaãƒ„</v>
      </c>
      <c r="W11" s="116">
        <f ca="1">IFERROR(__xludf.DUMMYFUNCTION("""COMPUTED_VALUE"""),135)</f>
        <v>135</v>
      </c>
      <c r="Y11" s="204" t="str">
        <f ca="1">IFERROR(__xludf.DUMMYFUNCTION("""COMPUTED_VALUE"""),"Cygg")</f>
        <v>Cygg</v>
      </c>
      <c r="Z11" s="116">
        <f ca="1">IFERROR(__xludf.DUMMYFUNCTION("""COMPUTED_VALUE"""),4103820)</f>
        <v>4103820</v>
      </c>
    </row>
    <row r="12" spans="1:26" ht="22.5" customHeight="1">
      <c r="A12" s="115">
        <v>12</v>
      </c>
      <c r="B12" s="115" t="s">
        <v>39</v>
      </c>
      <c r="C12" s="115" t="s">
        <v>45</v>
      </c>
      <c r="D12" s="115" t="s">
        <v>667</v>
      </c>
      <c r="E12" s="98" t="s">
        <v>673</v>
      </c>
      <c r="F12" s="115" t="s">
        <v>483</v>
      </c>
      <c r="G12" s="115">
        <v>35</v>
      </c>
      <c r="H12" s="115">
        <v>91</v>
      </c>
      <c r="I12" s="194">
        <v>126</v>
      </c>
      <c r="J12" s="116">
        <v>2910579</v>
      </c>
      <c r="K12" s="116">
        <v>1336424</v>
      </c>
      <c r="L12" s="116">
        <v>58082</v>
      </c>
      <c r="M12" s="195">
        <v>3.1826218742106595E-2</v>
      </c>
      <c r="N12" s="195">
        <v>3.9105976590740388E-2</v>
      </c>
      <c r="O12" s="195">
        <v>2.1265226425881498E-2</v>
      </c>
      <c r="P12" s="195">
        <v>1.4884265113562802E-3</v>
      </c>
      <c r="R12" s="223" t="s">
        <v>465</v>
      </c>
      <c r="S12" s="207">
        <f>SUMIFS(Scoreboard_4[Kills],Scoreboard_4[Team],"Yellow")</f>
        <v>343</v>
      </c>
      <c r="T12" s="219">
        <f>SUMIFS(Scoreboard_4[Kills],Scoreboard_4[Team],"Red")</f>
        <v>765</v>
      </c>
      <c r="V12" s="204" t="str">
        <f ca="1">IFERROR(__xludf.DUMMYFUNCTION("""COMPUTED_VALUE"""),"Stigmates")</f>
        <v>Stigmates</v>
      </c>
      <c r="W12" s="116">
        <f ca="1">IFERROR(__xludf.DUMMYFUNCTION("""COMPUTED_VALUE"""),127)</f>
        <v>127</v>
      </c>
      <c r="Y12" s="204" t="str">
        <f ca="1">IFERROR(__xludf.DUMMYFUNCTION("""COMPUTED_VALUE"""),"Kunaãƒ„")</f>
        <v>Kunaãƒ„</v>
      </c>
      <c r="Z12" s="116">
        <f ca="1">IFERROR(__xludf.DUMMYFUNCTION("""COMPUTED_VALUE"""),3963849)</f>
        <v>3963849</v>
      </c>
    </row>
    <row r="13" spans="1:26" ht="22.5" customHeight="1">
      <c r="A13" s="115">
        <v>11</v>
      </c>
      <c r="B13" s="115" t="s">
        <v>39</v>
      </c>
      <c r="C13" s="115" t="s">
        <v>63</v>
      </c>
      <c r="D13" s="115" t="s">
        <v>667</v>
      </c>
      <c r="E13" s="98" t="s">
        <v>700</v>
      </c>
      <c r="F13" s="115" t="s">
        <v>483</v>
      </c>
      <c r="G13" s="115">
        <v>36</v>
      </c>
      <c r="H13" s="115">
        <v>83</v>
      </c>
      <c r="I13" s="194">
        <v>119</v>
      </c>
      <c r="J13" s="116">
        <v>3781942</v>
      </c>
      <c r="K13" s="116">
        <v>1328875</v>
      </c>
      <c r="L13" s="116">
        <v>9159</v>
      </c>
      <c r="M13" s="195">
        <v>3.0058095478656226E-2</v>
      </c>
      <c r="N13" s="195">
        <v>5.0813441352919084E-2</v>
      </c>
      <c r="O13" s="195">
        <v>2.1145106468226607E-2</v>
      </c>
      <c r="P13" s="195">
        <v>2.3471124302730916E-4</v>
      </c>
      <c r="R13" s="223" t="s">
        <v>466</v>
      </c>
      <c r="S13" s="207">
        <f>SUMIFS(Scoreboard_4[Assists],Scoreboard_4[Team],"Yellow")</f>
        <v>1435</v>
      </c>
      <c r="T13" s="219">
        <f>SUMIFS(Scoreboard_4[Assists],Scoreboard_4[Team],"Red")</f>
        <v>3194</v>
      </c>
      <c r="V13" s="204" t="str">
        <f ca="1">IFERROR(__xludf.DUMMYFUNCTION("""COMPUTED_VALUE"""),"TechnoDroid")</f>
        <v>TechnoDroid</v>
      </c>
      <c r="W13" s="116">
        <f ca="1">IFERROR(__xludf.DUMMYFUNCTION("""COMPUTED_VALUE"""),127)</f>
        <v>127</v>
      </c>
      <c r="Y13" s="204" t="str">
        <f ca="1">IFERROR(__xludf.DUMMYFUNCTION("""COMPUTED_VALUE"""),"RosesAreRosie")</f>
        <v>RosesAreRosie</v>
      </c>
      <c r="Z13" s="116">
        <f ca="1">IFERROR(__xludf.DUMMYFUNCTION("""COMPUTED_VALUE"""),3941424)</f>
        <v>3941424</v>
      </c>
    </row>
    <row r="14" spans="1:26" ht="22.5" customHeight="1">
      <c r="A14" s="115">
        <v>7</v>
      </c>
      <c r="B14" s="115" t="s">
        <v>25</v>
      </c>
      <c r="C14" s="115" t="s">
        <v>24</v>
      </c>
      <c r="D14" s="115" t="s">
        <v>667</v>
      </c>
      <c r="E14" s="98" t="s">
        <v>986</v>
      </c>
      <c r="F14" s="115" t="s">
        <v>483</v>
      </c>
      <c r="G14" s="115">
        <v>41</v>
      </c>
      <c r="H14" s="115">
        <v>76</v>
      </c>
      <c r="I14" s="194">
        <v>117</v>
      </c>
      <c r="J14" s="116">
        <v>2776467</v>
      </c>
      <c r="K14" s="116">
        <v>1529920</v>
      </c>
      <c r="L14" s="116">
        <v>25201</v>
      </c>
      <c r="M14" s="195">
        <v>2.9552917403384692E-2</v>
      </c>
      <c r="N14" s="195">
        <v>3.7304073693572033E-2</v>
      </c>
      <c r="O14" s="195">
        <v>2.4344141689676798E-2</v>
      </c>
      <c r="P14" s="195">
        <v>6.4580827989204259E-4</v>
      </c>
    </row>
    <row r="15" spans="1:26" ht="22.5" customHeight="1">
      <c r="A15" s="115">
        <v>18</v>
      </c>
      <c r="B15" s="115" t="s">
        <v>39</v>
      </c>
      <c r="C15" s="115" t="s">
        <v>32</v>
      </c>
      <c r="D15" s="115" t="s">
        <v>7</v>
      </c>
      <c r="E15" s="98" t="s">
        <v>842</v>
      </c>
      <c r="F15" s="115" t="s">
        <v>476</v>
      </c>
      <c r="G15" s="115">
        <v>26</v>
      </c>
      <c r="H15" s="115">
        <v>89</v>
      </c>
      <c r="I15" s="194">
        <v>115</v>
      </c>
      <c r="J15" s="116">
        <v>7373860</v>
      </c>
      <c r="K15" s="116">
        <v>1762502</v>
      </c>
      <c r="L15" s="116">
        <v>14935</v>
      </c>
      <c r="M15" s="195">
        <v>6.4679415073115865E-2</v>
      </c>
      <c r="N15" s="195">
        <v>0.11730445906831034</v>
      </c>
      <c r="O15" s="195">
        <v>2.3694848554866605E-2</v>
      </c>
      <c r="P15" s="195">
        <v>3.4434686886671765E-4</v>
      </c>
      <c r="R15" s="232" t="s">
        <v>25</v>
      </c>
      <c r="S15" s="228"/>
      <c r="T15" s="228"/>
      <c r="V15" s="233" t="s">
        <v>496</v>
      </c>
      <c r="W15" s="228"/>
      <c r="Y15" s="233" t="s">
        <v>497</v>
      </c>
      <c r="Z15" s="228"/>
    </row>
    <row r="16" spans="1:26" ht="22.5" customHeight="1">
      <c r="A16" s="115">
        <v>5</v>
      </c>
      <c r="B16" s="115" t="s">
        <v>25</v>
      </c>
      <c r="C16" s="115" t="s">
        <v>69</v>
      </c>
      <c r="D16" s="115" t="s">
        <v>667</v>
      </c>
      <c r="E16" s="98" t="s">
        <v>987</v>
      </c>
      <c r="F16" s="115" t="s">
        <v>483</v>
      </c>
      <c r="G16" s="115">
        <v>48</v>
      </c>
      <c r="H16" s="115">
        <v>67</v>
      </c>
      <c r="I16" s="194">
        <v>115</v>
      </c>
      <c r="J16" s="116">
        <v>2746348</v>
      </c>
      <c r="K16" s="116">
        <v>1453684</v>
      </c>
      <c r="L16" s="116">
        <v>9278</v>
      </c>
      <c r="M16" s="195">
        <v>2.9047739328113161E-2</v>
      </c>
      <c r="N16" s="195">
        <v>3.6899400634041089E-2</v>
      </c>
      <c r="O16" s="195">
        <v>2.3131071734480316E-2</v>
      </c>
      <c r="P16" s="195">
        <v>2.3776077222484706E-4</v>
      </c>
      <c r="R16" s="190" t="s">
        <v>482</v>
      </c>
      <c r="S16" s="222" t="s">
        <v>476</v>
      </c>
      <c r="T16" s="222" t="s">
        <v>483</v>
      </c>
      <c r="V16" s="199" t="s">
        <v>1</v>
      </c>
      <c r="W16" s="200" t="s">
        <v>498</v>
      </c>
      <c r="Y16" s="199" t="s">
        <v>1</v>
      </c>
      <c r="Z16" s="200" t="s">
        <v>499</v>
      </c>
    </row>
    <row r="17" spans="1:26" ht="22.5" customHeight="1">
      <c r="A17" s="115">
        <v>21</v>
      </c>
      <c r="B17" s="115" t="s">
        <v>39</v>
      </c>
      <c r="C17" s="115" t="s">
        <v>56</v>
      </c>
      <c r="D17" s="115" t="s">
        <v>7</v>
      </c>
      <c r="E17" s="98" t="s">
        <v>624</v>
      </c>
      <c r="F17" s="115" t="s">
        <v>476</v>
      </c>
      <c r="G17" s="115">
        <v>24</v>
      </c>
      <c r="H17" s="115">
        <v>71</v>
      </c>
      <c r="I17" s="194">
        <v>95</v>
      </c>
      <c r="J17" s="116">
        <v>4675014</v>
      </c>
      <c r="K17" s="116">
        <v>1400679</v>
      </c>
      <c r="L17" s="116">
        <v>206000</v>
      </c>
      <c r="M17" s="195">
        <v>5.3430821147356582E-2</v>
      </c>
      <c r="N17" s="195">
        <v>7.4370816425424105E-2</v>
      </c>
      <c r="O17" s="195">
        <v>1.8830547017241402E-2</v>
      </c>
      <c r="P17" s="195">
        <v>4.7496119843685198E-3</v>
      </c>
      <c r="R17" s="223" t="s">
        <v>468</v>
      </c>
      <c r="S17" s="207">
        <f>SUMIFS(Scoreboard_4[Damage Dealt],Scoreboard_4[Role],"Melee DPS",Scoreboard_4[Team],"Yellow")</f>
        <v>17778297</v>
      </c>
      <c r="T17" s="219">
        <f>SUMIFS(Scoreboard_4[Damage Dealt],Scoreboard_4[Role],"Melee DPS",Scoreboard_4[Team],"Red")</f>
        <v>24087778</v>
      </c>
      <c r="V17" s="204" t="str">
        <f ca="1">IFERROR(__xludf.DUMMYFUNCTION("query(A1:P239, ""Select E,K Order by K Desc Limit 10"", 0)"),"ShawarmaShuffle")</f>
        <v>ShawarmaShuffle</v>
      </c>
      <c r="W17" s="116">
        <f ca="1">IFERROR(__xludf.DUMMYFUNCTION("""COMPUTED_VALUE"""),2610752)</f>
        <v>2610752</v>
      </c>
      <c r="Y17" s="204" t="str">
        <f ca="1">IFERROR(__xludf.DUMMYFUNCTION("query(A1:P239, ""Select E,L Order by L Desc Limit 10"", 0)"),"EgirlWaifu")</f>
        <v>EgirlWaifu</v>
      </c>
      <c r="Z17" s="116">
        <f ca="1">IFERROR(__xludf.DUMMYFUNCTION("""COMPUTED_VALUE"""),3488622)</f>
        <v>3488622</v>
      </c>
    </row>
    <row r="18" spans="1:26" ht="22.5" customHeight="1">
      <c r="A18" s="115">
        <v>8</v>
      </c>
      <c r="B18" s="115" t="s">
        <v>39</v>
      </c>
      <c r="C18" s="115" t="s">
        <v>54</v>
      </c>
      <c r="D18" s="115" t="s">
        <v>667</v>
      </c>
      <c r="E18" s="98" t="s">
        <v>671</v>
      </c>
      <c r="F18" s="115" t="s">
        <v>483</v>
      </c>
      <c r="G18" s="115">
        <v>40</v>
      </c>
      <c r="H18" s="115">
        <v>49</v>
      </c>
      <c r="I18" s="194">
        <v>89</v>
      </c>
      <c r="J18" s="116">
        <v>2715491</v>
      </c>
      <c r="K18" s="116">
        <v>1309594</v>
      </c>
      <c r="L18" s="116">
        <v>12105</v>
      </c>
      <c r="M18" s="195">
        <v>2.2480424349583229E-2</v>
      </c>
      <c r="N18" s="195">
        <v>3.6484811949225981E-2</v>
      </c>
      <c r="O18" s="195">
        <v>2.0838306507497514E-2</v>
      </c>
      <c r="P18" s="195">
        <v>3.1020631038820585E-4</v>
      </c>
      <c r="R18" s="223" t="s">
        <v>469</v>
      </c>
      <c r="S18" s="207">
        <f>SUMIFS(Scoreboard_4[Damage Taken],Scoreboard_4[Role],"Melee DPS",Scoreboard_4[Team],"Yellow")</f>
        <v>13802348</v>
      </c>
      <c r="T18" s="219">
        <f>SUMIFS(Scoreboard_4[Damage Taken],Scoreboard_4[Role],"Melee DPS",Scoreboard_4[Team],"Red")</f>
        <v>12490440</v>
      </c>
      <c r="V18" s="204" t="str">
        <f ca="1">IFERROR(__xludf.DUMMYFUNCTION("""COMPUTED_VALUE"""),"Cygg")</f>
        <v>Cygg</v>
      </c>
      <c r="W18" s="116">
        <f ca="1">IFERROR(__xludf.DUMMYFUNCTION("""COMPUTED_VALUE"""),2366538)</f>
        <v>2366538</v>
      </c>
      <c r="Y18" s="204" t="str">
        <f ca="1">IFERROR(__xludf.DUMMYFUNCTION("""COMPUTED_VALUE"""),"Spicyparrot")</f>
        <v>Spicyparrot</v>
      </c>
      <c r="Z18" s="116">
        <f ca="1">IFERROR(__xludf.DUMMYFUNCTION("""COMPUTED_VALUE"""),3113576)</f>
        <v>3113576</v>
      </c>
    </row>
    <row r="19" spans="1:26" ht="22.5" customHeight="1">
      <c r="A19" s="115">
        <v>71</v>
      </c>
      <c r="B19" s="115" t="s">
        <v>11</v>
      </c>
      <c r="C19" s="115" t="s">
        <v>10</v>
      </c>
      <c r="D19" s="115" t="s">
        <v>667</v>
      </c>
      <c r="E19" s="98" t="s">
        <v>645</v>
      </c>
      <c r="F19" s="115" t="s">
        <v>483</v>
      </c>
      <c r="G19" s="115">
        <v>0</v>
      </c>
      <c r="H19" s="115">
        <v>89</v>
      </c>
      <c r="I19" s="194">
        <v>89</v>
      </c>
      <c r="J19" s="116">
        <v>93047</v>
      </c>
      <c r="K19" s="116">
        <v>710394</v>
      </c>
      <c r="L19" s="116">
        <v>2286110</v>
      </c>
      <c r="M19" s="195">
        <v>2.2480424349583229E-2</v>
      </c>
      <c r="N19" s="195">
        <v>1.2501614983955497E-3</v>
      </c>
      <c r="O19" s="195">
        <v>1.1303814703707553E-2</v>
      </c>
      <c r="P19" s="195">
        <v>5.8584531040196716E-2</v>
      </c>
      <c r="R19" s="223" t="s">
        <v>470</v>
      </c>
      <c r="S19" s="207">
        <f>SUMIFS(Scoreboard_4[Amount Healed],Scoreboard_4[Role],"Melee DPS",Scoreboard_4[Team],"Yellow")</f>
        <v>471479</v>
      </c>
      <c r="T19" s="219">
        <f>SUMIFS(Scoreboard_4[Amount Healed],Scoreboard_4[Role],"Melee DPS",Scoreboard_4[Team],"Red")</f>
        <v>399300</v>
      </c>
      <c r="V19" s="204" t="str">
        <f ca="1">IFERROR(__xludf.DUMMYFUNCTION("""COMPUTED_VALUE"""),"Hayler")</f>
        <v>Hayler</v>
      </c>
      <c r="W19" s="116">
        <f ca="1">IFERROR(__xludf.DUMMYFUNCTION("""COMPUTED_VALUE"""),2329365)</f>
        <v>2329365</v>
      </c>
      <c r="Y19" s="204" t="str">
        <f ca="1">IFERROR(__xludf.DUMMYFUNCTION("""COMPUTED_VALUE"""),"Goddesscream")</f>
        <v>Goddesscream</v>
      </c>
      <c r="Z19" s="116">
        <f ca="1">IFERROR(__xludf.DUMMYFUNCTION("""COMPUTED_VALUE"""),3053877)</f>
        <v>3053877</v>
      </c>
    </row>
    <row r="20" spans="1:26" ht="22.5" customHeight="1">
      <c r="A20" s="115">
        <v>27</v>
      </c>
      <c r="B20" s="115" t="s">
        <v>39</v>
      </c>
      <c r="C20" s="115" t="s">
        <v>63</v>
      </c>
      <c r="D20" s="115" t="s">
        <v>667</v>
      </c>
      <c r="E20" s="98" t="s">
        <v>988</v>
      </c>
      <c r="F20" s="115" t="s">
        <v>483</v>
      </c>
      <c r="G20" s="115">
        <v>17</v>
      </c>
      <c r="H20" s="115">
        <v>71</v>
      </c>
      <c r="I20" s="194">
        <v>88</v>
      </c>
      <c r="J20" s="116">
        <v>2937392</v>
      </c>
      <c r="K20" s="116">
        <v>1275005</v>
      </c>
      <c r="L20" s="116">
        <v>34755</v>
      </c>
      <c r="M20" s="195">
        <v>2.2227835311947462E-2</v>
      </c>
      <c r="N20" s="195">
        <v>3.946623087359185E-2</v>
      </c>
      <c r="O20" s="195">
        <v>2.0287925103957306E-2</v>
      </c>
      <c r="P20" s="195">
        <v>8.906419097515154E-4</v>
      </c>
      <c r="R20" s="223" t="s">
        <v>465</v>
      </c>
      <c r="S20" s="207">
        <f>SUMIFS(Scoreboard_4[Kills],Scoreboard_4[Role],"Melee DPS",Scoreboard_4[Team],"Yellow")</f>
        <v>147</v>
      </c>
      <c r="T20" s="219">
        <f>SUMIFS(Scoreboard_4[Kills],Scoreboard_4[Role],"Melee DPS",Scoreboard_4[Team],"Red")</f>
        <v>280</v>
      </c>
      <c r="V20" s="204" t="str">
        <f ca="1">IFERROR(__xludf.DUMMYFUNCTION("""COMPUTED_VALUE"""),"Kunaãƒ„")</f>
        <v>Kunaãƒ„</v>
      </c>
      <c r="W20" s="116">
        <f ca="1">IFERROR(__xludf.DUMMYFUNCTION("""COMPUTED_VALUE"""),2299557)</f>
        <v>2299557</v>
      </c>
      <c r="Y20" s="204" t="str">
        <f ca="1">IFERROR(__xludf.DUMMYFUNCTION("""COMPUTED_VALUE"""),"hamstersprevail")</f>
        <v>hamstersprevail</v>
      </c>
      <c r="Z20" s="116">
        <f ca="1">IFERROR(__xludf.DUMMYFUNCTION("""COMPUTED_VALUE"""),2965678)</f>
        <v>2965678</v>
      </c>
    </row>
    <row r="21" spans="1:26" ht="22.5" customHeight="1">
      <c r="A21" s="115">
        <v>16</v>
      </c>
      <c r="B21" s="115" t="s">
        <v>25</v>
      </c>
      <c r="C21" s="115" t="s">
        <v>69</v>
      </c>
      <c r="D21" s="115" t="s">
        <v>667</v>
      </c>
      <c r="E21" s="98" t="s">
        <v>963</v>
      </c>
      <c r="F21" s="115" t="s">
        <v>483</v>
      </c>
      <c r="G21" s="115">
        <v>27</v>
      </c>
      <c r="H21" s="115">
        <v>60</v>
      </c>
      <c r="I21" s="194">
        <v>87</v>
      </c>
      <c r="J21" s="116">
        <v>2656178</v>
      </c>
      <c r="K21" s="116">
        <v>1596224</v>
      </c>
      <c r="L21" s="116">
        <v>97344</v>
      </c>
      <c r="M21" s="195">
        <v>2.1975246274311695E-2</v>
      </c>
      <c r="N21" s="195">
        <v>3.5687893951285847E-2</v>
      </c>
      <c r="O21" s="195">
        <v>2.539917330609617E-2</v>
      </c>
      <c r="P21" s="195">
        <v>2.494566136177572E-3</v>
      </c>
      <c r="R21" s="223" t="s">
        <v>466</v>
      </c>
      <c r="S21" s="207">
        <f>SUMIFS(Scoreboard_4[Assists],Scoreboard_4[Role],"Melee DPS",Scoreboard_4[Team],"Yellow")</f>
        <v>298</v>
      </c>
      <c r="T21" s="219">
        <f>SUMIFS(Scoreboard_4[Assists],Scoreboard_4[Role],"Melee DPS",Scoreboard_4[Team],"Red")</f>
        <v>638</v>
      </c>
      <c r="V21" s="204" t="str">
        <f ca="1">IFERROR(__xludf.DUMMYFUNCTION("""COMPUTED_VALUE"""),"apgonzo")</f>
        <v>apgonzo</v>
      </c>
      <c r="W21" s="116">
        <f ca="1">IFERROR(__xludf.DUMMYFUNCTION("""COMPUTED_VALUE"""),2036629)</f>
        <v>2036629</v>
      </c>
      <c r="Y21" s="204" t="str">
        <f ca="1">IFERROR(__xludf.DUMMYFUNCTION("""COMPUTED_VALUE"""),"apgonzo")</f>
        <v>apgonzo</v>
      </c>
      <c r="Z21" s="116">
        <f ca="1">IFERROR(__xludf.DUMMYFUNCTION("""COMPUTED_VALUE"""),2913571)</f>
        <v>2913571</v>
      </c>
    </row>
    <row r="22" spans="1:26" ht="22.5" customHeight="1">
      <c r="A22" s="115">
        <v>59</v>
      </c>
      <c r="B22" s="115" t="s">
        <v>11</v>
      </c>
      <c r="C22" s="115" t="s">
        <v>10</v>
      </c>
      <c r="D22" s="115" t="s">
        <v>667</v>
      </c>
      <c r="E22" s="98" t="s">
        <v>785</v>
      </c>
      <c r="F22" s="115" t="s">
        <v>483</v>
      </c>
      <c r="G22" s="115">
        <v>1</v>
      </c>
      <c r="H22" s="115">
        <v>86</v>
      </c>
      <c r="I22" s="194">
        <v>87</v>
      </c>
      <c r="J22" s="116">
        <v>281925</v>
      </c>
      <c r="K22" s="116">
        <v>1534439</v>
      </c>
      <c r="L22" s="116">
        <v>2592952</v>
      </c>
      <c r="M22" s="195">
        <v>2.1975246274311695E-2</v>
      </c>
      <c r="N22" s="195">
        <v>3.7878897808114754E-3</v>
      </c>
      <c r="O22" s="195">
        <v>2.4416048179098235E-2</v>
      </c>
      <c r="P22" s="195">
        <v>6.6447754889196131E-2</v>
      </c>
      <c r="V22" s="204" t="str">
        <f ca="1">IFERROR(__xludf.DUMMYFUNCTION("""COMPUTED_VALUE"""),"Jacobstips")</f>
        <v>Jacobstips</v>
      </c>
      <c r="W22" s="116">
        <f ca="1">IFERROR(__xludf.DUMMYFUNCTION("""COMPUTED_VALUE"""),2024415)</f>
        <v>2024415</v>
      </c>
      <c r="Y22" s="204" t="str">
        <f ca="1">IFERROR(__xludf.DUMMYFUNCTION("""COMPUTED_VALUE"""),"Reinnier")</f>
        <v>Reinnier</v>
      </c>
      <c r="Z22" s="116">
        <f ca="1">IFERROR(__xludf.DUMMYFUNCTION("""COMPUTED_VALUE"""),2900610)</f>
        <v>2900610</v>
      </c>
    </row>
    <row r="23" spans="1:26" ht="22.5" customHeight="1">
      <c r="A23" s="115">
        <v>72</v>
      </c>
      <c r="B23" s="115" t="s">
        <v>11</v>
      </c>
      <c r="C23" s="115" t="s">
        <v>10</v>
      </c>
      <c r="D23" s="115" t="s">
        <v>667</v>
      </c>
      <c r="E23" s="98" t="s">
        <v>790</v>
      </c>
      <c r="F23" s="115" t="s">
        <v>483</v>
      </c>
      <c r="G23" s="115">
        <v>0</v>
      </c>
      <c r="H23" s="115">
        <v>83</v>
      </c>
      <c r="I23" s="194">
        <v>83</v>
      </c>
      <c r="J23" s="116">
        <v>238047</v>
      </c>
      <c r="K23" s="116">
        <v>648114</v>
      </c>
      <c r="L23" s="116">
        <v>2044999</v>
      </c>
      <c r="M23" s="195">
        <v>2.0964890123768627E-2</v>
      </c>
      <c r="N23" s="195">
        <v>3.1983534580219183E-3</v>
      </c>
      <c r="O23" s="195">
        <v>1.0312813119027915E-2</v>
      </c>
      <c r="P23" s="195">
        <v>5.2405749238956675E-2</v>
      </c>
      <c r="R23" s="232" t="s">
        <v>39</v>
      </c>
      <c r="S23" s="228"/>
      <c r="T23" s="228"/>
      <c r="V23" s="204" t="str">
        <f ca="1">IFERROR(__xludf.DUMMYFUNCTION("""COMPUTED_VALUE"""),"Riakou")</f>
        <v>Riakou</v>
      </c>
      <c r="W23" s="116">
        <f ca="1">IFERROR(__xludf.DUMMYFUNCTION("""COMPUTED_VALUE"""),1978161)</f>
        <v>1978161</v>
      </c>
      <c r="Y23" s="204" t="str">
        <f ca="1">IFERROR(__xludf.DUMMYFUNCTION("""COMPUTED_VALUE"""),"L1AM27")</f>
        <v>L1AM27</v>
      </c>
      <c r="Z23" s="116">
        <f ca="1">IFERROR(__xludf.DUMMYFUNCTION("""COMPUTED_VALUE"""),2836657)</f>
        <v>2836657</v>
      </c>
    </row>
    <row r="24" spans="1:26" ht="22.5" customHeight="1">
      <c r="A24" s="115">
        <v>73</v>
      </c>
      <c r="B24" s="115" t="s">
        <v>11</v>
      </c>
      <c r="C24" s="115" t="s">
        <v>10</v>
      </c>
      <c r="D24" s="115" t="s">
        <v>667</v>
      </c>
      <c r="E24" s="98" t="s">
        <v>639</v>
      </c>
      <c r="F24" s="115" t="s">
        <v>483</v>
      </c>
      <c r="G24" s="115">
        <v>0</v>
      </c>
      <c r="H24" s="115">
        <v>81</v>
      </c>
      <c r="I24" s="194">
        <v>81</v>
      </c>
      <c r="J24" s="116">
        <v>217076</v>
      </c>
      <c r="K24" s="116">
        <v>1057601</v>
      </c>
      <c r="L24" s="116">
        <v>2170628</v>
      </c>
      <c r="M24" s="195">
        <v>2.0459712048497097E-2</v>
      </c>
      <c r="N24" s="195">
        <v>2.916591157433473E-3</v>
      </c>
      <c r="O24" s="195">
        <v>1.6828584890153649E-2</v>
      </c>
      <c r="P24" s="195">
        <v>5.5625155151204496E-2</v>
      </c>
      <c r="R24" s="190" t="s">
        <v>482</v>
      </c>
      <c r="S24" s="222" t="s">
        <v>476</v>
      </c>
      <c r="T24" s="222" t="s">
        <v>483</v>
      </c>
      <c r="V24" s="204" t="str">
        <f ca="1">IFERROR(__xludf.DUMMYFUNCTION("""COMPUTED_VALUE"""),"Sybilene")</f>
        <v>Sybilene</v>
      </c>
      <c r="W24" s="116">
        <f ca="1">IFERROR(__xludf.DUMMYFUNCTION("""COMPUTED_VALUE"""),1968146)</f>
        <v>1968146</v>
      </c>
      <c r="Y24" s="204" t="str">
        <f ca="1">IFERROR(__xludf.DUMMYFUNCTION("""COMPUTED_VALUE"""),"Ellione")</f>
        <v>Ellione</v>
      </c>
      <c r="Z24" s="116">
        <f ca="1">IFERROR(__xludf.DUMMYFUNCTION("""COMPUTED_VALUE"""),2793325)</f>
        <v>2793325</v>
      </c>
    </row>
    <row r="25" spans="1:26" ht="22.5" customHeight="1">
      <c r="A25" s="115">
        <v>23</v>
      </c>
      <c r="B25" s="115" t="s">
        <v>25</v>
      </c>
      <c r="C25" s="115" t="s">
        <v>23</v>
      </c>
      <c r="D25" s="115" t="s">
        <v>7</v>
      </c>
      <c r="E25" s="98" t="s">
        <v>27</v>
      </c>
      <c r="F25" s="115" t="s">
        <v>476</v>
      </c>
      <c r="G25" s="115">
        <v>21</v>
      </c>
      <c r="H25" s="115">
        <v>59</v>
      </c>
      <c r="I25" s="194">
        <v>80</v>
      </c>
      <c r="J25" s="116">
        <v>3158519</v>
      </c>
      <c r="K25" s="116">
        <v>1410317</v>
      </c>
      <c r="L25" s="116">
        <v>36749</v>
      </c>
      <c r="M25" s="195">
        <v>4.4994375703037118E-2</v>
      </c>
      <c r="N25" s="195">
        <v>5.0246188936592301E-2</v>
      </c>
      <c r="O25" s="195">
        <v>1.8960119040633036E-2</v>
      </c>
      <c r="P25" s="195">
        <v>8.4729849909494529E-4</v>
      </c>
      <c r="R25" s="223" t="s">
        <v>468</v>
      </c>
      <c r="S25" s="207">
        <f>SUMIFS(Scoreboard_4[Damage Dealt],Scoreboard_4[Role],"Ranged DPS",Scoreboard_4[Team],"Yellow")</f>
        <v>34490106</v>
      </c>
      <c r="T25" s="219">
        <f>SUMIFS(Scoreboard_4[Damage Dealt],Scoreboard_4[Role],"Ranged DPS",Scoreboard_4[Team],"Red")</f>
        <v>38171504</v>
      </c>
      <c r="V25" s="204" t="str">
        <f ca="1">IFERROR(__xludf.DUMMYFUNCTION("""COMPUTED_VALUE"""),"ç«llahuAkbar")</f>
        <v>ç«llahuAkbar</v>
      </c>
      <c r="W25" s="116">
        <f ca="1">IFERROR(__xludf.DUMMYFUNCTION("""COMPUTED_VALUE"""),1966857)</f>
        <v>1966857</v>
      </c>
      <c r="Y25" s="204" t="str">
        <f ca="1">IFERROR(__xludf.DUMMYFUNCTION("""COMPUTED_VALUE"""),"Fuji")</f>
        <v>Fuji</v>
      </c>
      <c r="Z25" s="116">
        <f ca="1">IFERROR(__xludf.DUMMYFUNCTION("""COMPUTED_VALUE"""),2739177)</f>
        <v>2739177</v>
      </c>
    </row>
    <row r="26" spans="1:26" ht="22.5" customHeight="1">
      <c r="A26" s="115">
        <v>60</v>
      </c>
      <c r="B26" s="115" t="s">
        <v>11</v>
      </c>
      <c r="C26" s="115" t="s">
        <v>10</v>
      </c>
      <c r="D26" s="115" t="s">
        <v>667</v>
      </c>
      <c r="E26" s="98" t="s">
        <v>126</v>
      </c>
      <c r="F26" s="115" t="s">
        <v>483</v>
      </c>
      <c r="G26" s="115">
        <v>1</v>
      </c>
      <c r="H26" s="115">
        <v>77</v>
      </c>
      <c r="I26" s="194">
        <v>78</v>
      </c>
      <c r="J26" s="116">
        <v>193012</v>
      </c>
      <c r="K26" s="116">
        <v>1124747</v>
      </c>
      <c r="L26" s="116">
        <v>2965678</v>
      </c>
      <c r="M26" s="195">
        <v>1.9701944935589796E-2</v>
      </c>
      <c r="N26" s="195">
        <v>2.5932719069752044E-3</v>
      </c>
      <c r="O26" s="195">
        <v>1.7897014440649776E-2</v>
      </c>
      <c r="P26" s="195">
        <v>7.5999341609208876E-2</v>
      </c>
      <c r="R26" s="223" t="s">
        <v>469</v>
      </c>
      <c r="S26" s="207">
        <f>SUMIFS(Scoreboard_4[Damage Taken],Scoreboard_4[Role],"Ranged DPS",Scoreboard_4[Team],"Yellow")</f>
        <v>14513376</v>
      </c>
      <c r="T26" s="219">
        <f>SUMIFS(Scoreboard_4[Damage Taken],Scoreboard_4[Role],"Ranged DPS",Scoreboard_4[Team],"Red")</f>
        <v>13175777</v>
      </c>
      <c r="V26" s="204" t="str">
        <f ca="1">IFERROR(__xludf.DUMMYFUNCTION("""COMPUTED_VALUE"""),"RheGGie")</f>
        <v>RheGGie</v>
      </c>
      <c r="W26" s="116">
        <f ca="1">IFERROR(__xludf.DUMMYFUNCTION("""COMPUTED_VALUE"""),1952881)</f>
        <v>1952881</v>
      </c>
      <c r="Y26" s="204" t="str">
        <f ca="1">IFERROR(__xludf.DUMMYFUNCTION("""COMPUTED_VALUE"""),"AnastheTHICCEST")</f>
        <v>AnastheTHICCEST</v>
      </c>
      <c r="Z26" s="116">
        <f ca="1">IFERROR(__xludf.DUMMYFUNCTION("""COMPUTED_VALUE"""),2721815)</f>
        <v>2721815</v>
      </c>
    </row>
    <row r="27" spans="1:26" ht="22.5" customHeight="1">
      <c r="A27" s="115">
        <v>61</v>
      </c>
      <c r="B27" s="115" t="s">
        <v>11</v>
      </c>
      <c r="C27" s="115" t="s">
        <v>10</v>
      </c>
      <c r="D27" s="115" t="s">
        <v>965</v>
      </c>
      <c r="E27" s="98" t="s">
        <v>420</v>
      </c>
      <c r="F27" s="115" t="s">
        <v>483</v>
      </c>
      <c r="G27" s="115">
        <v>1</v>
      </c>
      <c r="H27" s="115">
        <v>77</v>
      </c>
      <c r="I27" s="194">
        <v>78</v>
      </c>
      <c r="J27" s="116">
        <v>165738</v>
      </c>
      <c r="K27" s="116">
        <v>1015413</v>
      </c>
      <c r="L27" s="116">
        <v>2322469</v>
      </c>
      <c r="M27" s="195">
        <v>1.9701944935589796E-2</v>
      </c>
      <c r="N27" s="195">
        <v>2.2268237172727934E-3</v>
      </c>
      <c r="O27" s="195">
        <v>1.6157287927172522E-2</v>
      </c>
      <c r="P27" s="195">
        <v>5.9516277528375551E-2</v>
      </c>
      <c r="R27" s="223" t="s">
        <v>470</v>
      </c>
      <c r="S27" s="207">
        <f>SUMIFS(Scoreboard_4[Amount Healed],Scoreboard_4[Role],"Ranged DPS",Scoreboard_4[Team],"Yellow")</f>
        <v>2084489</v>
      </c>
      <c r="T27" s="219">
        <f>SUMIFS(Scoreboard_4[Amount Healed],Scoreboard_4[Role],"Ranged DPS",Scoreboard_4[Team],"Red")</f>
        <v>571971</v>
      </c>
    </row>
    <row r="28" spans="1:26" ht="22.5" customHeight="1">
      <c r="A28" s="115">
        <v>74</v>
      </c>
      <c r="B28" s="115" t="s">
        <v>11</v>
      </c>
      <c r="C28" s="115" t="s">
        <v>10</v>
      </c>
      <c r="D28" s="115" t="s">
        <v>667</v>
      </c>
      <c r="E28" s="98" t="s">
        <v>693</v>
      </c>
      <c r="F28" s="115" t="s">
        <v>483</v>
      </c>
      <c r="G28" s="115">
        <v>0</v>
      </c>
      <c r="H28" s="115">
        <v>78</v>
      </c>
      <c r="I28" s="194">
        <v>78</v>
      </c>
      <c r="J28" s="116">
        <v>125950</v>
      </c>
      <c r="K28" s="116">
        <v>1080034</v>
      </c>
      <c r="L28" s="116">
        <v>2836657</v>
      </c>
      <c r="M28" s="195">
        <v>1.9701944935589796E-2</v>
      </c>
      <c r="N28" s="195">
        <v>1.6922398435513181E-3</v>
      </c>
      <c r="O28" s="195">
        <v>1.7185539587474111E-2</v>
      </c>
      <c r="P28" s="195">
        <v>7.2693011301683333E-2</v>
      </c>
      <c r="R28" s="223" t="s">
        <v>465</v>
      </c>
      <c r="S28" s="207">
        <f>SUMIFS(Scoreboard_4[Kills],Scoreboard_4[Role],"Ranged DPS",Scoreboard_4[Team],"Yellow")</f>
        <v>160</v>
      </c>
      <c r="T28" s="219">
        <f>SUMIFS(Scoreboard_4[Kills],Scoreboard_4[Role],"Ranged DPS",Scoreboard_4[Team],"Red")</f>
        <v>399</v>
      </c>
    </row>
    <row r="29" spans="1:26" ht="22.5" customHeight="1">
      <c r="A29" s="115">
        <v>24</v>
      </c>
      <c r="B29" s="115" t="s">
        <v>39</v>
      </c>
      <c r="C29" s="115" t="s">
        <v>45</v>
      </c>
      <c r="D29" s="115" t="s">
        <v>7</v>
      </c>
      <c r="E29" s="98" t="s">
        <v>84</v>
      </c>
      <c r="F29" s="115" t="s">
        <v>476</v>
      </c>
      <c r="G29" s="115">
        <v>21</v>
      </c>
      <c r="H29" s="115">
        <v>53</v>
      </c>
      <c r="I29" s="194">
        <v>74</v>
      </c>
      <c r="J29" s="116">
        <v>3774591</v>
      </c>
      <c r="K29" s="116">
        <v>1556464</v>
      </c>
      <c r="L29" s="116">
        <v>53447</v>
      </c>
      <c r="M29" s="195">
        <v>4.1619797525309338E-2</v>
      </c>
      <c r="N29" s="195">
        <v>6.0046753729947756E-2</v>
      </c>
      <c r="O29" s="195">
        <v>2.0924900375206324E-2</v>
      </c>
      <c r="P29" s="195">
        <v>1.2322937462550692E-3</v>
      </c>
      <c r="R29" s="223" t="s">
        <v>466</v>
      </c>
      <c r="S29" s="207">
        <f>SUMIFS(Scoreboard_4[Assists],Scoreboard_4[Role],"Ranged DPS",Scoreboard_4[Team],"Yellow")</f>
        <v>458</v>
      </c>
      <c r="T29" s="219">
        <f>SUMIFS(Scoreboard_4[Assists],Scoreboard_4[Role],"Ranged DPS",Scoreboard_4[Team],"Red")</f>
        <v>1115</v>
      </c>
    </row>
    <row r="30" spans="1:26" ht="22.5" customHeight="1">
      <c r="A30" s="115">
        <v>19</v>
      </c>
      <c r="B30" s="115" t="s">
        <v>39</v>
      </c>
      <c r="C30" s="115" t="s">
        <v>52</v>
      </c>
      <c r="D30" s="115" t="s">
        <v>7</v>
      </c>
      <c r="E30" s="98" t="s">
        <v>94</v>
      </c>
      <c r="F30" s="115" t="s">
        <v>476</v>
      </c>
      <c r="G30" s="115">
        <v>26</v>
      </c>
      <c r="H30" s="115">
        <v>44</v>
      </c>
      <c r="I30" s="194">
        <v>70</v>
      </c>
      <c r="J30" s="116">
        <v>4300878</v>
      </c>
      <c r="K30" s="116">
        <v>1517711</v>
      </c>
      <c r="L30" s="116">
        <v>377391</v>
      </c>
      <c r="M30" s="195">
        <v>3.937007874015748E-2</v>
      </c>
      <c r="N30" s="195">
        <v>6.8419005420335674E-2</v>
      </c>
      <c r="O30" s="195">
        <v>2.0403910063679448E-2</v>
      </c>
      <c r="P30" s="195">
        <v>8.701266098994272E-3</v>
      </c>
      <c r="R30" s="6"/>
      <c r="S30" s="6"/>
      <c r="T30" s="6"/>
    </row>
    <row r="31" spans="1:26" ht="22.5" customHeight="1">
      <c r="A31" s="115">
        <v>22</v>
      </c>
      <c r="B31" s="115" t="s">
        <v>39</v>
      </c>
      <c r="C31" s="115" t="s">
        <v>56</v>
      </c>
      <c r="D31" s="115" t="s">
        <v>7</v>
      </c>
      <c r="E31" s="98" t="s">
        <v>76</v>
      </c>
      <c r="F31" s="115" t="s">
        <v>476</v>
      </c>
      <c r="G31" s="115">
        <v>22</v>
      </c>
      <c r="H31" s="115">
        <v>44</v>
      </c>
      <c r="I31" s="194">
        <v>66</v>
      </c>
      <c r="J31" s="116">
        <v>3127983</v>
      </c>
      <c r="K31" s="116">
        <v>1688383</v>
      </c>
      <c r="L31" s="116">
        <v>255499</v>
      </c>
      <c r="M31" s="195">
        <v>3.7120359955005622E-2</v>
      </c>
      <c r="N31" s="195">
        <v>4.976041771743301E-2</v>
      </c>
      <c r="O31" s="195">
        <v>2.2698402321025081E-2</v>
      </c>
      <c r="P31" s="195">
        <v>5.8908791863794777E-3</v>
      </c>
      <c r="R31" s="232" t="s">
        <v>67</v>
      </c>
      <c r="S31" s="228"/>
      <c r="T31" s="228"/>
    </row>
    <row r="32" spans="1:26" ht="22.5" customHeight="1">
      <c r="A32" s="115">
        <v>25</v>
      </c>
      <c r="B32" s="115" t="s">
        <v>67</v>
      </c>
      <c r="C32" s="115" t="s">
        <v>14</v>
      </c>
      <c r="D32" s="115" t="s">
        <v>667</v>
      </c>
      <c r="E32" s="98" t="s">
        <v>686</v>
      </c>
      <c r="F32" s="115" t="s">
        <v>483</v>
      </c>
      <c r="G32" s="115">
        <v>21</v>
      </c>
      <c r="H32" s="115">
        <v>45</v>
      </c>
      <c r="I32" s="194">
        <v>66</v>
      </c>
      <c r="J32" s="116">
        <v>1648398</v>
      </c>
      <c r="K32" s="116">
        <v>1819795</v>
      </c>
      <c r="L32" s="116">
        <v>124992</v>
      </c>
      <c r="M32" s="195">
        <v>1.6670876483960595E-2</v>
      </c>
      <c r="N32" s="195">
        <v>2.2147556757684046E-2</v>
      </c>
      <c r="O32" s="195">
        <v>2.8956643044188837E-2</v>
      </c>
      <c r="P32" s="195">
        <v>3.2030819618374742E-3</v>
      </c>
      <c r="R32" s="190" t="s">
        <v>482</v>
      </c>
      <c r="S32" s="222" t="s">
        <v>476</v>
      </c>
      <c r="T32" s="222" t="s">
        <v>483</v>
      </c>
    </row>
    <row r="33" spans="1:20" ht="22.5" customHeight="1">
      <c r="A33" s="115">
        <v>75</v>
      </c>
      <c r="B33" s="115" t="s">
        <v>11</v>
      </c>
      <c r="C33" s="115" t="s">
        <v>10</v>
      </c>
      <c r="D33" s="115" t="s">
        <v>667</v>
      </c>
      <c r="E33" s="98" t="s">
        <v>989</v>
      </c>
      <c r="F33" s="115" t="s">
        <v>483</v>
      </c>
      <c r="G33" s="115">
        <v>0</v>
      </c>
      <c r="H33" s="115">
        <v>64</v>
      </c>
      <c r="I33" s="194">
        <v>64</v>
      </c>
      <c r="J33" s="116">
        <v>154613</v>
      </c>
      <c r="K33" s="116">
        <v>1228849</v>
      </c>
      <c r="L33" s="116">
        <v>2391625</v>
      </c>
      <c r="M33" s="195">
        <v>1.6165698408689064E-2</v>
      </c>
      <c r="N33" s="195">
        <v>2.0773503686462875E-3</v>
      </c>
      <c r="O33" s="195">
        <v>1.9553489183236798E-2</v>
      </c>
      <c r="P33" s="195">
        <v>6.1288489639173299E-2</v>
      </c>
      <c r="R33" s="223" t="s">
        <v>468</v>
      </c>
      <c r="S33" s="207">
        <f>SUMIFS(Scoreboard_4[Damage Dealt],Scoreboard_4[Role],"Tank",Scoreboard_4[Team],"Yellow")</f>
        <v>7845193</v>
      </c>
      <c r="T33" s="219">
        <f>SUMIFS(Scoreboard_4[Damage Dealt],Scoreboard_4[Role],"Tank",Scoreboard_4[Team],"Red")</f>
        <v>9402635</v>
      </c>
    </row>
    <row r="34" spans="1:20" ht="22.5" customHeight="1">
      <c r="A34" s="115">
        <v>29</v>
      </c>
      <c r="B34" s="115" t="s">
        <v>25</v>
      </c>
      <c r="C34" s="115" t="s">
        <v>23</v>
      </c>
      <c r="D34" s="115" t="s">
        <v>7</v>
      </c>
      <c r="E34" s="98" t="s">
        <v>22</v>
      </c>
      <c r="F34" s="115" t="s">
        <v>476</v>
      </c>
      <c r="G34" s="115">
        <v>14</v>
      </c>
      <c r="H34" s="115">
        <v>49</v>
      </c>
      <c r="I34" s="194">
        <v>63</v>
      </c>
      <c r="J34" s="116">
        <v>2392061</v>
      </c>
      <c r="K34" s="116">
        <v>1897973</v>
      </c>
      <c r="L34" s="116">
        <v>65185</v>
      </c>
      <c r="M34" s="195">
        <v>3.5433070866141732E-2</v>
      </c>
      <c r="N34" s="195">
        <v>3.8053261339841209E-2</v>
      </c>
      <c r="O34" s="195">
        <v>2.5516103128521747E-2</v>
      </c>
      <c r="P34" s="195">
        <v>1.5029294038886502E-3</v>
      </c>
      <c r="R34" s="223" t="s">
        <v>469</v>
      </c>
      <c r="S34" s="207">
        <f>SUMIFS(Scoreboard_4[Damage Taken],Scoreboard_4[Role],"Tank",Scoreboard_4[Team],"Yellow")</f>
        <v>23237032</v>
      </c>
      <c r="T34" s="219">
        <f>SUMIFS(Scoreboard_4[Damage Taken],Scoreboard_4[Role],"Tank",Scoreboard_4[Team],"Red")</f>
        <v>19743382</v>
      </c>
    </row>
    <row r="35" spans="1:20" ht="22.5" customHeight="1">
      <c r="A35" s="115">
        <v>20</v>
      </c>
      <c r="B35" s="115" t="s">
        <v>25</v>
      </c>
      <c r="C35" s="115" t="s">
        <v>69</v>
      </c>
      <c r="D35" s="115" t="s">
        <v>7</v>
      </c>
      <c r="E35" s="98" t="s">
        <v>110</v>
      </c>
      <c r="F35" s="115" t="s">
        <v>476</v>
      </c>
      <c r="G35" s="115">
        <v>25</v>
      </c>
      <c r="H35" s="115">
        <v>38</v>
      </c>
      <c r="I35" s="194">
        <v>63</v>
      </c>
      <c r="J35" s="116">
        <v>1232736</v>
      </c>
      <c r="K35" s="116">
        <v>1180424</v>
      </c>
      <c r="L35" s="116">
        <v>77067</v>
      </c>
      <c r="M35" s="195">
        <v>3.5433070866141732E-2</v>
      </c>
      <c r="N35" s="195">
        <v>1.961054721055629E-2</v>
      </c>
      <c r="O35" s="195">
        <v>1.5869467331401529E-2</v>
      </c>
      <c r="P35" s="195">
        <v>1.7768851786375179E-3</v>
      </c>
      <c r="R35" s="223" t="s">
        <v>470</v>
      </c>
      <c r="S35" s="207">
        <f>SUMIFS(Scoreboard_4[Amount Healed],Scoreboard_4[Role],"Tank",Scoreboard_4[Team],"Yellow")</f>
        <v>1046636</v>
      </c>
      <c r="T35" s="219">
        <f>SUMIFS(Scoreboard_4[Amount Healed],Scoreboard_4[Role],"Tank",Scoreboard_4[Team],"Red")</f>
        <v>940879</v>
      </c>
    </row>
    <row r="36" spans="1:20" ht="22.5" customHeight="1">
      <c r="A36" s="115">
        <v>49</v>
      </c>
      <c r="B36" s="115" t="s">
        <v>11</v>
      </c>
      <c r="C36" s="115" t="s">
        <v>10</v>
      </c>
      <c r="D36" s="115" t="s">
        <v>667</v>
      </c>
      <c r="E36" s="98" t="s">
        <v>597</v>
      </c>
      <c r="F36" s="115" t="s">
        <v>483</v>
      </c>
      <c r="G36" s="115">
        <v>2</v>
      </c>
      <c r="H36" s="115">
        <v>58</v>
      </c>
      <c r="I36" s="194">
        <v>60</v>
      </c>
      <c r="J36" s="116">
        <v>148803</v>
      </c>
      <c r="K36" s="116">
        <v>1109063</v>
      </c>
      <c r="L36" s="116">
        <v>2793325</v>
      </c>
      <c r="M36" s="195">
        <v>1.5155342258145996E-2</v>
      </c>
      <c r="N36" s="195">
        <v>1.999288332195052E-3</v>
      </c>
      <c r="O36" s="195">
        <v>1.7647450072407717E-2</v>
      </c>
      <c r="P36" s="195">
        <v>7.15825726530471E-2</v>
      </c>
      <c r="R36" s="223" t="s">
        <v>465</v>
      </c>
      <c r="S36" s="207">
        <f>SUMIFS(Scoreboard_4[Kills],Scoreboard_4[Role],"Tank",Scoreboard_4[Team],"Yellow")</f>
        <v>34</v>
      </c>
      <c r="T36" s="219">
        <f>SUMIFS(Scoreboard_4[Kills],Scoreboard_4[Role],"Tank",Scoreboard_4[Team],"Red")</f>
        <v>76</v>
      </c>
    </row>
    <row r="37" spans="1:20" ht="22.5" customHeight="1">
      <c r="A37" s="115">
        <v>76</v>
      </c>
      <c r="B37" s="115" t="s">
        <v>11</v>
      </c>
      <c r="C37" s="115" t="s">
        <v>10</v>
      </c>
      <c r="D37" s="115" t="s">
        <v>990</v>
      </c>
      <c r="E37" s="98" t="s">
        <v>967</v>
      </c>
      <c r="F37" s="115" t="s">
        <v>483</v>
      </c>
      <c r="G37" s="115">
        <v>0</v>
      </c>
      <c r="H37" s="115">
        <v>60</v>
      </c>
      <c r="I37" s="194">
        <v>60</v>
      </c>
      <c r="J37" s="116">
        <v>105989</v>
      </c>
      <c r="K37" s="116">
        <v>1200652</v>
      </c>
      <c r="L37" s="116">
        <v>1810169</v>
      </c>
      <c r="M37" s="195">
        <v>1.5155342258145996E-2</v>
      </c>
      <c r="N37" s="195">
        <v>1.4240477076471667E-3</v>
      </c>
      <c r="O37" s="195">
        <v>1.9104817512022736E-2</v>
      </c>
      <c r="P37" s="195">
        <v>4.6387926201495927E-2</v>
      </c>
      <c r="R37" s="223" t="s">
        <v>466</v>
      </c>
      <c r="S37" s="207">
        <f>SUMIFS(Scoreboard_4[Assists],Scoreboard_4[Role],"Tank",Scoreboard_4[Team],"Yellow")</f>
        <v>181</v>
      </c>
      <c r="T37" s="219">
        <f>SUMIFS(Scoreboard_4[Assists],Scoreboard_4[Role],"Tank",Scoreboard_4[Team],"Red")</f>
        <v>364</v>
      </c>
    </row>
    <row r="38" spans="1:20" ht="22.5" customHeight="1">
      <c r="A38" s="115">
        <v>33</v>
      </c>
      <c r="B38" s="115" t="s">
        <v>39</v>
      </c>
      <c r="C38" s="115" t="s">
        <v>32</v>
      </c>
      <c r="D38" s="115" t="s">
        <v>7</v>
      </c>
      <c r="E38" s="98" t="s">
        <v>961</v>
      </c>
      <c r="F38" s="115" t="s">
        <v>476</v>
      </c>
      <c r="G38" s="115">
        <v>10</v>
      </c>
      <c r="H38" s="115">
        <v>49</v>
      </c>
      <c r="I38" s="194">
        <v>59</v>
      </c>
      <c r="J38" s="116">
        <v>3941424</v>
      </c>
      <c r="K38" s="116">
        <v>1352632</v>
      </c>
      <c r="L38" s="116">
        <v>0</v>
      </c>
      <c r="M38" s="195">
        <v>3.3183352080989874E-2</v>
      </c>
      <c r="N38" s="195">
        <v>6.2700757849871849E-2</v>
      </c>
      <c r="O38" s="195">
        <v>1.8184609373757491E-2</v>
      </c>
      <c r="P38" s="195">
        <v>0</v>
      </c>
    </row>
    <row r="39" spans="1:20" ht="22.5" customHeight="1">
      <c r="A39" s="115">
        <v>15</v>
      </c>
      <c r="B39" s="115" t="s">
        <v>25</v>
      </c>
      <c r="C39" s="115" t="s">
        <v>69</v>
      </c>
      <c r="D39" s="115" t="s">
        <v>7</v>
      </c>
      <c r="E39" s="98" t="s">
        <v>98</v>
      </c>
      <c r="F39" s="115" t="s">
        <v>476</v>
      </c>
      <c r="G39" s="115">
        <v>30</v>
      </c>
      <c r="H39" s="115">
        <v>29</v>
      </c>
      <c r="I39" s="194">
        <v>59</v>
      </c>
      <c r="J39" s="116">
        <v>2499573</v>
      </c>
      <c r="K39" s="116">
        <v>2610752</v>
      </c>
      <c r="L39" s="116">
        <v>42969</v>
      </c>
      <c r="M39" s="195">
        <v>3.3183352080989874E-2</v>
      </c>
      <c r="N39" s="195">
        <v>3.9763578189273147E-2</v>
      </c>
      <c r="O39" s="195">
        <v>3.5098611663598171E-2</v>
      </c>
      <c r="P39" s="195">
        <v>9.9070911338024724E-4</v>
      </c>
      <c r="R39" s="232" t="s">
        <v>11</v>
      </c>
      <c r="S39" s="228"/>
      <c r="T39" s="228"/>
    </row>
    <row r="40" spans="1:20" ht="22.5" customHeight="1">
      <c r="A40" s="115">
        <v>77</v>
      </c>
      <c r="B40" s="115" t="s">
        <v>11</v>
      </c>
      <c r="C40" s="115" t="s">
        <v>10</v>
      </c>
      <c r="D40" s="115" t="s">
        <v>667</v>
      </c>
      <c r="E40" s="98" t="s">
        <v>679</v>
      </c>
      <c r="F40" s="115" t="s">
        <v>483</v>
      </c>
      <c r="G40" s="115">
        <v>0</v>
      </c>
      <c r="H40" s="115">
        <v>59</v>
      </c>
      <c r="I40" s="194">
        <v>59</v>
      </c>
      <c r="J40" s="116">
        <v>202647</v>
      </c>
      <c r="K40" s="116">
        <v>870842</v>
      </c>
      <c r="L40" s="116">
        <v>2500663</v>
      </c>
      <c r="M40" s="195">
        <v>1.4902753220510229E-2</v>
      </c>
      <c r="N40" s="195">
        <v>2.7227259037407221E-3</v>
      </c>
      <c r="O40" s="195">
        <v>1.3856869011008105E-2</v>
      </c>
      <c r="P40" s="195">
        <v>6.4082729678174466E-2</v>
      </c>
      <c r="R40" s="190" t="s">
        <v>482</v>
      </c>
      <c r="S40" s="222" t="s">
        <v>476</v>
      </c>
      <c r="T40" s="222" t="s">
        <v>483</v>
      </c>
    </row>
    <row r="41" spans="1:20" ht="22.5" customHeight="1">
      <c r="A41" s="115">
        <v>50</v>
      </c>
      <c r="B41" s="115" t="s">
        <v>11</v>
      </c>
      <c r="C41" s="115" t="s">
        <v>10</v>
      </c>
      <c r="D41" s="115" t="s">
        <v>667</v>
      </c>
      <c r="E41" s="98" t="s">
        <v>677</v>
      </c>
      <c r="F41" s="115" t="s">
        <v>483</v>
      </c>
      <c r="G41" s="115">
        <v>2</v>
      </c>
      <c r="H41" s="115">
        <v>56</v>
      </c>
      <c r="I41" s="194">
        <v>58</v>
      </c>
      <c r="J41" s="116">
        <v>237631</v>
      </c>
      <c r="K41" s="116">
        <v>1185436</v>
      </c>
      <c r="L41" s="116">
        <v>2721815</v>
      </c>
      <c r="M41" s="195">
        <v>1.4650164182874464E-2</v>
      </c>
      <c r="N41" s="195">
        <v>3.1927641624687831E-3</v>
      </c>
      <c r="O41" s="195">
        <v>1.8862699976497924E-2</v>
      </c>
      <c r="P41" s="195">
        <v>6.9750036241988805E-2</v>
      </c>
      <c r="R41" s="223" t="s">
        <v>468</v>
      </c>
      <c r="S41" s="207">
        <f>SUMIFS(Scoreboard_4[Damage Dealt],Scoreboard_4[Role],"Healer",Scoreboard_4[Team],"Yellow")</f>
        <v>2747271</v>
      </c>
      <c r="T41" s="219">
        <f>SUMIFS(Scoreboard_4[Damage Dealt],Scoreboard_4[Role],"Healer",Scoreboard_4[Team],"Red")</f>
        <v>2766067</v>
      </c>
    </row>
    <row r="42" spans="1:20" ht="22.5" customHeight="1">
      <c r="A42" s="115">
        <v>62</v>
      </c>
      <c r="B42" s="115" t="s">
        <v>11</v>
      </c>
      <c r="C42" s="115" t="s">
        <v>10</v>
      </c>
      <c r="D42" s="115" t="s">
        <v>667</v>
      </c>
      <c r="E42" s="98" t="s">
        <v>653</v>
      </c>
      <c r="F42" s="115" t="s">
        <v>483</v>
      </c>
      <c r="G42" s="115">
        <v>1</v>
      </c>
      <c r="H42" s="115">
        <v>54</v>
      </c>
      <c r="I42" s="194">
        <v>55</v>
      </c>
      <c r="J42" s="116">
        <v>209775</v>
      </c>
      <c r="K42" s="116">
        <v>1132765</v>
      </c>
      <c r="L42" s="116">
        <v>2232233</v>
      </c>
      <c r="M42" s="195">
        <v>1.3892397069967163E-2</v>
      </c>
      <c r="N42" s="195">
        <v>2.8184963333146309E-3</v>
      </c>
      <c r="O42" s="195">
        <v>1.8024597143057635E-2</v>
      </c>
      <c r="P42" s="195">
        <v>5.7203863102585364E-2</v>
      </c>
      <c r="R42" s="223" t="s">
        <v>469</v>
      </c>
      <c r="S42" s="207">
        <f>SUMIFS(Scoreboard_4[Damage Taken],Scoreboard_4[Role],"Healer",Scoreboard_4[Team],"Yellow")</f>
        <v>22830585</v>
      </c>
      <c r="T42" s="219">
        <f>SUMIFS(Scoreboard_4[Damage Taken],Scoreboard_4[Role],"Healer",Scoreboard_4[Team],"Red")</f>
        <v>17435911</v>
      </c>
    </row>
    <row r="43" spans="1:20" ht="22.5" customHeight="1">
      <c r="A43" s="115">
        <v>63</v>
      </c>
      <c r="B43" s="115" t="s">
        <v>11</v>
      </c>
      <c r="C43" s="115" t="s">
        <v>10</v>
      </c>
      <c r="D43" s="115" t="s">
        <v>667</v>
      </c>
      <c r="E43" s="98" t="s">
        <v>991</v>
      </c>
      <c r="F43" s="115" t="s">
        <v>483</v>
      </c>
      <c r="G43" s="115">
        <v>1</v>
      </c>
      <c r="H43" s="115">
        <v>54</v>
      </c>
      <c r="I43" s="194">
        <v>55</v>
      </c>
      <c r="J43" s="116">
        <v>76280</v>
      </c>
      <c r="K43" s="116">
        <v>1015478</v>
      </c>
      <c r="L43" s="116">
        <v>948153</v>
      </c>
      <c r="M43" s="195">
        <v>1.3892397069967163E-2</v>
      </c>
      <c r="N43" s="195">
        <v>1.0248833288296509E-3</v>
      </c>
      <c r="O43" s="195">
        <v>1.6158322209494362E-2</v>
      </c>
      <c r="P43" s="195">
        <v>2.4297649220446801E-2</v>
      </c>
      <c r="R43" s="223" t="s">
        <v>470</v>
      </c>
      <c r="S43" s="207">
        <f>SUMIFS(Scoreboard_4[Amount Healed],Scoreboard_4[Role],"Healer",Scoreboard_4[Team],"Yellow")</f>
        <v>39769360</v>
      </c>
      <c r="T43" s="219">
        <f>SUMIFS(Scoreboard_4[Amount Healed],Scoreboard_4[Role],"Healer",Scoreboard_4[Team],"Red")</f>
        <v>37110267</v>
      </c>
    </row>
    <row r="44" spans="1:20" ht="22.5" customHeight="1">
      <c r="A44" s="115">
        <v>78</v>
      </c>
      <c r="B44" s="115" t="s">
        <v>11</v>
      </c>
      <c r="C44" s="115" t="s">
        <v>10</v>
      </c>
      <c r="D44" s="115" t="s">
        <v>7</v>
      </c>
      <c r="E44" s="98" t="s">
        <v>858</v>
      </c>
      <c r="F44" s="115" t="s">
        <v>476</v>
      </c>
      <c r="G44" s="115">
        <v>0</v>
      </c>
      <c r="H44" s="115">
        <v>55</v>
      </c>
      <c r="I44" s="194">
        <v>55</v>
      </c>
      <c r="J44" s="116">
        <v>74905</v>
      </c>
      <c r="K44" s="116">
        <v>1110442</v>
      </c>
      <c r="L44" s="116">
        <v>1703783</v>
      </c>
      <c r="M44" s="195">
        <v>3.0933633295838019E-2</v>
      </c>
      <c r="N44" s="195">
        <v>1.1915998549622295E-3</v>
      </c>
      <c r="O44" s="195">
        <v>1.4928638389609308E-2</v>
      </c>
      <c r="P44" s="195">
        <v>3.9283049298851215E-2</v>
      </c>
      <c r="R44" s="223" t="s">
        <v>465</v>
      </c>
      <c r="S44" s="207">
        <f>SUMIFS(Scoreboard_4[Kills],Scoreboard_4[Role],"Healer",Scoreboard_4[Team],"Yellow")</f>
        <v>2</v>
      </c>
      <c r="T44" s="219">
        <f>SUMIFS(Scoreboard_4[Kills],Scoreboard_4[Role],"Healer",Scoreboard_4[Team],"Red")</f>
        <v>10</v>
      </c>
    </row>
    <row r="45" spans="1:20" ht="22.5" customHeight="1">
      <c r="A45" s="115">
        <v>28</v>
      </c>
      <c r="B45" s="115" t="s">
        <v>25</v>
      </c>
      <c r="C45" s="115" t="s">
        <v>23</v>
      </c>
      <c r="D45" s="115" t="s">
        <v>7</v>
      </c>
      <c r="E45" s="98" t="s">
        <v>850</v>
      </c>
      <c r="F45" s="115" t="s">
        <v>476</v>
      </c>
      <c r="G45" s="115">
        <v>16</v>
      </c>
      <c r="H45" s="115">
        <v>38</v>
      </c>
      <c r="I45" s="194">
        <v>54</v>
      </c>
      <c r="J45" s="116">
        <v>2410678</v>
      </c>
      <c r="K45" s="116">
        <v>1604338</v>
      </c>
      <c r="L45" s="116">
        <v>84106</v>
      </c>
      <c r="M45" s="195">
        <v>3.0371203599550055E-2</v>
      </c>
      <c r="N45" s="195">
        <v>3.8349423338370436E-2</v>
      </c>
      <c r="O45" s="195">
        <v>2.1568512229102482E-2</v>
      </c>
      <c r="P45" s="195">
        <v>1.9391789590160133E-3</v>
      </c>
      <c r="R45" s="223" t="s">
        <v>466</v>
      </c>
      <c r="S45" s="207">
        <f>SUMIFS(Scoreboard_4[Assists],Scoreboard_4[Role],"Healer",Scoreboard_4[Team],"Yellow")</f>
        <v>498</v>
      </c>
      <c r="T45" s="219">
        <f>SUMIFS(Scoreboard_4[Assists],Scoreboard_4[Role],"Healer",Scoreboard_4[Team],"Red")</f>
        <v>1077</v>
      </c>
    </row>
    <row r="46" spans="1:20" ht="22.5" customHeight="1">
      <c r="A46" s="115">
        <v>64</v>
      </c>
      <c r="B46" s="115" t="s">
        <v>11</v>
      </c>
      <c r="C46" s="115" t="s">
        <v>10</v>
      </c>
      <c r="D46" s="115" t="s">
        <v>667</v>
      </c>
      <c r="E46" s="98" t="s">
        <v>969</v>
      </c>
      <c r="F46" s="115" t="s">
        <v>483</v>
      </c>
      <c r="G46" s="115">
        <v>1</v>
      </c>
      <c r="H46" s="115">
        <v>50</v>
      </c>
      <c r="I46" s="194">
        <v>51</v>
      </c>
      <c r="J46" s="116">
        <v>160214</v>
      </c>
      <c r="K46" s="116">
        <v>1284048</v>
      </c>
      <c r="L46" s="116">
        <v>1885088</v>
      </c>
      <c r="M46" s="195">
        <v>1.2882040919424097E-2</v>
      </c>
      <c r="N46" s="195">
        <v>2.152604321514338E-3</v>
      </c>
      <c r="O46" s="195">
        <v>2.043181764297879E-2</v>
      </c>
      <c r="P46" s="195">
        <v>4.8307822654860152E-2</v>
      </c>
    </row>
    <row r="47" spans="1:20" ht="22.5" customHeight="1">
      <c r="A47" s="115">
        <v>79</v>
      </c>
      <c r="B47" s="115" t="s">
        <v>11</v>
      </c>
      <c r="C47" s="115" t="s">
        <v>10</v>
      </c>
      <c r="D47" s="115" t="s">
        <v>667</v>
      </c>
      <c r="E47" s="98" t="s">
        <v>975</v>
      </c>
      <c r="F47" s="115" t="s">
        <v>483</v>
      </c>
      <c r="G47" s="115">
        <v>0</v>
      </c>
      <c r="H47" s="115">
        <v>51</v>
      </c>
      <c r="I47" s="194">
        <v>51</v>
      </c>
      <c r="J47" s="116">
        <v>155320</v>
      </c>
      <c r="K47" s="116">
        <v>1238036</v>
      </c>
      <c r="L47" s="116">
        <v>2607703</v>
      </c>
      <c r="M47" s="195">
        <v>1.2882040919424097E-2</v>
      </c>
      <c r="N47" s="195">
        <v>2.0868494839252935E-3</v>
      </c>
      <c r="O47" s="195">
        <v>1.9699673055402048E-2</v>
      </c>
      <c r="P47" s="195">
        <v>6.6825768378211942E-2</v>
      </c>
    </row>
    <row r="48" spans="1:20" ht="22.5" customHeight="1">
      <c r="A48" s="115">
        <v>26</v>
      </c>
      <c r="B48" s="115" t="s">
        <v>25</v>
      </c>
      <c r="C48" s="115" t="s">
        <v>23</v>
      </c>
      <c r="D48" s="115" t="s">
        <v>7</v>
      </c>
      <c r="E48" s="98" t="s">
        <v>912</v>
      </c>
      <c r="F48" s="115" t="s">
        <v>476</v>
      </c>
      <c r="G48" s="115">
        <v>21</v>
      </c>
      <c r="H48" s="115">
        <v>28</v>
      </c>
      <c r="I48" s="194">
        <v>49</v>
      </c>
      <c r="J48" s="116">
        <v>2343128</v>
      </c>
      <c r="K48" s="116">
        <v>1752206</v>
      </c>
      <c r="L48" s="116">
        <v>95952</v>
      </c>
      <c r="M48" s="195">
        <v>2.7559055118110236E-2</v>
      </c>
      <c r="N48" s="195">
        <v>3.7274827914797928E-2</v>
      </c>
      <c r="O48" s="195">
        <v>2.3556430464719245E-2</v>
      </c>
      <c r="P48" s="195">
        <v>2.2123047044860593E-3</v>
      </c>
    </row>
    <row r="49" spans="1:16" ht="22.5" customHeight="1">
      <c r="A49" s="115">
        <v>80</v>
      </c>
      <c r="B49" s="115" t="s">
        <v>11</v>
      </c>
      <c r="C49" s="115" t="s">
        <v>10</v>
      </c>
      <c r="D49" s="115" t="s">
        <v>7</v>
      </c>
      <c r="E49" s="98" t="s">
        <v>44</v>
      </c>
      <c r="F49" s="115" t="s">
        <v>476</v>
      </c>
      <c r="G49" s="115">
        <v>0</v>
      </c>
      <c r="H49" s="115">
        <v>47</v>
      </c>
      <c r="I49" s="194">
        <v>47</v>
      </c>
      <c r="J49" s="116">
        <v>131946</v>
      </c>
      <c r="K49" s="116">
        <v>1123897</v>
      </c>
      <c r="L49" s="116">
        <v>3488622</v>
      </c>
      <c r="M49" s="195">
        <v>2.6434195725534307E-2</v>
      </c>
      <c r="N49" s="195">
        <v>2.0990165471309837E-3</v>
      </c>
      <c r="O49" s="195">
        <v>1.5109525666506429E-2</v>
      </c>
      <c r="P49" s="195">
        <v>8.0434955631707161E-2</v>
      </c>
    </row>
    <row r="50" spans="1:16" ht="22.5" customHeight="1">
      <c r="A50" s="115">
        <v>81</v>
      </c>
      <c r="B50" s="115" t="s">
        <v>11</v>
      </c>
      <c r="C50" s="115" t="s">
        <v>10</v>
      </c>
      <c r="D50" s="115" t="s">
        <v>7</v>
      </c>
      <c r="E50" s="98" t="s">
        <v>51</v>
      </c>
      <c r="F50" s="115" t="s">
        <v>476</v>
      </c>
      <c r="G50" s="115">
        <v>0</v>
      </c>
      <c r="H50" s="115">
        <v>45</v>
      </c>
      <c r="I50" s="194">
        <v>45</v>
      </c>
      <c r="J50" s="116">
        <v>305535</v>
      </c>
      <c r="K50" s="116">
        <v>1304437</v>
      </c>
      <c r="L50" s="116">
        <v>2739177</v>
      </c>
      <c r="M50" s="195">
        <v>2.5309336332958381E-2</v>
      </c>
      <c r="N50" s="195">
        <v>4.8604961175607074E-3</v>
      </c>
      <c r="O50" s="195">
        <v>1.7536682037447068E-2</v>
      </c>
      <c r="P50" s="195">
        <v>6.3155475274303929E-2</v>
      </c>
    </row>
    <row r="51" spans="1:16" ht="22.5" customHeight="1">
      <c r="A51" s="115">
        <v>36</v>
      </c>
      <c r="B51" s="115" t="s">
        <v>39</v>
      </c>
      <c r="C51" s="115" t="s">
        <v>32</v>
      </c>
      <c r="D51" s="115" t="s">
        <v>7</v>
      </c>
      <c r="E51" s="98" t="s">
        <v>877</v>
      </c>
      <c r="F51" s="115" t="s">
        <v>476</v>
      </c>
      <c r="G51" s="115">
        <v>9</v>
      </c>
      <c r="H51" s="115">
        <v>34</v>
      </c>
      <c r="I51" s="194">
        <v>43</v>
      </c>
      <c r="J51" s="116">
        <v>2301661</v>
      </c>
      <c r="K51" s="116">
        <v>1332498</v>
      </c>
      <c r="L51" s="116">
        <v>37370</v>
      </c>
      <c r="M51" s="195">
        <v>2.4184476940382452E-2</v>
      </c>
      <c r="N51" s="195">
        <v>3.6615164725615379E-2</v>
      </c>
      <c r="O51" s="195">
        <v>1.7913930486128608E-2</v>
      </c>
      <c r="P51" s="195">
        <v>8.6161650415461936E-4</v>
      </c>
    </row>
    <row r="52" spans="1:16" ht="22.5" customHeight="1">
      <c r="A52" s="115">
        <v>34</v>
      </c>
      <c r="B52" s="115" t="s">
        <v>25</v>
      </c>
      <c r="C52" s="115" t="s">
        <v>23</v>
      </c>
      <c r="D52" s="115" t="s">
        <v>7</v>
      </c>
      <c r="E52" s="98" t="s">
        <v>935</v>
      </c>
      <c r="F52" s="115" t="s">
        <v>476</v>
      </c>
      <c r="G52" s="115">
        <v>10</v>
      </c>
      <c r="H52" s="115">
        <v>33</v>
      </c>
      <c r="I52" s="194">
        <v>43</v>
      </c>
      <c r="J52" s="116">
        <v>1651746</v>
      </c>
      <c r="K52" s="116">
        <v>1978161</v>
      </c>
      <c r="L52" s="116">
        <v>55342</v>
      </c>
      <c r="M52" s="195">
        <v>2.4184476940382452E-2</v>
      </c>
      <c r="N52" s="195">
        <v>2.6276220466383324E-2</v>
      </c>
      <c r="O52" s="195">
        <v>2.6594140212120882E-2</v>
      </c>
      <c r="P52" s="195">
        <v>1.2759855652374884E-3</v>
      </c>
    </row>
    <row r="53" spans="1:16" ht="22.5" customHeight="1">
      <c r="A53" s="115">
        <v>31</v>
      </c>
      <c r="B53" s="115" t="s">
        <v>67</v>
      </c>
      <c r="C53" s="115" t="s">
        <v>14</v>
      </c>
      <c r="D53" s="115" t="s">
        <v>667</v>
      </c>
      <c r="E53" s="98" t="s">
        <v>692</v>
      </c>
      <c r="F53" s="115" t="s">
        <v>483</v>
      </c>
      <c r="G53" s="115">
        <v>11</v>
      </c>
      <c r="H53" s="115">
        <v>31</v>
      </c>
      <c r="I53" s="194">
        <v>42</v>
      </c>
      <c r="J53" s="116">
        <v>1233477</v>
      </c>
      <c r="K53" s="116">
        <v>2024415</v>
      </c>
      <c r="L53" s="116">
        <v>74243</v>
      </c>
      <c r="M53" s="195">
        <v>1.0608739580702197E-2</v>
      </c>
      <c r="N53" s="195">
        <v>1.6572758439890027E-2</v>
      </c>
      <c r="O53" s="195">
        <v>3.2212563793340206E-2</v>
      </c>
      <c r="P53" s="195">
        <v>1.9025730774185515E-3</v>
      </c>
    </row>
    <row r="54" spans="1:16" ht="22.5" customHeight="1">
      <c r="A54" s="115">
        <v>41</v>
      </c>
      <c r="B54" s="115" t="s">
        <v>67</v>
      </c>
      <c r="C54" s="115" t="s">
        <v>14</v>
      </c>
      <c r="D54" s="115" t="s">
        <v>667</v>
      </c>
      <c r="E54" s="98" t="s">
        <v>970</v>
      </c>
      <c r="F54" s="115" t="s">
        <v>483</v>
      </c>
      <c r="G54" s="115">
        <v>5</v>
      </c>
      <c r="H54" s="115">
        <v>37</v>
      </c>
      <c r="I54" s="194">
        <v>42</v>
      </c>
      <c r="J54" s="116">
        <v>512087</v>
      </c>
      <c r="K54" s="116">
        <v>1402936</v>
      </c>
      <c r="L54" s="116">
        <v>138203</v>
      </c>
      <c r="M54" s="195">
        <v>1.0608739580702197E-2</v>
      </c>
      <c r="N54" s="195">
        <v>6.8803019036495737E-3</v>
      </c>
      <c r="O54" s="195">
        <v>2.2323567745730761E-2</v>
      </c>
      <c r="P54" s="195">
        <v>3.5416309553557381E-3</v>
      </c>
    </row>
    <row r="55" spans="1:16" ht="22.5" customHeight="1">
      <c r="A55" s="115">
        <v>51</v>
      </c>
      <c r="B55" s="115" t="s">
        <v>67</v>
      </c>
      <c r="C55" s="115" t="s">
        <v>14</v>
      </c>
      <c r="D55" s="115" t="s">
        <v>667</v>
      </c>
      <c r="E55" s="98" t="s">
        <v>296</v>
      </c>
      <c r="F55" s="115" t="s">
        <v>483</v>
      </c>
      <c r="G55" s="115">
        <v>2</v>
      </c>
      <c r="H55" s="115">
        <v>39</v>
      </c>
      <c r="I55" s="194">
        <v>41</v>
      </c>
      <c r="J55" s="116">
        <v>501655</v>
      </c>
      <c r="K55" s="116">
        <v>998314</v>
      </c>
      <c r="L55" s="116">
        <v>77183</v>
      </c>
      <c r="M55" s="195">
        <v>1.035615054306643E-2</v>
      </c>
      <c r="N55" s="195">
        <v>6.7401395690094195E-3</v>
      </c>
      <c r="O55" s="195">
        <v>1.5885208028385799E-2</v>
      </c>
      <c r="P55" s="195">
        <v>1.9779143870047823E-3</v>
      </c>
    </row>
    <row r="56" spans="1:16" ht="22.5" customHeight="1">
      <c r="A56" s="115">
        <v>37</v>
      </c>
      <c r="B56" s="115" t="s">
        <v>39</v>
      </c>
      <c r="C56" s="115" t="s">
        <v>992</v>
      </c>
      <c r="D56" s="115" t="s">
        <v>7</v>
      </c>
      <c r="E56" s="98" t="s">
        <v>99</v>
      </c>
      <c r="F56" s="115" t="s">
        <v>476</v>
      </c>
      <c r="G56" s="115">
        <v>9</v>
      </c>
      <c r="H56" s="115">
        <v>31</v>
      </c>
      <c r="I56" s="194">
        <v>40</v>
      </c>
      <c r="J56" s="116">
        <v>2616805</v>
      </c>
      <c r="K56" s="116">
        <v>826727</v>
      </c>
      <c r="L56" s="116">
        <v>397040</v>
      </c>
      <c r="M56" s="195">
        <v>2.2497187851518559E-2</v>
      </c>
      <c r="N56" s="195">
        <v>4.1628522241031134E-2</v>
      </c>
      <c r="O56" s="195">
        <v>1.1114410685048417E-2</v>
      </c>
      <c r="P56" s="195">
        <v>9.1543006906489172E-3</v>
      </c>
    </row>
    <row r="57" spans="1:16" ht="22.5" customHeight="1">
      <c r="A57" s="115">
        <v>30</v>
      </c>
      <c r="B57" s="115" t="s">
        <v>67</v>
      </c>
      <c r="C57" s="115" t="s">
        <v>14</v>
      </c>
      <c r="D57" s="115" t="s">
        <v>667</v>
      </c>
      <c r="E57" s="98" t="s">
        <v>685</v>
      </c>
      <c r="F57" s="115" t="s">
        <v>483</v>
      </c>
      <c r="G57" s="115">
        <v>12</v>
      </c>
      <c r="H57" s="115">
        <v>28</v>
      </c>
      <c r="I57" s="194">
        <v>40</v>
      </c>
      <c r="J57" s="116">
        <v>817753</v>
      </c>
      <c r="K57" s="116">
        <v>1903595</v>
      </c>
      <c r="L57" s="116">
        <v>41814</v>
      </c>
      <c r="M57" s="195">
        <v>1.0103561505430665E-2</v>
      </c>
      <c r="N57" s="195">
        <v>1.0987171169381667E-2</v>
      </c>
      <c r="O57" s="195">
        <v>3.0290071637576018E-2</v>
      </c>
      <c r="P57" s="195">
        <v>1.0715379316458024E-3</v>
      </c>
    </row>
    <row r="58" spans="1:16" ht="22.5" customHeight="1">
      <c r="A58" s="115">
        <v>52</v>
      </c>
      <c r="B58" s="115" t="s">
        <v>67</v>
      </c>
      <c r="C58" s="115" t="s">
        <v>14</v>
      </c>
      <c r="D58" s="115" t="s">
        <v>7</v>
      </c>
      <c r="E58" s="98" t="s">
        <v>973</v>
      </c>
      <c r="F58" s="115" t="s">
        <v>476</v>
      </c>
      <c r="G58" s="115">
        <v>2</v>
      </c>
      <c r="H58" s="115">
        <v>37</v>
      </c>
      <c r="I58" s="194">
        <v>39</v>
      </c>
      <c r="J58" s="116">
        <v>616851</v>
      </c>
      <c r="K58" s="116">
        <v>1485593</v>
      </c>
      <c r="L58" s="116">
        <v>81767</v>
      </c>
      <c r="M58" s="195">
        <v>2.1934758155230598E-2</v>
      </c>
      <c r="N58" s="195">
        <v>9.8129572409492855E-3</v>
      </c>
      <c r="O58" s="195">
        <v>1.9972119832584557E-2</v>
      </c>
      <c r="P58" s="195">
        <v>1.8852501122614599E-3</v>
      </c>
    </row>
    <row r="59" spans="1:16" ht="22.5" customHeight="1">
      <c r="A59" s="115">
        <v>65</v>
      </c>
      <c r="B59" s="115" t="s">
        <v>11</v>
      </c>
      <c r="C59" s="115" t="s">
        <v>10</v>
      </c>
      <c r="D59" s="115" t="s">
        <v>7</v>
      </c>
      <c r="E59" s="98" t="s">
        <v>29</v>
      </c>
      <c r="F59" s="115" t="s">
        <v>476</v>
      </c>
      <c r="G59" s="115">
        <v>1</v>
      </c>
      <c r="H59" s="115">
        <v>35</v>
      </c>
      <c r="I59" s="194">
        <v>36</v>
      </c>
      <c r="J59" s="116">
        <v>229836</v>
      </c>
      <c r="K59" s="116">
        <v>937048</v>
      </c>
      <c r="L59" s="116">
        <v>2571476</v>
      </c>
      <c r="M59" s="195">
        <v>2.0247469066366704E-2</v>
      </c>
      <c r="N59" s="195">
        <v>3.6562651927788395E-3</v>
      </c>
      <c r="O59" s="195">
        <v>1.2597551916900318E-2</v>
      </c>
      <c r="P59" s="195">
        <v>5.92888991607574E-2</v>
      </c>
    </row>
    <row r="60" spans="1:16" ht="22.5" customHeight="1">
      <c r="A60" s="115">
        <v>82</v>
      </c>
      <c r="B60" s="115" t="s">
        <v>11</v>
      </c>
      <c r="C60" s="115" t="s">
        <v>10</v>
      </c>
      <c r="D60" s="115" t="s">
        <v>7</v>
      </c>
      <c r="E60" s="98" t="s">
        <v>17</v>
      </c>
      <c r="F60" s="115" t="s">
        <v>476</v>
      </c>
      <c r="G60" s="115">
        <v>0</v>
      </c>
      <c r="H60" s="115">
        <v>35</v>
      </c>
      <c r="I60" s="194">
        <v>35</v>
      </c>
      <c r="J60" s="116">
        <v>241672</v>
      </c>
      <c r="K60" s="116">
        <v>2036629</v>
      </c>
      <c r="L60" s="116">
        <v>2913571</v>
      </c>
      <c r="M60" s="195">
        <v>1.968503937007874E-2</v>
      </c>
      <c r="N60" s="195">
        <v>3.8445540370927434E-3</v>
      </c>
      <c r="O60" s="195">
        <v>2.7380176429558332E-2</v>
      </c>
      <c r="P60" s="195">
        <v>6.7176367664604719E-2</v>
      </c>
    </row>
    <row r="61" spans="1:16" ht="22.5" customHeight="1">
      <c r="A61" s="115">
        <v>66</v>
      </c>
      <c r="B61" s="115" t="s">
        <v>11</v>
      </c>
      <c r="C61" s="115" t="s">
        <v>10</v>
      </c>
      <c r="D61" s="115" t="s">
        <v>7</v>
      </c>
      <c r="E61" s="98" t="s">
        <v>96</v>
      </c>
      <c r="F61" s="115" t="s">
        <v>476</v>
      </c>
      <c r="G61" s="115">
        <v>1</v>
      </c>
      <c r="H61" s="115">
        <v>34</v>
      </c>
      <c r="I61" s="194">
        <v>35</v>
      </c>
      <c r="J61" s="116">
        <v>178147</v>
      </c>
      <c r="K61" s="116">
        <v>1178547</v>
      </c>
      <c r="L61" s="116">
        <v>1901674</v>
      </c>
      <c r="M61" s="195">
        <v>1.968503937007874E-2</v>
      </c>
      <c r="N61" s="195">
        <v>2.8339889107797385E-3</v>
      </c>
      <c r="O61" s="195">
        <v>1.5844233186567944E-2</v>
      </c>
      <c r="P61" s="195">
        <v>4.3845697188165146E-2</v>
      </c>
    </row>
    <row r="62" spans="1:16" ht="22.5" customHeight="1">
      <c r="A62" s="115">
        <v>83</v>
      </c>
      <c r="B62" s="115" t="s">
        <v>11</v>
      </c>
      <c r="C62" s="115" t="s">
        <v>10</v>
      </c>
      <c r="D62" s="115" t="s">
        <v>7</v>
      </c>
      <c r="E62" s="98" t="s">
        <v>87</v>
      </c>
      <c r="F62" s="115" t="s">
        <v>476</v>
      </c>
      <c r="G62" s="115">
        <v>0</v>
      </c>
      <c r="H62" s="115">
        <v>35</v>
      </c>
      <c r="I62" s="194">
        <v>35</v>
      </c>
      <c r="J62" s="116">
        <v>173607</v>
      </c>
      <c r="K62" s="116">
        <v>1477570</v>
      </c>
      <c r="L62" s="116">
        <v>2692041</v>
      </c>
      <c r="M62" s="195">
        <v>1.968503937007874E-2</v>
      </c>
      <c r="N62" s="195">
        <v>2.7617659171006981E-3</v>
      </c>
      <c r="O62" s="195">
        <v>1.9864259659968755E-2</v>
      </c>
      <c r="P62" s="195">
        <v>6.2068690271900068E-2</v>
      </c>
    </row>
    <row r="63" spans="1:16" ht="22.5" customHeight="1">
      <c r="A63" s="115">
        <v>35</v>
      </c>
      <c r="B63" s="115" t="s">
        <v>25</v>
      </c>
      <c r="C63" s="115" t="s">
        <v>24</v>
      </c>
      <c r="D63" s="115" t="s">
        <v>7</v>
      </c>
      <c r="E63" s="98" t="s">
        <v>169</v>
      </c>
      <c r="F63" s="115" t="s">
        <v>476</v>
      </c>
      <c r="G63" s="115">
        <v>10</v>
      </c>
      <c r="H63" s="115">
        <v>24</v>
      </c>
      <c r="I63" s="194">
        <v>34</v>
      </c>
      <c r="J63" s="116">
        <v>2089856</v>
      </c>
      <c r="K63" s="116">
        <v>1368177</v>
      </c>
      <c r="L63" s="116">
        <v>14109</v>
      </c>
      <c r="M63" s="195">
        <v>1.9122609673790775E-2</v>
      </c>
      <c r="N63" s="195">
        <v>3.3245739356410724E-2</v>
      </c>
      <c r="O63" s="195">
        <v>1.8393594339893928E-2</v>
      </c>
      <c r="P63" s="195">
        <v>3.2530230819153129E-4</v>
      </c>
    </row>
    <row r="64" spans="1:16" ht="22.5" customHeight="1">
      <c r="A64" s="115">
        <v>32</v>
      </c>
      <c r="B64" s="115" t="s">
        <v>67</v>
      </c>
      <c r="C64" s="115" t="s">
        <v>14</v>
      </c>
      <c r="D64" s="115" t="s">
        <v>7</v>
      </c>
      <c r="E64" s="98" t="s">
        <v>55</v>
      </c>
      <c r="F64" s="115" t="s">
        <v>476</v>
      </c>
      <c r="G64" s="115">
        <v>11</v>
      </c>
      <c r="H64" s="115">
        <v>23</v>
      </c>
      <c r="I64" s="194">
        <v>34</v>
      </c>
      <c r="J64" s="116">
        <v>1541904</v>
      </c>
      <c r="K64" s="116">
        <v>1717730</v>
      </c>
      <c r="L64" s="116">
        <v>94571</v>
      </c>
      <c r="M64" s="195">
        <v>1.9122609673790775E-2</v>
      </c>
      <c r="N64" s="195">
        <v>2.4528837631208618E-2</v>
      </c>
      <c r="O64" s="195">
        <v>2.309293958710459E-2</v>
      </c>
      <c r="P64" s="195">
        <v>2.1804638590957053E-3</v>
      </c>
    </row>
    <row r="65" spans="1:16" ht="22.5" customHeight="1">
      <c r="A65" s="115">
        <v>38</v>
      </c>
      <c r="B65" s="115" t="s">
        <v>39</v>
      </c>
      <c r="C65" s="115" t="s">
        <v>54</v>
      </c>
      <c r="D65" s="115" t="s">
        <v>7</v>
      </c>
      <c r="E65" s="98" t="s">
        <v>972</v>
      </c>
      <c r="F65" s="115" t="s">
        <v>476</v>
      </c>
      <c r="G65" s="115">
        <v>7</v>
      </c>
      <c r="H65" s="115">
        <v>27</v>
      </c>
      <c r="I65" s="194">
        <v>34</v>
      </c>
      <c r="J65" s="116">
        <v>944097</v>
      </c>
      <c r="K65" s="116">
        <v>1501755</v>
      </c>
      <c r="L65" s="116">
        <v>29381</v>
      </c>
      <c r="M65" s="195">
        <v>1.9122609673790775E-2</v>
      </c>
      <c r="N65" s="195">
        <v>1.5018835168150004E-2</v>
      </c>
      <c r="O65" s="195">
        <v>2.0189399666788295E-2</v>
      </c>
      <c r="P65" s="195">
        <v>6.7741917336277418E-4</v>
      </c>
    </row>
    <row r="66" spans="1:16" ht="22.5" customHeight="1">
      <c r="A66" s="115">
        <v>39</v>
      </c>
      <c r="B66" s="115" t="s">
        <v>67</v>
      </c>
      <c r="C66" s="115" t="s">
        <v>14</v>
      </c>
      <c r="D66" s="115" t="s">
        <v>667</v>
      </c>
      <c r="E66" s="98" t="s">
        <v>216</v>
      </c>
      <c r="F66" s="115" t="s">
        <v>483</v>
      </c>
      <c r="G66" s="115">
        <v>6</v>
      </c>
      <c r="H66" s="115">
        <v>27</v>
      </c>
      <c r="I66" s="194">
        <v>33</v>
      </c>
      <c r="J66" s="116">
        <v>628562</v>
      </c>
      <c r="K66" s="116">
        <v>1573690</v>
      </c>
      <c r="L66" s="116">
        <v>64707</v>
      </c>
      <c r="M66" s="195">
        <v>8.3354382419802975E-3</v>
      </c>
      <c r="N66" s="195">
        <v>8.4452374794942719E-3</v>
      </c>
      <c r="O66" s="195">
        <v>2.5040611493167927E-2</v>
      </c>
      <c r="P66" s="195">
        <v>1.658200720883076E-3</v>
      </c>
    </row>
    <row r="67" spans="1:16" ht="22.5" customHeight="1">
      <c r="A67" s="115">
        <v>84</v>
      </c>
      <c r="B67" s="115" t="s">
        <v>11</v>
      </c>
      <c r="C67" s="115" t="s">
        <v>10</v>
      </c>
      <c r="D67" s="115" t="s">
        <v>7</v>
      </c>
      <c r="E67" s="98" t="s">
        <v>102</v>
      </c>
      <c r="F67" s="115" t="s">
        <v>476</v>
      </c>
      <c r="G67" s="115">
        <v>0</v>
      </c>
      <c r="H67" s="115">
        <v>33</v>
      </c>
      <c r="I67" s="194">
        <v>33</v>
      </c>
      <c r="J67" s="116">
        <v>146871</v>
      </c>
      <c r="K67" s="116">
        <v>1423649</v>
      </c>
      <c r="L67" s="116">
        <v>3113576</v>
      </c>
      <c r="M67" s="195">
        <v>1.8560179977502811E-2</v>
      </c>
      <c r="N67" s="195">
        <v>2.3364456618137322E-3</v>
      </c>
      <c r="O67" s="195">
        <v>1.9139352721464876E-2</v>
      </c>
      <c r="P67" s="195">
        <v>7.1787756717680576E-2</v>
      </c>
    </row>
    <row r="68" spans="1:16" ht="22.5" customHeight="1">
      <c r="A68" s="115">
        <v>85</v>
      </c>
      <c r="B68" s="115" t="s">
        <v>11</v>
      </c>
      <c r="C68" s="115" t="s">
        <v>10</v>
      </c>
      <c r="D68" s="115" t="s">
        <v>7</v>
      </c>
      <c r="E68" s="98" t="s">
        <v>100</v>
      </c>
      <c r="F68" s="115" t="s">
        <v>476</v>
      </c>
      <c r="G68" s="115">
        <v>0</v>
      </c>
      <c r="H68" s="115">
        <v>33</v>
      </c>
      <c r="I68" s="194">
        <v>33</v>
      </c>
      <c r="J68" s="116">
        <v>98611</v>
      </c>
      <c r="K68" s="116">
        <v>1283069</v>
      </c>
      <c r="L68" s="116">
        <v>1519836</v>
      </c>
      <c r="M68" s="195">
        <v>1.8560179977502811E-2</v>
      </c>
      <c r="N68" s="195">
        <v>1.5687184206352102E-3</v>
      </c>
      <c r="O68" s="195">
        <v>1.7249413413683582E-2</v>
      </c>
      <c r="P68" s="195">
        <v>3.5041899416867542E-2</v>
      </c>
    </row>
    <row r="69" spans="1:16" ht="22.5" customHeight="1">
      <c r="A69" s="115">
        <v>67</v>
      </c>
      <c r="B69" s="115" t="s">
        <v>67</v>
      </c>
      <c r="C69" s="115" t="s">
        <v>14</v>
      </c>
      <c r="D69" s="115" t="s">
        <v>667</v>
      </c>
      <c r="E69" s="98" t="s">
        <v>993</v>
      </c>
      <c r="F69" s="115" t="s">
        <v>483</v>
      </c>
      <c r="G69" s="115">
        <v>1</v>
      </c>
      <c r="H69" s="115">
        <v>31</v>
      </c>
      <c r="I69" s="194">
        <v>32</v>
      </c>
      <c r="J69" s="116">
        <v>346432</v>
      </c>
      <c r="K69" s="116">
        <v>805397</v>
      </c>
      <c r="L69" s="116">
        <v>130489</v>
      </c>
      <c r="M69" s="195">
        <v>8.0828492043445322E-3</v>
      </c>
      <c r="N69" s="195">
        <v>4.6545933583260835E-3</v>
      </c>
      <c r="O69" s="195">
        <v>1.2815505833272735E-2</v>
      </c>
      <c r="P69" s="195">
        <v>3.3439497097271036E-3</v>
      </c>
    </row>
    <row r="70" spans="1:16" ht="22.5" customHeight="1">
      <c r="A70" s="115">
        <v>86</v>
      </c>
      <c r="B70" s="115" t="s">
        <v>11</v>
      </c>
      <c r="C70" s="115" t="s">
        <v>10</v>
      </c>
      <c r="D70" s="115" t="s">
        <v>7</v>
      </c>
      <c r="E70" s="98" t="s">
        <v>974</v>
      </c>
      <c r="F70" s="115" t="s">
        <v>476</v>
      </c>
      <c r="G70" s="115">
        <v>0</v>
      </c>
      <c r="H70" s="115">
        <v>32</v>
      </c>
      <c r="I70" s="194">
        <v>32</v>
      </c>
      <c r="J70" s="116">
        <v>148098</v>
      </c>
      <c r="K70" s="116">
        <v>1049711</v>
      </c>
      <c r="L70" s="116">
        <v>2515474</v>
      </c>
      <c r="M70" s="195">
        <v>1.799775028121485E-2</v>
      </c>
      <c r="N70" s="195">
        <v>2.3559649598851383E-3</v>
      </c>
      <c r="O70" s="195">
        <v>1.4112178693344791E-2</v>
      </c>
      <c r="P70" s="195">
        <v>5.7997696392074846E-2</v>
      </c>
    </row>
    <row r="71" spans="1:16" ht="22.5" customHeight="1">
      <c r="A71" s="115">
        <v>87</v>
      </c>
      <c r="B71" s="115" t="s">
        <v>11</v>
      </c>
      <c r="C71" s="115" t="s">
        <v>10</v>
      </c>
      <c r="D71" s="115" t="s">
        <v>7</v>
      </c>
      <c r="E71" s="98" t="s">
        <v>41</v>
      </c>
      <c r="F71" s="115" t="s">
        <v>476</v>
      </c>
      <c r="G71" s="115">
        <v>0</v>
      </c>
      <c r="H71" s="115">
        <v>30</v>
      </c>
      <c r="I71" s="194">
        <v>30</v>
      </c>
      <c r="J71" s="116">
        <v>210749</v>
      </c>
      <c r="K71" s="116">
        <v>1834368</v>
      </c>
      <c r="L71" s="116">
        <v>2678868</v>
      </c>
      <c r="M71" s="195">
        <v>1.6872890888638921E-2</v>
      </c>
      <c r="N71" s="195">
        <v>3.3526263645075084E-3</v>
      </c>
      <c r="O71" s="195">
        <v>2.4661005748585561E-2</v>
      </c>
      <c r="P71" s="195">
        <v>6.1764968724957903E-2</v>
      </c>
    </row>
    <row r="72" spans="1:16" ht="22.5" customHeight="1">
      <c r="A72" s="115">
        <v>45</v>
      </c>
      <c r="B72" s="115" t="s">
        <v>67</v>
      </c>
      <c r="C72" s="115" t="s">
        <v>14</v>
      </c>
      <c r="D72" s="115" t="s">
        <v>7</v>
      </c>
      <c r="E72" s="98" t="s">
        <v>942</v>
      </c>
      <c r="F72" s="115" t="s">
        <v>476</v>
      </c>
      <c r="G72" s="115">
        <v>3</v>
      </c>
      <c r="H72" s="115">
        <v>22</v>
      </c>
      <c r="I72" s="194">
        <v>25</v>
      </c>
      <c r="J72" s="116">
        <v>672213</v>
      </c>
      <c r="K72" s="116">
        <v>1966857</v>
      </c>
      <c r="L72" s="116">
        <v>114664</v>
      </c>
      <c r="M72" s="195">
        <v>1.40607424071991E-2</v>
      </c>
      <c r="N72" s="195">
        <v>1.0693664151975505E-2</v>
      </c>
      <c r="O72" s="195">
        <v>2.6442170700560493E-2</v>
      </c>
      <c r="P72" s="195">
        <v>2.643735478522485E-3</v>
      </c>
    </row>
    <row r="73" spans="1:16" ht="22.5" customHeight="1">
      <c r="A73" s="115">
        <v>88</v>
      </c>
      <c r="B73" s="115" t="s">
        <v>11</v>
      </c>
      <c r="C73" s="115" t="s">
        <v>10</v>
      </c>
      <c r="D73" s="115" t="s">
        <v>7</v>
      </c>
      <c r="E73" s="98" t="s">
        <v>108</v>
      </c>
      <c r="F73" s="115" t="s">
        <v>476</v>
      </c>
      <c r="G73" s="115">
        <v>0</v>
      </c>
      <c r="H73" s="115">
        <v>25</v>
      </c>
      <c r="I73" s="194">
        <v>25</v>
      </c>
      <c r="J73" s="116">
        <v>190458</v>
      </c>
      <c r="K73" s="116">
        <v>1363162</v>
      </c>
      <c r="L73" s="116">
        <v>2474046</v>
      </c>
      <c r="M73" s="195">
        <v>1.40607424071991E-2</v>
      </c>
      <c r="N73" s="195">
        <v>3.0298341255776827E-3</v>
      </c>
      <c r="O73" s="195">
        <v>1.8326173329590023E-2</v>
      </c>
      <c r="P73" s="195">
        <v>5.7042517143101934E-2</v>
      </c>
    </row>
    <row r="74" spans="1:16" ht="22.5" customHeight="1">
      <c r="A74" s="115">
        <v>53</v>
      </c>
      <c r="B74" s="115" t="s">
        <v>67</v>
      </c>
      <c r="C74" s="115" t="s">
        <v>14</v>
      </c>
      <c r="D74" s="115" t="s">
        <v>667</v>
      </c>
      <c r="E74" s="98" t="s">
        <v>781</v>
      </c>
      <c r="F74" s="115" t="s">
        <v>483</v>
      </c>
      <c r="G74" s="115">
        <v>2</v>
      </c>
      <c r="H74" s="115">
        <v>22</v>
      </c>
      <c r="I74" s="194">
        <v>24</v>
      </c>
      <c r="J74" s="116">
        <v>695748</v>
      </c>
      <c r="K74" s="116">
        <v>1539389</v>
      </c>
      <c r="L74" s="116">
        <v>68244</v>
      </c>
      <c r="M74" s="195">
        <v>6.0621369032583987E-3</v>
      </c>
      <c r="N74" s="195">
        <v>9.3479355829388048E-3</v>
      </c>
      <c r="O74" s="195">
        <v>2.4494812755915259E-2</v>
      </c>
      <c r="P74" s="195">
        <v>1.7488409290485518E-3</v>
      </c>
    </row>
    <row r="75" spans="1:16" ht="22.5" customHeight="1">
      <c r="A75" s="115">
        <v>40</v>
      </c>
      <c r="B75" s="115" t="s">
        <v>39</v>
      </c>
      <c r="C75" s="115" t="s">
        <v>992</v>
      </c>
      <c r="D75" s="115" t="s">
        <v>7</v>
      </c>
      <c r="E75" s="98" t="s">
        <v>66</v>
      </c>
      <c r="F75" s="115" t="s">
        <v>476</v>
      </c>
      <c r="G75" s="115">
        <v>6</v>
      </c>
      <c r="H75" s="115">
        <v>16</v>
      </c>
      <c r="I75" s="194">
        <v>22</v>
      </c>
      <c r="J75" s="116">
        <v>1433793</v>
      </c>
      <c r="K75" s="116">
        <v>1574025</v>
      </c>
      <c r="L75" s="116">
        <v>713426</v>
      </c>
      <c r="M75" s="195">
        <v>1.2373453318335208E-2</v>
      </c>
      <c r="N75" s="195">
        <v>2.2808991800892596E-2</v>
      </c>
      <c r="O75" s="195">
        <v>2.1160988184168818E-2</v>
      </c>
      <c r="P75" s="195">
        <v>1.6449013007573281E-2</v>
      </c>
    </row>
    <row r="76" spans="1:16" ht="22.5" customHeight="1">
      <c r="A76" s="115">
        <v>46</v>
      </c>
      <c r="B76" s="115" t="s">
        <v>67</v>
      </c>
      <c r="C76" s="115" t="s">
        <v>14</v>
      </c>
      <c r="D76" s="115" t="s">
        <v>667</v>
      </c>
      <c r="E76" s="98" t="s">
        <v>408</v>
      </c>
      <c r="F76" s="115" t="s">
        <v>483</v>
      </c>
      <c r="G76" s="115">
        <v>3</v>
      </c>
      <c r="H76" s="115">
        <v>19</v>
      </c>
      <c r="I76" s="194">
        <v>22</v>
      </c>
      <c r="J76" s="116">
        <v>668752</v>
      </c>
      <c r="K76" s="116">
        <v>1245076</v>
      </c>
      <c r="L76" s="116">
        <v>42587</v>
      </c>
      <c r="M76" s="195">
        <v>5.5569588279868656E-3</v>
      </c>
      <c r="N76" s="195">
        <v>8.9852225474762286E-3</v>
      </c>
      <c r="O76" s="195">
        <v>1.9811693786875147E-2</v>
      </c>
      <c r="P76" s="195">
        <v>1.0913470582819102E-3</v>
      </c>
    </row>
    <row r="77" spans="1:16" ht="22.5" customHeight="1">
      <c r="A77" s="115">
        <v>89</v>
      </c>
      <c r="B77" s="115" t="s">
        <v>67</v>
      </c>
      <c r="C77" s="115" t="s">
        <v>794</v>
      </c>
      <c r="D77" s="115" t="s">
        <v>667</v>
      </c>
      <c r="E77" s="98" t="s">
        <v>978</v>
      </c>
      <c r="F77" s="115" t="s">
        <v>483</v>
      </c>
      <c r="G77" s="115">
        <v>0</v>
      </c>
      <c r="H77" s="115">
        <v>21</v>
      </c>
      <c r="I77" s="194">
        <v>21</v>
      </c>
      <c r="J77" s="116">
        <v>311714</v>
      </c>
      <c r="K77" s="116">
        <v>509484</v>
      </c>
      <c r="L77" s="116">
        <v>14957</v>
      </c>
      <c r="M77" s="195">
        <v>5.3043697903510986E-3</v>
      </c>
      <c r="N77" s="195">
        <v>4.1881290241584405E-3</v>
      </c>
      <c r="O77" s="195">
        <v>8.1069276070796469E-3</v>
      </c>
      <c r="P77" s="195">
        <v>3.8329250594600534E-4</v>
      </c>
    </row>
    <row r="78" spans="1:16" ht="22.5" customHeight="1">
      <c r="A78" s="115">
        <v>68</v>
      </c>
      <c r="B78" s="115" t="s">
        <v>67</v>
      </c>
      <c r="C78" s="115" t="s">
        <v>794</v>
      </c>
      <c r="D78" s="115" t="s">
        <v>667</v>
      </c>
      <c r="E78" s="98" t="s">
        <v>980</v>
      </c>
      <c r="F78" s="115" t="s">
        <v>483</v>
      </c>
      <c r="G78" s="115">
        <v>1</v>
      </c>
      <c r="H78" s="115">
        <v>19</v>
      </c>
      <c r="I78" s="194">
        <v>20</v>
      </c>
      <c r="J78" s="116">
        <v>408239</v>
      </c>
      <c r="K78" s="116">
        <v>507297</v>
      </c>
      <c r="L78" s="116">
        <v>22154</v>
      </c>
      <c r="M78" s="195">
        <v>5.0517807527153324E-3</v>
      </c>
      <c r="N78" s="195">
        <v>5.4850202579717865E-3</v>
      </c>
      <c r="O78" s="195">
        <v>8.0721279849586703E-3</v>
      </c>
      <c r="P78" s="195">
        <v>5.6772495665760527E-4</v>
      </c>
    </row>
    <row r="79" spans="1:16" ht="22.5" customHeight="1">
      <c r="A79" s="115">
        <v>90</v>
      </c>
      <c r="B79" s="115" t="s">
        <v>11</v>
      </c>
      <c r="C79" s="115" t="s">
        <v>10</v>
      </c>
      <c r="D79" s="115" t="s">
        <v>7</v>
      </c>
      <c r="E79" s="98" t="s">
        <v>857</v>
      </c>
      <c r="F79" s="115" t="s">
        <v>476</v>
      </c>
      <c r="G79" s="115">
        <v>0</v>
      </c>
      <c r="H79" s="115">
        <v>19</v>
      </c>
      <c r="I79" s="194">
        <v>19</v>
      </c>
      <c r="J79" s="116">
        <v>174653</v>
      </c>
      <c r="K79" s="116">
        <v>1865635</v>
      </c>
      <c r="L79" s="116">
        <v>3053877</v>
      </c>
      <c r="M79" s="195">
        <v>1.0686164229471317E-2</v>
      </c>
      <c r="N79" s="195">
        <v>2.7784058403139745E-3</v>
      </c>
      <c r="O79" s="195">
        <v>2.5081355245927982E-2</v>
      </c>
      <c r="P79" s="195">
        <v>7.041131455333681E-2</v>
      </c>
    </row>
    <row r="80" spans="1:16" ht="22.5" customHeight="1">
      <c r="A80" s="115">
        <v>42</v>
      </c>
      <c r="B80" s="115" t="s">
        <v>67</v>
      </c>
      <c r="C80" s="115" t="s">
        <v>14</v>
      </c>
      <c r="D80" s="115" t="s">
        <v>667</v>
      </c>
      <c r="E80" s="98" t="s">
        <v>977</v>
      </c>
      <c r="F80" s="115" t="s">
        <v>483</v>
      </c>
      <c r="G80" s="115">
        <v>4</v>
      </c>
      <c r="H80" s="115">
        <v>14</v>
      </c>
      <c r="I80" s="194">
        <v>18</v>
      </c>
      <c r="J80" s="116">
        <v>705959</v>
      </c>
      <c r="K80" s="116">
        <v>1480503</v>
      </c>
      <c r="L80" s="116">
        <v>36791</v>
      </c>
      <c r="M80" s="195">
        <v>4.5466026774437993E-3</v>
      </c>
      <c r="N80" s="195">
        <v>9.4851286043163546E-3</v>
      </c>
      <c r="O80" s="195">
        <v>2.3557816620471374E-2</v>
      </c>
      <c r="P80" s="195">
        <v>9.4281704795476915E-4</v>
      </c>
    </row>
    <row r="81" spans="1:16" ht="22.5" customHeight="1">
      <c r="A81" s="115">
        <v>54</v>
      </c>
      <c r="B81" s="115" t="s">
        <v>67</v>
      </c>
      <c r="C81" s="115" t="s">
        <v>14</v>
      </c>
      <c r="D81" s="115" t="s">
        <v>7</v>
      </c>
      <c r="E81" s="98" t="s">
        <v>109</v>
      </c>
      <c r="F81" s="115" t="s">
        <v>476</v>
      </c>
      <c r="G81" s="115">
        <v>2</v>
      </c>
      <c r="H81" s="115">
        <v>15</v>
      </c>
      <c r="I81" s="194">
        <v>17</v>
      </c>
      <c r="J81" s="116">
        <v>567561</v>
      </c>
      <c r="K81" s="116">
        <v>1657539</v>
      </c>
      <c r="L81" s="116">
        <v>68683</v>
      </c>
      <c r="M81" s="195">
        <v>9.5613048368953877E-3</v>
      </c>
      <c r="N81" s="195">
        <v>9.0288446069316866E-3</v>
      </c>
      <c r="O81" s="195">
        <v>2.2283739580882769E-2</v>
      </c>
      <c r="P81" s="195">
        <v>1.5835805821474904E-3</v>
      </c>
    </row>
    <row r="82" spans="1:16" ht="22.5" customHeight="1">
      <c r="A82" s="115">
        <v>91</v>
      </c>
      <c r="B82" s="115" t="s">
        <v>11</v>
      </c>
      <c r="C82" s="115" t="s">
        <v>10</v>
      </c>
      <c r="D82" s="115" t="s">
        <v>7</v>
      </c>
      <c r="E82" s="98" t="s">
        <v>165</v>
      </c>
      <c r="F82" s="115" t="s">
        <v>476</v>
      </c>
      <c r="G82" s="115">
        <v>0</v>
      </c>
      <c r="H82" s="115">
        <v>17</v>
      </c>
      <c r="I82" s="194">
        <v>17</v>
      </c>
      <c r="J82" s="116">
        <v>225145</v>
      </c>
      <c r="K82" s="116">
        <v>1405049</v>
      </c>
      <c r="L82" s="116">
        <v>2900610</v>
      </c>
      <c r="M82" s="195">
        <v>9.5613048368953877E-3</v>
      </c>
      <c r="N82" s="195">
        <v>3.5816400686932938E-3</v>
      </c>
      <c r="O82" s="195">
        <v>1.8889296731105423E-2</v>
      </c>
      <c r="P82" s="195">
        <v>6.6877534067860053E-2</v>
      </c>
    </row>
    <row r="83" spans="1:16" ht="22.5" customHeight="1">
      <c r="A83" s="115">
        <v>92</v>
      </c>
      <c r="B83" s="115" t="s">
        <v>11</v>
      </c>
      <c r="C83" s="115" t="s">
        <v>10</v>
      </c>
      <c r="D83" s="115" t="s">
        <v>7</v>
      </c>
      <c r="E83" s="98" t="s">
        <v>105</v>
      </c>
      <c r="F83" s="115" t="s">
        <v>476</v>
      </c>
      <c r="G83" s="115">
        <v>0</v>
      </c>
      <c r="H83" s="115">
        <v>17</v>
      </c>
      <c r="I83" s="194">
        <v>17</v>
      </c>
      <c r="J83" s="116">
        <v>177445</v>
      </c>
      <c r="K83" s="116">
        <v>1968146</v>
      </c>
      <c r="L83" s="116">
        <v>2229551</v>
      </c>
      <c r="M83" s="195">
        <v>9.5613048368953877E-3</v>
      </c>
      <c r="N83" s="195">
        <v>2.8228213906117457E-3</v>
      </c>
      <c r="O83" s="195">
        <v>2.6459499849569811E-2</v>
      </c>
      <c r="P83" s="195">
        <v>5.1405350239615621E-2</v>
      </c>
    </row>
    <row r="84" spans="1:16" ht="22.5" customHeight="1">
      <c r="A84" s="115">
        <v>93</v>
      </c>
      <c r="B84" s="115" t="s">
        <v>67</v>
      </c>
      <c r="C84" s="115" t="s">
        <v>14</v>
      </c>
      <c r="D84" s="115" t="s">
        <v>7</v>
      </c>
      <c r="E84" s="98" t="s">
        <v>976</v>
      </c>
      <c r="F84" s="115" t="s">
        <v>476</v>
      </c>
      <c r="G84" s="115">
        <v>0</v>
      </c>
      <c r="H84" s="115">
        <v>16</v>
      </c>
      <c r="I84" s="194">
        <v>16</v>
      </c>
      <c r="J84" s="116">
        <v>420556</v>
      </c>
      <c r="K84" s="116">
        <v>1506054</v>
      </c>
      <c r="L84" s="116">
        <v>115324</v>
      </c>
      <c r="M84" s="195">
        <v>8.9988751406074249E-3</v>
      </c>
      <c r="N84" s="195">
        <v>6.690267253234035E-3</v>
      </c>
      <c r="O84" s="195">
        <v>2.0247194865850405E-2</v>
      </c>
      <c r="P84" s="195">
        <v>2.6589526819675493E-3</v>
      </c>
    </row>
    <row r="85" spans="1:16" ht="22.5" customHeight="1">
      <c r="A85" s="115">
        <v>43</v>
      </c>
      <c r="B85" s="115" t="s">
        <v>67</v>
      </c>
      <c r="C85" s="115" t="s">
        <v>14</v>
      </c>
      <c r="D85" s="115" t="s">
        <v>7</v>
      </c>
      <c r="E85" s="98" t="s">
        <v>123</v>
      </c>
      <c r="F85" s="115" t="s">
        <v>476</v>
      </c>
      <c r="G85" s="115">
        <v>4</v>
      </c>
      <c r="H85" s="115">
        <v>10</v>
      </c>
      <c r="I85" s="194">
        <v>14</v>
      </c>
      <c r="J85" s="116">
        <v>753832</v>
      </c>
      <c r="K85" s="116">
        <v>1952881</v>
      </c>
      <c r="L85" s="116">
        <v>106464</v>
      </c>
      <c r="M85" s="195">
        <v>7.874015748031496E-3</v>
      </c>
      <c r="N85" s="195">
        <v>1.19920713152111E-2</v>
      </c>
      <c r="O85" s="195">
        <v>2.6254279167159215E-2</v>
      </c>
      <c r="P85" s="195">
        <v>2.4546732539019907E-3</v>
      </c>
    </row>
    <row r="86" spans="1:16" ht="22.5" customHeight="1">
      <c r="A86" s="115">
        <v>55</v>
      </c>
      <c r="B86" s="115" t="s">
        <v>67</v>
      </c>
      <c r="C86" s="115" t="s">
        <v>14</v>
      </c>
      <c r="D86" s="115" t="s">
        <v>7</v>
      </c>
      <c r="E86" s="98" t="s">
        <v>85</v>
      </c>
      <c r="F86" s="115" t="s">
        <v>476</v>
      </c>
      <c r="G86" s="115">
        <v>2</v>
      </c>
      <c r="H86" s="115">
        <v>12</v>
      </c>
      <c r="I86" s="194">
        <v>14</v>
      </c>
      <c r="J86" s="116">
        <v>602495</v>
      </c>
      <c r="K86" s="116">
        <v>1664634</v>
      </c>
      <c r="L86" s="116">
        <v>124001</v>
      </c>
      <c r="M86" s="195">
        <v>7.874015748031496E-3</v>
      </c>
      <c r="N86" s="195">
        <v>9.5845798626989984E-3</v>
      </c>
      <c r="O86" s="195">
        <v>2.2379123841721495E-2</v>
      </c>
      <c r="P86" s="195">
        <v>2.8590127945324309E-3</v>
      </c>
    </row>
    <row r="87" spans="1:16" ht="22.5" customHeight="1">
      <c r="A87" s="115">
        <v>69</v>
      </c>
      <c r="B87" s="115" t="s">
        <v>67</v>
      </c>
      <c r="C87" s="115" t="s">
        <v>794</v>
      </c>
      <c r="D87" s="115" t="s">
        <v>7</v>
      </c>
      <c r="E87" s="98" t="s">
        <v>88</v>
      </c>
      <c r="F87" s="115" t="s">
        <v>476</v>
      </c>
      <c r="G87" s="115">
        <v>1</v>
      </c>
      <c r="H87" s="115">
        <v>13</v>
      </c>
      <c r="I87" s="194">
        <v>14</v>
      </c>
      <c r="J87" s="116">
        <v>445566</v>
      </c>
      <c r="K87" s="116">
        <v>1523395</v>
      </c>
      <c r="L87" s="116">
        <v>29086</v>
      </c>
      <c r="M87" s="195">
        <v>7.874015748031496E-3</v>
      </c>
      <c r="N87" s="195">
        <v>7.0881300444042552E-3</v>
      </c>
      <c r="O87" s="195">
        <v>2.0480325023314025E-2</v>
      </c>
      <c r="P87" s="195">
        <v>6.7061754455020764E-4</v>
      </c>
    </row>
    <row r="88" spans="1:16" ht="22.5" customHeight="1">
      <c r="A88" s="115">
        <v>44</v>
      </c>
      <c r="B88" s="115" t="s">
        <v>67</v>
      </c>
      <c r="C88" s="115" t="s">
        <v>14</v>
      </c>
      <c r="D88" s="115" t="s">
        <v>667</v>
      </c>
      <c r="E88" s="98" t="s">
        <v>786</v>
      </c>
      <c r="F88" s="115" t="s">
        <v>483</v>
      </c>
      <c r="G88" s="115">
        <v>4</v>
      </c>
      <c r="H88" s="115">
        <v>9</v>
      </c>
      <c r="I88" s="194">
        <v>13</v>
      </c>
      <c r="J88" s="116">
        <v>426851</v>
      </c>
      <c r="K88" s="116">
        <v>1365680</v>
      </c>
      <c r="L88" s="116">
        <v>40959</v>
      </c>
      <c r="M88" s="195">
        <v>3.2836574892649659E-3</v>
      </c>
      <c r="N88" s="195">
        <v>5.7350874907481034E-3</v>
      </c>
      <c r="O88" s="195">
        <v>2.1730748942923688E-2</v>
      </c>
      <c r="P88" s="195">
        <v>1.0496274487559291E-3</v>
      </c>
    </row>
    <row r="89" spans="1:16" ht="22.5" customHeight="1">
      <c r="A89" s="115">
        <v>56</v>
      </c>
      <c r="B89" s="115" t="s">
        <v>67</v>
      </c>
      <c r="C89" s="115" t="s">
        <v>14</v>
      </c>
      <c r="D89" s="115" t="s">
        <v>667</v>
      </c>
      <c r="E89" s="98" t="s">
        <v>982</v>
      </c>
      <c r="F89" s="115" t="s">
        <v>483</v>
      </c>
      <c r="G89" s="115">
        <v>2</v>
      </c>
      <c r="H89" s="115">
        <v>11</v>
      </c>
      <c r="I89" s="194">
        <v>13</v>
      </c>
      <c r="J89" s="116">
        <v>267159</v>
      </c>
      <c r="K89" s="116">
        <v>1731693</v>
      </c>
      <c r="L89" s="116">
        <v>42372</v>
      </c>
      <c r="M89" s="195">
        <v>3.2836574892649659E-3</v>
      </c>
      <c r="N89" s="195">
        <v>3.5894966602884205E-3</v>
      </c>
      <c r="O89" s="195">
        <v>2.7554760873131589E-2</v>
      </c>
      <c r="P89" s="195">
        <v>1.0858374046897198E-3</v>
      </c>
    </row>
    <row r="90" spans="1:16" ht="22.5" customHeight="1">
      <c r="A90" s="115">
        <v>57</v>
      </c>
      <c r="B90" s="115" t="s">
        <v>67</v>
      </c>
      <c r="C90" s="115" t="s">
        <v>794</v>
      </c>
      <c r="D90" s="115" t="s">
        <v>667</v>
      </c>
      <c r="E90" s="98" t="s">
        <v>694</v>
      </c>
      <c r="F90" s="115" t="s">
        <v>483</v>
      </c>
      <c r="G90" s="115">
        <v>2</v>
      </c>
      <c r="H90" s="115">
        <v>11</v>
      </c>
      <c r="I90" s="194">
        <v>13</v>
      </c>
      <c r="J90" s="116">
        <v>229849</v>
      </c>
      <c r="K90" s="116">
        <v>836118</v>
      </c>
      <c r="L90" s="116">
        <v>21184</v>
      </c>
      <c r="M90" s="195">
        <v>3.2836574892649659E-3</v>
      </c>
      <c r="N90" s="195">
        <v>3.0882067153666288E-3</v>
      </c>
      <c r="O90" s="195">
        <v>1.3304339482645618E-2</v>
      </c>
      <c r="P90" s="195">
        <v>5.4286744975330463E-4</v>
      </c>
    </row>
    <row r="91" spans="1:16" ht="22.5" customHeight="1">
      <c r="A91" s="115">
        <v>58</v>
      </c>
      <c r="B91" s="115" t="s">
        <v>67</v>
      </c>
      <c r="C91" s="115" t="s">
        <v>794</v>
      </c>
      <c r="D91" s="115" t="s">
        <v>7</v>
      </c>
      <c r="E91" s="98" t="s">
        <v>114</v>
      </c>
      <c r="F91" s="115" t="s">
        <v>476</v>
      </c>
      <c r="G91" s="115">
        <v>2</v>
      </c>
      <c r="H91" s="115">
        <v>10</v>
      </c>
      <c r="I91" s="194">
        <v>12</v>
      </c>
      <c r="J91" s="116">
        <v>366457</v>
      </c>
      <c r="K91" s="116">
        <v>1223619</v>
      </c>
      <c r="L91" s="116">
        <v>50659</v>
      </c>
      <c r="M91" s="195">
        <v>6.7491563554555678E-3</v>
      </c>
      <c r="N91" s="195">
        <v>5.82965233362117E-3</v>
      </c>
      <c r="O91" s="195">
        <v>1.6450175315464791E-2</v>
      </c>
      <c r="P91" s="195">
        <v>1.1680125898841012E-3</v>
      </c>
    </row>
    <row r="92" spans="1:16" ht="22.5" customHeight="1">
      <c r="A92" s="115">
        <v>47</v>
      </c>
      <c r="B92" s="115" t="s">
        <v>67</v>
      </c>
      <c r="C92" s="115" t="s">
        <v>14</v>
      </c>
      <c r="D92" s="115" t="s">
        <v>7</v>
      </c>
      <c r="E92" s="98" t="s">
        <v>93</v>
      </c>
      <c r="F92" s="115" t="s">
        <v>476</v>
      </c>
      <c r="G92" s="115">
        <v>3</v>
      </c>
      <c r="H92" s="115">
        <v>7</v>
      </c>
      <c r="I92" s="194">
        <v>10</v>
      </c>
      <c r="J92" s="116">
        <v>515945</v>
      </c>
      <c r="K92" s="116">
        <v>1900799</v>
      </c>
      <c r="L92" s="116">
        <v>50689</v>
      </c>
      <c r="M92" s="195">
        <v>5.6242969628796397E-3</v>
      </c>
      <c r="N92" s="195">
        <v>8.2077296197648683E-3</v>
      </c>
      <c r="O92" s="195">
        <v>2.5554095506411845E-2</v>
      </c>
      <c r="P92" s="195">
        <v>1.1687042809497858E-3</v>
      </c>
    </row>
    <row r="93" spans="1:16" ht="22.5" customHeight="1">
      <c r="A93" s="115">
        <v>48</v>
      </c>
      <c r="B93" s="115" t="s">
        <v>67</v>
      </c>
      <c r="C93" s="115" t="s">
        <v>14</v>
      </c>
      <c r="D93" s="115" t="s">
        <v>7</v>
      </c>
      <c r="E93" s="98" t="s">
        <v>57</v>
      </c>
      <c r="F93" s="115" t="s">
        <v>476</v>
      </c>
      <c r="G93" s="115">
        <v>3</v>
      </c>
      <c r="H93" s="115">
        <v>5</v>
      </c>
      <c r="I93" s="194">
        <v>8</v>
      </c>
      <c r="J93" s="116">
        <v>447943</v>
      </c>
      <c r="K93" s="116">
        <v>2329365</v>
      </c>
      <c r="L93" s="116">
        <v>92065</v>
      </c>
      <c r="M93" s="195">
        <v>4.4994375703037125E-3</v>
      </c>
      <c r="N93" s="195">
        <v>7.1259437131212331E-3</v>
      </c>
      <c r="O93" s="195">
        <v>3.1315681289443557E-2</v>
      </c>
      <c r="P93" s="195">
        <v>2.1226845987421736E-3</v>
      </c>
    </row>
    <row r="94" spans="1:16" ht="22.5" customHeight="1">
      <c r="A94" s="115">
        <v>70</v>
      </c>
      <c r="B94" s="115" t="s">
        <v>67</v>
      </c>
      <c r="C94" s="115" t="s">
        <v>14</v>
      </c>
      <c r="D94" s="115" t="s">
        <v>7</v>
      </c>
      <c r="E94" s="98" t="s">
        <v>64</v>
      </c>
      <c r="F94" s="115" t="s">
        <v>476</v>
      </c>
      <c r="G94" s="115">
        <v>1</v>
      </c>
      <c r="H94" s="115">
        <v>7</v>
      </c>
      <c r="I94" s="194">
        <v>8</v>
      </c>
      <c r="J94" s="116">
        <v>240589</v>
      </c>
      <c r="K94" s="116">
        <v>1104922</v>
      </c>
      <c r="L94" s="116">
        <v>48591</v>
      </c>
      <c r="M94" s="195">
        <v>4.4994375703037125E-3</v>
      </c>
      <c r="N94" s="195">
        <v>3.8273255123891306E-3</v>
      </c>
      <c r="O94" s="195">
        <v>1.4854428224728438E-2</v>
      </c>
      <c r="P94" s="195">
        <v>1.1203320190895667E-3</v>
      </c>
    </row>
    <row r="95" spans="1:16" ht="22.5" customHeight="1">
      <c r="A95" s="115">
        <v>94</v>
      </c>
      <c r="B95" s="115" t="s">
        <v>11</v>
      </c>
      <c r="C95" s="115" t="s">
        <v>10</v>
      </c>
      <c r="D95" s="115" t="s">
        <v>7</v>
      </c>
      <c r="E95" s="98" t="s">
        <v>934</v>
      </c>
      <c r="F95" s="115" t="s">
        <v>476</v>
      </c>
      <c r="G95" s="115">
        <v>0</v>
      </c>
      <c r="H95" s="115">
        <v>6</v>
      </c>
      <c r="I95" s="194">
        <v>6</v>
      </c>
      <c r="J95" s="116">
        <v>39593</v>
      </c>
      <c r="K95" s="116">
        <v>1469226</v>
      </c>
      <c r="L95" s="116">
        <v>1273178</v>
      </c>
      <c r="M95" s="195">
        <v>3.3745781777277839E-3</v>
      </c>
      <c r="N95" s="195">
        <v>6.2985131910445972E-4</v>
      </c>
      <c r="O95" s="195">
        <v>1.9752084004938688E-2</v>
      </c>
      <c r="P95" s="195">
        <v>2.9354861587545356E-2</v>
      </c>
    </row>
    <row r="96" spans="1:16" ht="22.5" customHeight="1">
      <c r="A96" s="115">
        <v>95</v>
      </c>
      <c r="B96" s="115" t="s">
        <v>67</v>
      </c>
      <c r="C96" s="115" t="s">
        <v>794</v>
      </c>
      <c r="D96" s="115" t="s">
        <v>7</v>
      </c>
      <c r="E96" s="98" t="s">
        <v>79</v>
      </c>
      <c r="F96" s="115" t="s">
        <v>476</v>
      </c>
      <c r="G96" s="115">
        <v>0</v>
      </c>
      <c r="H96" s="115">
        <v>3</v>
      </c>
      <c r="I96" s="194">
        <v>3</v>
      </c>
      <c r="J96" s="116">
        <v>488797</v>
      </c>
      <c r="K96" s="116">
        <v>1590080</v>
      </c>
      <c r="L96" s="116">
        <v>39243</v>
      </c>
      <c r="M96" s="195">
        <v>1.687289088863892E-3</v>
      </c>
      <c r="N96" s="195">
        <v>7.7758552073422726E-3</v>
      </c>
      <c r="O96" s="195">
        <v>2.1376829524234465E-2</v>
      </c>
      <c r="P96" s="195">
        <v>9.0480108302220304E-4</v>
      </c>
    </row>
    <row r="97" spans="1:16" ht="22.5" customHeight="1">
      <c r="A97" s="115">
        <v>96</v>
      </c>
      <c r="B97" s="115" t="s">
        <v>67</v>
      </c>
      <c r="C97" s="115" t="s">
        <v>14</v>
      </c>
      <c r="D97" s="115" t="s">
        <v>7</v>
      </c>
      <c r="E97" s="98" t="s">
        <v>981</v>
      </c>
      <c r="F97" s="115" t="s">
        <v>476</v>
      </c>
      <c r="G97" s="115">
        <v>0</v>
      </c>
      <c r="H97" s="115">
        <v>1</v>
      </c>
      <c r="I97" s="194">
        <v>1</v>
      </c>
      <c r="J97" s="116">
        <v>164484</v>
      </c>
      <c r="K97" s="116">
        <v>1613564</v>
      </c>
      <c r="L97" s="116">
        <v>30829</v>
      </c>
      <c r="M97" s="195">
        <v>5.6242969628796406E-4</v>
      </c>
      <c r="N97" s="195">
        <v>2.6166358793619565E-3</v>
      </c>
      <c r="O97" s="195">
        <v>2.1692545377868952E-2</v>
      </c>
      <c r="P97" s="195">
        <v>7.1080479546649074E-4</v>
      </c>
    </row>
    <row r="98" spans="1:16" ht="22.5" hidden="1" customHeight="1">
      <c r="A98" s="115"/>
      <c r="B98" s="115" t="e">
        <f>VLOOKUP(C98,Lists!I:J,2,FALSE)</f>
        <v>#N/A</v>
      </c>
      <c r="C98" s="115"/>
      <c r="D98" s="115"/>
      <c r="E98" s="98"/>
      <c r="F98" s="115"/>
      <c r="G98" s="115"/>
      <c r="H98" s="115"/>
      <c r="I98" s="194">
        <f t="shared" ref="I98:I104" si="0">SUM(G98:H98)</f>
        <v>0</v>
      </c>
      <c r="J98" s="116"/>
      <c r="K98" s="116"/>
      <c r="L98" s="116"/>
      <c r="M98" s="116"/>
      <c r="N98" s="116"/>
      <c r="O98" s="116"/>
      <c r="P98" s="116"/>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16"/>
      <c r="N99" s="116"/>
      <c r="O99" s="116"/>
      <c r="P99" s="116"/>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16"/>
      <c r="N100" s="116"/>
      <c r="O100" s="116"/>
      <c r="P100" s="116"/>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16"/>
      <c r="N101" s="116"/>
      <c r="O101" s="116"/>
      <c r="P101" s="116"/>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16"/>
      <c r="N102" s="116"/>
      <c r="O102" s="116"/>
      <c r="P102" s="116"/>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16"/>
      <c r="N103" s="116"/>
      <c r="O103" s="116"/>
      <c r="P103" s="116"/>
    </row>
    <row r="104" spans="1:16" ht="22.5" hidden="1" customHeight="1">
      <c r="A104" s="115"/>
      <c r="B104" s="115" t="e">
        <f>VLOOKUP(C104,Lists!I:J,2,FALSE)</f>
        <v>#N/A</v>
      </c>
      <c r="C104" s="115" t="e">
        <f>VLOOKUP(E104,Lists!E:F,2,FALSE)</f>
        <v>#N/A</v>
      </c>
      <c r="D104" s="115"/>
      <c r="E104" s="98"/>
      <c r="F104" s="115"/>
      <c r="G104" s="115"/>
      <c r="H104" s="115"/>
      <c r="I104" s="194">
        <f t="shared" si="0"/>
        <v>0</v>
      </c>
      <c r="J104" s="116"/>
      <c r="K104" s="116"/>
      <c r="L104" s="116"/>
      <c r="M104" s="116"/>
      <c r="N104" s="116"/>
      <c r="O104" s="116"/>
      <c r="P104" s="116"/>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4" xr:uid="{00000000-0002-0000-2900-000000000000}">
      <formula1>#REF!</formula1>
    </dataValidation>
    <dataValidation type="list" allowBlank="1" sqref="F2:F104" xr:uid="{00000000-0002-0000-2900-000002000000}">
      <formula1>"Yellow,Red"</formula1>
    </dataValidation>
    <dataValidation type="custom" allowBlank="1" showDropDown="1" sqref="S4:T13 S17:T21 S25:T29 S33:T37 S41:T45 A2:A104 G2:L104" xr:uid="{00000000-0002-0000-2900-000003000000}">
      <formula1>AND(ISNUMBER(A2),(NOT(OR(NOT(ISERROR(DATEVALUE(A2))), AND(ISNUMBER(A2), LEFT(CELL("format", A2))="D")))))</formula1>
    </dataValidation>
    <dataValidation allowBlank="1" showDropDown="1" sqref="E2:E104" xr:uid="{00000000-0002-0000-2900-000004000000}"/>
  </dataValidations>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Z164"/>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2" width="20.33203125" customWidth="1"/>
    <col min="13" max="13" width="10.33203125" customWidth="1"/>
    <col min="14" max="14" width="15.77734375" customWidth="1"/>
    <col min="15" max="15" width="16.33203125" customWidth="1"/>
    <col min="16" max="16" width="16.77734375" customWidth="1"/>
    <col min="17" max="17" width="4.88671875" customWidth="1"/>
    <col min="18" max="18" width="13.88671875" customWidth="1"/>
    <col min="19" max="19" width="13.6640625" customWidth="1"/>
    <col min="20" max="20" width="11.6640625" customWidth="1"/>
    <col min="21" max="21" width="4.33203125" customWidth="1"/>
    <col min="22" max="22" width="19" customWidth="1"/>
    <col min="23" max="23" width="9.44140625" customWidth="1"/>
    <col min="24" max="24" width="3.88671875" customWidth="1"/>
    <col min="25" max="25" width="19.77734375" customWidth="1"/>
    <col min="26" max="26" width="11.664062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7</v>
      </c>
      <c r="B2" s="115" t="s">
        <v>39</v>
      </c>
      <c r="C2" s="115" t="s">
        <v>56</v>
      </c>
      <c r="D2" s="115" t="s">
        <v>7</v>
      </c>
      <c r="E2" s="98" t="s">
        <v>842</v>
      </c>
      <c r="F2" s="115" t="s">
        <v>476</v>
      </c>
      <c r="G2" s="115">
        <v>49</v>
      </c>
      <c r="H2" s="115">
        <v>167</v>
      </c>
      <c r="I2" s="194">
        <v>216</v>
      </c>
      <c r="J2" s="116">
        <v>4954020</v>
      </c>
      <c r="K2" s="116">
        <v>1275691</v>
      </c>
      <c r="L2" s="116">
        <v>24157</v>
      </c>
      <c r="M2" s="195">
        <v>5.8064516129032261E-2</v>
      </c>
      <c r="N2" s="195">
        <v>8.2778977646658314E-2</v>
      </c>
      <c r="O2" s="195">
        <v>2.516937707473229E-2</v>
      </c>
      <c r="P2" s="195">
        <v>7.1963892756551342E-4</v>
      </c>
      <c r="R2" s="232" t="s">
        <v>477</v>
      </c>
      <c r="S2" s="228"/>
      <c r="T2" s="228"/>
      <c r="V2" s="233" t="s">
        <v>478</v>
      </c>
      <c r="W2" s="228"/>
      <c r="X2" s="196"/>
      <c r="Y2" s="233" t="s">
        <v>479</v>
      </c>
      <c r="Z2" s="228"/>
    </row>
    <row r="3" spans="1:26" ht="22.5" customHeight="1">
      <c r="A3" s="115">
        <v>1</v>
      </c>
      <c r="B3" s="115" t="s">
        <v>25</v>
      </c>
      <c r="C3" s="115" t="s">
        <v>24</v>
      </c>
      <c r="D3" s="115" t="s">
        <v>7</v>
      </c>
      <c r="E3" s="98" t="s">
        <v>994</v>
      </c>
      <c r="F3" s="115" t="s">
        <v>476</v>
      </c>
      <c r="G3" s="115">
        <v>81</v>
      </c>
      <c r="H3" s="115">
        <v>119</v>
      </c>
      <c r="I3" s="194">
        <v>200</v>
      </c>
      <c r="J3" s="116">
        <v>4230352</v>
      </c>
      <c r="K3" s="116">
        <v>2233087</v>
      </c>
      <c r="L3" s="116">
        <v>90914</v>
      </c>
      <c r="M3" s="195">
        <v>5.3763440860215055E-2</v>
      </c>
      <c r="N3" s="195">
        <v>7.0686879270874206E-2</v>
      </c>
      <c r="O3" s="195">
        <v>4.4058795385154163E-2</v>
      </c>
      <c r="P3" s="195">
        <v>2.7083352014195092E-3</v>
      </c>
      <c r="R3" s="190" t="s">
        <v>482</v>
      </c>
      <c r="S3" s="222" t="s">
        <v>476</v>
      </c>
      <c r="T3" s="222" t="s">
        <v>483</v>
      </c>
      <c r="V3" s="199" t="s">
        <v>1</v>
      </c>
      <c r="W3" s="200" t="s">
        <v>467</v>
      </c>
      <c r="Y3" s="199" t="s">
        <v>1</v>
      </c>
      <c r="Z3" s="200" t="s">
        <v>484</v>
      </c>
    </row>
    <row r="4" spans="1:26" ht="22.5" customHeight="1">
      <c r="A4" s="115">
        <v>2</v>
      </c>
      <c r="B4" s="115" t="s">
        <v>25</v>
      </c>
      <c r="C4" s="115" t="s">
        <v>23</v>
      </c>
      <c r="D4" s="115" t="s">
        <v>7</v>
      </c>
      <c r="E4" s="98" t="s">
        <v>47</v>
      </c>
      <c r="F4" s="115" t="s">
        <v>476</v>
      </c>
      <c r="G4" s="115">
        <v>60</v>
      </c>
      <c r="H4" s="115">
        <v>116</v>
      </c>
      <c r="I4" s="194">
        <v>176</v>
      </c>
      <c r="J4" s="116">
        <v>3698754</v>
      </c>
      <c r="K4" s="116">
        <v>2569504</v>
      </c>
      <c r="L4" s="116">
        <v>87117</v>
      </c>
      <c r="M4" s="195">
        <v>4.7311827956989246E-2</v>
      </c>
      <c r="N4" s="195">
        <v>6.1804166048277563E-2</v>
      </c>
      <c r="O4" s="195">
        <v>5.0696301119183967E-2</v>
      </c>
      <c r="P4" s="195">
        <v>2.5952222731599464E-3</v>
      </c>
      <c r="R4" s="223" t="s">
        <v>25</v>
      </c>
      <c r="S4" s="207">
        <f>COUNTIFS(Scoreboard_2[Role],R4,Scoreboard_2[Team],"Yellow")</f>
        <v>8</v>
      </c>
      <c r="T4" s="219">
        <f>COUNTIFS(Scoreboard_2[Role],R4,Scoreboard_2[Team],"Red")</f>
        <v>10</v>
      </c>
      <c r="V4" s="204" t="str">
        <f ca="1">IFERROR(__xludf.DUMMYFUNCTION("query(A1:P239, ""Select E,I where B!='Healer' Order by I Desc Limit 10"", 0)"),"Adversed")</f>
        <v>Adversed</v>
      </c>
      <c r="W4" s="116">
        <f ca="1">IFERROR(__xludf.DUMMYFUNCTION("""COMPUTED_VALUE"""),216)</f>
        <v>216</v>
      </c>
      <c r="Y4" s="204" t="str">
        <f ca="1">IFERROR(__xludf.DUMMYFUNCTION("query(A1:P239, ""Select E,J Order by J Desc Limit 10"", 0)"),"edmun")</f>
        <v>edmun</v>
      </c>
      <c r="Z4" s="116">
        <f ca="1">IFERROR(__xludf.DUMMYFUNCTION("""COMPUTED_VALUE"""),5031530)</f>
        <v>5031530</v>
      </c>
    </row>
    <row r="5" spans="1:26" ht="22.5" customHeight="1">
      <c r="A5" s="115">
        <v>10</v>
      </c>
      <c r="B5" s="115" t="s">
        <v>39</v>
      </c>
      <c r="C5" s="115" t="s">
        <v>56</v>
      </c>
      <c r="D5" s="115" t="s">
        <v>7</v>
      </c>
      <c r="E5" s="98" t="s">
        <v>995</v>
      </c>
      <c r="F5" s="115" t="s">
        <v>476</v>
      </c>
      <c r="G5" s="115">
        <v>39</v>
      </c>
      <c r="H5" s="115">
        <v>131</v>
      </c>
      <c r="I5" s="194">
        <v>170</v>
      </c>
      <c r="J5" s="116">
        <v>3192267</v>
      </c>
      <c r="K5" s="116">
        <v>1268814</v>
      </c>
      <c r="L5" s="116">
        <v>300136</v>
      </c>
      <c r="M5" s="195">
        <v>4.5698924731182797E-2</v>
      </c>
      <c r="N5" s="195">
        <v>5.334104396735681E-2</v>
      </c>
      <c r="O5" s="195">
        <v>2.503369389899229E-2</v>
      </c>
      <c r="P5" s="195">
        <v>8.9410750160948353E-3</v>
      </c>
      <c r="R5" s="223" t="s">
        <v>39</v>
      </c>
      <c r="S5" s="207">
        <f>COUNTIFS(Scoreboard_2[Role],R5,Scoreboard_2[Team],"Yellow")</f>
        <v>11</v>
      </c>
      <c r="T5" s="219">
        <f>COUNTIFS(Scoreboard_2[Role],R5,Scoreboard_2[Team],"Red")</f>
        <v>8</v>
      </c>
      <c r="V5" s="204" t="str">
        <f ca="1">IFERROR(__xludf.DUMMYFUNCTION("""COMPUTED_VALUE"""),"Rarkar")</f>
        <v>Rarkar</v>
      </c>
      <c r="W5" s="116">
        <f ca="1">IFERROR(__xludf.DUMMYFUNCTION("""COMPUTED_VALUE"""),200)</f>
        <v>200</v>
      </c>
      <c r="Y5" s="204" t="str">
        <f ca="1">IFERROR(__xludf.DUMMYFUNCTION("""COMPUTED_VALUE"""),"Adversed")</f>
        <v>Adversed</v>
      </c>
      <c r="Z5" s="116">
        <f ca="1">IFERROR(__xludf.DUMMYFUNCTION("""COMPUTED_VALUE"""),4954020)</f>
        <v>4954020</v>
      </c>
    </row>
    <row r="6" spans="1:26" ht="22.5" customHeight="1">
      <c r="A6" s="115">
        <v>4</v>
      </c>
      <c r="B6" s="115" t="s">
        <v>25</v>
      </c>
      <c r="C6" s="115" t="s">
        <v>23</v>
      </c>
      <c r="D6" s="115" t="s">
        <v>7</v>
      </c>
      <c r="E6" s="98" t="s">
        <v>22</v>
      </c>
      <c r="F6" s="115" t="s">
        <v>476</v>
      </c>
      <c r="G6" s="115">
        <v>50</v>
      </c>
      <c r="H6" s="115">
        <v>118</v>
      </c>
      <c r="I6" s="194">
        <v>168</v>
      </c>
      <c r="J6" s="116">
        <v>3302295</v>
      </c>
      <c r="K6" s="116">
        <v>1424843</v>
      </c>
      <c r="L6" s="116">
        <v>27750</v>
      </c>
      <c r="M6" s="195">
        <v>4.5161290322580643E-2</v>
      </c>
      <c r="N6" s="195">
        <v>5.5179551957333942E-2</v>
      </c>
      <c r="O6" s="195">
        <v>2.8112145291683314E-2</v>
      </c>
      <c r="P6" s="195">
        <v>8.2667467980059592E-4</v>
      </c>
      <c r="R6" s="223" t="s">
        <v>67</v>
      </c>
      <c r="S6" s="207">
        <f>COUNTIFS(Scoreboard_2[Role],R6,Scoreboard_2[Team],"Yellow")</f>
        <v>10</v>
      </c>
      <c r="T6" s="219">
        <f>COUNTIFS(Scoreboard_2[Role],R6,Scoreboard_2[Team],"Red")</f>
        <v>4</v>
      </c>
      <c r="V6" s="204" t="str">
        <f ca="1">IFERROR(__xludf.DUMMYFUNCTION("""COMPUTED_VALUE"""),"Fadeふち")</f>
        <v>Fadeふち</v>
      </c>
      <c r="W6" s="116">
        <f ca="1">IFERROR(__xludf.DUMMYFUNCTION("""COMPUTED_VALUE"""),176)</f>
        <v>176</v>
      </c>
      <c r="Y6" s="204" t="str">
        <f ca="1">IFERROR(__xludf.DUMMYFUNCTION("""COMPUTED_VALUE"""),"Byul")</f>
        <v>Byul</v>
      </c>
      <c r="Z6" s="116">
        <f ca="1">IFERROR(__xludf.DUMMYFUNCTION("""COMPUTED_VALUE"""),4925678)</f>
        <v>4925678</v>
      </c>
    </row>
    <row r="7" spans="1:26" ht="22.5" customHeight="1">
      <c r="A7" s="115">
        <v>5</v>
      </c>
      <c r="B7" s="115" t="s">
        <v>25</v>
      </c>
      <c r="C7" s="115" t="s">
        <v>23</v>
      </c>
      <c r="D7" s="115" t="s">
        <v>7</v>
      </c>
      <c r="E7" s="98" t="s">
        <v>850</v>
      </c>
      <c r="F7" s="115" t="s">
        <v>476</v>
      </c>
      <c r="G7" s="115">
        <v>50</v>
      </c>
      <c r="H7" s="115">
        <v>115</v>
      </c>
      <c r="I7" s="194">
        <v>165</v>
      </c>
      <c r="J7" s="116">
        <v>3691656</v>
      </c>
      <c r="K7" s="116">
        <v>1425286</v>
      </c>
      <c r="L7" s="116">
        <v>40526</v>
      </c>
      <c r="M7" s="195">
        <v>4.4354838709677422E-2</v>
      </c>
      <c r="N7" s="195">
        <v>6.1685562331833949E-2</v>
      </c>
      <c r="O7" s="195">
        <v>2.8120885679476366E-2</v>
      </c>
      <c r="P7" s="195">
        <v>1.2072727233729352E-3</v>
      </c>
      <c r="R7" s="223" t="s">
        <v>11</v>
      </c>
      <c r="S7" s="207">
        <f>COUNTIFS(Scoreboard_2[Role],R7,Scoreboard_2[Team],"Yellow")</f>
        <v>15</v>
      </c>
      <c r="T7" s="219">
        <f>COUNTIFS(Scoreboard_2[Role],R7,Scoreboard_2[Team],"Red")</f>
        <v>10</v>
      </c>
      <c r="V7" s="204" t="str">
        <f ca="1">IFERROR(__xludf.DUMMYFUNCTION("""COMPUTED_VALUE"""),"CLEM™")</f>
        <v>CLEM™</v>
      </c>
      <c r="W7" s="116">
        <f ca="1">IFERROR(__xludf.DUMMYFUNCTION("""COMPUTED_VALUE"""),170)</f>
        <v>170</v>
      </c>
      <c r="Y7" s="204" t="str">
        <f ca="1">IFERROR(__xludf.DUMMYFUNCTION("""COMPUTED_VALUE"""),"cba")</f>
        <v>cba</v>
      </c>
      <c r="Z7" s="116">
        <f ca="1">IFERROR(__xludf.DUMMYFUNCTION("""COMPUTED_VALUE"""),4296697)</f>
        <v>4296697</v>
      </c>
    </row>
    <row r="8" spans="1:26" ht="22.5" customHeight="1">
      <c r="A8" s="115">
        <v>8</v>
      </c>
      <c r="B8" s="115" t="s">
        <v>39</v>
      </c>
      <c r="C8" s="115" t="s">
        <v>45</v>
      </c>
      <c r="D8" s="115" t="s">
        <v>7</v>
      </c>
      <c r="E8" s="98" t="s">
        <v>84</v>
      </c>
      <c r="F8" s="115" t="s">
        <v>476</v>
      </c>
      <c r="G8" s="115">
        <v>48</v>
      </c>
      <c r="H8" s="115">
        <v>116</v>
      </c>
      <c r="I8" s="194">
        <v>164</v>
      </c>
      <c r="J8" s="116">
        <v>3565188</v>
      </c>
      <c r="K8" s="116">
        <v>1008093</v>
      </c>
      <c r="L8" s="116">
        <v>25900</v>
      </c>
      <c r="M8" s="195">
        <v>4.4086021505376341E-2</v>
      </c>
      <c r="N8" s="195">
        <v>5.9572350890415147E-2</v>
      </c>
      <c r="O8" s="195">
        <v>1.9889669867858357E-2</v>
      </c>
      <c r="P8" s="195">
        <v>7.7156303448055617E-4</v>
      </c>
      <c r="R8" s="223" t="s">
        <v>468</v>
      </c>
      <c r="S8" s="207">
        <f>SUMIFS(Scoreboard_2[Damage Dealt],Scoreboard_2[Team],"Yellow")</f>
        <v>59846354</v>
      </c>
      <c r="T8" s="219">
        <f>SUMIFS(Scoreboard_2[Damage Dealt],Scoreboard_2[Team],"Red")</f>
        <v>50425981</v>
      </c>
      <c r="V8" s="204" t="str">
        <f ca="1">IFERROR(__xludf.DUMMYFUNCTION("""COMPUTED_VALUE"""),"Baozer")</f>
        <v>Baozer</v>
      </c>
      <c r="W8" s="116">
        <f ca="1">IFERROR(__xludf.DUMMYFUNCTION("""COMPUTED_VALUE"""),168)</f>
        <v>168</v>
      </c>
      <c r="Y8" s="204" t="str">
        <f ca="1">IFERROR(__xludf.DUMMYFUNCTION("""COMPUTED_VALUE"""),"Rarkar")</f>
        <v>Rarkar</v>
      </c>
      <c r="Z8" s="116">
        <f ca="1">IFERROR(__xludf.DUMMYFUNCTION("""COMPUTED_VALUE"""),4230352)</f>
        <v>4230352</v>
      </c>
    </row>
    <row r="9" spans="1:26" ht="22.5" customHeight="1">
      <c r="A9" s="115">
        <v>6</v>
      </c>
      <c r="B9" s="115" t="s">
        <v>25</v>
      </c>
      <c r="C9" s="115" t="s">
        <v>23</v>
      </c>
      <c r="D9" s="115" t="s">
        <v>7</v>
      </c>
      <c r="E9" s="98" t="s">
        <v>27</v>
      </c>
      <c r="F9" s="115" t="s">
        <v>476</v>
      </c>
      <c r="G9" s="115">
        <v>50</v>
      </c>
      <c r="H9" s="115">
        <v>105</v>
      </c>
      <c r="I9" s="194">
        <v>155</v>
      </c>
      <c r="J9" s="116">
        <v>3494009</v>
      </c>
      <c r="K9" s="116">
        <v>1713718</v>
      </c>
      <c r="L9" s="116">
        <v>35337</v>
      </c>
      <c r="M9" s="195">
        <v>4.1666666666666664E-2</v>
      </c>
      <c r="N9" s="195">
        <v>5.8382988544297951E-2</v>
      </c>
      <c r="O9" s="195">
        <v>3.3811647602558982E-2</v>
      </c>
      <c r="P9" s="195">
        <v>1.0526920057698616E-3</v>
      </c>
      <c r="R9" s="223" t="s">
        <v>470</v>
      </c>
      <c r="S9" s="207">
        <f>SUMIFS(Scoreboard_2[Amount Healed],Scoreboard_2[Team],"Yellow")</f>
        <v>33568223</v>
      </c>
      <c r="T9" s="219">
        <f>SUMIFS(Scoreboard_2[Amount Healed],Scoreboard_2[Team],"Red")</f>
        <v>25743663</v>
      </c>
      <c r="V9" s="204" t="str">
        <f ca="1">IFERROR(__xludf.DUMMYFUNCTION("""COMPUTED_VALUE"""),"KyurleZ")</f>
        <v>KyurleZ</v>
      </c>
      <c r="W9" s="116">
        <f ca="1">IFERROR(__xludf.DUMMYFUNCTION("""COMPUTED_VALUE"""),165)</f>
        <v>165</v>
      </c>
      <c r="Y9" s="204" t="str">
        <f ca="1">IFERROR(__xludf.DUMMYFUNCTION("""COMPUTED_VALUE"""),"AshツChaos")</f>
        <v>AshツChaos</v>
      </c>
      <c r="Z9" s="116">
        <f ca="1">IFERROR(__xludf.DUMMYFUNCTION("""COMPUTED_VALUE"""),4013208)</f>
        <v>4013208</v>
      </c>
    </row>
    <row r="10" spans="1:26" ht="22.5" customHeight="1">
      <c r="A10" s="115">
        <v>12</v>
      </c>
      <c r="B10" s="115" t="s">
        <v>39</v>
      </c>
      <c r="C10" s="115" t="s">
        <v>56</v>
      </c>
      <c r="D10" s="115" t="s">
        <v>16</v>
      </c>
      <c r="E10" s="98" t="s">
        <v>42</v>
      </c>
      <c r="F10" s="115" t="s">
        <v>483</v>
      </c>
      <c r="G10" s="115">
        <v>35</v>
      </c>
      <c r="H10" s="115">
        <v>96</v>
      </c>
      <c r="I10" s="194">
        <v>131</v>
      </c>
      <c r="J10" s="116">
        <v>5031530</v>
      </c>
      <c r="K10" s="116">
        <v>2397127</v>
      </c>
      <c r="L10" s="116">
        <v>230976</v>
      </c>
      <c r="M10" s="195">
        <v>7.2017592083562398E-2</v>
      </c>
      <c r="N10" s="195">
        <v>9.9780507988530748E-2</v>
      </c>
      <c r="O10" s="195">
        <v>5.3616836628849453E-2</v>
      </c>
      <c r="P10" s="195">
        <v>8.9721497674981211E-3</v>
      </c>
      <c r="R10" s="223" t="s">
        <v>469</v>
      </c>
      <c r="S10" s="207">
        <f>SUMIFS(Scoreboard_2[Damage Taken],Scoreboard_2[Team],"Yellow")</f>
        <v>50684250</v>
      </c>
      <c r="T10" s="219">
        <f>SUMIFS(Scoreboard_2[Damage Taken],Scoreboard_2[Team],"Red")</f>
        <v>44708475</v>
      </c>
      <c r="V10" s="204" t="str">
        <f ca="1">IFERROR(__xludf.DUMMYFUNCTION("""COMPUTED_VALUE"""),"Nengja")</f>
        <v>Nengja</v>
      </c>
      <c r="W10" s="116">
        <f ca="1">IFERROR(__xludf.DUMMYFUNCTION("""COMPUTED_VALUE"""),164)</f>
        <v>164</v>
      </c>
      <c r="Y10" s="204" t="str">
        <f ca="1">IFERROR(__xludf.DUMMYFUNCTION("""COMPUTED_VALUE"""),"Fadeふち")</f>
        <v>Fadeふち</v>
      </c>
      <c r="Z10" s="116">
        <f ca="1">IFERROR(__xludf.DUMMYFUNCTION("""COMPUTED_VALUE"""),3698754)</f>
        <v>3698754</v>
      </c>
    </row>
    <row r="11" spans="1:26" ht="22.5" customHeight="1">
      <c r="A11" s="115">
        <v>3</v>
      </c>
      <c r="B11" s="115" t="s">
        <v>25</v>
      </c>
      <c r="C11" s="115" t="s">
        <v>69</v>
      </c>
      <c r="D11" s="115" t="s">
        <v>7</v>
      </c>
      <c r="E11" s="98" t="s">
        <v>98</v>
      </c>
      <c r="F11" s="115" t="s">
        <v>476</v>
      </c>
      <c r="G11" s="115">
        <v>55</v>
      </c>
      <c r="H11" s="115">
        <v>69</v>
      </c>
      <c r="I11" s="194">
        <v>124</v>
      </c>
      <c r="J11" s="116">
        <v>2720317</v>
      </c>
      <c r="K11" s="116">
        <v>1695300</v>
      </c>
      <c r="L11" s="116">
        <v>44027</v>
      </c>
      <c r="M11" s="195">
        <v>3.3333333333333333E-2</v>
      </c>
      <c r="N11" s="195">
        <v>4.5455016357387454E-2</v>
      </c>
      <c r="O11" s="195">
        <v>3.3448260554314213E-2</v>
      </c>
      <c r="P11" s="195">
        <v>1.3115677883812915E-3</v>
      </c>
      <c r="R11" s="223" t="s">
        <v>495</v>
      </c>
      <c r="S11" s="207" t="e">
        <f ca="1">DIVIDE(SUMIFS(Scoreboard_2[Amount Healed],Scoreboard_2[Team],"Yellow"), SUMIFS(Scoreboard_2[Damage Taken],Scoreboard_2[Team],"Yellow"))*(100)</f>
        <v>#NAME?</v>
      </c>
      <c r="T11" s="219" t="e">
        <f ca="1">DIVIDE(SUMIFS(Scoreboard_2[Amount Healed],Scoreboard_2[Team],"Red"), SUMIFS(Scoreboard_2[Damage Taken],Scoreboard_2[Team],"Red"))*(100)</f>
        <v>#NAME?</v>
      </c>
      <c r="V11" s="204" t="str">
        <f ca="1">IFERROR(__xludf.DUMMYFUNCTION("""COMPUTED_VALUE"""),"Blee")</f>
        <v>Blee</v>
      </c>
      <c r="W11" s="116">
        <f ca="1">IFERROR(__xludf.DUMMYFUNCTION("""COMPUTED_VALUE"""),155)</f>
        <v>155</v>
      </c>
      <c r="Y11" s="204" t="str">
        <f ca="1">IFERROR(__xludf.DUMMYFUNCTION("""COMPUTED_VALUE"""),"KyurleZ")</f>
        <v>KyurleZ</v>
      </c>
      <c r="Z11" s="116">
        <f ca="1">IFERROR(__xludf.DUMMYFUNCTION("""COMPUTED_VALUE"""),3691656)</f>
        <v>3691656</v>
      </c>
    </row>
    <row r="12" spans="1:26" ht="22.5" customHeight="1">
      <c r="A12" s="115">
        <v>11</v>
      </c>
      <c r="B12" s="115" t="s">
        <v>39</v>
      </c>
      <c r="C12" s="115" t="s">
        <v>56</v>
      </c>
      <c r="D12" s="115" t="s">
        <v>7</v>
      </c>
      <c r="E12" s="98" t="s">
        <v>76</v>
      </c>
      <c r="F12" s="115" t="s">
        <v>476</v>
      </c>
      <c r="G12" s="115">
        <v>36</v>
      </c>
      <c r="H12" s="115">
        <v>87</v>
      </c>
      <c r="I12" s="194">
        <v>123</v>
      </c>
      <c r="J12" s="116">
        <v>2685888</v>
      </c>
      <c r="K12" s="116">
        <v>963710</v>
      </c>
      <c r="L12" s="116">
        <v>231271</v>
      </c>
      <c r="M12" s="195">
        <v>3.3064516129032259E-2</v>
      </c>
      <c r="N12" s="195">
        <v>4.4879726507649903E-2</v>
      </c>
      <c r="O12" s="195">
        <v>1.9013993498966642E-2</v>
      </c>
      <c r="P12" s="195">
        <v>6.8895812566545454E-3</v>
      </c>
      <c r="R12" s="223" t="s">
        <v>465</v>
      </c>
      <c r="S12" s="207">
        <f>SUMIFS(Scoreboard_2[Kills],Scoreboard_2[Team],"Yellow")</f>
        <v>742</v>
      </c>
      <c r="T12" s="219">
        <f>SUMIFS(Scoreboard_2[Kills],Scoreboard_2[Team],"Red")</f>
        <v>403</v>
      </c>
      <c r="V12" s="204" t="str">
        <f ca="1">IFERROR(__xludf.DUMMYFUNCTION("""COMPUTED_VALUE"""),"edmun")</f>
        <v>edmun</v>
      </c>
      <c r="W12" s="116">
        <f ca="1">IFERROR(__xludf.DUMMYFUNCTION("""COMPUTED_VALUE"""),131)</f>
        <v>131</v>
      </c>
      <c r="Y12" s="204" t="str">
        <f ca="1">IFERROR(__xludf.DUMMYFUNCTION("""COMPUTED_VALUE"""),"Nengja")</f>
        <v>Nengja</v>
      </c>
      <c r="Z12" s="116">
        <f ca="1">IFERROR(__xludf.DUMMYFUNCTION("""COMPUTED_VALUE"""),3565188)</f>
        <v>3565188</v>
      </c>
    </row>
    <row r="13" spans="1:26" ht="22.5" customHeight="1">
      <c r="A13" s="115">
        <v>15</v>
      </c>
      <c r="B13" s="115" t="s">
        <v>39</v>
      </c>
      <c r="C13" s="115" t="s">
        <v>32</v>
      </c>
      <c r="D13" s="115" t="s">
        <v>7</v>
      </c>
      <c r="E13" s="98" t="s">
        <v>996</v>
      </c>
      <c r="F13" s="115" t="s">
        <v>476</v>
      </c>
      <c r="G13" s="115">
        <v>28</v>
      </c>
      <c r="H13" s="115">
        <v>85</v>
      </c>
      <c r="I13" s="194">
        <v>113</v>
      </c>
      <c r="J13" s="116">
        <v>2493238</v>
      </c>
      <c r="K13" s="116">
        <v>988182</v>
      </c>
      <c r="L13" s="116">
        <v>0</v>
      </c>
      <c r="M13" s="195">
        <v>3.0376344086021505E-2</v>
      </c>
      <c r="N13" s="195">
        <v>4.1660649870165857E-2</v>
      </c>
      <c r="O13" s="195">
        <v>1.9496825937051449E-2</v>
      </c>
      <c r="P13" s="195">
        <v>0</v>
      </c>
      <c r="R13" s="223" t="s">
        <v>466</v>
      </c>
      <c r="S13" s="207">
        <f>SUMIFS(Scoreboard_2[Assists],Scoreboard_2[Team],"Yellow")</f>
        <v>2978</v>
      </c>
      <c r="T13" s="219">
        <f>SUMIFS(Scoreboard_2[Assists],Scoreboard_2[Team],"Red")</f>
        <v>1416</v>
      </c>
      <c r="V13" s="204" t="str">
        <f ca="1">IFERROR(__xludf.DUMMYFUNCTION("""COMPUTED_VALUE"""),"ShawarmaShuffle")</f>
        <v>ShawarmaShuffle</v>
      </c>
      <c r="W13" s="116">
        <f ca="1">IFERROR(__xludf.DUMMYFUNCTION("""COMPUTED_VALUE"""),124)</f>
        <v>124</v>
      </c>
      <c r="Y13" s="204" t="str">
        <f ca="1">IFERROR(__xludf.DUMMYFUNCTION("""COMPUTED_VALUE"""),"Blee")</f>
        <v>Blee</v>
      </c>
      <c r="Z13" s="116">
        <f ca="1">IFERROR(__xludf.DUMMYFUNCTION("""COMPUTED_VALUE"""),3494009)</f>
        <v>3494009</v>
      </c>
    </row>
    <row r="14" spans="1:26" ht="22.5" customHeight="1">
      <c r="A14" s="115">
        <v>19</v>
      </c>
      <c r="B14" s="115" t="s">
        <v>39</v>
      </c>
      <c r="C14" s="115" t="s">
        <v>56</v>
      </c>
      <c r="D14" s="115" t="s">
        <v>7</v>
      </c>
      <c r="E14" s="98" t="s">
        <v>936</v>
      </c>
      <c r="F14" s="115" t="s">
        <v>476</v>
      </c>
      <c r="G14" s="115">
        <v>24</v>
      </c>
      <c r="H14" s="115">
        <v>88</v>
      </c>
      <c r="I14" s="194">
        <v>112</v>
      </c>
      <c r="J14" s="116">
        <v>2159100</v>
      </c>
      <c r="K14" s="116">
        <v>1435793</v>
      </c>
      <c r="L14" s="116">
        <v>326778</v>
      </c>
      <c r="M14" s="195">
        <v>3.0107526881720432E-2</v>
      </c>
      <c r="N14" s="195">
        <v>3.6077385766892331E-2</v>
      </c>
      <c r="O14" s="195">
        <v>2.8328188737132345E-2</v>
      </c>
      <c r="P14" s="195">
        <v>9.7347422888605095E-3</v>
      </c>
    </row>
    <row r="15" spans="1:26" ht="22.5" customHeight="1">
      <c r="A15" s="115">
        <v>53</v>
      </c>
      <c r="B15" s="115" t="s">
        <v>11</v>
      </c>
      <c r="C15" s="115" t="s">
        <v>10</v>
      </c>
      <c r="D15" s="115" t="s">
        <v>7</v>
      </c>
      <c r="E15" s="98" t="s">
        <v>17</v>
      </c>
      <c r="F15" s="115" t="s">
        <v>476</v>
      </c>
      <c r="G15" s="115">
        <v>1</v>
      </c>
      <c r="H15" s="115">
        <v>105</v>
      </c>
      <c r="I15" s="194">
        <v>106</v>
      </c>
      <c r="J15" s="116">
        <v>204908</v>
      </c>
      <c r="K15" s="116">
        <v>763873</v>
      </c>
      <c r="L15" s="116">
        <v>2492134</v>
      </c>
      <c r="M15" s="195">
        <v>2.849462365591398E-2</v>
      </c>
      <c r="N15" s="195">
        <v>3.4239011452560668E-3</v>
      </c>
      <c r="O15" s="195">
        <v>1.5071210484519353E-2</v>
      </c>
      <c r="P15" s="195">
        <v>7.4240867620546963E-2</v>
      </c>
      <c r="R15" s="232" t="s">
        <v>25</v>
      </c>
      <c r="S15" s="228"/>
      <c r="T15" s="228"/>
      <c r="V15" s="233" t="s">
        <v>496</v>
      </c>
      <c r="W15" s="228"/>
      <c r="Y15" s="233" t="s">
        <v>497</v>
      </c>
      <c r="Z15" s="228"/>
    </row>
    <row r="16" spans="1:26" ht="22.5" customHeight="1">
      <c r="A16" s="115">
        <v>54</v>
      </c>
      <c r="B16" s="115" t="s">
        <v>11</v>
      </c>
      <c r="C16" s="115" t="s">
        <v>10</v>
      </c>
      <c r="D16" s="115" t="s">
        <v>7</v>
      </c>
      <c r="E16" s="98" t="s">
        <v>858</v>
      </c>
      <c r="F16" s="115" t="s">
        <v>476</v>
      </c>
      <c r="G16" s="115">
        <v>1</v>
      </c>
      <c r="H16" s="115">
        <v>100</v>
      </c>
      <c r="I16" s="194">
        <v>101</v>
      </c>
      <c r="J16" s="116">
        <v>94119</v>
      </c>
      <c r="K16" s="116">
        <v>903009</v>
      </c>
      <c r="L16" s="116">
        <v>1596968</v>
      </c>
      <c r="M16" s="195">
        <v>2.7150537634408601E-2</v>
      </c>
      <c r="N16" s="195">
        <v>1.5726772595035614E-3</v>
      </c>
      <c r="O16" s="195">
        <v>1.7816363071368326E-2</v>
      </c>
      <c r="P16" s="195">
        <v>4.7573802164028761E-2</v>
      </c>
      <c r="R16" s="190" t="s">
        <v>482</v>
      </c>
      <c r="S16" s="222" t="s">
        <v>476</v>
      </c>
      <c r="T16" s="222" t="s">
        <v>483</v>
      </c>
      <c r="V16" s="199" t="s">
        <v>1</v>
      </c>
      <c r="W16" s="200" t="s">
        <v>498</v>
      </c>
      <c r="Y16" s="199" t="s">
        <v>1</v>
      </c>
      <c r="Z16" s="200" t="s">
        <v>499</v>
      </c>
    </row>
    <row r="17" spans="1:26" ht="22.5" customHeight="1">
      <c r="A17" s="115">
        <v>24</v>
      </c>
      <c r="B17" s="115" t="s">
        <v>39</v>
      </c>
      <c r="C17" s="115" t="s">
        <v>32</v>
      </c>
      <c r="D17" s="115" t="s">
        <v>16</v>
      </c>
      <c r="E17" s="98" t="s">
        <v>894</v>
      </c>
      <c r="F17" s="115" t="s">
        <v>483</v>
      </c>
      <c r="G17" s="115">
        <v>20</v>
      </c>
      <c r="H17" s="115">
        <v>78</v>
      </c>
      <c r="I17" s="194">
        <v>98</v>
      </c>
      <c r="J17" s="116">
        <v>4925678</v>
      </c>
      <c r="K17" s="116">
        <v>1417195</v>
      </c>
      <c r="L17" s="116">
        <v>18633</v>
      </c>
      <c r="M17" s="195">
        <v>5.3875755909840568E-2</v>
      </c>
      <c r="N17" s="195">
        <v>9.7681351999874821E-2</v>
      </c>
      <c r="O17" s="195">
        <v>3.1698576164809915E-2</v>
      </c>
      <c r="P17" s="195">
        <v>7.2378977304045659E-4</v>
      </c>
      <c r="R17" s="223" t="s">
        <v>468</v>
      </c>
      <c r="S17" s="207">
        <f>SUMIFS(Scoreboard_2[Damage Dealt],Scoreboard_2[Role],"Melee DPS",Scoreboard_2[Team],"Yellow")</f>
        <v>24778885</v>
      </c>
      <c r="T17" s="219">
        <f>SUMIFS(Scoreboard_2[Damage Dealt],Scoreboard_2[Role],"Melee DPS",Scoreboard_2[Team],"Red")</f>
        <v>19819614</v>
      </c>
      <c r="V17" s="204" t="str">
        <f ca="1">IFERROR(__xludf.DUMMYFUNCTION("query(A1:P239, ""Select E,K Order by K Desc Limit 10"", 0)"),"Fadeふち")</f>
        <v>Fadeふち</v>
      </c>
      <c r="W17" s="116">
        <f ca="1">IFERROR(__xludf.DUMMYFUNCTION("""COMPUTED_VALUE"""),2569504)</f>
        <v>2569504</v>
      </c>
      <c r="Y17" s="204" t="str">
        <f ca="1">IFERROR(__xludf.DUMMYFUNCTION("query(A1:P239, ""Select E,L Order by L Desc Limit 10"", 0)"),"Zynwolf")</f>
        <v>Zynwolf</v>
      </c>
      <c r="Z17" s="116">
        <f ca="1">IFERROR(__xludf.DUMMYFUNCTION("""COMPUTED_VALUE"""),3487684)</f>
        <v>3487684</v>
      </c>
    </row>
    <row r="18" spans="1:26" ht="22.5" customHeight="1">
      <c r="A18" s="115">
        <v>9</v>
      </c>
      <c r="B18" s="115" t="s">
        <v>39</v>
      </c>
      <c r="C18" s="115" t="s">
        <v>54</v>
      </c>
      <c r="D18" s="115" t="s">
        <v>16</v>
      </c>
      <c r="E18" s="98" t="s">
        <v>997</v>
      </c>
      <c r="F18" s="115" t="s">
        <v>483</v>
      </c>
      <c r="G18" s="115">
        <v>45</v>
      </c>
      <c r="H18" s="115">
        <v>50</v>
      </c>
      <c r="I18" s="194">
        <v>95</v>
      </c>
      <c r="J18" s="116">
        <v>2448488</v>
      </c>
      <c r="K18" s="116">
        <v>1082385</v>
      </c>
      <c r="L18" s="116">
        <v>19984</v>
      </c>
      <c r="M18" s="195">
        <v>5.2226498075865858E-2</v>
      </c>
      <c r="N18" s="195">
        <v>4.8556080644221872E-2</v>
      </c>
      <c r="O18" s="195">
        <v>2.4209839409642133E-2</v>
      </c>
      <c r="P18" s="195">
        <v>7.7626870737081979E-4</v>
      </c>
      <c r="R18" s="223" t="s">
        <v>469</v>
      </c>
      <c r="S18" s="207">
        <f>SUMIFS(Scoreboard_2[Damage Taken],Scoreboard_2[Role],"Melee DPS",Scoreboard_2[Team],"Yellow")</f>
        <v>14124016</v>
      </c>
      <c r="T18" s="219">
        <f>SUMIFS(Scoreboard_2[Damage Taken],Scoreboard_2[Role],"Melee DPS",Scoreboard_2[Team],"Red")</f>
        <v>15801400</v>
      </c>
      <c r="V18" s="204" t="str">
        <f ca="1">IFERROR(__xludf.DUMMYFUNCTION("""COMPUTED_VALUE"""),"edmun")</f>
        <v>edmun</v>
      </c>
      <c r="W18" s="116">
        <f ca="1">IFERROR(__xludf.DUMMYFUNCTION("""COMPUTED_VALUE"""),2397127)</f>
        <v>2397127</v>
      </c>
      <c r="Y18" s="204" t="str">
        <f ca="1">IFERROR(__xludf.DUMMYFUNCTION("""COMPUTED_VALUE"""),"Sybilene")</f>
        <v>Sybilene</v>
      </c>
      <c r="Z18" s="116">
        <f ca="1">IFERROR(__xludf.DUMMYFUNCTION("""COMPUTED_VALUE"""),3259262)</f>
        <v>3259262</v>
      </c>
    </row>
    <row r="19" spans="1:26" ht="22.5" customHeight="1">
      <c r="A19" s="115">
        <v>22</v>
      </c>
      <c r="B19" s="115" t="s">
        <v>25</v>
      </c>
      <c r="C19" s="115" t="s">
        <v>24</v>
      </c>
      <c r="D19" s="115" t="s">
        <v>16</v>
      </c>
      <c r="E19" s="98" t="s">
        <v>130</v>
      </c>
      <c r="F19" s="115" t="s">
        <v>483</v>
      </c>
      <c r="G19" s="115">
        <v>21</v>
      </c>
      <c r="H19" s="115">
        <v>73</v>
      </c>
      <c r="I19" s="194">
        <v>94</v>
      </c>
      <c r="J19" s="116">
        <v>4296697</v>
      </c>
      <c r="K19" s="116">
        <v>1995719</v>
      </c>
      <c r="L19" s="116">
        <v>16399</v>
      </c>
      <c r="M19" s="195">
        <v>5.1676745464540957E-2</v>
      </c>
      <c r="N19" s="195">
        <v>8.5208000217189633E-2</v>
      </c>
      <c r="O19" s="195">
        <v>4.4638494155750115E-2</v>
      </c>
      <c r="P19" s="195">
        <v>6.3701113551711732E-4</v>
      </c>
      <c r="R19" s="223" t="s">
        <v>470</v>
      </c>
      <c r="S19" s="207">
        <f>SUMIFS(Scoreboard_2[Amount Healed],Scoreboard_2[Role],"Melee DPS",Scoreboard_2[Team],"Yellow")</f>
        <v>405772</v>
      </c>
      <c r="T19" s="219">
        <f>SUMIFS(Scoreboard_2[Amount Healed],Scoreboard_2[Role],"Melee DPS",Scoreboard_2[Team],"Red")</f>
        <v>599444</v>
      </c>
      <c r="V19" s="204" t="str">
        <f ca="1">IFERROR(__xludf.DUMMYFUNCTION("""COMPUTED_VALUE"""),"Rarkar")</f>
        <v>Rarkar</v>
      </c>
      <c r="W19" s="116">
        <f ca="1">IFERROR(__xludf.DUMMYFUNCTION("""COMPUTED_VALUE"""),2233087)</f>
        <v>2233087</v>
      </c>
      <c r="Y19" s="204" t="str">
        <f ca="1">IFERROR(__xludf.DUMMYFUNCTION("""COMPUTED_VALUE"""),"soju-")</f>
        <v>soju-</v>
      </c>
      <c r="Z19" s="116">
        <f ca="1">IFERROR(__xludf.DUMMYFUNCTION("""COMPUTED_VALUE"""),3030288)</f>
        <v>3030288</v>
      </c>
    </row>
    <row r="20" spans="1:26" ht="22.5" customHeight="1">
      <c r="A20" s="115">
        <v>43</v>
      </c>
      <c r="B20" s="115" t="s">
        <v>11</v>
      </c>
      <c r="C20" s="115" t="s">
        <v>10</v>
      </c>
      <c r="D20" s="115" t="s">
        <v>7</v>
      </c>
      <c r="E20" s="98" t="s">
        <v>998</v>
      </c>
      <c r="F20" s="115" t="s">
        <v>476</v>
      </c>
      <c r="G20" s="115">
        <v>3</v>
      </c>
      <c r="H20" s="115">
        <v>88</v>
      </c>
      <c r="I20" s="194">
        <v>91</v>
      </c>
      <c r="J20" s="116">
        <v>224017</v>
      </c>
      <c r="K20" s="116">
        <v>856616</v>
      </c>
      <c r="L20" s="116">
        <v>2697424</v>
      </c>
      <c r="M20" s="195">
        <v>2.4462365591397851E-2</v>
      </c>
      <c r="N20" s="195">
        <v>3.7432021339177989E-3</v>
      </c>
      <c r="O20" s="195">
        <v>1.6901029412490075E-2</v>
      </c>
      <c r="P20" s="195">
        <v>8.0356472846358301E-2</v>
      </c>
      <c r="R20" s="223" t="s">
        <v>465</v>
      </c>
      <c r="S20" s="207">
        <f>SUMIFS(Scoreboard_2[Kills],Scoreboard_2[Role],"Melee DPS",Scoreboard_2[Team],"Yellow")</f>
        <v>390</v>
      </c>
      <c r="T20" s="219">
        <f>SUMIFS(Scoreboard_2[Kills],Scoreboard_2[Role],"Melee DPS",Scoreboard_2[Team],"Red")</f>
        <v>169</v>
      </c>
      <c r="V20" s="204" t="str">
        <f ca="1">IFERROR(__xludf.DUMMYFUNCTION("""COMPUTED_VALUE"""),"cba")</f>
        <v>cba</v>
      </c>
      <c r="W20" s="116">
        <f ca="1">IFERROR(__xludf.DUMMYFUNCTION("""COMPUTED_VALUE"""),1995719)</f>
        <v>1995719</v>
      </c>
      <c r="Y20" s="204" t="str">
        <f ca="1">IFERROR(__xludf.DUMMYFUNCTION("""COMPUTED_VALUE"""),"ReinaKertia")</f>
        <v>ReinaKertia</v>
      </c>
      <c r="Z20" s="116">
        <f ca="1">IFERROR(__xludf.DUMMYFUNCTION("""COMPUTED_VALUE"""),3029415)</f>
        <v>3029415</v>
      </c>
    </row>
    <row r="21" spans="1:26" ht="22.5" customHeight="1">
      <c r="A21" s="115">
        <v>17</v>
      </c>
      <c r="B21" s="115" t="s">
        <v>25</v>
      </c>
      <c r="C21" s="115" t="s">
        <v>24</v>
      </c>
      <c r="D21" s="115" t="s">
        <v>7</v>
      </c>
      <c r="E21" s="98" t="s">
        <v>169</v>
      </c>
      <c r="F21" s="115" t="s">
        <v>476</v>
      </c>
      <c r="G21" s="115">
        <v>26</v>
      </c>
      <c r="H21" s="115">
        <v>61</v>
      </c>
      <c r="I21" s="194">
        <v>87</v>
      </c>
      <c r="J21" s="116">
        <v>1703797</v>
      </c>
      <c r="K21" s="116">
        <v>1408004</v>
      </c>
      <c r="L21" s="116">
        <v>20266</v>
      </c>
      <c r="M21" s="195">
        <v>2.3387096774193549E-2</v>
      </c>
      <c r="N21" s="195">
        <v>2.8469520465691192E-2</v>
      </c>
      <c r="O21" s="195">
        <v>2.7779911905572243E-2</v>
      </c>
      <c r="P21" s="195">
        <v>6.037257319221217E-4</v>
      </c>
      <c r="R21" s="223" t="s">
        <v>466</v>
      </c>
      <c r="S21" s="207">
        <f>SUMIFS(Scoreboard_2[Assists],Scoreboard_2[Role],"Melee DPS",Scoreboard_2[Team],"Yellow")</f>
        <v>771</v>
      </c>
      <c r="T21" s="219">
        <f>SUMIFS(Scoreboard_2[Assists],Scoreboard_2[Role],"Melee DPS",Scoreboard_2[Team],"Red")</f>
        <v>407</v>
      </c>
      <c r="V21" s="204" t="str">
        <f ca="1">IFERROR(__xludf.DUMMYFUNCTION("""COMPUTED_VALUE"""),"Zynwolf")</f>
        <v>Zynwolf</v>
      </c>
      <c r="W21" s="116">
        <f ca="1">IFERROR(__xludf.DUMMYFUNCTION("""COMPUTED_VALUE"""),1941841)</f>
        <v>1941841</v>
      </c>
      <c r="Y21" s="204" t="str">
        <f ca="1">IFERROR(__xludf.DUMMYFUNCTION("""COMPUTED_VALUE"""),"Leafミ")</f>
        <v>Leafミ</v>
      </c>
      <c r="Z21" s="116">
        <f ca="1">IFERROR(__xludf.DUMMYFUNCTION("""COMPUTED_VALUE"""),2863646)</f>
        <v>2863646</v>
      </c>
    </row>
    <row r="22" spans="1:26" ht="22.5" customHeight="1">
      <c r="A22" s="115">
        <v>30</v>
      </c>
      <c r="B22" s="115" t="s">
        <v>67</v>
      </c>
      <c r="C22" s="115" t="s">
        <v>14</v>
      </c>
      <c r="D22" s="115" t="s">
        <v>7</v>
      </c>
      <c r="E22" s="98" t="s">
        <v>80</v>
      </c>
      <c r="F22" s="115" t="s">
        <v>476</v>
      </c>
      <c r="G22" s="115">
        <v>14</v>
      </c>
      <c r="H22" s="115">
        <v>73</v>
      </c>
      <c r="I22" s="194">
        <v>87</v>
      </c>
      <c r="J22" s="116">
        <v>2043461</v>
      </c>
      <c r="K22" s="116">
        <v>1029295</v>
      </c>
      <c r="L22" s="116">
        <v>0</v>
      </c>
      <c r="M22" s="195">
        <v>2.3387096774193549E-2</v>
      </c>
      <c r="N22" s="195">
        <v>3.41451210210734E-2</v>
      </c>
      <c r="O22" s="195">
        <v>2.0307985222233732E-2</v>
      </c>
      <c r="P22" s="195">
        <v>0</v>
      </c>
      <c r="V22" s="204" t="str">
        <f ca="1">IFERROR(__xludf.DUMMYFUNCTION("""COMPUTED_VALUE"""),"Klappincheekz")</f>
        <v>Klappincheekz</v>
      </c>
      <c r="W22" s="116">
        <f ca="1">IFERROR(__xludf.DUMMYFUNCTION("""COMPUTED_VALUE"""),1935970)</f>
        <v>1935970</v>
      </c>
      <c r="Y22" s="204" t="str">
        <f ca="1">IFERROR(__xludf.DUMMYFUNCTION("""COMPUTED_VALUE"""),"Funkmunk")</f>
        <v>Funkmunk</v>
      </c>
      <c r="Z22" s="116">
        <f ca="1">IFERROR(__xludf.DUMMYFUNCTION("""COMPUTED_VALUE"""),2697424)</f>
        <v>2697424</v>
      </c>
    </row>
    <row r="23" spans="1:26" ht="22.5" customHeight="1">
      <c r="A23" s="115">
        <v>25</v>
      </c>
      <c r="B23" s="115" t="s">
        <v>25</v>
      </c>
      <c r="C23" s="115" t="s">
        <v>23</v>
      </c>
      <c r="D23" s="115" t="s">
        <v>7</v>
      </c>
      <c r="E23" s="98" t="s">
        <v>935</v>
      </c>
      <c r="F23" s="115" t="s">
        <v>476</v>
      </c>
      <c r="G23" s="115">
        <v>18</v>
      </c>
      <c r="H23" s="115">
        <v>68</v>
      </c>
      <c r="I23" s="194">
        <v>86</v>
      </c>
      <c r="J23" s="116">
        <v>1937705</v>
      </c>
      <c r="K23" s="116">
        <v>1654274</v>
      </c>
      <c r="L23" s="116">
        <v>59835</v>
      </c>
      <c r="M23" s="195">
        <v>2.3118279569892472E-2</v>
      </c>
      <c r="N23" s="195">
        <v>3.237799582577746E-2</v>
      </c>
      <c r="O23" s="195">
        <v>3.2638817778698509E-2</v>
      </c>
      <c r="P23" s="195">
        <v>1.782489350121393E-3</v>
      </c>
      <c r="R23" s="232" t="s">
        <v>39</v>
      </c>
      <c r="S23" s="228"/>
      <c r="T23" s="228"/>
      <c r="V23" s="204" t="str">
        <f ca="1">IFERROR(__xludf.DUMMYFUNCTION("""COMPUTED_VALUE"""),"RedCamper")</f>
        <v>RedCamper</v>
      </c>
      <c r="W23" s="116">
        <f ca="1">IFERROR(__xludf.DUMMYFUNCTION("""COMPUTED_VALUE"""),1828566)</f>
        <v>1828566</v>
      </c>
      <c r="Y23" s="204" t="str">
        <f ca="1">IFERROR(__xludf.DUMMYFUNCTION("""COMPUTED_VALUE"""),"Zanax")</f>
        <v>Zanax</v>
      </c>
      <c r="Z23" s="116">
        <f ca="1">IFERROR(__xludf.DUMMYFUNCTION("""COMPUTED_VALUE"""),2588645)</f>
        <v>2588645</v>
      </c>
    </row>
    <row r="24" spans="1:26" ht="22.5" customHeight="1">
      <c r="A24" s="115">
        <v>67</v>
      </c>
      <c r="B24" s="115" t="s">
        <v>11</v>
      </c>
      <c r="C24" s="115" t="s">
        <v>10</v>
      </c>
      <c r="D24" s="115" t="s">
        <v>16</v>
      </c>
      <c r="E24" s="98" t="s">
        <v>49</v>
      </c>
      <c r="F24" s="115" t="s">
        <v>483</v>
      </c>
      <c r="G24" s="115">
        <v>0</v>
      </c>
      <c r="H24" s="115">
        <v>86</v>
      </c>
      <c r="I24" s="194">
        <v>86</v>
      </c>
      <c r="J24" s="116">
        <v>138166</v>
      </c>
      <c r="K24" s="116">
        <v>1479392</v>
      </c>
      <c r="L24" s="116">
        <v>2198766</v>
      </c>
      <c r="M24" s="195">
        <v>4.7278724573941729E-2</v>
      </c>
      <c r="N24" s="195">
        <v>2.7399764419060086E-3</v>
      </c>
      <c r="O24" s="195">
        <v>3.3089744170428537E-2</v>
      </c>
      <c r="P24" s="195">
        <v>8.5409990023564239E-2</v>
      </c>
      <c r="R24" s="190" t="s">
        <v>482</v>
      </c>
      <c r="S24" s="222" t="s">
        <v>476</v>
      </c>
      <c r="T24" s="222" t="s">
        <v>483</v>
      </c>
      <c r="V24" s="204" t="str">
        <f ca="1">IFERROR(__xludf.DUMMYFUNCTION("""COMPUTED_VALUE"""),"Teadon")</f>
        <v>Teadon</v>
      </c>
      <c r="W24" s="116">
        <f ca="1">IFERROR(__xludf.DUMMYFUNCTION("""COMPUTED_VALUE"""),1795334)</f>
        <v>1795334</v>
      </c>
      <c r="Y24" s="204" t="str">
        <f ca="1">IFERROR(__xludf.DUMMYFUNCTION("""COMPUTED_VALUE"""),"Spicyparrot")</f>
        <v>Spicyparrot</v>
      </c>
      <c r="Z24" s="116">
        <f ca="1">IFERROR(__xludf.DUMMYFUNCTION("""COMPUTED_VALUE"""),2512902)</f>
        <v>2512902</v>
      </c>
    </row>
    <row r="25" spans="1:26" ht="22.5" customHeight="1">
      <c r="A25" s="115">
        <v>31</v>
      </c>
      <c r="B25" s="115" t="s">
        <v>39</v>
      </c>
      <c r="C25" s="115" t="s">
        <v>52</v>
      </c>
      <c r="D25" s="115" t="s">
        <v>7</v>
      </c>
      <c r="E25" s="98" t="s">
        <v>999</v>
      </c>
      <c r="F25" s="115" t="s">
        <v>476</v>
      </c>
      <c r="G25" s="115">
        <v>14</v>
      </c>
      <c r="H25" s="115">
        <v>63</v>
      </c>
      <c r="I25" s="194">
        <v>77</v>
      </c>
      <c r="J25" s="116">
        <v>2149402</v>
      </c>
      <c r="K25" s="116">
        <v>1019159</v>
      </c>
      <c r="L25" s="116">
        <v>172050</v>
      </c>
      <c r="M25" s="195">
        <v>2.0698924731182795E-2</v>
      </c>
      <c r="N25" s="195">
        <v>3.5915337465670841E-2</v>
      </c>
      <c r="O25" s="195">
        <v>2.0108001992729496E-2</v>
      </c>
      <c r="P25" s="195">
        <v>5.1253830147636945E-3</v>
      </c>
      <c r="R25" s="223" t="s">
        <v>468</v>
      </c>
      <c r="S25" s="207">
        <f>SUMIFS(Scoreboard_2[Damage Dealt],Scoreboard_2[Role],"Ranged DPS",Scoreboard_2[Team],"Yellow")</f>
        <v>26388137</v>
      </c>
      <c r="T25" s="219">
        <f>SUMIFS(Scoreboard_2[Damage Dealt],Scoreboard_2[Role],"Ranged DPS",Scoreboard_2[Team],"Red")</f>
        <v>26370813</v>
      </c>
      <c r="V25" s="204" t="str">
        <f ca="1">IFERROR(__xludf.DUMMYFUNCTION("""COMPUTED_VALUE"""),"Prefire")</f>
        <v>Prefire</v>
      </c>
      <c r="W25" s="116">
        <f ca="1">IFERROR(__xludf.DUMMYFUNCTION("""COMPUTED_VALUE"""),1760401)</f>
        <v>1760401</v>
      </c>
      <c r="Y25" s="204" t="str">
        <f ca="1">IFERROR(__xludf.DUMMYFUNCTION("""COMPUTED_VALUE"""),"apgonzo")</f>
        <v>apgonzo</v>
      </c>
      <c r="Z25" s="116">
        <f ca="1">IFERROR(__xludf.DUMMYFUNCTION("""COMPUTED_VALUE"""),2492134)</f>
        <v>2492134</v>
      </c>
    </row>
    <row r="26" spans="1:26" ht="22.5" customHeight="1">
      <c r="A26" s="115">
        <v>16</v>
      </c>
      <c r="B26" s="115" t="s">
        <v>25</v>
      </c>
      <c r="C26" s="115" t="s">
        <v>24</v>
      </c>
      <c r="D26" s="115" t="s">
        <v>16</v>
      </c>
      <c r="E26" s="98" t="s">
        <v>90</v>
      </c>
      <c r="F26" s="115" t="s">
        <v>483</v>
      </c>
      <c r="G26" s="115">
        <v>27</v>
      </c>
      <c r="H26" s="115">
        <v>49</v>
      </c>
      <c r="I26" s="194">
        <v>76</v>
      </c>
      <c r="J26" s="116">
        <v>2698099</v>
      </c>
      <c r="K26" s="116">
        <v>1760401</v>
      </c>
      <c r="L26" s="116">
        <v>53627</v>
      </c>
      <c r="M26" s="195">
        <v>4.1781198460692691E-2</v>
      </c>
      <c r="N26" s="195">
        <v>5.3506128120739981E-2</v>
      </c>
      <c r="O26" s="195">
        <v>3.9375107292297491E-2</v>
      </c>
      <c r="P26" s="195">
        <v>2.0831145901808925E-3</v>
      </c>
      <c r="R26" s="223" t="s">
        <v>469</v>
      </c>
      <c r="S26" s="207">
        <f>SUMIFS(Scoreboard_2[Damage Taken],Scoreboard_2[Role],"Ranged DPS",Scoreboard_2[Team],"Yellow")</f>
        <v>10825177</v>
      </c>
      <c r="T26" s="219">
        <f>SUMIFS(Scoreboard_2[Damage Taken],Scoreboard_2[Role],"Ranged DPS",Scoreboard_2[Team],"Red")</f>
        <v>10717869</v>
      </c>
      <c r="V26" s="204" t="str">
        <f ca="1">IFERROR(__xludf.DUMMYFUNCTION("""COMPUTED_VALUE"""),"SunnyDriver")</f>
        <v>SunnyDriver</v>
      </c>
      <c r="W26" s="116">
        <f ca="1">IFERROR(__xludf.DUMMYFUNCTION("""COMPUTED_VALUE"""),1759244)</f>
        <v>1759244</v>
      </c>
      <c r="Y26" s="204" t="str">
        <f ca="1">IFERROR(__xludf.DUMMYFUNCTION("""COMPUTED_VALUE"""),"Teensy")</f>
        <v>Teensy</v>
      </c>
      <c r="Z26" s="116">
        <f ca="1">IFERROR(__xludf.DUMMYFUNCTION("""COMPUTED_VALUE"""),2487748)</f>
        <v>2487748</v>
      </c>
    </row>
    <row r="27" spans="1:26" ht="22.5" customHeight="1">
      <c r="A27" s="115">
        <v>68</v>
      </c>
      <c r="B27" s="115" t="s">
        <v>11</v>
      </c>
      <c r="C27" s="115" t="s">
        <v>10</v>
      </c>
      <c r="D27" s="115" t="s">
        <v>7</v>
      </c>
      <c r="E27" s="98" t="s">
        <v>1000</v>
      </c>
      <c r="F27" s="115" t="s">
        <v>476</v>
      </c>
      <c r="G27" s="115">
        <v>0</v>
      </c>
      <c r="H27" s="115">
        <v>76</v>
      </c>
      <c r="I27" s="194">
        <v>76</v>
      </c>
      <c r="J27" s="116">
        <v>197664</v>
      </c>
      <c r="K27" s="116">
        <v>536456</v>
      </c>
      <c r="L27" s="116">
        <v>1942080</v>
      </c>
      <c r="M27" s="195">
        <v>2.0430107526881722E-2</v>
      </c>
      <c r="N27" s="195">
        <v>3.3028578482826206E-3</v>
      </c>
      <c r="O27" s="195">
        <v>1.0584274207470762E-2</v>
      </c>
      <c r="P27" s="195">
        <v>5.7854715753050137E-2</v>
      </c>
      <c r="R27" s="223" t="s">
        <v>470</v>
      </c>
      <c r="S27" s="207">
        <f>SUMIFS(Scoreboard_2[Amount Healed],Scoreboard_2[Role],"Ranged DPS",Scoreboard_2[Team],"Yellow")</f>
        <v>1528120</v>
      </c>
      <c r="T27" s="219">
        <f>SUMIFS(Scoreboard_2[Amount Healed],Scoreboard_2[Role],"Ranged DPS",Scoreboard_2[Team],"Red")</f>
        <v>382007</v>
      </c>
    </row>
    <row r="28" spans="1:26" ht="22.5" customHeight="1">
      <c r="A28" s="115">
        <v>55</v>
      </c>
      <c r="B28" s="115" t="s">
        <v>11</v>
      </c>
      <c r="C28" s="115" t="s">
        <v>10</v>
      </c>
      <c r="D28" s="115" t="s">
        <v>7</v>
      </c>
      <c r="E28" s="98" t="s">
        <v>96</v>
      </c>
      <c r="F28" s="115" t="s">
        <v>476</v>
      </c>
      <c r="G28" s="115">
        <v>1</v>
      </c>
      <c r="H28" s="115">
        <v>73</v>
      </c>
      <c r="I28" s="194">
        <v>74</v>
      </c>
      <c r="J28" s="116">
        <v>240563</v>
      </c>
      <c r="K28" s="116">
        <v>871708</v>
      </c>
      <c r="L28" s="116">
        <v>3029415</v>
      </c>
      <c r="M28" s="195">
        <v>1.9892473118279571E-2</v>
      </c>
      <c r="N28" s="195">
        <v>4.019676787661952E-3</v>
      </c>
      <c r="O28" s="195">
        <v>1.7198794497304389E-2</v>
      </c>
      <c r="P28" s="195">
        <v>9.0246510814707109E-2</v>
      </c>
      <c r="R28" s="223" t="s">
        <v>465</v>
      </c>
      <c r="S28" s="207">
        <f>SUMIFS(Scoreboard_2[Kills],Scoreboard_2[Role],"Ranged DPS",Scoreboard_2[Team],"Yellow")</f>
        <v>288</v>
      </c>
      <c r="T28" s="219">
        <f>SUMIFS(Scoreboard_2[Kills],Scoreboard_2[Role],"Ranged DPS",Scoreboard_2[Team],"Red")</f>
        <v>207</v>
      </c>
    </row>
    <row r="29" spans="1:26" ht="22.5" customHeight="1">
      <c r="A29" s="115">
        <v>56</v>
      </c>
      <c r="B29" s="115" t="s">
        <v>11</v>
      </c>
      <c r="C29" s="115" t="s">
        <v>10</v>
      </c>
      <c r="D29" s="115" t="s">
        <v>7</v>
      </c>
      <c r="E29" s="98" t="s">
        <v>105</v>
      </c>
      <c r="F29" s="115" t="s">
        <v>476</v>
      </c>
      <c r="G29" s="115">
        <v>1</v>
      </c>
      <c r="H29" s="115">
        <v>72</v>
      </c>
      <c r="I29" s="194">
        <v>73</v>
      </c>
      <c r="J29" s="116">
        <v>122231</v>
      </c>
      <c r="K29" s="116">
        <v>1156132</v>
      </c>
      <c r="L29" s="116">
        <v>3259262</v>
      </c>
      <c r="M29" s="195">
        <v>1.9623655913978494E-2</v>
      </c>
      <c r="N29" s="195">
        <v>2.0424134776865438E-3</v>
      </c>
      <c r="O29" s="195">
        <v>2.2810478600354154E-2</v>
      </c>
      <c r="P29" s="195">
        <v>9.70936709995045E-2</v>
      </c>
      <c r="R29" s="223" t="s">
        <v>466</v>
      </c>
      <c r="S29" s="207">
        <f>SUMIFS(Scoreboard_2[Assists],Scoreboard_2[Role],"Ranged DPS",Scoreboard_2[Team],"Yellow")</f>
        <v>887</v>
      </c>
      <c r="T29" s="219">
        <f>SUMIFS(Scoreboard_2[Assists],Scoreboard_2[Role],"Ranged DPS",Scoreboard_2[Team],"Red")</f>
        <v>447</v>
      </c>
    </row>
    <row r="30" spans="1:26" ht="22.5" customHeight="1">
      <c r="A30" s="115">
        <v>57</v>
      </c>
      <c r="B30" s="115" t="s">
        <v>11</v>
      </c>
      <c r="C30" s="115" t="s">
        <v>10</v>
      </c>
      <c r="D30" s="115" t="s">
        <v>7</v>
      </c>
      <c r="E30" s="98" t="s">
        <v>102</v>
      </c>
      <c r="F30" s="115" t="s">
        <v>476</v>
      </c>
      <c r="G30" s="115">
        <v>1</v>
      </c>
      <c r="H30" s="115">
        <v>71</v>
      </c>
      <c r="I30" s="194">
        <v>72</v>
      </c>
      <c r="J30" s="116">
        <v>158110</v>
      </c>
      <c r="K30" s="116">
        <v>992304</v>
      </c>
      <c r="L30" s="116">
        <v>2512902</v>
      </c>
      <c r="M30" s="195">
        <v>1.935483870967742E-2</v>
      </c>
      <c r="N30" s="195">
        <v>2.6419320381656001E-3</v>
      </c>
      <c r="O30" s="195">
        <v>1.9578152976516373E-2</v>
      </c>
      <c r="P30" s="195">
        <v>7.4859547971901877E-2</v>
      </c>
      <c r="R30" s="6"/>
      <c r="S30" s="6"/>
      <c r="T30" s="6"/>
    </row>
    <row r="31" spans="1:26" ht="22.5" customHeight="1">
      <c r="A31" s="115">
        <v>27</v>
      </c>
      <c r="B31" s="115" t="s">
        <v>39</v>
      </c>
      <c r="C31" s="115" t="s">
        <v>32</v>
      </c>
      <c r="D31" s="115" t="s">
        <v>16</v>
      </c>
      <c r="E31" s="98" t="s">
        <v>250</v>
      </c>
      <c r="F31" s="115" t="s">
        <v>483</v>
      </c>
      <c r="G31" s="115">
        <v>17</v>
      </c>
      <c r="H31" s="115">
        <v>54</v>
      </c>
      <c r="I31" s="194">
        <v>71</v>
      </c>
      <c r="J31" s="116">
        <v>2176646</v>
      </c>
      <c r="K31" s="116">
        <v>900440</v>
      </c>
      <c r="L31" s="116">
        <v>0</v>
      </c>
      <c r="M31" s="195">
        <v>3.9032435404068172E-2</v>
      </c>
      <c r="N31" s="195">
        <v>4.3165169161508234E-2</v>
      </c>
      <c r="O31" s="195">
        <v>2.0140253050456317E-2</v>
      </c>
      <c r="P31" s="195">
        <v>0</v>
      </c>
      <c r="R31" s="232" t="s">
        <v>67</v>
      </c>
      <c r="S31" s="228"/>
      <c r="T31" s="228"/>
    </row>
    <row r="32" spans="1:26" ht="22.5" customHeight="1">
      <c r="A32" s="115">
        <v>69</v>
      </c>
      <c r="B32" s="115" t="s">
        <v>11</v>
      </c>
      <c r="C32" s="115" t="s">
        <v>10</v>
      </c>
      <c r="D32" s="115" t="s">
        <v>7</v>
      </c>
      <c r="E32" s="98" t="s">
        <v>108</v>
      </c>
      <c r="F32" s="115" t="s">
        <v>476</v>
      </c>
      <c r="G32" s="115">
        <v>0</v>
      </c>
      <c r="H32" s="115">
        <v>71</v>
      </c>
      <c r="I32" s="194">
        <v>71</v>
      </c>
      <c r="J32" s="116">
        <v>134355</v>
      </c>
      <c r="K32" s="116">
        <v>1541451</v>
      </c>
      <c r="L32" s="116">
        <v>2487748</v>
      </c>
      <c r="M32" s="195">
        <v>1.9086021505376343E-2</v>
      </c>
      <c r="N32" s="195">
        <v>2.2449989183969334E-3</v>
      </c>
      <c r="O32" s="195">
        <v>3.041282055076281E-2</v>
      </c>
      <c r="P32" s="195">
        <v>7.4110208336020653E-2</v>
      </c>
      <c r="R32" s="190" t="s">
        <v>482</v>
      </c>
      <c r="S32" s="222" t="s">
        <v>476</v>
      </c>
      <c r="T32" s="222" t="s">
        <v>483</v>
      </c>
    </row>
    <row r="33" spans="1:20" ht="22.5" customHeight="1">
      <c r="A33" s="115">
        <v>20</v>
      </c>
      <c r="B33" s="115" t="s">
        <v>25</v>
      </c>
      <c r="C33" s="115" t="s">
        <v>69</v>
      </c>
      <c r="D33" s="115" t="s">
        <v>16</v>
      </c>
      <c r="E33" s="98" t="s">
        <v>125</v>
      </c>
      <c r="F33" s="115" t="s">
        <v>483</v>
      </c>
      <c r="G33" s="115">
        <v>24</v>
      </c>
      <c r="H33" s="115">
        <v>46</v>
      </c>
      <c r="I33" s="194">
        <v>70</v>
      </c>
      <c r="J33" s="116">
        <v>1622277</v>
      </c>
      <c r="K33" s="116">
        <v>1759244</v>
      </c>
      <c r="L33" s="116">
        <v>92079</v>
      </c>
      <c r="M33" s="195">
        <v>3.8482682792743264E-2</v>
      </c>
      <c r="N33" s="195">
        <v>3.217145145872323E-2</v>
      </c>
      <c r="O33" s="195">
        <v>3.9349228529937559E-2</v>
      </c>
      <c r="P33" s="195">
        <v>3.5767637262809106E-3</v>
      </c>
      <c r="R33" s="223" t="s">
        <v>468</v>
      </c>
      <c r="S33" s="207">
        <f>SUMIFS(Scoreboard_2[Damage Dealt],Scoreboard_2[Role],"Tank",Scoreboard_2[Team],"Yellow")</f>
        <v>6119862</v>
      </c>
      <c r="T33" s="219">
        <f>SUMIFS(Scoreboard_2[Damage Dealt],Scoreboard_2[Role],"Tank",Scoreboard_2[Team],"Red")</f>
        <v>2639375</v>
      </c>
    </row>
    <row r="34" spans="1:20" ht="22.5" customHeight="1">
      <c r="A34" s="115">
        <v>29</v>
      </c>
      <c r="B34" s="115" t="s">
        <v>39</v>
      </c>
      <c r="C34" s="115" t="s">
        <v>32</v>
      </c>
      <c r="D34" s="115" t="s">
        <v>16</v>
      </c>
      <c r="E34" s="98" t="s">
        <v>112</v>
      </c>
      <c r="F34" s="115" t="s">
        <v>483</v>
      </c>
      <c r="G34" s="115">
        <v>16</v>
      </c>
      <c r="H34" s="115">
        <v>53</v>
      </c>
      <c r="I34" s="194">
        <v>69</v>
      </c>
      <c r="J34" s="116">
        <v>3151486</v>
      </c>
      <c r="K34" s="116">
        <v>1488171</v>
      </c>
      <c r="L34" s="116">
        <v>39475</v>
      </c>
      <c r="M34" s="195">
        <v>3.7932930181418363E-2</v>
      </c>
      <c r="N34" s="195">
        <v>6.2497267033833216E-2</v>
      </c>
      <c r="O34" s="195">
        <v>3.3286105151204552E-2</v>
      </c>
      <c r="P34" s="195">
        <v>1.5333870708298194E-3</v>
      </c>
      <c r="R34" s="223" t="s">
        <v>469</v>
      </c>
      <c r="S34" s="207">
        <f>SUMIFS(Scoreboard_2[Damage Taken],Scoreboard_2[Role],"Tank",Scoreboard_2[Team],"Yellow")</f>
        <v>12793656</v>
      </c>
      <c r="T34" s="219">
        <f>SUMIFS(Scoreboard_2[Damage Taken],Scoreboard_2[Role],"Tank",Scoreboard_2[Team],"Red")</f>
        <v>6034086</v>
      </c>
    </row>
    <row r="35" spans="1:20" ht="22.5" customHeight="1">
      <c r="A35" s="115">
        <v>58</v>
      </c>
      <c r="B35" s="115" t="s">
        <v>11</v>
      </c>
      <c r="C35" s="115" t="s">
        <v>10</v>
      </c>
      <c r="D35" s="115" t="s">
        <v>7</v>
      </c>
      <c r="E35" s="98" t="s">
        <v>1001</v>
      </c>
      <c r="F35" s="115" t="s">
        <v>476</v>
      </c>
      <c r="G35" s="115">
        <v>1</v>
      </c>
      <c r="H35" s="115">
        <v>68</v>
      </c>
      <c r="I35" s="194">
        <v>69</v>
      </c>
      <c r="J35" s="116">
        <v>106188</v>
      </c>
      <c r="K35" s="116">
        <v>983758</v>
      </c>
      <c r="L35" s="116">
        <v>1796513</v>
      </c>
      <c r="M35" s="195">
        <v>1.8548387096774192E-2</v>
      </c>
      <c r="N35" s="195">
        <v>1.7743436801513422E-3</v>
      </c>
      <c r="O35" s="195">
        <v>1.9409540439091041E-2</v>
      </c>
      <c r="P35" s="195">
        <v>5.351826338856245E-2</v>
      </c>
      <c r="R35" s="223" t="s">
        <v>470</v>
      </c>
      <c r="S35" s="207">
        <f>SUMIFS(Scoreboard_2[Amount Healed],Scoreboard_2[Role],"Tank",Scoreboard_2[Team],"Yellow")</f>
        <v>456313</v>
      </c>
      <c r="T35" s="219">
        <f>SUMIFS(Scoreboard_2[Amount Healed],Scoreboard_2[Role],"Tank",Scoreboard_2[Team],"Red")</f>
        <v>288344</v>
      </c>
    </row>
    <row r="36" spans="1:20" ht="22.5" customHeight="1">
      <c r="A36" s="115">
        <v>70</v>
      </c>
      <c r="B36" s="115" t="s">
        <v>11</v>
      </c>
      <c r="C36" s="115" t="s">
        <v>10</v>
      </c>
      <c r="D36" s="115" t="s">
        <v>7</v>
      </c>
      <c r="E36" s="98" t="s">
        <v>51</v>
      </c>
      <c r="F36" s="115" t="s">
        <v>476</v>
      </c>
      <c r="G36" s="115">
        <v>0</v>
      </c>
      <c r="H36" s="115">
        <v>68</v>
      </c>
      <c r="I36" s="194">
        <v>68</v>
      </c>
      <c r="J36" s="116">
        <v>163331</v>
      </c>
      <c r="K36" s="116">
        <v>454624</v>
      </c>
      <c r="L36" s="116">
        <v>1680650</v>
      </c>
      <c r="M36" s="195">
        <v>1.8279569892473119E-2</v>
      </c>
      <c r="N36" s="195">
        <v>2.729172106290719E-3</v>
      </c>
      <c r="O36" s="195">
        <v>8.9697292551433622E-3</v>
      </c>
      <c r="P36" s="195">
        <v>5.0066695517364743E-2</v>
      </c>
      <c r="R36" s="223" t="s">
        <v>465</v>
      </c>
      <c r="S36" s="207">
        <f>SUMIFS(Scoreboard_2[Kills],Scoreboard_2[Role],"Tank",Scoreboard_2[Team],"Yellow")</f>
        <v>50</v>
      </c>
      <c r="T36" s="219">
        <f>SUMIFS(Scoreboard_2[Kills],Scoreboard_2[Role],"Tank",Scoreboard_2[Team],"Red")</f>
        <v>22</v>
      </c>
    </row>
    <row r="37" spans="1:20" ht="22.5" customHeight="1">
      <c r="A37" s="115">
        <v>32</v>
      </c>
      <c r="B37" s="115" t="s">
        <v>39</v>
      </c>
      <c r="C37" s="115" t="s">
        <v>52</v>
      </c>
      <c r="D37" s="115" t="s">
        <v>7</v>
      </c>
      <c r="E37" s="98" t="s">
        <v>65</v>
      </c>
      <c r="F37" s="115" t="s">
        <v>476</v>
      </c>
      <c r="G37" s="115">
        <v>14</v>
      </c>
      <c r="H37" s="115">
        <v>53</v>
      </c>
      <c r="I37" s="194">
        <v>67</v>
      </c>
      <c r="J37" s="116">
        <v>1877469</v>
      </c>
      <c r="K37" s="116">
        <v>741255</v>
      </c>
      <c r="L37" s="116">
        <v>285244</v>
      </c>
      <c r="M37" s="195">
        <v>1.8010752688172042E-2</v>
      </c>
      <c r="N37" s="195">
        <v>3.1371485053208088E-2</v>
      </c>
      <c r="O37" s="195">
        <v>1.4624957457198242E-2</v>
      </c>
      <c r="P37" s="195">
        <v>8.4974411663077901E-3</v>
      </c>
      <c r="R37" s="223" t="s">
        <v>466</v>
      </c>
      <c r="S37" s="207">
        <f>SUMIFS(Scoreboard_2[Assists],Scoreboard_2[Role],"Tank",Scoreboard_2[Team],"Yellow")</f>
        <v>282</v>
      </c>
      <c r="T37" s="219">
        <f>SUMIFS(Scoreboard_2[Assists],Scoreboard_2[Role],"Tank",Scoreboard_2[Team],"Red")</f>
        <v>66</v>
      </c>
    </row>
    <row r="38" spans="1:20" ht="22.5" customHeight="1">
      <c r="A38" s="115">
        <v>71</v>
      </c>
      <c r="B38" s="115" t="s">
        <v>11</v>
      </c>
      <c r="C38" s="115" t="s">
        <v>10</v>
      </c>
      <c r="D38" s="115" t="s">
        <v>7</v>
      </c>
      <c r="E38" s="98" t="s">
        <v>41</v>
      </c>
      <c r="F38" s="115" t="s">
        <v>476</v>
      </c>
      <c r="G38" s="115">
        <v>0</v>
      </c>
      <c r="H38" s="115">
        <v>67</v>
      </c>
      <c r="I38" s="194">
        <v>67</v>
      </c>
      <c r="J38" s="116">
        <v>136373</v>
      </c>
      <c r="K38" s="116">
        <v>1031545</v>
      </c>
      <c r="L38" s="116">
        <v>1739646</v>
      </c>
      <c r="M38" s="195">
        <v>1.8010752688172042E-2</v>
      </c>
      <c r="N38" s="195">
        <v>2.2787185999668417E-3</v>
      </c>
      <c r="O38" s="195">
        <v>2.0352377711024629E-2</v>
      </c>
      <c r="P38" s="195">
        <v>5.1824190991581531E-2</v>
      </c>
    </row>
    <row r="39" spans="1:20" ht="22.5" customHeight="1">
      <c r="A39" s="115">
        <v>23</v>
      </c>
      <c r="B39" s="115" t="s">
        <v>25</v>
      </c>
      <c r="C39" s="115" t="s">
        <v>69</v>
      </c>
      <c r="D39" s="115" t="s">
        <v>16</v>
      </c>
      <c r="E39" s="98" t="s">
        <v>68</v>
      </c>
      <c r="F39" s="115" t="s">
        <v>483</v>
      </c>
      <c r="G39" s="115">
        <v>21</v>
      </c>
      <c r="H39" s="115">
        <v>44</v>
      </c>
      <c r="I39" s="194">
        <v>65</v>
      </c>
      <c r="J39" s="116">
        <v>2014109</v>
      </c>
      <c r="K39" s="116">
        <v>1697631</v>
      </c>
      <c r="L39" s="116">
        <v>100420</v>
      </c>
      <c r="M39" s="195">
        <v>3.5733919736118745E-2</v>
      </c>
      <c r="N39" s="195">
        <v>3.9941890272794101E-2</v>
      </c>
      <c r="O39" s="195">
        <v>3.7971122924680391E-2</v>
      </c>
      <c r="P39" s="195">
        <v>3.90076579234276E-3</v>
      </c>
      <c r="R39" s="232" t="s">
        <v>11</v>
      </c>
      <c r="S39" s="228"/>
      <c r="T39" s="228"/>
    </row>
    <row r="40" spans="1:20" ht="22.5" customHeight="1">
      <c r="A40" s="115">
        <v>13</v>
      </c>
      <c r="B40" s="115" t="s">
        <v>39</v>
      </c>
      <c r="C40" s="115" t="s">
        <v>54</v>
      </c>
      <c r="D40" s="115" t="s">
        <v>16</v>
      </c>
      <c r="E40" s="98" t="s">
        <v>53</v>
      </c>
      <c r="F40" s="115" t="s">
        <v>483</v>
      </c>
      <c r="G40" s="115">
        <v>33</v>
      </c>
      <c r="H40" s="115">
        <v>31</v>
      </c>
      <c r="I40" s="194">
        <v>64</v>
      </c>
      <c r="J40" s="116">
        <v>2613164</v>
      </c>
      <c r="K40" s="116">
        <v>1154959</v>
      </c>
      <c r="L40" s="116">
        <v>27227</v>
      </c>
      <c r="M40" s="195">
        <v>3.5184167124793844E-2</v>
      </c>
      <c r="N40" s="195">
        <v>5.1821778142501579E-2</v>
      </c>
      <c r="O40" s="195">
        <v>2.583311106003951E-2</v>
      </c>
      <c r="P40" s="195">
        <v>1.057619500379569E-3</v>
      </c>
      <c r="R40" s="190" t="s">
        <v>482</v>
      </c>
      <c r="S40" s="222" t="s">
        <v>476</v>
      </c>
      <c r="T40" s="222" t="s">
        <v>483</v>
      </c>
    </row>
    <row r="41" spans="1:20" ht="22.5" customHeight="1">
      <c r="A41" s="115">
        <v>21</v>
      </c>
      <c r="B41" s="115" t="s">
        <v>25</v>
      </c>
      <c r="C41" s="115" t="s">
        <v>24</v>
      </c>
      <c r="D41" s="115" t="s">
        <v>16</v>
      </c>
      <c r="E41" s="98" t="s">
        <v>887</v>
      </c>
      <c r="F41" s="115" t="s">
        <v>483</v>
      </c>
      <c r="G41" s="115">
        <v>24</v>
      </c>
      <c r="H41" s="115">
        <v>40</v>
      </c>
      <c r="I41" s="194">
        <v>64</v>
      </c>
      <c r="J41" s="116">
        <v>2215828</v>
      </c>
      <c r="K41" s="116">
        <v>1134165</v>
      </c>
      <c r="L41" s="116">
        <v>45121</v>
      </c>
      <c r="M41" s="195">
        <v>3.5184167124793844E-2</v>
      </c>
      <c r="N41" s="195">
        <v>4.3942189245658902E-2</v>
      </c>
      <c r="O41" s="195">
        <v>2.5368009085525729E-2</v>
      </c>
      <c r="P41" s="195">
        <v>1.7527031798077841E-3</v>
      </c>
      <c r="R41" s="223" t="s">
        <v>468</v>
      </c>
      <c r="S41" s="207">
        <f>SUMIFS(Scoreboard_2[Damage Dealt],Scoreboard_2[Role],"Healer",Scoreboard_2[Team],"Yellow")</f>
        <v>2559470</v>
      </c>
      <c r="T41" s="219">
        <f>SUMIFS(Scoreboard_2[Damage Dealt],Scoreboard_2[Role],"Healer",Scoreboard_2[Team],"Red")</f>
        <v>1596179</v>
      </c>
    </row>
    <row r="42" spans="1:20" ht="22.5" customHeight="1">
      <c r="A42" s="115">
        <v>34</v>
      </c>
      <c r="B42" s="115" t="s">
        <v>39</v>
      </c>
      <c r="C42" s="115" t="s">
        <v>32</v>
      </c>
      <c r="D42" s="115" t="s">
        <v>16</v>
      </c>
      <c r="E42" s="98" t="s">
        <v>892</v>
      </c>
      <c r="F42" s="115" t="s">
        <v>483</v>
      </c>
      <c r="G42" s="115">
        <v>12</v>
      </c>
      <c r="H42" s="115">
        <v>52</v>
      </c>
      <c r="I42" s="194">
        <v>64</v>
      </c>
      <c r="J42" s="116">
        <v>4013208</v>
      </c>
      <c r="K42" s="116">
        <v>1365193</v>
      </c>
      <c r="L42" s="116">
        <v>24727</v>
      </c>
      <c r="M42" s="195">
        <v>3.5184167124793844E-2</v>
      </c>
      <c r="N42" s="195">
        <v>7.9586116529889617E-2</v>
      </c>
      <c r="O42" s="195">
        <v>3.0535440987419053E-2</v>
      </c>
      <c r="P42" s="195">
        <v>9.6050822293626201E-4</v>
      </c>
      <c r="R42" s="223" t="s">
        <v>469</v>
      </c>
      <c r="S42" s="207">
        <f>SUMIFS(Scoreboard_2[Damage Taken],Scoreboard_2[Role],"Healer",Scoreboard_2[Team],"Yellow")</f>
        <v>12941401</v>
      </c>
      <c r="T42" s="219">
        <f>SUMIFS(Scoreboard_2[Damage Taken],Scoreboard_2[Role],"Healer",Scoreboard_2[Team],"Red")</f>
        <v>12155120</v>
      </c>
    </row>
    <row r="43" spans="1:20" ht="22.5" customHeight="1">
      <c r="A43" s="115">
        <v>59</v>
      </c>
      <c r="B43" s="115" t="s">
        <v>11</v>
      </c>
      <c r="C43" s="115" t="s">
        <v>10</v>
      </c>
      <c r="D43" s="115" t="s">
        <v>16</v>
      </c>
      <c r="E43" s="98" t="s">
        <v>907</v>
      </c>
      <c r="F43" s="115" t="s">
        <v>483</v>
      </c>
      <c r="G43" s="115">
        <v>1</v>
      </c>
      <c r="H43" s="115">
        <v>63</v>
      </c>
      <c r="I43" s="194">
        <v>64</v>
      </c>
      <c r="J43" s="116">
        <v>164773</v>
      </c>
      <c r="K43" s="116">
        <v>810946</v>
      </c>
      <c r="L43" s="116">
        <v>1774220</v>
      </c>
      <c r="M43" s="195">
        <v>3.5184167124793844E-2</v>
      </c>
      <c r="N43" s="195">
        <v>3.2676211098401835E-3</v>
      </c>
      <c r="O43" s="195">
        <v>1.8138529663559316E-2</v>
      </c>
      <c r="P43" s="195">
        <v>6.8918708266185735E-2</v>
      </c>
      <c r="R43" s="223" t="s">
        <v>470</v>
      </c>
      <c r="S43" s="207">
        <f>SUMIFS(Scoreboard_2[Amount Healed],Scoreboard_2[Role],"Healer",Scoreboard_2[Team],"Yellow")</f>
        <v>31178018</v>
      </c>
      <c r="T43" s="219">
        <f>SUMIFS(Scoreboard_2[Amount Healed],Scoreboard_2[Role],"Healer",Scoreboard_2[Team],"Red")</f>
        <v>24473868</v>
      </c>
    </row>
    <row r="44" spans="1:20" ht="22.5" customHeight="1">
      <c r="A44" s="115">
        <v>72</v>
      </c>
      <c r="B44" s="115" t="s">
        <v>11</v>
      </c>
      <c r="C44" s="115" t="s">
        <v>10</v>
      </c>
      <c r="D44" s="115" t="s">
        <v>16</v>
      </c>
      <c r="E44" s="98" t="s">
        <v>1002</v>
      </c>
      <c r="F44" s="115" t="s">
        <v>483</v>
      </c>
      <c r="G44" s="115">
        <v>0</v>
      </c>
      <c r="H44" s="115">
        <v>63</v>
      </c>
      <c r="I44" s="194">
        <v>63</v>
      </c>
      <c r="J44" s="116">
        <v>148035</v>
      </c>
      <c r="K44" s="116">
        <v>1307706</v>
      </c>
      <c r="L44" s="116">
        <v>3030288</v>
      </c>
      <c r="M44" s="195">
        <v>3.4634414513468936E-2</v>
      </c>
      <c r="N44" s="195">
        <v>2.9356890448992952E-3</v>
      </c>
      <c r="O44" s="195">
        <v>2.9249622135400503E-2</v>
      </c>
      <c r="P44" s="195">
        <v>0.11771005548044969</v>
      </c>
      <c r="R44" s="223" t="s">
        <v>465</v>
      </c>
      <c r="S44" s="207">
        <f>SUMIFS(Scoreboard_2[Kills],Scoreboard_2[Role],"Healer",Scoreboard_2[Team],"Yellow")</f>
        <v>14</v>
      </c>
      <c r="T44" s="219">
        <f>SUMIFS(Scoreboard_2[Kills],Scoreboard_2[Role],"Healer",Scoreboard_2[Team],"Red")</f>
        <v>5</v>
      </c>
    </row>
    <row r="45" spans="1:20" ht="22.5" customHeight="1">
      <c r="A45" s="115">
        <v>14</v>
      </c>
      <c r="B45" s="115" t="s">
        <v>39</v>
      </c>
      <c r="C45" s="115" t="s">
        <v>54</v>
      </c>
      <c r="D45" s="115" t="s">
        <v>16</v>
      </c>
      <c r="E45" s="98" t="s">
        <v>898</v>
      </c>
      <c r="F45" s="115" t="s">
        <v>483</v>
      </c>
      <c r="G45" s="115">
        <v>29</v>
      </c>
      <c r="H45" s="115">
        <v>33</v>
      </c>
      <c r="I45" s="194">
        <v>62</v>
      </c>
      <c r="J45" s="116">
        <v>2010613</v>
      </c>
      <c r="K45" s="116">
        <v>912399</v>
      </c>
      <c r="L45" s="116">
        <v>20985</v>
      </c>
      <c r="M45" s="195">
        <v>3.4084661902144035E-2</v>
      </c>
      <c r="N45" s="195">
        <v>3.9872560932428858E-2</v>
      </c>
      <c r="O45" s="195">
        <v>2.0407741485255312E-2</v>
      </c>
      <c r="P45" s="195">
        <v>8.151520628591199E-4</v>
      </c>
      <c r="R45" s="223" t="s">
        <v>466</v>
      </c>
      <c r="S45" s="207">
        <f>SUMIFS(Scoreboard_2[Assists],Scoreboard_2[Role],"Healer",Scoreboard_2[Team],"Yellow")</f>
        <v>1038</v>
      </c>
      <c r="T45" s="219">
        <f>SUMIFS(Scoreboard_2[Assists],Scoreboard_2[Role],"Healer",Scoreboard_2[Team],"Red")</f>
        <v>496</v>
      </c>
    </row>
    <row r="46" spans="1:20" ht="22.5" customHeight="1">
      <c r="A46" s="115">
        <v>37</v>
      </c>
      <c r="B46" s="115" t="s">
        <v>39</v>
      </c>
      <c r="C46" s="115" t="s">
        <v>52</v>
      </c>
      <c r="D46" s="115" t="s">
        <v>7</v>
      </c>
      <c r="E46" s="98" t="s">
        <v>99</v>
      </c>
      <c r="F46" s="115" t="s">
        <v>476</v>
      </c>
      <c r="G46" s="115">
        <v>8</v>
      </c>
      <c r="H46" s="115">
        <v>53</v>
      </c>
      <c r="I46" s="194">
        <v>61</v>
      </c>
      <c r="J46" s="116">
        <v>1688667</v>
      </c>
      <c r="K46" s="116">
        <v>569187</v>
      </c>
      <c r="L46" s="116">
        <v>126655</v>
      </c>
      <c r="M46" s="195">
        <v>1.6397849462365593E-2</v>
      </c>
      <c r="N46" s="195">
        <v>2.82167064011953E-2</v>
      </c>
      <c r="O46" s="195">
        <v>1.1230056674410689E-2</v>
      </c>
      <c r="P46" s="195">
        <v>3.7730623989241253E-3</v>
      </c>
    </row>
    <row r="47" spans="1:20" ht="22.5" customHeight="1">
      <c r="A47" s="115">
        <v>35</v>
      </c>
      <c r="B47" s="115" t="s">
        <v>67</v>
      </c>
      <c r="C47" s="115" t="s">
        <v>14</v>
      </c>
      <c r="D47" s="115" t="s">
        <v>7</v>
      </c>
      <c r="E47" s="98" t="s">
        <v>55</v>
      </c>
      <c r="F47" s="115" t="s">
        <v>476</v>
      </c>
      <c r="G47" s="115">
        <v>10</v>
      </c>
      <c r="H47" s="115">
        <v>50</v>
      </c>
      <c r="I47" s="194">
        <v>60</v>
      </c>
      <c r="J47" s="116">
        <v>851181</v>
      </c>
      <c r="K47" s="116">
        <v>1322641</v>
      </c>
      <c r="L47" s="116">
        <v>98222</v>
      </c>
      <c r="M47" s="195">
        <v>1.6129032258064516E-2</v>
      </c>
      <c r="N47" s="195">
        <v>1.4222771198392469E-2</v>
      </c>
      <c r="O47" s="195">
        <v>2.6095700340835665E-2</v>
      </c>
      <c r="P47" s="195">
        <v>2.9260410954729419E-3</v>
      </c>
    </row>
    <row r="48" spans="1:20" ht="22.5" customHeight="1">
      <c r="A48" s="115">
        <v>73</v>
      </c>
      <c r="B48" s="115" t="s">
        <v>11</v>
      </c>
      <c r="C48" s="115" t="s">
        <v>10</v>
      </c>
      <c r="D48" s="115" t="s">
        <v>16</v>
      </c>
      <c r="E48" s="98" t="s">
        <v>944</v>
      </c>
      <c r="F48" s="115" t="s">
        <v>483</v>
      </c>
      <c r="G48" s="115">
        <v>0</v>
      </c>
      <c r="H48" s="115">
        <v>58</v>
      </c>
      <c r="I48" s="194">
        <v>58</v>
      </c>
      <c r="J48" s="116">
        <v>194005</v>
      </c>
      <c r="K48" s="116">
        <v>945792</v>
      </c>
      <c r="L48" s="116">
        <v>1923479</v>
      </c>
      <c r="M48" s="195">
        <v>3.1885651456844417E-2</v>
      </c>
      <c r="N48" s="195">
        <v>3.8473222761893316E-3</v>
      </c>
      <c r="O48" s="195">
        <v>2.1154646853868309E-2</v>
      </c>
      <c r="P48" s="195">
        <v>7.4716601130149968E-2</v>
      </c>
    </row>
    <row r="49" spans="1:16" ht="22.5" customHeight="1">
      <c r="A49" s="115">
        <v>18</v>
      </c>
      <c r="B49" s="115" t="s">
        <v>39</v>
      </c>
      <c r="C49" s="115" t="s">
        <v>54</v>
      </c>
      <c r="D49" s="115" t="s">
        <v>7</v>
      </c>
      <c r="E49" s="98" t="s">
        <v>707</v>
      </c>
      <c r="F49" s="115" t="s">
        <v>476</v>
      </c>
      <c r="G49" s="115">
        <v>25</v>
      </c>
      <c r="H49" s="115">
        <v>31</v>
      </c>
      <c r="I49" s="194">
        <v>56</v>
      </c>
      <c r="J49" s="116">
        <v>1199197</v>
      </c>
      <c r="K49" s="116">
        <v>1454014</v>
      </c>
      <c r="L49" s="116">
        <v>35929</v>
      </c>
      <c r="M49" s="195">
        <v>1.5053763440860216E-2</v>
      </c>
      <c r="N49" s="195">
        <v>2.0037929127645772E-2</v>
      </c>
      <c r="O49" s="195">
        <v>2.8687688976358535E-2</v>
      </c>
      <c r="P49" s="195">
        <v>1.0703277322722743E-3</v>
      </c>
    </row>
    <row r="50" spans="1:16" ht="22.5" customHeight="1">
      <c r="A50" s="115">
        <v>33</v>
      </c>
      <c r="B50" s="115" t="s">
        <v>25</v>
      </c>
      <c r="C50" s="115" t="s">
        <v>23</v>
      </c>
      <c r="D50" s="115" t="s">
        <v>16</v>
      </c>
      <c r="E50" s="98" t="s">
        <v>890</v>
      </c>
      <c r="F50" s="115" t="s">
        <v>483</v>
      </c>
      <c r="G50" s="115">
        <v>14</v>
      </c>
      <c r="H50" s="115">
        <v>38</v>
      </c>
      <c r="I50" s="194">
        <v>52</v>
      </c>
      <c r="J50" s="116">
        <v>1578706</v>
      </c>
      <c r="K50" s="116">
        <v>1312918</v>
      </c>
      <c r="L50" s="116">
        <v>54277</v>
      </c>
      <c r="M50" s="195">
        <v>2.8587135788894998E-2</v>
      </c>
      <c r="N50" s="195">
        <v>3.1307392909222728E-2</v>
      </c>
      <c r="O50" s="195">
        <v>2.9366199585201688E-2</v>
      </c>
      <c r="P50" s="195">
        <v>2.108363522316152E-3</v>
      </c>
    </row>
    <row r="51" spans="1:16" ht="22.5" customHeight="1">
      <c r="A51" s="115">
        <v>26</v>
      </c>
      <c r="B51" s="115" t="s">
        <v>67</v>
      </c>
      <c r="C51" s="115" t="s">
        <v>14</v>
      </c>
      <c r="D51" s="115" t="s">
        <v>16</v>
      </c>
      <c r="E51" s="98" t="s">
        <v>929</v>
      </c>
      <c r="F51" s="115" t="s">
        <v>483</v>
      </c>
      <c r="G51" s="115">
        <v>18</v>
      </c>
      <c r="H51" s="115">
        <v>30</v>
      </c>
      <c r="I51" s="194">
        <v>48</v>
      </c>
      <c r="J51" s="116">
        <v>1709051</v>
      </c>
      <c r="K51" s="116">
        <v>1795334</v>
      </c>
      <c r="L51" s="116">
        <v>104950</v>
      </c>
      <c r="M51" s="195">
        <v>2.6388125343595383E-2</v>
      </c>
      <c r="N51" s="195">
        <v>3.3892270732422639E-2</v>
      </c>
      <c r="O51" s="195">
        <v>4.0156458031726648E-2</v>
      </c>
      <c r="P51" s="195">
        <v>4.0767314270700331E-3</v>
      </c>
    </row>
    <row r="52" spans="1:16" ht="22.5" customHeight="1">
      <c r="A52" s="115">
        <v>44</v>
      </c>
      <c r="B52" s="115" t="s">
        <v>11</v>
      </c>
      <c r="C52" s="115" t="s">
        <v>10</v>
      </c>
      <c r="D52" s="115" t="s">
        <v>12</v>
      </c>
      <c r="E52" s="98" t="s">
        <v>865</v>
      </c>
      <c r="F52" s="115" t="s">
        <v>476</v>
      </c>
      <c r="G52" s="115">
        <v>3</v>
      </c>
      <c r="H52" s="115">
        <v>45</v>
      </c>
      <c r="I52" s="194">
        <v>48</v>
      </c>
      <c r="J52" s="116">
        <v>285545</v>
      </c>
      <c r="K52" s="116">
        <v>962691</v>
      </c>
      <c r="L52" s="116">
        <v>1999472</v>
      </c>
      <c r="M52" s="195">
        <v>1.2903225806451613E-2</v>
      </c>
      <c r="N52" s="195">
        <v>4.771301523230638E-3</v>
      </c>
      <c r="O52" s="195">
        <v>1.8993888634043121E-2</v>
      </c>
      <c r="P52" s="195">
        <v>5.956442794127053E-2</v>
      </c>
    </row>
    <row r="53" spans="1:16" ht="22.5" customHeight="1">
      <c r="A53" s="115">
        <v>60</v>
      </c>
      <c r="B53" s="115" t="s">
        <v>11</v>
      </c>
      <c r="C53" s="115" t="s">
        <v>10</v>
      </c>
      <c r="D53" s="115" t="s">
        <v>12</v>
      </c>
      <c r="E53" s="98" t="s">
        <v>1003</v>
      </c>
      <c r="F53" s="115" t="s">
        <v>476</v>
      </c>
      <c r="G53" s="115">
        <v>1</v>
      </c>
      <c r="H53" s="115">
        <v>47</v>
      </c>
      <c r="I53" s="194">
        <v>48</v>
      </c>
      <c r="J53" s="116">
        <v>201789</v>
      </c>
      <c r="K53" s="116">
        <v>920406</v>
      </c>
      <c r="L53" s="116">
        <v>1858676</v>
      </c>
      <c r="M53" s="195">
        <v>1.2903225806451613E-2</v>
      </c>
      <c r="N53" s="195">
        <v>3.3717843529782951E-3</v>
      </c>
      <c r="O53" s="195">
        <v>1.8159605794699538E-2</v>
      </c>
      <c r="P53" s="195">
        <v>5.5370104041551439E-2</v>
      </c>
    </row>
    <row r="54" spans="1:16" ht="22.5" customHeight="1">
      <c r="A54" s="115">
        <v>28</v>
      </c>
      <c r="B54" s="115" t="s">
        <v>25</v>
      </c>
      <c r="C54" s="115" t="s">
        <v>23</v>
      </c>
      <c r="D54" s="115" t="s">
        <v>16</v>
      </c>
      <c r="E54" s="98" t="s">
        <v>920</v>
      </c>
      <c r="F54" s="115" t="s">
        <v>483</v>
      </c>
      <c r="G54" s="115">
        <v>17</v>
      </c>
      <c r="H54" s="115">
        <v>30</v>
      </c>
      <c r="I54" s="194">
        <v>47</v>
      </c>
      <c r="J54" s="116">
        <v>1474738</v>
      </c>
      <c r="K54" s="116">
        <v>1935970</v>
      </c>
      <c r="L54" s="116">
        <v>101693</v>
      </c>
      <c r="M54" s="195">
        <v>2.5838372732270479E-2</v>
      </c>
      <c r="N54" s="195">
        <v>2.9245598613143492E-2</v>
      </c>
      <c r="O54" s="195">
        <v>4.3302080869454841E-2</v>
      </c>
      <c r="P54" s="195">
        <v>3.9502148548168923E-3</v>
      </c>
    </row>
    <row r="55" spans="1:16" ht="22.5" customHeight="1">
      <c r="A55" s="115">
        <v>61</v>
      </c>
      <c r="B55" s="115" t="s">
        <v>11</v>
      </c>
      <c r="C55" s="115" t="s">
        <v>10</v>
      </c>
      <c r="D55" s="115" t="s">
        <v>7</v>
      </c>
      <c r="E55" s="98" t="s">
        <v>165</v>
      </c>
      <c r="F55" s="115" t="s">
        <v>476</v>
      </c>
      <c r="G55" s="115">
        <v>1</v>
      </c>
      <c r="H55" s="115">
        <v>46</v>
      </c>
      <c r="I55" s="194">
        <v>47</v>
      </c>
      <c r="J55" s="116">
        <v>207641</v>
      </c>
      <c r="K55" s="116">
        <v>495621</v>
      </c>
      <c r="L55" s="116">
        <v>1309997</v>
      </c>
      <c r="M55" s="195">
        <v>1.2634408602150538E-2</v>
      </c>
      <c r="N55" s="195">
        <v>3.469568087639892E-3</v>
      </c>
      <c r="O55" s="195">
        <v>9.7785998609035349E-3</v>
      </c>
      <c r="P55" s="195">
        <v>3.9024913532062749E-2</v>
      </c>
    </row>
    <row r="56" spans="1:16" ht="22.5" customHeight="1">
      <c r="A56" s="115">
        <v>36</v>
      </c>
      <c r="B56" s="115" t="s">
        <v>25</v>
      </c>
      <c r="C56" s="115" t="s">
        <v>23</v>
      </c>
      <c r="D56" s="115" t="s">
        <v>16</v>
      </c>
      <c r="E56" s="98" t="s">
        <v>71</v>
      </c>
      <c r="F56" s="115" t="s">
        <v>483</v>
      </c>
      <c r="G56" s="115">
        <v>9</v>
      </c>
      <c r="H56" s="115">
        <v>35</v>
      </c>
      <c r="I56" s="194">
        <v>44</v>
      </c>
      <c r="J56" s="116">
        <v>1458569</v>
      </c>
      <c r="K56" s="116">
        <v>1299113</v>
      </c>
      <c r="L56" s="116">
        <v>75078</v>
      </c>
      <c r="M56" s="195">
        <v>2.4189114898295765E-2</v>
      </c>
      <c r="N56" s="195">
        <v>2.8924950413954268E-2</v>
      </c>
      <c r="O56" s="195">
        <v>2.9057421439671115E-2</v>
      </c>
      <c r="P56" s="195">
        <v>2.9163681951554447E-3</v>
      </c>
    </row>
    <row r="57" spans="1:16" ht="22.5" customHeight="1">
      <c r="A57" s="115">
        <v>74</v>
      </c>
      <c r="B57" s="115" t="s">
        <v>11</v>
      </c>
      <c r="C57" s="115" t="s">
        <v>10</v>
      </c>
      <c r="D57" s="115" t="s">
        <v>16</v>
      </c>
      <c r="E57" s="98" t="s">
        <v>115</v>
      </c>
      <c r="F57" s="115" t="s">
        <v>483</v>
      </c>
      <c r="G57" s="115">
        <v>0</v>
      </c>
      <c r="H57" s="115">
        <v>42</v>
      </c>
      <c r="I57" s="194">
        <v>42</v>
      </c>
      <c r="J57" s="116">
        <v>131988</v>
      </c>
      <c r="K57" s="116">
        <v>939634</v>
      </c>
      <c r="L57" s="116">
        <v>2588645</v>
      </c>
      <c r="M57" s="195">
        <v>2.308960967564596E-2</v>
      </c>
      <c r="N57" s="195">
        <v>2.6174602334459295E-3</v>
      </c>
      <c r="O57" s="195">
        <v>2.1016910104851485E-2</v>
      </c>
      <c r="P57" s="195">
        <v>0.10055464911889191</v>
      </c>
    </row>
    <row r="58" spans="1:16" ht="22.5" customHeight="1">
      <c r="A58" s="115">
        <v>38</v>
      </c>
      <c r="B58" s="115" t="s">
        <v>25</v>
      </c>
      <c r="C58" s="115" t="s">
        <v>23</v>
      </c>
      <c r="D58" s="115" t="s">
        <v>16</v>
      </c>
      <c r="E58" s="98" t="s">
        <v>1004</v>
      </c>
      <c r="F58" s="115" t="s">
        <v>483</v>
      </c>
      <c r="G58" s="115">
        <v>8</v>
      </c>
      <c r="H58" s="115">
        <v>33</v>
      </c>
      <c r="I58" s="194">
        <v>41</v>
      </c>
      <c r="J58" s="116">
        <v>1611850</v>
      </c>
      <c r="K58" s="116">
        <v>1529097</v>
      </c>
      <c r="L58" s="116">
        <v>33775</v>
      </c>
      <c r="M58" s="195">
        <v>2.2539857064321055E-2</v>
      </c>
      <c r="N58" s="195">
        <v>3.1964673131495445E-2</v>
      </c>
      <c r="O58" s="195">
        <v>3.4201502064205948E-2</v>
      </c>
      <c r="P58" s="195">
        <v>1.3119733582590792E-3</v>
      </c>
    </row>
    <row r="59" spans="1:16" ht="22.5" customHeight="1">
      <c r="A59" s="115">
        <v>75</v>
      </c>
      <c r="B59" s="115" t="s">
        <v>11</v>
      </c>
      <c r="C59" s="115" t="s">
        <v>10</v>
      </c>
      <c r="D59" s="115" t="s">
        <v>7</v>
      </c>
      <c r="E59" s="98" t="s">
        <v>1005</v>
      </c>
      <c r="F59" s="115" t="s">
        <v>476</v>
      </c>
      <c r="G59" s="115">
        <v>0</v>
      </c>
      <c r="H59" s="115">
        <v>41</v>
      </c>
      <c r="I59" s="194">
        <v>41</v>
      </c>
      <c r="J59" s="116">
        <v>82636</v>
      </c>
      <c r="K59" s="116">
        <v>471207</v>
      </c>
      <c r="L59" s="116">
        <v>775131</v>
      </c>
      <c r="M59" s="195">
        <v>1.1021505376344085E-2</v>
      </c>
      <c r="N59" s="195">
        <v>1.3808025798864873E-3</v>
      </c>
      <c r="O59" s="195">
        <v>9.2969117625297804E-3</v>
      </c>
      <c r="P59" s="195">
        <v>2.3091213377604169E-2</v>
      </c>
    </row>
    <row r="60" spans="1:16" ht="22.5" customHeight="1">
      <c r="A60" s="115">
        <v>76</v>
      </c>
      <c r="B60" s="115" t="s">
        <v>11</v>
      </c>
      <c r="C60" s="115" t="s">
        <v>10</v>
      </c>
      <c r="D60" s="115" t="s">
        <v>16</v>
      </c>
      <c r="E60" s="98" t="s">
        <v>895</v>
      </c>
      <c r="F60" s="115" t="s">
        <v>483</v>
      </c>
      <c r="G60" s="115">
        <v>0</v>
      </c>
      <c r="H60" s="115">
        <v>40</v>
      </c>
      <c r="I60" s="194">
        <v>40</v>
      </c>
      <c r="J60" s="116">
        <v>144420</v>
      </c>
      <c r="K60" s="116">
        <v>1216219</v>
      </c>
      <c r="L60" s="116">
        <v>2376430</v>
      </c>
      <c r="M60" s="195">
        <v>2.1990104452996151E-2</v>
      </c>
      <c r="N60" s="195">
        <v>2.8639998099392453E-3</v>
      </c>
      <c r="O60" s="195">
        <v>2.7203321070557653E-2</v>
      </c>
      <c r="P60" s="195">
        <v>9.231126122183933E-2</v>
      </c>
    </row>
    <row r="61" spans="1:16" ht="22.5" customHeight="1">
      <c r="A61" s="115">
        <v>49</v>
      </c>
      <c r="B61" s="115" t="s">
        <v>11</v>
      </c>
      <c r="C61" s="115" t="s">
        <v>10</v>
      </c>
      <c r="D61" s="115" t="s">
        <v>16</v>
      </c>
      <c r="E61" s="98" t="s">
        <v>946</v>
      </c>
      <c r="F61" s="115" t="s">
        <v>483</v>
      </c>
      <c r="G61" s="115">
        <v>2</v>
      </c>
      <c r="H61" s="115">
        <v>37</v>
      </c>
      <c r="I61" s="194">
        <v>39</v>
      </c>
      <c r="J61" s="116">
        <v>184842</v>
      </c>
      <c r="K61" s="116">
        <v>839549</v>
      </c>
      <c r="L61" s="116">
        <v>2016974</v>
      </c>
      <c r="M61" s="195">
        <v>2.1440351841671246E-2</v>
      </c>
      <c r="N61" s="195">
        <v>3.6656103923887965E-3</v>
      </c>
      <c r="O61" s="195">
        <v>1.8778296508659711E-2</v>
      </c>
      <c r="P61" s="195">
        <v>7.8348368683974767E-2</v>
      </c>
    </row>
    <row r="62" spans="1:16" ht="22.5" customHeight="1">
      <c r="A62" s="115">
        <v>50</v>
      </c>
      <c r="B62" s="115" t="s">
        <v>67</v>
      </c>
      <c r="C62" s="115" t="s">
        <v>14</v>
      </c>
      <c r="D62" s="115" t="s">
        <v>7</v>
      </c>
      <c r="E62" s="98" t="s">
        <v>976</v>
      </c>
      <c r="F62" s="115" t="s">
        <v>476</v>
      </c>
      <c r="G62" s="115">
        <v>2</v>
      </c>
      <c r="H62" s="115">
        <v>35</v>
      </c>
      <c r="I62" s="194">
        <v>37</v>
      </c>
      <c r="J62" s="116">
        <v>479396</v>
      </c>
      <c r="K62" s="116">
        <v>1322891</v>
      </c>
      <c r="L62" s="116">
        <v>96398</v>
      </c>
      <c r="M62" s="195">
        <v>9.9462365591397855E-3</v>
      </c>
      <c r="N62" s="195">
        <v>8.0104462169909296E-3</v>
      </c>
      <c r="O62" s="195">
        <v>2.6100632839590208E-2</v>
      </c>
      <c r="P62" s="195">
        <v>2.8717039921952376E-3</v>
      </c>
    </row>
    <row r="63" spans="1:16" ht="22.5" customHeight="1">
      <c r="A63" s="115">
        <v>62</v>
      </c>
      <c r="B63" s="115" t="s">
        <v>11</v>
      </c>
      <c r="C63" s="115" t="s">
        <v>10</v>
      </c>
      <c r="D63" s="115" t="s">
        <v>16</v>
      </c>
      <c r="E63" s="98" t="s">
        <v>848</v>
      </c>
      <c r="F63" s="115" t="s">
        <v>483</v>
      </c>
      <c r="G63" s="115">
        <v>1</v>
      </c>
      <c r="H63" s="115">
        <v>36</v>
      </c>
      <c r="I63" s="194">
        <v>37</v>
      </c>
      <c r="J63" s="116">
        <v>156217</v>
      </c>
      <c r="K63" s="116">
        <v>1441470</v>
      </c>
      <c r="L63" s="116">
        <v>2863646</v>
      </c>
      <c r="M63" s="195">
        <v>2.0340846619021441E-2</v>
      </c>
      <c r="N63" s="195">
        <v>3.0979466715778917E-3</v>
      </c>
      <c r="O63" s="195">
        <v>3.2241538097642561E-2</v>
      </c>
      <c r="P63" s="195">
        <v>0.11123692848216667</v>
      </c>
    </row>
    <row r="64" spans="1:16" ht="22.5" customHeight="1">
      <c r="A64" s="115">
        <v>77</v>
      </c>
      <c r="B64" s="115" t="s">
        <v>11</v>
      </c>
      <c r="C64" s="115" t="s">
        <v>10</v>
      </c>
      <c r="D64" s="115" t="s">
        <v>16</v>
      </c>
      <c r="E64" s="98" t="s">
        <v>1006</v>
      </c>
      <c r="F64" s="115" t="s">
        <v>483</v>
      </c>
      <c r="G64" s="115">
        <v>0</v>
      </c>
      <c r="H64" s="115">
        <v>37</v>
      </c>
      <c r="I64" s="194">
        <v>37</v>
      </c>
      <c r="J64" s="116">
        <v>200398</v>
      </c>
      <c r="K64" s="116">
        <v>1941841</v>
      </c>
      <c r="L64" s="116">
        <v>3487684</v>
      </c>
      <c r="M64" s="195">
        <v>2.0340846619021441E-2</v>
      </c>
      <c r="N64" s="195">
        <v>3.9741021597576856E-3</v>
      </c>
      <c r="O64" s="195">
        <v>4.3433398253910474E-2</v>
      </c>
      <c r="P64" s="195">
        <v>0.13547737942343324</v>
      </c>
    </row>
    <row r="65" spans="1:16" ht="22.5" customHeight="1">
      <c r="A65" s="115">
        <v>63</v>
      </c>
      <c r="B65" s="115" t="s">
        <v>11</v>
      </c>
      <c r="C65" s="115" t="s">
        <v>10</v>
      </c>
      <c r="D65" s="115" t="s">
        <v>16</v>
      </c>
      <c r="E65" s="98" t="s">
        <v>897</v>
      </c>
      <c r="F65" s="115" t="s">
        <v>483</v>
      </c>
      <c r="G65" s="115">
        <v>1</v>
      </c>
      <c r="H65" s="115">
        <v>34</v>
      </c>
      <c r="I65" s="194">
        <v>35</v>
      </c>
      <c r="J65" s="116">
        <v>133335</v>
      </c>
      <c r="K65" s="116">
        <v>1232571</v>
      </c>
      <c r="L65" s="116">
        <v>2213736</v>
      </c>
      <c r="M65" s="195">
        <v>1.9241341396371632E-2</v>
      </c>
      <c r="N65" s="195">
        <v>2.6441726537754415E-3</v>
      </c>
      <c r="O65" s="195">
        <v>2.7569068280678326E-2</v>
      </c>
      <c r="P65" s="195">
        <v>8.5991492352894772E-2</v>
      </c>
    </row>
    <row r="66" spans="1:16" ht="22.5" customHeight="1">
      <c r="A66" s="115">
        <v>45</v>
      </c>
      <c r="B66" s="115" t="s">
        <v>67</v>
      </c>
      <c r="C66" s="115" t="s">
        <v>14</v>
      </c>
      <c r="D66" s="115" t="s">
        <v>7</v>
      </c>
      <c r="E66" s="98" t="s">
        <v>123</v>
      </c>
      <c r="F66" s="115" t="s">
        <v>476</v>
      </c>
      <c r="G66" s="115">
        <v>3</v>
      </c>
      <c r="H66" s="115">
        <v>28</v>
      </c>
      <c r="I66" s="194">
        <v>31</v>
      </c>
      <c r="J66" s="116">
        <v>461309</v>
      </c>
      <c r="K66" s="116">
        <v>863251</v>
      </c>
      <c r="L66" s="116">
        <v>23293</v>
      </c>
      <c r="M66" s="195">
        <v>8.3333333333333332E-3</v>
      </c>
      <c r="N66" s="195">
        <v>7.7082222920380411E-3</v>
      </c>
      <c r="O66" s="195">
        <v>1.7031937929435671E-2</v>
      </c>
      <c r="P66" s="195">
        <v>6.9390029969712726E-4</v>
      </c>
    </row>
    <row r="67" spans="1:16" ht="22.5" customHeight="1">
      <c r="A67" s="115">
        <v>46</v>
      </c>
      <c r="B67" s="115" t="s">
        <v>67</v>
      </c>
      <c r="C67" s="115" t="s">
        <v>14</v>
      </c>
      <c r="D67" s="115" t="s">
        <v>7</v>
      </c>
      <c r="E67" s="98" t="s">
        <v>109</v>
      </c>
      <c r="F67" s="115" t="s">
        <v>476</v>
      </c>
      <c r="G67" s="115">
        <v>3</v>
      </c>
      <c r="H67" s="115">
        <v>24</v>
      </c>
      <c r="I67" s="194">
        <v>27</v>
      </c>
      <c r="J67" s="116">
        <v>323191</v>
      </c>
      <c r="K67" s="116">
        <v>1263544</v>
      </c>
      <c r="L67" s="116">
        <v>49715</v>
      </c>
      <c r="M67" s="195">
        <v>7.2580645161290326E-3</v>
      </c>
      <c r="N67" s="195">
        <v>5.4003456919029689E-3</v>
      </c>
      <c r="O67" s="195">
        <v>2.4929716825246501E-2</v>
      </c>
      <c r="P67" s="195">
        <v>1.4810137551815E-3</v>
      </c>
    </row>
    <row r="68" spans="1:16" ht="22.5" customHeight="1">
      <c r="A68" s="115">
        <v>40</v>
      </c>
      <c r="B68" s="115" t="s">
        <v>67</v>
      </c>
      <c r="C68" s="115" t="s">
        <v>14</v>
      </c>
      <c r="D68" s="115" t="s">
        <v>7</v>
      </c>
      <c r="E68" s="98" t="s">
        <v>117</v>
      </c>
      <c r="F68" s="115" t="s">
        <v>476</v>
      </c>
      <c r="G68" s="115">
        <v>5</v>
      </c>
      <c r="H68" s="115">
        <v>19</v>
      </c>
      <c r="I68" s="194">
        <v>24</v>
      </c>
      <c r="J68" s="116">
        <v>372994</v>
      </c>
      <c r="K68" s="116">
        <v>1531035</v>
      </c>
      <c r="L68" s="116">
        <v>70554</v>
      </c>
      <c r="M68" s="195">
        <v>6.4516129032258064E-3</v>
      </c>
      <c r="N68" s="195">
        <v>6.2325267133232541E-3</v>
      </c>
      <c r="O68" s="195">
        <v>3.0207312922653488E-2</v>
      </c>
      <c r="P68" s="195">
        <v>2.1018092021135586E-3</v>
      </c>
    </row>
    <row r="69" spans="1:16" ht="22.5" customHeight="1">
      <c r="A69" s="115">
        <v>41</v>
      </c>
      <c r="B69" s="115" t="s">
        <v>25</v>
      </c>
      <c r="C69" s="115" t="s">
        <v>23</v>
      </c>
      <c r="D69" s="115" t="s">
        <v>16</v>
      </c>
      <c r="E69" s="98" t="s">
        <v>1007</v>
      </c>
      <c r="F69" s="115" t="s">
        <v>483</v>
      </c>
      <c r="G69" s="115">
        <v>4</v>
      </c>
      <c r="H69" s="115">
        <v>19</v>
      </c>
      <c r="I69" s="194">
        <v>23</v>
      </c>
      <c r="J69" s="116">
        <v>848741</v>
      </c>
      <c r="K69" s="116">
        <v>1377142</v>
      </c>
      <c r="L69" s="116">
        <v>26975</v>
      </c>
      <c r="M69" s="195">
        <v>1.2644310060472787E-2</v>
      </c>
      <c r="N69" s="195">
        <v>1.6831422674751732E-2</v>
      </c>
      <c r="O69" s="195">
        <v>3.080270575097898E-2</v>
      </c>
      <c r="P69" s="195">
        <v>1.0478306836132838E-3</v>
      </c>
    </row>
    <row r="70" spans="1:16" ht="22.5" customHeight="1">
      <c r="A70" s="115">
        <v>39</v>
      </c>
      <c r="B70" s="115" t="s">
        <v>67</v>
      </c>
      <c r="C70" s="115" t="s">
        <v>14</v>
      </c>
      <c r="D70" s="115" t="s">
        <v>7</v>
      </c>
      <c r="E70" s="98" t="s">
        <v>1008</v>
      </c>
      <c r="F70" s="115" t="s">
        <v>476</v>
      </c>
      <c r="G70" s="115">
        <v>6</v>
      </c>
      <c r="H70" s="115">
        <v>15</v>
      </c>
      <c r="I70" s="194">
        <v>21</v>
      </c>
      <c r="J70" s="116">
        <v>484742</v>
      </c>
      <c r="K70" s="116">
        <v>1014483</v>
      </c>
      <c r="L70" s="116">
        <v>34890</v>
      </c>
      <c r="M70" s="195">
        <v>5.6451612903225803E-3</v>
      </c>
      <c r="N70" s="195">
        <v>8.0997749670765236E-3</v>
      </c>
      <c r="O70" s="195">
        <v>2.0015744536024505E-2</v>
      </c>
      <c r="P70" s="195">
        <v>1.039375840657398E-3</v>
      </c>
    </row>
    <row r="71" spans="1:16" ht="22.5" customHeight="1">
      <c r="A71" s="115">
        <v>42</v>
      </c>
      <c r="B71" s="115" t="s">
        <v>67</v>
      </c>
      <c r="C71" s="115" t="s">
        <v>14</v>
      </c>
      <c r="D71" s="115" t="s">
        <v>7</v>
      </c>
      <c r="E71" s="98" t="s">
        <v>93</v>
      </c>
      <c r="F71" s="115" t="s">
        <v>476</v>
      </c>
      <c r="G71" s="115">
        <v>4</v>
      </c>
      <c r="H71" s="115">
        <v>17</v>
      </c>
      <c r="I71" s="194">
        <v>21</v>
      </c>
      <c r="J71" s="116">
        <v>490808</v>
      </c>
      <c r="K71" s="116">
        <v>1828566</v>
      </c>
      <c r="L71" s="116">
        <v>32257</v>
      </c>
      <c r="M71" s="195">
        <v>5.6451612903225803E-3</v>
      </c>
      <c r="N71" s="195">
        <v>8.2011345252544533E-3</v>
      </c>
      <c r="O71" s="195">
        <v>3.6077598070406489E-2</v>
      </c>
      <c r="P71" s="195">
        <v>9.6093856383163323E-4</v>
      </c>
    </row>
    <row r="72" spans="1:16" ht="22.5" customHeight="1">
      <c r="A72" s="115">
        <v>47</v>
      </c>
      <c r="B72" s="115" t="s">
        <v>39</v>
      </c>
      <c r="C72" s="115" t="s">
        <v>56</v>
      </c>
      <c r="D72" s="115" t="s">
        <v>7</v>
      </c>
      <c r="E72" s="98" t="s">
        <v>852</v>
      </c>
      <c r="F72" s="115" t="s">
        <v>476</v>
      </c>
      <c r="G72" s="115">
        <v>3</v>
      </c>
      <c r="H72" s="115">
        <v>13</v>
      </c>
      <c r="I72" s="194">
        <v>16</v>
      </c>
      <c r="J72" s="116">
        <v>423701</v>
      </c>
      <c r="K72" s="116">
        <v>101279</v>
      </c>
      <c r="L72" s="116">
        <v>0</v>
      </c>
      <c r="M72" s="195">
        <v>4.3010752688172043E-3</v>
      </c>
      <c r="N72" s="195">
        <v>7.0798130826816956E-3</v>
      </c>
      <c r="O72" s="195">
        <v>1.9982341654458734E-3</v>
      </c>
      <c r="P72" s="195">
        <v>0</v>
      </c>
    </row>
    <row r="73" spans="1:16" ht="22.5" customHeight="1">
      <c r="A73" s="115">
        <v>51</v>
      </c>
      <c r="B73" s="115" t="s">
        <v>67</v>
      </c>
      <c r="C73" s="115" t="s">
        <v>62</v>
      </c>
      <c r="D73" s="115" t="s">
        <v>7</v>
      </c>
      <c r="E73" s="98" t="s">
        <v>88</v>
      </c>
      <c r="F73" s="115" t="s">
        <v>476</v>
      </c>
      <c r="G73" s="115">
        <v>2</v>
      </c>
      <c r="H73" s="115">
        <v>14</v>
      </c>
      <c r="I73" s="194">
        <v>16</v>
      </c>
      <c r="J73" s="116">
        <v>409147</v>
      </c>
      <c r="K73" s="116">
        <v>1318271</v>
      </c>
      <c r="L73" s="116">
        <v>21683</v>
      </c>
      <c r="M73" s="195">
        <v>4.3010752688172043E-3</v>
      </c>
      <c r="N73" s="195">
        <v>6.8366236646596719E-3</v>
      </c>
      <c r="O73" s="195">
        <v>2.6009480262606233E-2</v>
      </c>
      <c r="P73" s="195">
        <v>6.4593827322941705E-4</v>
      </c>
    </row>
    <row r="74" spans="1:16" ht="22.5" customHeight="1">
      <c r="A74" s="115">
        <v>52</v>
      </c>
      <c r="B74" s="115" t="s">
        <v>67</v>
      </c>
      <c r="C74" s="115" t="s">
        <v>14</v>
      </c>
      <c r="D74" s="115" t="s">
        <v>16</v>
      </c>
      <c r="E74" s="98" t="s">
        <v>900</v>
      </c>
      <c r="F74" s="115" t="s">
        <v>483</v>
      </c>
      <c r="G74" s="115">
        <v>2</v>
      </c>
      <c r="H74" s="115">
        <v>13</v>
      </c>
      <c r="I74" s="194">
        <v>15</v>
      </c>
      <c r="J74" s="116">
        <v>142899</v>
      </c>
      <c r="K74" s="116">
        <v>1424202</v>
      </c>
      <c r="L74" s="116">
        <v>62006</v>
      </c>
      <c r="M74" s="195">
        <v>8.2462891698735566E-3</v>
      </c>
      <c r="N74" s="195">
        <v>2.8338367874290835E-3</v>
      </c>
      <c r="O74" s="195">
        <v>3.185530260202344E-2</v>
      </c>
      <c r="P74" s="195">
        <v>2.4085927476598804E-3</v>
      </c>
    </row>
    <row r="75" spans="1:16" ht="22.5" customHeight="1">
      <c r="A75" s="115">
        <v>64</v>
      </c>
      <c r="B75" s="115" t="s">
        <v>67</v>
      </c>
      <c r="C75" s="115" t="s">
        <v>14</v>
      </c>
      <c r="D75" s="115" t="s">
        <v>16</v>
      </c>
      <c r="E75" s="98" t="s">
        <v>923</v>
      </c>
      <c r="F75" s="115" t="s">
        <v>483</v>
      </c>
      <c r="G75" s="115">
        <v>1</v>
      </c>
      <c r="H75" s="115">
        <v>14</v>
      </c>
      <c r="I75" s="194">
        <v>15</v>
      </c>
      <c r="J75" s="116">
        <v>548157</v>
      </c>
      <c r="K75" s="116">
        <v>1614717</v>
      </c>
      <c r="L75" s="116">
        <v>100570</v>
      </c>
      <c r="M75" s="195">
        <v>8.2462891698735566E-3</v>
      </c>
      <c r="N75" s="195">
        <v>1.0870527238726401E-2</v>
      </c>
      <c r="O75" s="195">
        <v>3.6116575213088795E-2</v>
      </c>
      <c r="P75" s="195">
        <v>3.906592468989359E-3</v>
      </c>
    </row>
    <row r="76" spans="1:16" ht="22.5" customHeight="1">
      <c r="A76" s="115">
        <v>65</v>
      </c>
      <c r="B76" s="115" t="s">
        <v>67</v>
      </c>
      <c r="C76" s="115" t="s">
        <v>62</v>
      </c>
      <c r="D76" s="115" t="s">
        <v>16</v>
      </c>
      <c r="E76" s="98" t="s">
        <v>1009</v>
      </c>
      <c r="F76" s="115" t="s">
        <v>483</v>
      </c>
      <c r="G76" s="115">
        <v>1</v>
      </c>
      <c r="H76" s="115">
        <v>9</v>
      </c>
      <c r="I76" s="194">
        <v>10</v>
      </c>
      <c r="J76" s="116">
        <v>239268</v>
      </c>
      <c r="K76" s="116">
        <v>1199833</v>
      </c>
      <c r="L76" s="116">
        <v>20818</v>
      </c>
      <c r="M76" s="195">
        <v>5.4975261132490377E-3</v>
      </c>
      <c r="N76" s="195">
        <v>4.744934957239602E-3</v>
      </c>
      <c r="O76" s="195">
        <v>2.6836813378224151E-2</v>
      </c>
      <c r="P76" s="195">
        <v>8.0866502952590697E-4</v>
      </c>
    </row>
    <row r="77" spans="1:16" ht="22.5" customHeight="1">
      <c r="A77" s="115">
        <v>66</v>
      </c>
      <c r="B77" s="115" t="s">
        <v>67</v>
      </c>
      <c r="C77" s="115" t="s">
        <v>14</v>
      </c>
      <c r="D77" s="115" t="s">
        <v>7</v>
      </c>
      <c r="E77" s="98" t="s">
        <v>57</v>
      </c>
      <c r="F77" s="115" t="s">
        <v>476</v>
      </c>
      <c r="G77" s="115">
        <v>1</v>
      </c>
      <c r="H77" s="115">
        <v>7</v>
      </c>
      <c r="I77" s="194">
        <v>8</v>
      </c>
      <c r="J77" s="116">
        <v>203633</v>
      </c>
      <c r="K77" s="116">
        <v>1299679</v>
      </c>
      <c r="L77" s="116">
        <v>29301</v>
      </c>
      <c r="M77" s="195">
        <v>2.1505376344086021E-3</v>
      </c>
      <c r="N77" s="195">
        <v>3.4025965892592221E-3</v>
      </c>
      <c r="O77" s="195">
        <v>2.56426601952283E-2</v>
      </c>
      <c r="P77" s="195">
        <v>8.7287909163377524E-4</v>
      </c>
    </row>
    <row r="78" spans="1:16" ht="22.5" hidden="1" customHeight="1">
      <c r="A78" s="115"/>
      <c r="B78" s="115" t="e">
        <f>VLOOKUP(C78,Lists!I:J,2,FALSE)</f>
        <v>#N/A</v>
      </c>
      <c r="C78" s="115" t="e">
        <f>VLOOKUP(E78,Lists!E:F,2,FALSE)</f>
        <v>#N/A</v>
      </c>
      <c r="D78" s="115"/>
      <c r="E78" s="98"/>
      <c r="F78" s="115"/>
      <c r="G78" s="115"/>
      <c r="H78" s="115"/>
      <c r="I78" s="194">
        <f t="shared" ref="I78:I103" si="0">SUM(G78:H78)</f>
        <v>0</v>
      </c>
      <c r="J78" s="116"/>
      <c r="K78" s="116"/>
      <c r="L78" s="116"/>
      <c r="M78" s="195"/>
      <c r="N78" s="195"/>
      <c r="O78" s="195"/>
      <c r="P78" s="195"/>
    </row>
    <row r="79" spans="1:16" ht="22.5" hidden="1" customHeight="1">
      <c r="A79" s="115"/>
      <c r="B79" s="115" t="e">
        <f>VLOOKUP(C79,Lists!I:J,2,FALSE)</f>
        <v>#N/A</v>
      </c>
      <c r="C79" s="115" t="e">
        <f>VLOOKUP(E79,Lists!E:F,2,FALSE)</f>
        <v>#N/A</v>
      </c>
      <c r="D79" s="115"/>
      <c r="E79" s="98"/>
      <c r="F79" s="115"/>
      <c r="G79" s="115"/>
      <c r="H79" s="115"/>
      <c r="I79" s="194">
        <f t="shared" si="0"/>
        <v>0</v>
      </c>
      <c r="J79" s="116"/>
      <c r="K79" s="116"/>
      <c r="L79" s="116"/>
      <c r="M79" s="195"/>
      <c r="N79" s="195"/>
      <c r="O79" s="195"/>
      <c r="P79" s="195"/>
    </row>
    <row r="80" spans="1:16" ht="22.5" hidden="1" customHeight="1">
      <c r="A80" s="115"/>
      <c r="B80" s="115" t="e">
        <f>VLOOKUP(C80,Lists!I:J,2,FALSE)</f>
        <v>#N/A</v>
      </c>
      <c r="C80" s="115" t="e">
        <f>VLOOKUP(E80,Lists!E:F,2,FALSE)</f>
        <v>#N/A</v>
      </c>
      <c r="D80" s="115"/>
      <c r="E80" s="98"/>
      <c r="F80" s="115"/>
      <c r="G80" s="115"/>
      <c r="H80" s="115"/>
      <c r="I80" s="194">
        <f t="shared" si="0"/>
        <v>0</v>
      </c>
      <c r="J80" s="116"/>
      <c r="K80" s="116"/>
      <c r="L80" s="116"/>
      <c r="M80" s="195"/>
      <c r="N80" s="195"/>
      <c r="O80" s="195"/>
      <c r="P80" s="195"/>
    </row>
    <row r="81" spans="1:16" ht="22.5" hidden="1" customHeight="1">
      <c r="A81" s="115"/>
      <c r="B81" s="115" t="e">
        <f>VLOOKUP(C81,Lists!I:J,2,FALSE)</f>
        <v>#N/A</v>
      </c>
      <c r="C81" s="115" t="e">
        <f>VLOOKUP(E81,Lists!E:F,2,FALSE)</f>
        <v>#N/A</v>
      </c>
      <c r="D81" s="115"/>
      <c r="E81" s="98"/>
      <c r="F81" s="115"/>
      <c r="G81" s="115"/>
      <c r="H81" s="115"/>
      <c r="I81" s="194">
        <f t="shared" si="0"/>
        <v>0</v>
      </c>
      <c r="J81" s="116"/>
      <c r="K81" s="116"/>
      <c r="L81" s="116"/>
      <c r="M81" s="195"/>
      <c r="N81" s="195"/>
      <c r="O81" s="195"/>
      <c r="P81" s="195"/>
    </row>
    <row r="82" spans="1:16" ht="22.5" hidden="1" customHeight="1">
      <c r="A82" s="115"/>
      <c r="B82" s="115" t="e">
        <f>VLOOKUP(C82,Lists!I:J,2,FALSE)</f>
        <v>#N/A</v>
      </c>
      <c r="C82" s="115" t="e">
        <f>VLOOKUP(E82,Lists!E:F,2,FALSE)</f>
        <v>#N/A</v>
      </c>
      <c r="D82" s="115"/>
      <c r="E82" s="98"/>
      <c r="F82" s="115"/>
      <c r="G82" s="115"/>
      <c r="H82" s="115"/>
      <c r="I82" s="194">
        <f t="shared" si="0"/>
        <v>0</v>
      </c>
      <c r="J82" s="116"/>
      <c r="K82" s="116"/>
      <c r="L82" s="116"/>
      <c r="M82" s="195"/>
      <c r="N82" s="195"/>
      <c r="O82" s="195"/>
      <c r="P82" s="195"/>
    </row>
    <row r="83" spans="1:16" ht="22.5" hidden="1" customHeight="1">
      <c r="A83" s="115"/>
      <c r="B83" s="115" t="e">
        <f>VLOOKUP(C83,Lists!I:J,2,FALSE)</f>
        <v>#N/A</v>
      </c>
      <c r="C83" s="115" t="e">
        <f>VLOOKUP(E83,Lists!E:F,2,FALSE)</f>
        <v>#N/A</v>
      </c>
      <c r="D83" s="115"/>
      <c r="E83" s="98"/>
      <c r="F83" s="115"/>
      <c r="G83" s="115"/>
      <c r="H83" s="115"/>
      <c r="I83" s="194">
        <f t="shared" si="0"/>
        <v>0</v>
      </c>
      <c r="J83" s="116"/>
      <c r="K83" s="116"/>
      <c r="L83" s="116"/>
      <c r="M83" s="195"/>
      <c r="N83" s="195"/>
      <c r="O83" s="195"/>
      <c r="P83" s="195"/>
    </row>
    <row r="84" spans="1:16" ht="22.5" hidden="1" customHeight="1">
      <c r="A84" s="115"/>
      <c r="B84" s="115" t="e">
        <f>VLOOKUP(C84,Lists!I:J,2,FALSE)</f>
        <v>#N/A</v>
      </c>
      <c r="C84" s="115" t="e">
        <f>VLOOKUP(E84,Lists!E:F,2,FALSE)</f>
        <v>#N/A</v>
      </c>
      <c r="D84" s="115"/>
      <c r="E84" s="98"/>
      <c r="F84" s="115"/>
      <c r="G84" s="115"/>
      <c r="H84" s="115"/>
      <c r="I84" s="194">
        <f t="shared" si="0"/>
        <v>0</v>
      </c>
      <c r="J84" s="116"/>
      <c r="K84" s="116"/>
      <c r="L84" s="116"/>
      <c r="M84" s="195"/>
      <c r="N84" s="195"/>
      <c r="O84" s="195"/>
      <c r="P84" s="195"/>
    </row>
    <row r="85" spans="1:16" ht="22.5" hidden="1" customHeight="1">
      <c r="A85" s="115"/>
      <c r="B85" s="115" t="e">
        <f>VLOOKUP(C85,Lists!I:J,2,FALSE)</f>
        <v>#N/A</v>
      </c>
      <c r="C85" s="115" t="e">
        <f>VLOOKUP(E85,Lists!E:F,2,FALSE)</f>
        <v>#N/A</v>
      </c>
      <c r="D85" s="115"/>
      <c r="E85" s="98"/>
      <c r="F85" s="115"/>
      <c r="G85" s="115"/>
      <c r="H85" s="115"/>
      <c r="I85" s="194">
        <f t="shared" si="0"/>
        <v>0</v>
      </c>
      <c r="J85" s="116"/>
      <c r="K85" s="116"/>
      <c r="L85" s="116"/>
      <c r="M85" s="195"/>
      <c r="N85" s="195"/>
      <c r="O85" s="195"/>
      <c r="P85" s="195"/>
    </row>
    <row r="86" spans="1:16" ht="22.5" hidden="1" customHeight="1">
      <c r="A86" s="115"/>
      <c r="B86" s="115" t="e">
        <f>VLOOKUP(C86,Lists!I:J,2,FALSE)</f>
        <v>#N/A</v>
      </c>
      <c r="C86" s="115" t="e">
        <f>VLOOKUP(E86,Lists!E:F,2,FALSE)</f>
        <v>#N/A</v>
      </c>
      <c r="D86" s="115"/>
      <c r="E86" s="98"/>
      <c r="F86" s="115"/>
      <c r="G86" s="115"/>
      <c r="H86" s="115"/>
      <c r="I86" s="194">
        <f t="shared" si="0"/>
        <v>0</v>
      </c>
      <c r="J86" s="116"/>
      <c r="K86" s="116"/>
      <c r="L86" s="116"/>
      <c r="M86" s="195"/>
      <c r="N86" s="195"/>
      <c r="O86" s="195"/>
      <c r="P86" s="195"/>
    </row>
    <row r="87" spans="1:16" ht="22.5" hidden="1" customHeight="1">
      <c r="A87" s="115"/>
      <c r="B87" s="115" t="e">
        <f>VLOOKUP(C87,Lists!I:J,2,FALSE)</f>
        <v>#N/A</v>
      </c>
      <c r="C87" s="115" t="e">
        <f>VLOOKUP(E87,Lists!E:F,2,FALSE)</f>
        <v>#N/A</v>
      </c>
      <c r="D87" s="115"/>
      <c r="E87" s="98"/>
      <c r="F87" s="115"/>
      <c r="G87" s="115"/>
      <c r="H87" s="115"/>
      <c r="I87" s="194">
        <f t="shared" si="0"/>
        <v>0</v>
      </c>
      <c r="J87" s="116"/>
      <c r="K87" s="116"/>
      <c r="L87" s="116"/>
      <c r="M87" s="195"/>
      <c r="N87" s="195"/>
      <c r="O87" s="195"/>
      <c r="P87" s="195"/>
    </row>
    <row r="88" spans="1:16" ht="22.5" hidden="1" customHeight="1">
      <c r="A88" s="115"/>
      <c r="B88" s="115" t="e">
        <f>VLOOKUP(C88,Lists!I:J,2,FALSE)</f>
        <v>#N/A</v>
      </c>
      <c r="C88" s="115" t="e">
        <f>VLOOKUP(E88,Lists!E:F,2,FALSE)</f>
        <v>#N/A</v>
      </c>
      <c r="D88" s="115"/>
      <c r="E88" s="98"/>
      <c r="F88" s="115"/>
      <c r="G88" s="115"/>
      <c r="H88" s="115"/>
      <c r="I88" s="194">
        <f t="shared" si="0"/>
        <v>0</v>
      </c>
      <c r="J88" s="116"/>
      <c r="K88" s="116"/>
      <c r="L88" s="116"/>
      <c r="M88" s="195"/>
      <c r="N88" s="195"/>
      <c r="O88" s="195"/>
      <c r="P88" s="195"/>
    </row>
    <row r="89" spans="1:16" ht="22.5" hidden="1" customHeight="1">
      <c r="A89" s="115"/>
      <c r="B89" s="115" t="e">
        <f>VLOOKUP(C89,Lists!I:J,2,FALSE)</f>
        <v>#N/A</v>
      </c>
      <c r="C89" s="115" t="e">
        <f>VLOOKUP(E89,Lists!E:F,2,FALSE)</f>
        <v>#N/A</v>
      </c>
      <c r="D89" s="115"/>
      <c r="E89" s="98"/>
      <c r="F89" s="115"/>
      <c r="G89" s="115"/>
      <c r="H89" s="115"/>
      <c r="I89" s="194">
        <f t="shared" si="0"/>
        <v>0</v>
      </c>
      <c r="J89" s="116"/>
      <c r="K89" s="116"/>
      <c r="L89" s="116"/>
      <c r="M89" s="195"/>
      <c r="N89" s="195"/>
      <c r="O89" s="195"/>
      <c r="P89" s="195"/>
    </row>
    <row r="90" spans="1:16" ht="22.5" hidden="1" customHeight="1">
      <c r="A90" s="115"/>
      <c r="B90" s="115" t="e">
        <f>VLOOKUP(C90,Lists!I:J,2,FALSE)</f>
        <v>#N/A</v>
      </c>
      <c r="C90" s="115" t="e">
        <f>VLOOKUP(E90,Lists!E:F,2,FALSE)</f>
        <v>#N/A</v>
      </c>
      <c r="D90" s="115"/>
      <c r="E90" s="98"/>
      <c r="F90" s="115"/>
      <c r="G90" s="115"/>
      <c r="H90" s="115"/>
      <c r="I90" s="194">
        <f t="shared" si="0"/>
        <v>0</v>
      </c>
      <c r="J90" s="116"/>
      <c r="K90" s="116"/>
      <c r="L90" s="116"/>
      <c r="M90" s="195"/>
      <c r="N90" s="195"/>
      <c r="O90" s="195"/>
      <c r="P90" s="195"/>
    </row>
    <row r="91" spans="1:16" ht="22.5" hidden="1" customHeight="1">
      <c r="A91" s="115"/>
      <c r="B91" s="115" t="e">
        <f>VLOOKUP(C91,Lists!I:J,2,FALSE)</f>
        <v>#N/A</v>
      </c>
      <c r="C91" s="115" t="e">
        <f>VLOOKUP(E91,Lists!E:F,2,FALSE)</f>
        <v>#N/A</v>
      </c>
      <c r="D91" s="115"/>
      <c r="E91" s="98"/>
      <c r="F91" s="115"/>
      <c r="G91" s="115"/>
      <c r="H91" s="115"/>
      <c r="I91" s="194">
        <f t="shared" si="0"/>
        <v>0</v>
      </c>
      <c r="J91" s="116"/>
      <c r="K91" s="116"/>
      <c r="L91" s="116"/>
      <c r="M91" s="195"/>
      <c r="N91" s="195"/>
      <c r="O91" s="195"/>
      <c r="P91" s="195"/>
    </row>
    <row r="92" spans="1:16" ht="22.5" hidden="1" customHeight="1">
      <c r="A92" s="115"/>
      <c r="B92" s="115" t="e">
        <f>VLOOKUP(C92,Lists!I:J,2,FALSE)</f>
        <v>#N/A</v>
      </c>
      <c r="C92" s="115" t="e">
        <f>VLOOKUP(E92,Lists!E:F,2,FALSE)</f>
        <v>#N/A</v>
      </c>
      <c r="D92" s="115"/>
      <c r="E92" s="98"/>
      <c r="F92" s="115"/>
      <c r="G92" s="115"/>
      <c r="H92" s="115"/>
      <c r="I92" s="194">
        <f t="shared" si="0"/>
        <v>0</v>
      </c>
      <c r="J92" s="116"/>
      <c r="K92" s="116"/>
      <c r="L92" s="116"/>
      <c r="M92" s="195"/>
      <c r="N92" s="195"/>
      <c r="O92" s="195"/>
      <c r="P92" s="195"/>
    </row>
    <row r="93" spans="1:16" ht="22.5" hidden="1" customHeight="1">
      <c r="A93" s="115"/>
      <c r="B93" s="115" t="e">
        <f>VLOOKUP(C93,Lists!I:J,2,FALSE)</f>
        <v>#N/A</v>
      </c>
      <c r="C93" s="115" t="e">
        <f>VLOOKUP(E93,Lists!E:F,2,FALSE)</f>
        <v>#N/A</v>
      </c>
      <c r="D93" s="115"/>
      <c r="E93" s="98"/>
      <c r="F93" s="115"/>
      <c r="G93" s="115"/>
      <c r="H93" s="115"/>
      <c r="I93" s="194">
        <f t="shared" si="0"/>
        <v>0</v>
      </c>
      <c r="J93" s="116"/>
      <c r="K93" s="116"/>
      <c r="L93" s="116"/>
      <c r="M93" s="195"/>
      <c r="N93" s="195"/>
      <c r="O93" s="195"/>
      <c r="P93" s="195"/>
    </row>
    <row r="94" spans="1:16" ht="22.5" hidden="1" customHeight="1">
      <c r="A94" s="115"/>
      <c r="B94" s="115" t="e">
        <f>VLOOKUP(C94,Lists!I:J,2,FALSE)</f>
        <v>#N/A</v>
      </c>
      <c r="C94" s="115" t="e">
        <f>VLOOKUP(E94,Lists!E:F,2,FALSE)</f>
        <v>#N/A</v>
      </c>
      <c r="D94" s="115"/>
      <c r="E94" s="98"/>
      <c r="F94" s="115"/>
      <c r="G94" s="115"/>
      <c r="H94" s="115"/>
      <c r="I94" s="194">
        <f t="shared" si="0"/>
        <v>0</v>
      </c>
      <c r="J94" s="116"/>
      <c r="K94" s="116"/>
      <c r="L94" s="116"/>
      <c r="M94" s="195"/>
      <c r="N94" s="195"/>
      <c r="O94" s="195"/>
      <c r="P94" s="195"/>
    </row>
    <row r="95" spans="1:16" ht="22.5" hidden="1" customHeight="1">
      <c r="A95" s="115"/>
      <c r="B95" s="115" t="e">
        <f>VLOOKUP(C95,Lists!I:J,2,FALSE)</f>
        <v>#N/A</v>
      </c>
      <c r="C95" s="115" t="e">
        <f>VLOOKUP(E95,Lists!E:F,2,FALSE)</f>
        <v>#N/A</v>
      </c>
      <c r="D95" s="115"/>
      <c r="E95" s="98"/>
      <c r="F95" s="115"/>
      <c r="G95" s="115"/>
      <c r="H95" s="115"/>
      <c r="I95" s="194">
        <f t="shared" si="0"/>
        <v>0</v>
      </c>
      <c r="J95" s="116"/>
      <c r="K95" s="116"/>
      <c r="L95" s="116"/>
      <c r="M95" s="195"/>
      <c r="N95" s="195"/>
      <c r="O95" s="195"/>
      <c r="P95" s="195"/>
    </row>
    <row r="96" spans="1:16" ht="22.5" hidden="1" customHeight="1">
      <c r="A96" s="115"/>
      <c r="B96" s="115" t="e">
        <f>VLOOKUP(C96,Lists!I:J,2,FALSE)</f>
        <v>#N/A</v>
      </c>
      <c r="C96" s="115" t="e">
        <f>VLOOKUP(E96,Lists!E:F,2,FALSE)</f>
        <v>#N/A</v>
      </c>
      <c r="D96" s="115"/>
      <c r="E96" s="98"/>
      <c r="F96" s="115"/>
      <c r="G96" s="115"/>
      <c r="H96" s="115"/>
      <c r="I96" s="194">
        <f t="shared" si="0"/>
        <v>0</v>
      </c>
      <c r="J96" s="116"/>
      <c r="K96" s="116"/>
      <c r="L96" s="116"/>
      <c r="M96" s="195"/>
      <c r="N96" s="195"/>
      <c r="O96" s="195"/>
      <c r="P96" s="195"/>
    </row>
    <row r="97" spans="1:16" ht="22.5" hidden="1" customHeight="1">
      <c r="A97" s="115"/>
      <c r="B97" s="115" t="e">
        <f>VLOOKUP(C97,Lists!I:J,2,FALSE)</f>
        <v>#N/A</v>
      </c>
      <c r="C97" s="115" t="e">
        <f>VLOOKUP(E97,Lists!E:F,2,FALSE)</f>
        <v>#N/A</v>
      </c>
      <c r="D97" s="115"/>
      <c r="E97" s="98"/>
      <c r="F97" s="115"/>
      <c r="G97" s="115"/>
      <c r="H97" s="115"/>
      <c r="I97" s="194">
        <f t="shared" si="0"/>
        <v>0</v>
      </c>
      <c r="J97" s="116"/>
      <c r="K97" s="116"/>
      <c r="L97" s="116"/>
      <c r="M97" s="195"/>
      <c r="N97" s="195"/>
      <c r="O97" s="195"/>
      <c r="P97" s="195"/>
    </row>
    <row r="98" spans="1:16" ht="22.5" hidden="1" customHeight="1">
      <c r="A98" s="115"/>
      <c r="B98" s="115" t="e">
        <f>VLOOKUP(C98,Lists!I:J,2,FALSE)</f>
        <v>#N/A</v>
      </c>
      <c r="C98" s="115" t="e">
        <f>VLOOKUP(E98,Lists!E:F,2,FALSE)</f>
        <v>#N/A</v>
      </c>
      <c r="D98" s="115"/>
      <c r="E98" s="98"/>
      <c r="F98" s="115"/>
      <c r="G98" s="115"/>
      <c r="H98" s="115"/>
      <c r="I98" s="194">
        <f t="shared" si="0"/>
        <v>0</v>
      </c>
      <c r="J98" s="116"/>
      <c r="K98" s="116"/>
      <c r="L98" s="116"/>
      <c r="M98" s="195"/>
      <c r="N98" s="195"/>
      <c r="O98" s="195"/>
      <c r="P98" s="195"/>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95"/>
      <c r="N99" s="195"/>
      <c r="O99" s="195"/>
      <c r="P99" s="195"/>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95"/>
      <c r="N100" s="195"/>
      <c r="O100" s="195"/>
      <c r="P100" s="195"/>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95"/>
      <c r="N101" s="195"/>
      <c r="O101" s="195"/>
      <c r="P101" s="195"/>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95"/>
      <c r="N102" s="195"/>
      <c r="O102" s="195"/>
      <c r="P102" s="195"/>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95"/>
      <c r="N103" s="195"/>
      <c r="O103" s="195"/>
      <c r="P103" s="195"/>
    </row>
    <row r="104" spans="1:16" ht="13.2">
      <c r="M104" s="226"/>
      <c r="N104" s="226"/>
      <c r="O104" s="226"/>
      <c r="P104" s="226"/>
    </row>
    <row r="105" spans="1:16" ht="13.2">
      <c r="M105" s="226"/>
      <c r="N105" s="226"/>
      <c r="O105" s="226"/>
      <c r="P105" s="226"/>
    </row>
    <row r="106" spans="1:16" ht="13.2">
      <c r="M106" s="226"/>
      <c r="N106" s="226"/>
      <c r="O106" s="226"/>
      <c r="P106" s="226"/>
    </row>
    <row r="107" spans="1:16" ht="13.2">
      <c r="M107" s="226"/>
      <c r="N107" s="226"/>
      <c r="O107" s="226"/>
      <c r="P107" s="226"/>
    </row>
    <row r="108" spans="1:16" ht="13.2">
      <c r="M108" s="226"/>
      <c r="N108" s="226"/>
      <c r="O108" s="226"/>
      <c r="P108" s="226"/>
    </row>
    <row r="109" spans="1:16" ht="13.2">
      <c r="M109" s="226"/>
      <c r="N109" s="226"/>
      <c r="O109" s="226"/>
      <c r="P109" s="226"/>
    </row>
    <row r="110" spans="1:16" ht="13.2">
      <c r="M110" s="226"/>
      <c r="N110" s="226"/>
      <c r="O110" s="226"/>
      <c r="P110" s="226"/>
    </row>
    <row r="111" spans="1:16" ht="13.2">
      <c r="M111" s="226"/>
      <c r="N111" s="226"/>
      <c r="O111" s="226"/>
      <c r="P111" s="226"/>
    </row>
    <row r="112" spans="1:16" ht="13.2">
      <c r="M112" s="226"/>
      <c r="N112" s="226"/>
      <c r="O112" s="226"/>
      <c r="P112" s="226"/>
    </row>
    <row r="113" spans="13:16" ht="13.2">
      <c r="M113" s="226"/>
      <c r="N113" s="226"/>
      <c r="O113" s="226"/>
      <c r="P113" s="226"/>
    </row>
    <row r="114" spans="13:16" ht="13.2">
      <c r="M114" s="226"/>
      <c r="N114" s="226"/>
      <c r="O114" s="226"/>
      <c r="P114" s="226"/>
    </row>
    <row r="115" spans="13:16" ht="13.2">
      <c r="M115" s="226"/>
      <c r="N115" s="226"/>
      <c r="O115" s="226"/>
      <c r="P115" s="226"/>
    </row>
    <row r="116" spans="13:16" ht="13.2">
      <c r="M116" s="226"/>
      <c r="N116" s="226"/>
      <c r="O116" s="226"/>
      <c r="P116" s="226"/>
    </row>
    <row r="117" spans="13:16" ht="13.2">
      <c r="M117" s="226"/>
      <c r="N117" s="226"/>
      <c r="O117" s="226"/>
      <c r="P117" s="226"/>
    </row>
    <row r="118" spans="13:16" ht="13.2">
      <c r="M118" s="226"/>
      <c r="N118" s="226"/>
      <c r="O118" s="226"/>
      <c r="P118" s="226"/>
    </row>
    <row r="119" spans="13:16" ht="13.2">
      <c r="M119" s="226"/>
      <c r="N119" s="226"/>
      <c r="O119" s="226"/>
      <c r="P119" s="226"/>
    </row>
    <row r="120" spans="13:16" ht="13.2">
      <c r="M120" s="226"/>
      <c r="N120" s="226"/>
      <c r="O120" s="226"/>
      <c r="P120" s="226"/>
    </row>
    <row r="121" spans="13:16" ht="13.2">
      <c r="M121" s="226"/>
      <c r="N121" s="226"/>
      <c r="O121" s="226"/>
      <c r="P121" s="226"/>
    </row>
    <row r="122" spans="13:16" ht="13.2">
      <c r="M122" s="226"/>
      <c r="N122" s="226"/>
      <c r="O122" s="226"/>
      <c r="P122" s="226"/>
    </row>
    <row r="123" spans="13:16" ht="13.2">
      <c r="M123" s="226"/>
      <c r="N123" s="226"/>
      <c r="O123" s="226"/>
      <c r="P123" s="226"/>
    </row>
    <row r="124" spans="13:16" ht="13.2">
      <c r="M124" s="226"/>
      <c r="N124" s="226"/>
      <c r="O124" s="226"/>
      <c r="P124" s="226"/>
    </row>
    <row r="125" spans="13:16" ht="13.2">
      <c r="M125" s="226"/>
      <c r="N125" s="226"/>
      <c r="O125" s="226"/>
      <c r="P125" s="226"/>
    </row>
    <row r="126" spans="13:16" ht="13.2">
      <c r="M126" s="226"/>
      <c r="N126" s="226"/>
      <c r="O126" s="226"/>
      <c r="P126" s="226"/>
    </row>
    <row r="127" spans="13:16" ht="13.2">
      <c r="M127" s="226"/>
      <c r="N127" s="226"/>
      <c r="O127" s="226"/>
      <c r="P127" s="226"/>
    </row>
    <row r="128" spans="13:16" ht="13.2">
      <c r="M128" s="226"/>
      <c r="N128" s="226"/>
      <c r="O128" s="226"/>
      <c r="P128" s="226"/>
    </row>
    <row r="129" spans="13:16" ht="13.2">
      <c r="M129" s="226"/>
      <c r="N129" s="226"/>
      <c r="O129" s="226"/>
      <c r="P129" s="226"/>
    </row>
    <row r="130" spans="13:16" ht="13.2">
      <c r="M130" s="226"/>
      <c r="N130" s="226"/>
      <c r="O130" s="226"/>
      <c r="P130" s="226"/>
    </row>
    <row r="131" spans="13:16" ht="13.2">
      <c r="M131" s="226"/>
      <c r="N131" s="226"/>
      <c r="O131" s="226"/>
      <c r="P131" s="226"/>
    </row>
    <row r="132" spans="13:16" ht="13.2">
      <c r="M132" s="226"/>
      <c r="N132" s="226"/>
      <c r="O132" s="226"/>
      <c r="P132" s="226"/>
    </row>
    <row r="133" spans="13:16" ht="13.2">
      <c r="M133" s="226"/>
      <c r="N133" s="226"/>
      <c r="O133" s="226"/>
      <c r="P133" s="226"/>
    </row>
    <row r="134" spans="13:16" ht="13.2">
      <c r="M134" s="226"/>
      <c r="N134" s="226"/>
      <c r="O134" s="226"/>
      <c r="P134" s="226"/>
    </row>
    <row r="135" spans="13:16" ht="13.2">
      <c r="M135" s="226"/>
      <c r="N135" s="226"/>
      <c r="O135" s="226"/>
      <c r="P135" s="226"/>
    </row>
    <row r="136" spans="13:16" ht="13.2">
      <c r="M136" s="226"/>
      <c r="N136" s="226"/>
      <c r="O136" s="226"/>
      <c r="P136" s="226"/>
    </row>
    <row r="137" spans="13:16" ht="13.2">
      <c r="M137" s="226"/>
      <c r="N137" s="226"/>
      <c r="O137" s="226"/>
      <c r="P137" s="226"/>
    </row>
    <row r="138" spans="13:16" ht="13.2">
      <c r="M138" s="226"/>
      <c r="N138" s="226"/>
      <c r="O138" s="226"/>
      <c r="P138" s="226"/>
    </row>
    <row r="139" spans="13:16" ht="13.2">
      <c r="M139" s="226"/>
      <c r="N139" s="226"/>
      <c r="O139" s="226"/>
      <c r="P139" s="226"/>
    </row>
    <row r="140" spans="13:16" ht="13.2">
      <c r="M140" s="226"/>
      <c r="N140" s="226"/>
      <c r="O140" s="226"/>
      <c r="P140" s="226"/>
    </row>
    <row r="141" spans="13:16" ht="13.2">
      <c r="M141" s="226"/>
      <c r="N141" s="226"/>
      <c r="O141" s="226"/>
      <c r="P141" s="226"/>
    </row>
    <row r="142" spans="13:16" ht="13.2">
      <c r="M142" s="226"/>
      <c r="N142" s="226"/>
      <c r="O142" s="226"/>
      <c r="P142" s="226"/>
    </row>
    <row r="143" spans="13:16" ht="13.2">
      <c r="M143" s="226"/>
      <c r="N143" s="226"/>
      <c r="O143" s="226"/>
      <c r="P143" s="226"/>
    </row>
    <row r="144" spans="13:16" ht="13.2">
      <c r="M144" s="226"/>
      <c r="N144" s="226"/>
      <c r="O144" s="226"/>
      <c r="P144" s="226"/>
    </row>
    <row r="145" spans="13:16" ht="13.2">
      <c r="M145" s="226"/>
      <c r="N145" s="226"/>
      <c r="O145" s="226"/>
      <c r="P145" s="226"/>
    </row>
    <row r="146" spans="13:16" ht="13.2">
      <c r="M146" s="226"/>
      <c r="N146" s="226"/>
      <c r="O146" s="226"/>
      <c r="P146" s="226"/>
    </row>
    <row r="147" spans="13:16" ht="13.2">
      <c r="M147" s="226"/>
      <c r="N147" s="226"/>
      <c r="O147" s="226"/>
      <c r="P147" s="226"/>
    </row>
    <row r="148" spans="13:16" ht="13.2">
      <c r="M148" s="226"/>
      <c r="N148" s="226"/>
      <c r="O148" s="226"/>
      <c r="P148" s="226"/>
    </row>
    <row r="149" spans="13:16" ht="13.2">
      <c r="M149" s="226"/>
      <c r="N149" s="226"/>
      <c r="O149" s="226"/>
      <c r="P149" s="226"/>
    </row>
    <row r="150" spans="13:16" ht="13.2">
      <c r="M150" s="226"/>
      <c r="N150" s="226"/>
      <c r="O150" s="226"/>
      <c r="P150" s="226"/>
    </row>
    <row r="151" spans="13:16" ht="13.2">
      <c r="M151" s="226"/>
      <c r="N151" s="226"/>
      <c r="O151" s="226"/>
      <c r="P151" s="226"/>
    </row>
    <row r="152" spans="13:16" ht="13.2">
      <c r="M152" s="226"/>
      <c r="N152" s="226"/>
      <c r="O152" s="226"/>
      <c r="P152" s="226"/>
    </row>
    <row r="153" spans="13:16" ht="13.2">
      <c r="M153" s="226"/>
      <c r="N153" s="226"/>
      <c r="O153" s="226"/>
      <c r="P153" s="226"/>
    </row>
    <row r="154" spans="13:16" ht="13.2">
      <c r="M154" s="226"/>
      <c r="N154" s="226"/>
      <c r="O154" s="226"/>
      <c r="P154" s="226"/>
    </row>
    <row r="155" spans="13:16" ht="13.2">
      <c r="M155" s="226"/>
      <c r="N155" s="226"/>
      <c r="O155" s="226"/>
      <c r="P155" s="226"/>
    </row>
    <row r="156" spans="13:16" ht="13.2">
      <c r="M156" s="226"/>
      <c r="N156" s="226"/>
      <c r="O156" s="226"/>
      <c r="P156" s="226"/>
    </row>
    <row r="157" spans="13:16" ht="13.2">
      <c r="M157" s="226"/>
      <c r="N157" s="226"/>
      <c r="O157" s="226"/>
      <c r="P157" s="226"/>
    </row>
    <row r="158" spans="13:16" ht="13.2">
      <c r="M158" s="226"/>
      <c r="N158" s="226"/>
      <c r="O158" s="226"/>
      <c r="P158" s="226"/>
    </row>
    <row r="159" spans="13:16" ht="13.2">
      <c r="M159" s="226"/>
      <c r="N159" s="226"/>
      <c r="O159" s="226"/>
      <c r="P159" s="226"/>
    </row>
    <row r="160" spans="13:16" ht="13.2">
      <c r="M160" s="226"/>
      <c r="N160" s="226"/>
      <c r="O160" s="226"/>
      <c r="P160" s="226"/>
    </row>
    <row r="161" spans="13:16" ht="13.2">
      <c r="M161" s="226"/>
      <c r="N161" s="226"/>
      <c r="O161" s="226"/>
      <c r="P161" s="226"/>
    </row>
    <row r="162" spans="13:16" ht="13.2">
      <c r="M162" s="226"/>
      <c r="N162" s="226"/>
      <c r="O162" s="226"/>
      <c r="P162" s="226"/>
    </row>
    <row r="163" spans="13:16" ht="13.2">
      <c r="M163" s="226"/>
      <c r="N163" s="226"/>
      <c r="O163" s="226"/>
      <c r="P163" s="226"/>
    </row>
    <row r="164" spans="13:16" ht="13.2">
      <c r="M164" s="226"/>
      <c r="N164" s="226"/>
      <c r="O164" s="226"/>
      <c r="P164" s="226"/>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A00-000000000000}">
      <formula1>#REF!</formula1>
    </dataValidation>
    <dataValidation type="list" allowBlank="1" sqref="F2:F103" xr:uid="{00000000-0002-0000-2A00-000002000000}">
      <formula1>"Yellow,Red"</formula1>
    </dataValidation>
    <dataValidation type="custom" allowBlank="1" showDropDown="1" sqref="S4:T13 S17:T21 S25:T29 S33:T37 S41:T45 A2:A103 G2:L103" xr:uid="{00000000-0002-0000-2A00-000003000000}">
      <formula1>AND(ISNUMBER(A2),(NOT(OR(NOT(ISERROR(DATEVALUE(A2))), AND(ISNUMBER(A2), LEFT(CELL("format", A2))="D")))))</formula1>
    </dataValidation>
    <dataValidation allowBlank="1" showDropDown="1" sqref="E2:E103" xr:uid="{00000000-0002-0000-2A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Z103"/>
  <sheetViews>
    <sheetView workbookViewId="0">
      <pane ySplit="1" topLeftCell="A2" activePane="bottomLeft" state="frozen"/>
      <selection pane="bottomLeft" activeCell="B3" sqref="B3"/>
    </sheetView>
  </sheetViews>
  <sheetFormatPr defaultColWidth="12.6640625" defaultRowHeight="15.75" customHeight="1"/>
  <cols>
    <col min="1" max="1" width="12.44140625" customWidth="1"/>
    <col min="2" max="2" width="15.109375" customWidth="1"/>
    <col min="3" max="3" width="22.6640625" customWidth="1"/>
    <col min="4" max="4" width="16.6640625" customWidth="1"/>
    <col min="5" max="5" width="14.44140625" customWidth="1"/>
    <col min="6" max="6" width="13" customWidth="1"/>
    <col min="7" max="7" width="11.88671875" customWidth="1"/>
    <col min="8" max="8" width="14.21875" customWidth="1"/>
    <col min="9" max="9" width="12.6640625" customWidth="1"/>
    <col min="10" max="11" width="17" customWidth="1"/>
    <col min="12" max="16" width="17.109375" customWidth="1"/>
    <col min="17" max="17" width="7" customWidth="1"/>
    <col min="18" max="18" width="13.6640625" customWidth="1"/>
    <col min="19" max="19" width="13.33203125" customWidth="1"/>
    <col min="20" max="20" width="14.33203125" customWidth="1"/>
    <col min="21" max="21" width="6.6640625" customWidth="1"/>
    <col min="22" max="22" width="18.77734375" customWidth="1"/>
    <col min="23" max="23" width="9.77734375" customWidth="1"/>
    <col min="24" max="24" width="6.33203125" customWidth="1"/>
    <col min="25" max="25" width="17.109375" customWidth="1"/>
    <col min="26" max="26" width="11.77734375" customWidth="1"/>
  </cols>
  <sheetData>
    <row r="1" spans="1:26" ht="22.5" customHeight="1">
      <c r="A1" s="189" t="s">
        <v>562</v>
      </c>
      <c r="B1" s="189" t="s">
        <v>5</v>
      </c>
      <c r="C1" s="189" t="s">
        <v>2</v>
      </c>
      <c r="D1" s="189" t="s">
        <v>3</v>
      </c>
      <c r="E1" s="189" t="s">
        <v>1</v>
      </c>
      <c r="F1" s="189" t="s">
        <v>464</v>
      </c>
      <c r="G1" s="189" t="s">
        <v>465</v>
      </c>
      <c r="H1" s="190" t="s">
        <v>466</v>
      </c>
      <c r="I1" s="191" t="s">
        <v>467</v>
      </c>
      <c r="J1" s="190" t="s">
        <v>468</v>
      </c>
      <c r="K1" s="190" t="s">
        <v>469</v>
      </c>
      <c r="L1" s="190" t="s">
        <v>470</v>
      </c>
      <c r="M1" s="192" t="s">
        <v>471</v>
      </c>
      <c r="N1" s="192" t="s">
        <v>472</v>
      </c>
      <c r="O1" s="193" t="s">
        <v>473</v>
      </c>
      <c r="P1" s="193" t="s">
        <v>474</v>
      </c>
    </row>
    <row r="2" spans="1:26" ht="22.5" customHeight="1">
      <c r="A2" s="115">
        <v>2</v>
      </c>
      <c r="B2" s="115" t="s">
        <v>25</v>
      </c>
      <c r="C2" s="115" t="s">
        <v>23</v>
      </c>
      <c r="D2" s="115" t="s">
        <v>7</v>
      </c>
      <c r="E2" s="98" t="s">
        <v>27</v>
      </c>
      <c r="F2" s="115" t="s">
        <v>483</v>
      </c>
      <c r="G2" s="115">
        <v>53</v>
      </c>
      <c r="H2" s="115">
        <v>129</v>
      </c>
      <c r="I2" s="194">
        <v>182</v>
      </c>
      <c r="J2" s="116">
        <v>4635634</v>
      </c>
      <c r="K2" s="116">
        <v>1548757</v>
      </c>
      <c r="L2" s="116">
        <v>54027</v>
      </c>
      <c r="M2" s="195">
        <v>5.5437100213219619E-2</v>
      </c>
      <c r="N2" s="195">
        <v>6.7014632490553463E-2</v>
      </c>
      <c r="O2" s="195">
        <v>2.6922368824686203E-2</v>
      </c>
      <c r="P2" s="195">
        <v>1.4960072829113503E-3</v>
      </c>
      <c r="R2" s="232" t="s">
        <v>477</v>
      </c>
      <c r="S2" s="228"/>
      <c r="T2" s="228"/>
      <c r="V2" s="233" t="s">
        <v>478</v>
      </c>
      <c r="W2" s="228"/>
      <c r="X2" s="196"/>
      <c r="Y2" s="233" t="s">
        <v>479</v>
      </c>
      <c r="Z2" s="228"/>
    </row>
    <row r="3" spans="1:26" ht="22.5" customHeight="1">
      <c r="A3" s="115">
        <v>1</v>
      </c>
      <c r="B3" s="115" t="s">
        <v>25</v>
      </c>
      <c r="C3" s="115" t="s">
        <v>23</v>
      </c>
      <c r="D3" s="115" t="s">
        <v>7</v>
      </c>
      <c r="E3" s="98" t="s">
        <v>994</v>
      </c>
      <c r="F3" s="115" t="s">
        <v>483</v>
      </c>
      <c r="G3" s="115">
        <v>82</v>
      </c>
      <c r="H3" s="115">
        <v>98</v>
      </c>
      <c r="I3" s="194">
        <v>180</v>
      </c>
      <c r="J3" s="116">
        <v>4458508</v>
      </c>
      <c r="K3" s="116">
        <v>1644248</v>
      </c>
      <c r="L3" s="116">
        <v>92651</v>
      </c>
      <c r="M3" s="195">
        <v>5.4827901309777639E-2</v>
      </c>
      <c r="N3" s="195">
        <v>6.4454026153961355E-2</v>
      </c>
      <c r="O3" s="195">
        <v>2.858230897116374E-2</v>
      </c>
      <c r="P3" s="195">
        <v>2.5655055947770471E-3</v>
      </c>
      <c r="R3" s="190" t="s">
        <v>482</v>
      </c>
      <c r="S3" s="222" t="s">
        <v>476</v>
      </c>
      <c r="T3" s="222" t="s">
        <v>483</v>
      </c>
      <c r="V3" s="199" t="s">
        <v>1</v>
      </c>
      <c r="W3" s="200" t="s">
        <v>467</v>
      </c>
      <c r="Y3" s="199" t="s">
        <v>1</v>
      </c>
      <c r="Z3" s="200" t="s">
        <v>484</v>
      </c>
    </row>
    <row r="4" spans="1:26" ht="22.5" customHeight="1">
      <c r="A4" s="115">
        <v>4</v>
      </c>
      <c r="B4" s="115" t="s">
        <v>25</v>
      </c>
      <c r="C4" s="115" t="s">
        <v>23</v>
      </c>
      <c r="D4" s="115" t="s">
        <v>7</v>
      </c>
      <c r="E4" s="98" t="s">
        <v>22</v>
      </c>
      <c r="F4" s="115" t="s">
        <v>483</v>
      </c>
      <c r="G4" s="115">
        <v>46</v>
      </c>
      <c r="H4" s="115">
        <v>127</v>
      </c>
      <c r="I4" s="194">
        <v>173</v>
      </c>
      <c r="J4" s="116">
        <v>3914322</v>
      </c>
      <c r="K4" s="116">
        <v>1675509</v>
      </c>
      <c r="L4" s="116">
        <v>49470</v>
      </c>
      <c r="M4" s="195">
        <v>5.2695705147730733E-2</v>
      </c>
      <c r="N4" s="195">
        <v>5.658704942618166E-2</v>
      </c>
      <c r="O4" s="195">
        <v>2.9125725512188907E-2</v>
      </c>
      <c r="P4" s="195">
        <v>1.3698239821871379E-3</v>
      </c>
      <c r="R4" s="223" t="s">
        <v>25</v>
      </c>
      <c r="S4" s="207">
        <f>COUNTIFS(Scoreboard_3[Role],R4,Scoreboard_3[Team],"Yellow")</f>
        <v>9</v>
      </c>
      <c r="T4" s="219">
        <f>COUNTIFS(Scoreboard_3[Role],R4,Scoreboard_3[Team],"Red")</f>
        <v>8</v>
      </c>
      <c r="V4" s="204" t="str">
        <f ca="1">IFERROR(__xludf.DUMMYFUNCTION("query(A1:P239, ""Select E,I where B!='Healer' Order by I Desc Limit 10"", 0)"),"Blee")</f>
        <v>Blee</v>
      </c>
      <c r="W4" s="116">
        <f ca="1">IFERROR(__xludf.DUMMYFUNCTION("""COMPUTED_VALUE"""),182)</f>
        <v>182</v>
      </c>
      <c r="Y4" s="204" t="str">
        <f ca="1">IFERROR(__xludf.DUMMYFUNCTION("query(A1:P239, ""Select E,J Order by J Desc Limit 10"", 0)"),"TOKUL")</f>
        <v>TOKUL</v>
      </c>
      <c r="Z4" s="116">
        <f ca="1">IFERROR(__xludf.DUMMYFUNCTION("""COMPUTED_VALUE"""),6427578)</f>
        <v>6427578</v>
      </c>
    </row>
    <row r="5" spans="1:26" ht="22.5" customHeight="1">
      <c r="A5" s="115">
        <v>11</v>
      </c>
      <c r="B5" s="115" t="s">
        <v>39</v>
      </c>
      <c r="C5" s="115" t="s">
        <v>32</v>
      </c>
      <c r="D5" s="115" t="s">
        <v>7</v>
      </c>
      <c r="E5" s="98" t="s">
        <v>842</v>
      </c>
      <c r="F5" s="115" t="s">
        <v>483</v>
      </c>
      <c r="G5" s="115">
        <v>36</v>
      </c>
      <c r="H5" s="115">
        <v>126</v>
      </c>
      <c r="I5" s="194">
        <v>162</v>
      </c>
      <c r="J5" s="116">
        <v>5652329</v>
      </c>
      <c r="K5" s="116">
        <v>2252916</v>
      </c>
      <c r="L5" s="116">
        <v>9339</v>
      </c>
      <c r="M5" s="195">
        <v>4.9345111178799875E-2</v>
      </c>
      <c r="N5" s="195">
        <v>8.1712393741761646E-2</v>
      </c>
      <c r="O5" s="195">
        <v>3.9162912892749951E-2</v>
      </c>
      <c r="P5" s="195">
        <v>2.5859685000294481E-4</v>
      </c>
      <c r="R5" s="223" t="s">
        <v>39</v>
      </c>
      <c r="S5" s="207">
        <f>COUNTIFS(Scoreboard_3[Role],R5,Scoreboard_3[Team],"Yellow")</f>
        <v>7</v>
      </c>
      <c r="T5" s="219">
        <f>COUNTIFS(Scoreboard_3[Role],R5,Scoreboard_3[Team],"Red")</f>
        <v>10</v>
      </c>
      <c r="V5" s="204" t="str">
        <f ca="1">IFERROR(__xludf.DUMMYFUNCTION("""COMPUTED_VALUE"""),"Rarkar")</f>
        <v>Rarkar</v>
      </c>
      <c r="W5" s="116">
        <f ca="1">IFERROR(__xludf.DUMMYFUNCTION("""COMPUTED_VALUE"""),180)</f>
        <v>180</v>
      </c>
      <c r="Y5" s="204" t="str">
        <f ca="1">IFERROR(__xludf.DUMMYFUNCTION("""COMPUTED_VALUE"""),"Adversed")</f>
        <v>Adversed</v>
      </c>
      <c r="Z5" s="116">
        <f ca="1">IFERROR(__xludf.DUMMYFUNCTION("""COMPUTED_VALUE"""),5652329)</f>
        <v>5652329</v>
      </c>
    </row>
    <row r="6" spans="1:26" ht="22.5" customHeight="1">
      <c r="A6" s="115">
        <v>14</v>
      </c>
      <c r="B6" s="115" t="s">
        <v>39</v>
      </c>
      <c r="C6" s="115" t="s">
        <v>32</v>
      </c>
      <c r="D6" s="115" t="s">
        <v>16</v>
      </c>
      <c r="E6" s="98" t="s">
        <v>112</v>
      </c>
      <c r="F6" s="115" t="s">
        <v>476</v>
      </c>
      <c r="G6" s="115">
        <v>33</v>
      </c>
      <c r="H6" s="115">
        <v>121</v>
      </c>
      <c r="I6" s="194">
        <v>154</v>
      </c>
      <c r="J6" s="116">
        <v>6427578</v>
      </c>
      <c r="K6" s="116">
        <v>1851291</v>
      </c>
      <c r="L6" s="116">
        <v>14004</v>
      </c>
      <c r="M6" s="195">
        <v>6.6009429918559792E-2</v>
      </c>
      <c r="N6" s="195">
        <v>0.11240195507603255</v>
      </c>
      <c r="O6" s="195">
        <v>2.7464841701425026E-2</v>
      </c>
      <c r="P6" s="195">
        <v>3.3655727193462274E-4</v>
      </c>
      <c r="R6" s="223" t="s">
        <v>67</v>
      </c>
      <c r="S6" s="207">
        <f>COUNTIFS(Scoreboard_3[Role],R6,Scoreboard_3[Team],"Yellow")</f>
        <v>15</v>
      </c>
      <c r="T6" s="219">
        <f>COUNTIFS(Scoreboard_3[Role],R6,Scoreboard_3[Team],"Red")</f>
        <v>14</v>
      </c>
      <c r="V6" s="204" t="str">
        <f ca="1">IFERROR(__xludf.DUMMYFUNCTION("""COMPUTED_VALUE"""),"Baozer")</f>
        <v>Baozer</v>
      </c>
      <c r="W6" s="116">
        <f ca="1">IFERROR(__xludf.DUMMYFUNCTION("""COMPUTED_VALUE"""),173)</f>
        <v>173</v>
      </c>
      <c r="Y6" s="204" t="str">
        <f ca="1">IFERROR(__xludf.DUMMYFUNCTION("""COMPUTED_VALUE"""),"Nengja")</f>
        <v>Nengja</v>
      </c>
      <c r="Z6" s="116">
        <f ca="1">IFERROR(__xludf.DUMMYFUNCTION("""COMPUTED_VALUE"""),4747656)</f>
        <v>4747656</v>
      </c>
    </row>
    <row r="7" spans="1:26" ht="22.5" customHeight="1">
      <c r="A7" s="115">
        <v>6</v>
      </c>
      <c r="B7" s="115" t="s">
        <v>25</v>
      </c>
      <c r="C7" s="115" t="s">
        <v>23</v>
      </c>
      <c r="D7" s="115" t="s">
        <v>7</v>
      </c>
      <c r="E7" s="98" t="s">
        <v>912</v>
      </c>
      <c r="F7" s="115" t="s">
        <v>483</v>
      </c>
      <c r="G7" s="115">
        <v>44</v>
      </c>
      <c r="H7" s="115">
        <v>100</v>
      </c>
      <c r="I7" s="194">
        <v>144</v>
      </c>
      <c r="J7" s="116">
        <v>3341730</v>
      </c>
      <c r="K7" s="116">
        <v>1988860</v>
      </c>
      <c r="L7" s="116">
        <v>61259</v>
      </c>
      <c r="M7" s="195">
        <v>4.3862321047822117E-2</v>
      </c>
      <c r="N7" s="195">
        <v>4.8309423874416578E-2</v>
      </c>
      <c r="O7" s="195">
        <v>3.4572771881363831E-2</v>
      </c>
      <c r="P7" s="195">
        <v>1.696261316450412E-3</v>
      </c>
      <c r="R7" s="223" t="s">
        <v>11</v>
      </c>
      <c r="S7" s="207">
        <f>COUNTIFS(Scoreboard_3[Role],R7,Scoreboard_3[Team],"Yellow")</f>
        <v>17</v>
      </c>
      <c r="T7" s="219">
        <f>COUNTIFS(Scoreboard_3[Role],R7,Scoreboard_3[Team],"Red")</f>
        <v>16</v>
      </c>
      <c r="V7" s="204" t="str">
        <f ca="1">IFERROR(__xludf.DUMMYFUNCTION("""COMPUTED_VALUE"""),"Adversed")</f>
        <v>Adversed</v>
      </c>
      <c r="W7" s="116">
        <f ca="1">IFERROR(__xludf.DUMMYFUNCTION("""COMPUTED_VALUE"""),162)</f>
        <v>162</v>
      </c>
      <c r="Y7" s="204" t="str">
        <f ca="1">IFERROR(__xludf.DUMMYFUNCTION("""COMPUTED_VALUE"""),"AyoJohn")</f>
        <v>AyoJohn</v>
      </c>
      <c r="Z7" s="116">
        <f ca="1">IFERROR(__xludf.DUMMYFUNCTION("""COMPUTED_VALUE"""),4742913)</f>
        <v>4742913</v>
      </c>
    </row>
    <row r="8" spans="1:26" ht="22.5" customHeight="1">
      <c r="A8" s="115">
        <v>3</v>
      </c>
      <c r="B8" s="115" t="s">
        <v>39</v>
      </c>
      <c r="C8" s="115" t="s">
        <v>45</v>
      </c>
      <c r="D8" s="115" t="s">
        <v>7</v>
      </c>
      <c r="E8" s="98" t="s">
        <v>84</v>
      </c>
      <c r="F8" s="115" t="s">
        <v>483</v>
      </c>
      <c r="G8" s="115">
        <v>50</v>
      </c>
      <c r="H8" s="115">
        <v>90</v>
      </c>
      <c r="I8" s="194">
        <v>140</v>
      </c>
      <c r="J8" s="116">
        <v>4747656</v>
      </c>
      <c r="K8" s="116">
        <v>1158050</v>
      </c>
      <c r="L8" s="116">
        <v>45569</v>
      </c>
      <c r="M8" s="195">
        <v>4.2643923240938165E-2</v>
      </c>
      <c r="N8" s="195">
        <v>6.863406861533311E-2</v>
      </c>
      <c r="O8" s="195">
        <v>2.0130626830050073E-2</v>
      </c>
      <c r="P8" s="195">
        <v>1.2618053172485484E-3</v>
      </c>
      <c r="R8" s="223" t="s">
        <v>468</v>
      </c>
      <c r="S8" s="207">
        <f>SUMIFS(Scoreboard_3[Damage Dealt],Scoreboard_3[Team],"Yellow")</f>
        <v>57183863</v>
      </c>
      <c r="T8" s="219">
        <f>SUMIFS(Scoreboard_3[Damage Dealt],Scoreboard_3[Team],"Red")</f>
        <v>69173460</v>
      </c>
      <c r="V8" s="204" t="str">
        <f ca="1">IFERROR(__xludf.DUMMYFUNCTION("""COMPUTED_VALUE"""),"TOKUL")</f>
        <v>TOKUL</v>
      </c>
      <c r="W8" s="116">
        <f ca="1">IFERROR(__xludf.DUMMYFUNCTION("""COMPUTED_VALUE"""),154)</f>
        <v>154</v>
      </c>
      <c r="Y8" s="204" t="str">
        <f ca="1">IFERROR(__xludf.DUMMYFUNCTION("""COMPUTED_VALUE"""),"Blee")</f>
        <v>Blee</v>
      </c>
      <c r="Z8" s="116">
        <f ca="1">IFERROR(__xludf.DUMMYFUNCTION("""COMPUTED_VALUE"""),4635634)</f>
        <v>4635634</v>
      </c>
    </row>
    <row r="9" spans="1:26" ht="22.5" customHeight="1">
      <c r="A9" s="115">
        <v>7</v>
      </c>
      <c r="B9" s="115" t="s">
        <v>25</v>
      </c>
      <c r="C9" s="115" t="s">
        <v>24</v>
      </c>
      <c r="D9" s="115" t="s">
        <v>16</v>
      </c>
      <c r="E9" s="98" t="s">
        <v>90</v>
      </c>
      <c r="F9" s="115" t="s">
        <v>476</v>
      </c>
      <c r="G9" s="115">
        <v>43</v>
      </c>
      <c r="H9" s="115">
        <v>86</v>
      </c>
      <c r="I9" s="194">
        <v>129</v>
      </c>
      <c r="J9" s="116">
        <v>4485973</v>
      </c>
      <c r="K9" s="116">
        <v>1706365</v>
      </c>
      <c r="L9" s="116">
        <v>55358</v>
      </c>
      <c r="M9" s="195">
        <v>5.5293613373339046E-2</v>
      </c>
      <c r="N9" s="195">
        <v>7.8448232851984837E-2</v>
      </c>
      <c r="O9" s="195">
        <v>2.5314790926900262E-2</v>
      </c>
      <c r="P9" s="195">
        <v>1.3304154141500174E-3</v>
      </c>
      <c r="R9" s="223" t="s">
        <v>470</v>
      </c>
      <c r="S9" s="207">
        <f>SUMIFS(Scoreboard_3[Amount Healed],Scoreboard_3[Team],"Yellow")</f>
        <v>41609560</v>
      </c>
      <c r="T9" s="219">
        <f>SUMIFS(Scoreboard_3[Amount Healed],Scoreboard_3[Team],"Red")</f>
        <v>36114129</v>
      </c>
      <c r="V9" s="204" t="str">
        <f ca="1">IFERROR(__xludf.DUMMYFUNCTION("""COMPUTED_VALUE"""),"Fadeãµã¡")</f>
        <v>Fadeãµã¡</v>
      </c>
      <c r="W9" s="116">
        <f ca="1">IFERROR(__xludf.DUMMYFUNCTION("""COMPUTED_VALUE"""),144)</f>
        <v>144</v>
      </c>
      <c r="Y9" s="204" t="str">
        <f ca="1">IFERROR(__xludf.DUMMYFUNCTION("""COMPUTED_VALUE"""),"Prefire")</f>
        <v>Prefire</v>
      </c>
      <c r="Z9" s="116">
        <f ca="1">IFERROR(__xludf.DUMMYFUNCTION("""COMPUTED_VALUE"""),4485973)</f>
        <v>4485973</v>
      </c>
    </row>
    <row r="10" spans="1:26" ht="22.5" customHeight="1">
      <c r="A10" s="115">
        <v>15</v>
      </c>
      <c r="B10" s="115" t="s">
        <v>25</v>
      </c>
      <c r="C10" s="115" t="s">
        <v>23</v>
      </c>
      <c r="D10" s="115" t="s">
        <v>7</v>
      </c>
      <c r="E10" s="98" t="s">
        <v>850</v>
      </c>
      <c r="F10" s="115" t="s">
        <v>483</v>
      </c>
      <c r="G10" s="115">
        <v>33</v>
      </c>
      <c r="H10" s="115">
        <v>92</v>
      </c>
      <c r="I10" s="194">
        <v>125</v>
      </c>
      <c r="J10" s="116">
        <v>3739077</v>
      </c>
      <c r="K10" s="116">
        <v>1629268</v>
      </c>
      <c r="L10" s="116">
        <v>42462</v>
      </c>
      <c r="M10" s="195">
        <v>3.8074931465123363E-2</v>
      </c>
      <c r="N10" s="195">
        <v>5.4053635599549309E-2</v>
      </c>
      <c r="O10" s="195">
        <v>2.8321908479031144E-2</v>
      </c>
      <c r="P10" s="195">
        <v>1.1757725072090205E-3</v>
      </c>
      <c r="R10" s="223" t="s">
        <v>469</v>
      </c>
      <c r="S10" s="207">
        <f>SUMIFS(Scoreboard_3[Damage Taken],Scoreboard_3[Team],"Yellow")</f>
        <v>67405850</v>
      </c>
      <c r="T10" s="219">
        <f>SUMIFS(Scoreboard_3[Damage Taken],Scoreboard_3[Team],"Red")</f>
        <v>57526773</v>
      </c>
      <c r="V10" s="204" t="str">
        <f ca="1">IFERROR(__xludf.DUMMYFUNCTION("""COMPUTED_VALUE"""),"Nengja")</f>
        <v>Nengja</v>
      </c>
      <c r="W10" s="116">
        <f ca="1">IFERROR(__xludf.DUMMYFUNCTION("""COMPUTED_VALUE"""),140)</f>
        <v>140</v>
      </c>
      <c r="Y10" s="204" t="str">
        <f ca="1">IFERROR(__xludf.DUMMYFUNCTION("""COMPUTED_VALUE"""),"Rarkar")</f>
        <v>Rarkar</v>
      </c>
      <c r="Z10" s="116">
        <f ca="1">IFERROR(__xludf.DUMMYFUNCTION("""COMPUTED_VALUE"""),4458508)</f>
        <v>4458508</v>
      </c>
    </row>
    <row r="11" spans="1:26" ht="22.5" customHeight="1">
      <c r="A11" s="115">
        <v>17</v>
      </c>
      <c r="B11" s="115" t="s">
        <v>39</v>
      </c>
      <c r="C11" s="115" t="s">
        <v>32</v>
      </c>
      <c r="D11" s="115" t="s">
        <v>16</v>
      </c>
      <c r="E11" s="98" t="s">
        <v>250</v>
      </c>
      <c r="F11" s="115" t="s">
        <v>476</v>
      </c>
      <c r="G11" s="115">
        <v>26</v>
      </c>
      <c r="H11" s="115">
        <v>92</v>
      </c>
      <c r="I11" s="194">
        <v>118</v>
      </c>
      <c r="J11" s="116">
        <v>4742913</v>
      </c>
      <c r="K11" s="116">
        <v>1156322</v>
      </c>
      <c r="L11" s="116">
        <v>0</v>
      </c>
      <c r="M11" s="195">
        <v>5.0578654093441922E-2</v>
      </c>
      <c r="N11" s="195">
        <v>8.2941458502025306E-2</v>
      </c>
      <c r="O11" s="195">
        <v>1.715462381974265E-2</v>
      </c>
      <c r="P11" s="195">
        <v>0</v>
      </c>
      <c r="R11" s="223" t="s">
        <v>495</v>
      </c>
      <c r="S11" s="207">
        <f ca="1">IFERROR(DIVIDE(SUMIFS(Scoreboard_3[Amount Healed],Scoreboard_3[Team],"Yellow"), SUMIFS(Scoreboard_3[Damage Taken],Scoreboard_3[Team],"Yellow"))*(100),0)</f>
        <v>0</v>
      </c>
      <c r="T11" s="219">
        <f ca="1">IFERROR(DIVIDE(SUMIFS(Scoreboard_3[Amount Healed],Scoreboard_3[Team],"Red"), SUMIFS(Scoreboard_3[Damage Taken],Scoreboard_3[Team],"Red"))*(100),0)</f>
        <v>0</v>
      </c>
      <c r="V11" s="204" t="str">
        <f ca="1">IFERROR(__xludf.DUMMYFUNCTION("""COMPUTED_VALUE"""),"Prefire")</f>
        <v>Prefire</v>
      </c>
      <c r="W11" s="116">
        <f ca="1">IFERROR(__xludf.DUMMYFUNCTION("""COMPUTED_VALUE"""),129)</f>
        <v>129</v>
      </c>
      <c r="Y11" s="204" t="str">
        <f ca="1">IFERROR(__xludf.DUMMYFUNCTION("""COMPUTED_VALUE"""),"Ashãƒ„Chaos")</f>
        <v>Ashãƒ„Chaos</v>
      </c>
      <c r="Z11" s="116">
        <f ca="1">IFERROR(__xludf.DUMMYFUNCTION("""COMPUTED_VALUE"""),4013876)</f>
        <v>4013876</v>
      </c>
    </row>
    <row r="12" spans="1:26" ht="22.5" customHeight="1">
      <c r="A12" s="115">
        <v>12</v>
      </c>
      <c r="B12" s="115" t="s">
        <v>25</v>
      </c>
      <c r="C12" s="115" t="s">
        <v>24</v>
      </c>
      <c r="D12" s="115" t="s">
        <v>7</v>
      </c>
      <c r="E12" s="98" t="s">
        <v>169</v>
      </c>
      <c r="F12" s="115" t="s">
        <v>483</v>
      </c>
      <c r="G12" s="115">
        <v>35</v>
      </c>
      <c r="H12" s="115">
        <v>80</v>
      </c>
      <c r="I12" s="194">
        <v>115</v>
      </c>
      <c r="J12" s="116">
        <v>3345222</v>
      </c>
      <c r="K12" s="116">
        <v>1410567</v>
      </c>
      <c r="L12" s="116">
        <v>37078</v>
      </c>
      <c r="M12" s="195">
        <v>3.5028936947913494E-2</v>
      </c>
      <c r="N12" s="195">
        <v>4.8359905663241366E-2</v>
      </c>
      <c r="O12" s="195">
        <v>2.4520182976368238E-2</v>
      </c>
      <c r="P12" s="195">
        <v>1.0266895817977501E-3</v>
      </c>
      <c r="R12" s="223" t="s">
        <v>465</v>
      </c>
      <c r="S12" s="207">
        <f>SUMIFS(Scoreboard_3[Kills],Scoreboard_3[Team],"Yellow")</f>
        <v>458</v>
      </c>
      <c r="T12" s="219">
        <f>SUMIFS(Scoreboard_3[Kills],Scoreboard_3[Team],"Red")</f>
        <v>633</v>
      </c>
      <c r="V12" s="204" t="str">
        <f ca="1">IFERROR(__xludf.DUMMYFUNCTION("""COMPUTED_VALUE"""),"KyurleZ")</f>
        <v>KyurleZ</v>
      </c>
      <c r="W12" s="116">
        <f ca="1">IFERROR(__xludf.DUMMYFUNCTION("""COMPUTED_VALUE"""),125)</f>
        <v>125</v>
      </c>
      <c r="Y12" s="204" t="str">
        <f ca="1">IFERROR(__xludf.DUMMYFUNCTION("""COMPUTED_VALUE"""),"Baozer")</f>
        <v>Baozer</v>
      </c>
      <c r="Z12" s="116">
        <f ca="1">IFERROR(__xludf.DUMMYFUNCTION("""COMPUTED_VALUE"""),3914322)</f>
        <v>3914322</v>
      </c>
    </row>
    <row r="13" spans="1:26" ht="22.5" customHeight="1">
      <c r="A13" s="115">
        <v>5</v>
      </c>
      <c r="B13" s="115" t="s">
        <v>25</v>
      </c>
      <c r="C13" s="115" t="s">
        <v>69</v>
      </c>
      <c r="D13" s="115" t="s">
        <v>7</v>
      </c>
      <c r="E13" s="98" t="s">
        <v>98</v>
      </c>
      <c r="F13" s="115" t="s">
        <v>483</v>
      </c>
      <c r="G13" s="115">
        <v>46</v>
      </c>
      <c r="H13" s="115">
        <v>62</v>
      </c>
      <c r="I13" s="194">
        <v>108</v>
      </c>
      <c r="J13" s="116">
        <v>2806347</v>
      </c>
      <c r="K13" s="116">
        <v>1279877</v>
      </c>
      <c r="L13" s="116">
        <v>39286</v>
      </c>
      <c r="M13" s="195">
        <v>3.2896740785866588E-2</v>
      </c>
      <c r="N13" s="195">
        <v>4.0569706936735561E-2</v>
      </c>
      <c r="O13" s="195">
        <v>2.2248371206220797E-2</v>
      </c>
      <c r="P13" s="195">
        <v>1.0878290876127734E-3</v>
      </c>
      <c r="R13" s="223" t="s">
        <v>466</v>
      </c>
      <c r="S13" s="207">
        <f>SUMIFS(Scoreboard_3[Assists],Scoreboard_3[Team],"Yellow")</f>
        <v>1875</v>
      </c>
      <c r="T13" s="219">
        <f>SUMIFS(Scoreboard_3[Assists],Scoreboard_3[Team],"Red")</f>
        <v>2650</v>
      </c>
      <c r="V13" s="204" t="str">
        <f ca="1">IFERROR(__xludf.DUMMYFUNCTION("""COMPUTED_VALUE"""),"AyoJohn")</f>
        <v>AyoJohn</v>
      </c>
      <c r="W13" s="116">
        <f ca="1">IFERROR(__xludf.DUMMYFUNCTION("""COMPUTED_VALUE"""),118)</f>
        <v>118</v>
      </c>
      <c r="Y13" s="204" t="str">
        <f ca="1">IFERROR(__xludf.DUMMYFUNCTION("""COMPUTED_VALUE"""),"KyurleZ")</f>
        <v>KyurleZ</v>
      </c>
      <c r="Z13" s="116">
        <f ca="1">IFERROR(__xludf.DUMMYFUNCTION("""COMPUTED_VALUE"""),3739077)</f>
        <v>3739077</v>
      </c>
    </row>
    <row r="14" spans="1:26" ht="22.5" customHeight="1">
      <c r="A14" s="115">
        <v>25</v>
      </c>
      <c r="B14" s="115" t="s">
        <v>39</v>
      </c>
      <c r="C14" s="115" t="s">
        <v>32</v>
      </c>
      <c r="D14" s="115" t="s">
        <v>7</v>
      </c>
      <c r="E14" s="98" t="s">
        <v>877</v>
      </c>
      <c r="F14" s="115" t="s">
        <v>483</v>
      </c>
      <c r="G14" s="115">
        <v>17</v>
      </c>
      <c r="H14" s="115">
        <v>81</v>
      </c>
      <c r="I14" s="194">
        <v>98</v>
      </c>
      <c r="J14" s="116">
        <v>2737523</v>
      </c>
      <c r="K14" s="116">
        <v>1164657</v>
      </c>
      <c r="L14" s="116">
        <v>9378</v>
      </c>
      <c r="M14" s="195">
        <v>2.9850746268656716E-2</v>
      </c>
      <c r="N14" s="195">
        <v>3.9574758874285021E-2</v>
      </c>
      <c r="O14" s="195">
        <v>2.0245477701313092E-2</v>
      </c>
      <c r="P14" s="195">
        <v>2.5967675975239497E-4</v>
      </c>
    </row>
    <row r="15" spans="1:26" ht="22.5" customHeight="1">
      <c r="A15" s="115">
        <v>18</v>
      </c>
      <c r="B15" s="115" t="s">
        <v>25</v>
      </c>
      <c r="C15" s="115" t="s">
        <v>24</v>
      </c>
      <c r="D15" s="115" t="s">
        <v>16</v>
      </c>
      <c r="E15" s="98" t="s">
        <v>1010</v>
      </c>
      <c r="F15" s="115" t="s">
        <v>476</v>
      </c>
      <c r="G15" s="115">
        <v>25</v>
      </c>
      <c r="H15" s="115">
        <v>72</v>
      </c>
      <c r="I15" s="194">
        <v>97</v>
      </c>
      <c r="J15" s="116">
        <v>2689822</v>
      </c>
      <c r="K15" s="116">
        <v>1452573</v>
      </c>
      <c r="L15" s="116">
        <v>32219</v>
      </c>
      <c r="M15" s="195">
        <v>4.1577368195456495E-2</v>
      </c>
      <c r="N15" s="195">
        <v>4.7038130320086982E-2</v>
      </c>
      <c r="O15" s="195">
        <v>2.1549657781928425E-2</v>
      </c>
      <c r="P15" s="195">
        <v>7.7431724824775846E-4</v>
      </c>
      <c r="R15" s="232" t="s">
        <v>25</v>
      </c>
      <c r="S15" s="228"/>
      <c r="T15" s="228"/>
      <c r="V15" s="233" t="s">
        <v>496</v>
      </c>
      <c r="W15" s="228"/>
      <c r="Y15" s="233" t="s">
        <v>497</v>
      </c>
      <c r="Z15" s="228"/>
    </row>
    <row r="16" spans="1:26" ht="22.5" customHeight="1">
      <c r="A16" s="115">
        <v>26</v>
      </c>
      <c r="B16" s="115" t="s">
        <v>39</v>
      </c>
      <c r="C16" s="115" t="s">
        <v>32</v>
      </c>
      <c r="D16" s="115" t="s">
        <v>16</v>
      </c>
      <c r="E16" s="98" t="s">
        <v>937</v>
      </c>
      <c r="F16" s="115" t="s">
        <v>476</v>
      </c>
      <c r="G16" s="115">
        <v>17</v>
      </c>
      <c r="H16" s="115">
        <v>80</v>
      </c>
      <c r="I16" s="194">
        <v>97</v>
      </c>
      <c r="J16" s="116">
        <v>4013876</v>
      </c>
      <c r="K16" s="116">
        <v>1804064</v>
      </c>
      <c r="L16" s="116">
        <v>11463</v>
      </c>
      <c r="M16" s="195">
        <v>4.1577368195456495E-2</v>
      </c>
      <c r="N16" s="195">
        <v>7.0192459715427064E-2</v>
      </c>
      <c r="O16" s="195">
        <v>2.6764205183971421E-2</v>
      </c>
      <c r="P16" s="195">
        <v>2.754895749919009E-4</v>
      </c>
      <c r="R16" s="190" t="s">
        <v>482</v>
      </c>
      <c r="S16" s="222" t="s">
        <v>476</v>
      </c>
      <c r="T16" s="222" t="s">
        <v>483</v>
      </c>
      <c r="V16" s="199" t="s">
        <v>1</v>
      </c>
      <c r="W16" s="200" t="s">
        <v>498</v>
      </c>
      <c r="Y16" s="199" t="s">
        <v>1</v>
      </c>
      <c r="Z16" s="200" t="s">
        <v>499</v>
      </c>
    </row>
    <row r="17" spans="1:26" ht="22.5" customHeight="1">
      <c r="A17" s="115">
        <v>29</v>
      </c>
      <c r="B17" s="115" t="s">
        <v>39</v>
      </c>
      <c r="C17" s="115" t="s">
        <v>56</v>
      </c>
      <c r="D17" s="115" t="s">
        <v>7</v>
      </c>
      <c r="E17" s="98" t="s">
        <v>854</v>
      </c>
      <c r="F17" s="115" t="s">
        <v>483</v>
      </c>
      <c r="G17" s="115">
        <v>16</v>
      </c>
      <c r="H17" s="115">
        <v>80</v>
      </c>
      <c r="I17" s="194">
        <v>96</v>
      </c>
      <c r="J17" s="116">
        <v>2695528</v>
      </c>
      <c r="K17" s="116">
        <v>1539563</v>
      </c>
      <c r="L17" s="116">
        <v>56188</v>
      </c>
      <c r="M17" s="195">
        <v>2.9241547365214744E-2</v>
      </c>
      <c r="N17" s="195">
        <v>3.896766187494452E-2</v>
      </c>
      <c r="O17" s="195">
        <v>2.6762547588059564E-2</v>
      </c>
      <c r="P17" s="195">
        <v>1.5558453590283183E-3</v>
      </c>
      <c r="R17" s="223" t="s">
        <v>468</v>
      </c>
      <c r="S17" s="207">
        <f>SUMIFS(Scoreboard_3[Damage Dealt],Scoreboard_3[Role],"Melee DPS",Scoreboard_3[Team],"Yellow")</f>
        <v>22253373</v>
      </c>
      <c r="T17" s="219">
        <f>SUMIFS(Scoreboard_3[Damage Dealt],Scoreboard_3[Role],"Melee DPS",Scoreboard_3[Team],"Red")</f>
        <v>28551736</v>
      </c>
      <c r="V17" s="204" t="str">
        <f ca="1">IFERROR(__xludf.DUMMYFUNCTION("query(A1:P239, ""Select E,K Order by K Desc Limit 10"", 0)"),"Zyrwolf")</f>
        <v>Zyrwolf</v>
      </c>
      <c r="W17" s="116">
        <f ca="1">IFERROR(__xludf.DUMMYFUNCTION("""COMPUTED_VALUE"""),2583418)</f>
        <v>2583418</v>
      </c>
      <c r="Y17" s="204" t="str">
        <f ca="1">IFERROR(__xludf.DUMMYFUNCTION("query(A1:P239, ""Select E,L Order by L Desc Limit 10"", 0)"),"Zyrwolf")</f>
        <v>Zyrwolf</v>
      </c>
      <c r="Z17" s="116">
        <f ca="1">IFERROR(__xludf.DUMMYFUNCTION("""COMPUTED_VALUE"""),3957853)</f>
        <v>3957853</v>
      </c>
    </row>
    <row r="18" spans="1:26" ht="22.5" customHeight="1">
      <c r="A18" s="115">
        <v>51</v>
      </c>
      <c r="B18" s="115" t="s">
        <v>11</v>
      </c>
      <c r="C18" s="115" t="s">
        <v>10</v>
      </c>
      <c r="D18" s="115" t="s">
        <v>7</v>
      </c>
      <c r="E18" s="98" t="s">
        <v>998</v>
      </c>
      <c r="F18" s="115" t="s">
        <v>483</v>
      </c>
      <c r="G18" s="115">
        <v>1</v>
      </c>
      <c r="H18" s="115">
        <v>94</v>
      </c>
      <c r="I18" s="194">
        <v>95</v>
      </c>
      <c r="J18" s="116">
        <v>1507444</v>
      </c>
      <c r="K18" s="116">
        <v>1199662</v>
      </c>
      <c r="L18" s="116">
        <v>1929008</v>
      </c>
      <c r="M18" s="195">
        <v>2.8936947913493757E-2</v>
      </c>
      <c r="N18" s="195">
        <v>2.1792230719700878E-2</v>
      </c>
      <c r="O18" s="195">
        <v>2.0853976982160984E-2</v>
      </c>
      <c r="P18" s="195">
        <v>5.3414219127367019E-2</v>
      </c>
      <c r="R18" s="223" t="s">
        <v>469</v>
      </c>
      <c r="S18" s="207">
        <f>SUMIFS(Scoreboard_3[Damage Taken],Scoreboard_3[Role],"Melee DPS",Scoreboard_3[Team],"Yellow")</f>
        <v>13638754</v>
      </c>
      <c r="T18" s="219">
        <f>SUMIFS(Scoreboard_3[Damage Taken],Scoreboard_3[Role],"Melee DPS",Scoreboard_3[Team],"Red")</f>
        <v>12649378</v>
      </c>
      <c r="V18" s="204" t="str">
        <f ca="1">IFERROR(__xludf.DUMMYFUNCTION("""COMPUTED_VALUE"""),"Adversed")</f>
        <v>Adversed</v>
      </c>
      <c r="W18" s="116">
        <f ca="1">IFERROR(__xludf.DUMMYFUNCTION("""COMPUTED_VALUE"""),2252916)</f>
        <v>2252916</v>
      </c>
      <c r="Y18" s="204" t="str">
        <f ca="1">IFERROR(__xludf.DUMMYFUNCTION("""COMPUTED_VALUE"""),"Rumiho")</f>
        <v>Rumiho</v>
      </c>
      <c r="Z18" s="116">
        <f ca="1">IFERROR(__xludf.DUMMYFUNCTION("""COMPUTED_VALUE"""),3177232)</f>
        <v>3177232</v>
      </c>
    </row>
    <row r="19" spans="1:26" ht="22.5" customHeight="1">
      <c r="A19" s="115">
        <v>69</v>
      </c>
      <c r="B19" s="115" t="s">
        <v>11</v>
      </c>
      <c r="C19" s="115" t="s">
        <v>10</v>
      </c>
      <c r="D19" s="115" t="s">
        <v>7</v>
      </c>
      <c r="E19" s="98" t="s">
        <v>1011</v>
      </c>
      <c r="F19" s="115" t="s">
        <v>483</v>
      </c>
      <c r="G19" s="115">
        <v>0</v>
      </c>
      <c r="H19" s="115">
        <v>93</v>
      </c>
      <c r="I19" s="194">
        <v>93</v>
      </c>
      <c r="J19" s="116">
        <v>263156</v>
      </c>
      <c r="K19" s="116">
        <v>880340</v>
      </c>
      <c r="L19" s="116">
        <v>2478932</v>
      </c>
      <c r="M19" s="195">
        <v>2.8327749010051782E-2</v>
      </c>
      <c r="N19" s="195">
        <v>3.8042914146552737E-3</v>
      </c>
      <c r="O19" s="195">
        <v>1.5303135463551901E-2</v>
      </c>
      <c r="P19" s="195">
        <v>6.8641611154459797E-2</v>
      </c>
      <c r="R19" s="223" t="s">
        <v>470</v>
      </c>
      <c r="S19" s="207">
        <f>SUMIFS(Scoreboard_3[Amount Healed],Scoreboard_3[Role],"Melee DPS",Scoreboard_3[Team],"Yellow")</f>
        <v>729034</v>
      </c>
      <c r="T19" s="219">
        <f>SUMIFS(Scoreboard_3[Amount Healed],Scoreboard_3[Role],"Melee DPS",Scoreboard_3[Team],"Red")</f>
        <v>440845</v>
      </c>
      <c r="V19" s="204" t="str">
        <f ca="1">IFERROR(__xludf.DUMMYFUNCTION("""COMPUTED_VALUE"""),"Klappincheekz")</f>
        <v>Klappincheekz</v>
      </c>
      <c r="W19" s="116">
        <f ca="1">IFERROR(__xludf.DUMMYFUNCTION("""COMPUTED_VALUE"""),2077512)</f>
        <v>2077512</v>
      </c>
      <c r="Y19" s="204" t="str">
        <f ca="1">IFERROR(__xludf.DUMMYFUNCTION("""COMPUTED_VALUE"""),"sojuÂ·")</f>
        <v>sojuÂ·</v>
      </c>
      <c r="Z19" s="116">
        <f ca="1">IFERROR(__xludf.DUMMYFUNCTION("""COMPUTED_VALUE"""),2914449)</f>
        <v>2914449</v>
      </c>
    </row>
    <row r="20" spans="1:26" ht="22.5" customHeight="1">
      <c r="A20" s="115">
        <v>19</v>
      </c>
      <c r="B20" s="115" t="s">
        <v>39</v>
      </c>
      <c r="C20" s="115" t="s">
        <v>52</v>
      </c>
      <c r="D20" s="115" t="s">
        <v>7</v>
      </c>
      <c r="E20" s="98" t="s">
        <v>66</v>
      </c>
      <c r="F20" s="115" t="s">
        <v>483</v>
      </c>
      <c r="G20" s="115">
        <v>23</v>
      </c>
      <c r="H20" s="115">
        <v>69</v>
      </c>
      <c r="I20" s="194">
        <v>92</v>
      </c>
      <c r="J20" s="116">
        <v>2661745</v>
      </c>
      <c r="K20" s="116">
        <v>881941</v>
      </c>
      <c r="L20" s="116">
        <v>496015</v>
      </c>
      <c r="M20" s="195">
        <v>2.8023149558330795E-2</v>
      </c>
      <c r="N20" s="195">
        <v>3.8479280926528761E-2</v>
      </c>
      <c r="O20" s="195">
        <v>1.5330965983438702E-2</v>
      </c>
      <c r="P20" s="195">
        <v>1.3734652163423351E-2</v>
      </c>
      <c r="R20" s="223" t="s">
        <v>465</v>
      </c>
      <c r="S20" s="207">
        <f>SUMIFS(Scoreboard_3[Kills],Scoreboard_3[Role],"Melee DPS",Scoreboard_3[Team],"Yellow")</f>
        <v>192</v>
      </c>
      <c r="T20" s="219">
        <f>SUMIFS(Scoreboard_3[Kills],Scoreboard_3[Role],"Melee DPS",Scoreboard_3[Team],"Red")</f>
        <v>358</v>
      </c>
      <c r="V20" s="204" t="str">
        <f ca="1">IFERROR(__xludf.DUMMYFUNCTION("""COMPUTED_VALUE"""),"edmun")</f>
        <v>edmun</v>
      </c>
      <c r="W20" s="116">
        <f ca="1">IFERROR(__xludf.DUMMYFUNCTION("""COMPUTED_VALUE"""),2054052)</f>
        <v>2054052</v>
      </c>
      <c r="Y20" s="204" t="str">
        <f ca="1">IFERROR(__xludf.DUMMYFUNCTION("""COMPUTED_VALUE"""),"Spicyparrot")</f>
        <v>Spicyparrot</v>
      </c>
      <c r="Z20" s="116">
        <f ca="1">IFERROR(__xludf.DUMMYFUNCTION("""COMPUTED_VALUE"""),2778987)</f>
        <v>2778987</v>
      </c>
    </row>
    <row r="21" spans="1:26" ht="22.5" customHeight="1">
      <c r="A21" s="115">
        <v>20</v>
      </c>
      <c r="B21" s="115" t="s">
        <v>25</v>
      </c>
      <c r="C21" s="115" t="s">
        <v>24</v>
      </c>
      <c r="D21" s="115" t="s">
        <v>16</v>
      </c>
      <c r="E21" s="98" t="s">
        <v>1012</v>
      </c>
      <c r="F21" s="115" t="s">
        <v>476</v>
      </c>
      <c r="G21" s="115">
        <v>23</v>
      </c>
      <c r="H21" s="115">
        <v>66</v>
      </c>
      <c r="I21" s="194">
        <v>89</v>
      </c>
      <c r="J21" s="116">
        <v>3094166</v>
      </c>
      <c r="K21" s="116">
        <v>1459006</v>
      </c>
      <c r="L21" s="116">
        <v>11051</v>
      </c>
      <c r="M21" s="195">
        <v>3.8148306900985855E-2</v>
      </c>
      <c r="N21" s="195">
        <v>5.4109076191652179E-2</v>
      </c>
      <c r="O21" s="195">
        <v>2.1645094602323091E-2</v>
      </c>
      <c r="P21" s="195">
        <v>2.6558800429516679E-4</v>
      </c>
      <c r="R21" s="223" t="s">
        <v>466</v>
      </c>
      <c r="S21" s="207">
        <f>SUMIFS(Scoreboard_3[Assists],Scoreboard_3[Role],"Melee DPS",Scoreboard_3[Team],"Yellow")</f>
        <v>475</v>
      </c>
      <c r="T21" s="219">
        <f>SUMIFS(Scoreboard_3[Assists],Scoreboard_3[Role],"Melee DPS",Scoreboard_3[Team],"Red")</f>
        <v>758</v>
      </c>
      <c r="V21" s="204" t="str">
        <f ca="1">IFERROR(__xludf.DUMMYFUNCTION("""COMPUTED_VALUE"""),"DrNick")</f>
        <v>DrNick</v>
      </c>
      <c r="W21" s="116">
        <f ca="1">IFERROR(__xludf.DUMMYFUNCTION("""COMPUTED_VALUE"""),2003557)</f>
        <v>2003557</v>
      </c>
      <c r="Y21" s="204" t="str">
        <f ca="1">IFERROR(__xludf.DUMMYFUNCTION("""COMPUTED_VALUE"""),"Danggdudes")</f>
        <v>Danggdudes</v>
      </c>
      <c r="Z21" s="116">
        <f ca="1">IFERROR(__xludf.DUMMYFUNCTION("""COMPUTED_VALUE"""),2664106)</f>
        <v>2664106</v>
      </c>
    </row>
    <row r="22" spans="1:26" ht="22.5" customHeight="1">
      <c r="A22" s="115">
        <v>23</v>
      </c>
      <c r="B22" s="115" t="s">
        <v>25</v>
      </c>
      <c r="C22" s="115" t="s">
        <v>23</v>
      </c>
      <c r="D22" s="115" t="s">
        <v>7</v>
      </c>
      <c r="E22" s="98" t="s">
        <v>935</v>
      </c>
      <c r="F22" s="115" t="s">
        <v>483</v>
      </c>
      <c r="G22" s="115">
        <v>19</v>
      </c>
      <c r="H22" s="115">
        <v>70</v>
      </c>
      <c r="I22" s="194">
        <v>89</v>
      </c>
      <c r="J22" s="116">
        <v>2310896</v>
      </c>
      <c r="K22" s="116">
        <v>1472292</v>
      </c>
      <c r="L22" s="116">
        <v>64612</v>
      </c>
      <c r="M22" s="195">
        <v>2.7109351203167834E-2</v>
      </c>
      <c r="N22" s="195">
        <v>3.3407263421549246E-2</v>
      </c>
      <c r="O22" s="195">
        <v>2.5593161639711651E-2</v>
      </c>
      <c r="P22" s="195">
        <v>1.7891058649095483E-3</v>
      </c>
      <c r="V22" s="204" t="str">
        <f ca="1">IFERROR(__xludf.DUMMYFUNCTION("""COMPUTED_VALUE"""),"Fadeãµã¡")</f>
        <v>Fadeãµã¡</v>
      </c>
      <c r="W22" s="116">
        <f ca="1">IFERROR(__xludf.DUMMYFUNCTION("""COMPUTED_VALUE"""),1988860)</f>
        <v>1988860</v>
      </c>
      <c r="Y22" s="204" t="str">
        <f ca="1">IFERROR(__xludf.DUMMYFUNCTION("""COMPUTED_VALUE"""),"LeafãƒŸ")</f>
        <v>LeafãƒŸ</v>
      </c>
      <c r="Z22" s="116">
        <f ca="1">IFERROR(__xludf.DUMMYFUNCTION("""COMPUTED_VALUE"""),2631910)</f>
        <v>2631910</v>
      </c>
    </row>
    <row r="23" spans="1:26" ht="22.5" customHeight="1">
      <c r="A23" s="115">
        <v>8</v>
      </c>
      <c r="B23" s="115" t="s">
        <v>39</v>
      </c>
      <c r="C23" s="115" t="s">
        <v>54</v>
      </c>
      <c r="D23" s="115" t="s">
        <v>16</v>
      </c>
      <c r="E23" s="98" t="s">
        <v>910</v>
      </c>
      <c r="F23" s="115" t="s">
        <v>476</v>
      </c>
      <c r="G23" s="115">
        <v>43</v>
      </c>
      <c r="H23" s="115">
        <v>43</v>
      </c>
      <c r="I23" s="194">
        <v>86</v>
      </c>
      <c r="J23" s="116">
        <v>2566023</v>
      </c>
      <c r="K23" s="116">
        <v>1059182</v>
      </c>
      <c r="L23" s="116">
        <v>17425</v>
      </c>
      <c r="M23" s="195">
        <v>3.6862408915559364E-2</v>
      </c>
      <c r="N23" s="195">
        <v>4.4873201378507782E-2</v>
      </c>
      <c r="O23" s="195">
        <v>1.5713502611420224E-2</v>
      </c>
      <c r="P23" s="195">
        <v>4.1877395483153393E-4</v>
      </c>
      <c r="R23" s="232" t="s">
        <v>39</v>
      </c>
      <c r="S23" s="228"/>
      <c r="T23" s="228"/>
      <c r="V23" s="204" t="str">
        <f ca="1">IFERROR(__xludf.DUMMYFUNCTION("""COMPUTED_VALUE"""),"LeafãƒŸ")</f>
        <v>LeafãƒŸ</v>
      </c>
      <c r="W23" s="116">
        <f ca="1">IFERROR(__xludf.DUMMYFUNCTION("""COMPUTED_VALUE"""),1879397)</f>
        <v>1879397</v>
      </c>
      <c r="Y23" s="204" t="str">
        <f ca="1">IFERROR(__xludf.DUMMYFUNCTION("""COMPUTED_VALUE"""),"Goddesscream")</f>
        <v>Goddesscream</v>
      </c>
      <c r="Z23" s="116">
        <f ca="1">IFERROR(__xludf.DUMMYFUNCTION("""COMPUTED_VALUE"""),2576998)</f>
        <v>2576998</v>
      </c>
    </row>
    <row r="24" spans="1:26" ht="22.5" customHeight="1">
      <c r="A24" s="115">
        <v>24</v>
      </c>
      <c r="B24" s="115" t="s">
        <v>67</v>
      </c>
      <c r="C24" s="115" t="s">
        <v>14</v>
      </c>
      <c r="D24" s="115" t="s">
        <v>7</v>
      </c>
      <c r="E24" s="98" t="s">
        <v>80</v>
      </c>
      <c r="F24" s="115" t="s">
        <v>483</v>
      </c>
      <c r="G24" s="115">
        <v>18</v>
      </c>
      <c r="H24" s="115">
        <v>67</v>
      </c>
      <c r="I24" s="194">
        <v>85</v>
      </c>
      <c r="J24" s="116">
        <v>2508353</v>
      </c>
      <c r="K24" s="116">
        <v>1137243</v>
      </c>
      <c r="L24" s="116">
        <v>0</v>
      </c>
      <c r="M24" s="195">
        <v>2.5890953396283885E-2</v>
      </c>
      <c r="N24" s="195">
        <v>3.626178305957227E-2</v>
      </c>
      <c r="O24" s="195">
        <v>1.976893437078419E-2</v>
      </c>
      <c r="P24" s="195">
        <v>0</v>
      </c>
      <c r="R24" s="190" t="s">
        <v>482</v>
      </c>
      <c r="S24" s="222" t="s">
        <v>476</v>
      </c>
      <c r="T24" s="222" t="s">
        <v>483</v>
      </c>
      <c r="V24" s="204" t="str">
        <f ca="1">IFERROR(__xludf.DUMMYFUNCTION("""COMPUTED_VALUE"""),"TOKUL")</f>
        <v>TOKUL</v>
      </c>
      <c r="W24" s="116">
        <f ca="1">IFERROR(__xludf.DUMMYFUNCTION("""COMPUTED_VALUE"""),1851291)</f>
        <v>1851291</v>
      </c>
      <c r="Y24" s="204" t="str">
        <f ca="1">IFERROR(__xludf.DUMMYFUNCTION("""COMPUTED_VALUE"""),"DrNick")</f>
        <v>DrNick</v>
      </c>
      <c r="Z24" s="116">
        <f ca="1">IFERROR(__xludf.DUMMYFUNCTION("""COMPUTED_VALUE"""),2526671)</f>
        <v>2526671</v>
      </c>
    </row>
    <row r="25" spans="1:26" ht="22.5" customHeight="1">
      <c r="A25" s="115">
        <v>52</v>
      </c>
      <c r="B25" s="115" t="s">
        <v>11</v>
      </c>
      <c r="C25" s="115" t="s">
        <v>10</v>
      </c>
      <c r="D25" s="115" t="s">
        <v>16</v>
      </c>
      <c r="E25" s="98" t="s">
        <v>49</v>
      </c>
      <c r="F25" s="115" t="s">
        <v>476</v>
      </c>
      <c r="G25" s="115">
        <v>1</v>
      </c>
      <c r="H25" s="115">
        <v>84</v>
      </c>
      <c r="I25" s="194">
        <v>85</v>
      </c>
      <c r="J25" s="116">
        <v>136704</v>
      </c>
      <c r="K25" s="116">
        <v>1349398</v>
      </c>
      <c r="L25" s="116">
        <v>2214653</v>
      </c>
      <c r="M25" s="195">
        <v>3.6433776253750536E-2</v>
      </c>
      <c r="N25" s="195">
        <v>2.3906044962369892E-3</v>
      </c>
      <c r="O25" s="195">
        <v>2.0019004285236369E-2</v>
      </c>
      <c r="P25" s="195">
        <v>5.3224619534549274E-2</v>
      </c>
      <c r="R25" s="223" t="s">
        <v>468</v>
      </c>
      <c r="S25" s="207">
        <f>SUMIFS(Scoreboard_3[Damage Dealt],Scoreboard_3[Role],"Ranged DPS",Scoreboard_3[Team],"Yellow")</f>
        <v>23930466</v>
      </c>
      <c r="T25" s="219">
        <f>SUMIFS(Scoreboard_3[Damage Dealt],Scoreboard_3[Role],"Ranged DPS",Scoreboard_3[Team],"Red")</f>
        <v>27058738</v>
      </c>
      <c r="V25" s="204" t="str">
        <f ca="1">IFERROR(__xludf.DUMMYFUNCTION("""COMPUTED_VALUE"""),"Ashãƒ„Chaos")</f>
        <v>Ashãƒ„Chaos</v>
      </c>
      <c r="W25" s="116">
        <f ca="1">IFERROR(__xludf.DUMMYFUNCTION("""COMPUTED_VALUE"""),1804064)</f>
        <v>1804064</v>
      </c>
      <c r="Y25" s="204" t="str">
        <f ca="1">IFERROR(__xludf.DUMMYFUNCTION("""COMPUTED_VALUE"""),"Teensy")</f>
        <v>Teensy</v>
      </c>
      <c r="Z25" s="116">
        <f ca="1">IFERROR(__xludf.DUMMYFUNCTION("""COMPUTED_VALUE"""),2509837)</f>
        <v>2509837</v>
      </c>
    </row>
    <row r="26" spans="1:26" ht="22.5" customHeight="1">
      <c r="A26" s="115">
        <v>13</v>
      </c>
      <c r="B26" s="115" t="s">
        <v>25</v>
      </c>
      <c r="C26" s="115" t="s">
        <v>69</v>
      </c>
      <c r="D26" s="115" t="s">
        <v>16</v>
      </c>
      <c r="E26" s="98" t="s">
        <v>68</v>
      </c>
      <c r="F26" s="115" t="s">
        <v>476</v>
      </c>
      <c r="G26" s="115">
        <v>35</v>
      </c>
      <c r="H26" s="115">
        <v>49</v>
      </c>
      <c r="I26" s="194">
        <v>84</v>
      </c>
      <c r="J26" s="116">
        <v>2509286</v>
      </c>
      <c r="K26" s="116">
        <v>1795523</v>
      </c>
      <c r="L26" s="116">
        <v>158196</v>
      </c>
      <c r="M26" s="195">
        <v>3.6005143591941707E-2</v>
      </c>
      <c r="N26" s="195">
        <v>4.3881015873306776E-2</v>
      </c>
      <c r="O26" s="195">
        <v>2.6637495113554684E-2</v>
      </c>
      <c r="P26" s="195">
        <v>3.8019147522828887E-3</v>
      </c>
      <c r="R26" s="223" t="s">
        <v>469</v>
      </c>
      <c r="S26" s="207">
        <f>SUMIFS(Scoreboard_3[Damage Taken],Scoreboard_3[Role],"Ranged DPS",Scoreboard_3[Team],"Yellow")</f>
        <v>8685995</v>
      </c>
      <c r="T26" s="219">
        <f>SUMIFS(Scoreboard_3[Damage Taken],Scoreboard_3[Role],"Ranged DPS",Scoreboard_3[Team],"Red")</f>
        <v>12727495</v>
      </c>
      <c r="V26" s="204" t="str">
        <f ca="1">IFERROR(__xludf.DUMMYFUNCTION("""COMPUTED_VALUE"""),"Jawz")</f>
        <v>Jawz</v>
      </c>
      <c r="W26" s="116">
        <f ca="1">IFERROR(__xludf.DUMMYFUNCTION("""COMPUTED_VALUE"""),1795523)</f>
        <v>1795523</v>
      </c>
      <c r="Y26" s="204" t="str">
        <f ca="1">IFERROR(__xludf.DUMMYFUNCTION("""COMPUTED_VALUE"""),"apogonzo")</f>
        <v>apogonzo</v>
      </c>
      <c r="Z26" s="116">
        <f ca="1">IFERROR(__xludf.DUMMYFUNCTION("""COMPUTED_VALUE"""),2478932)</f>
        <v>2478932</v>
      </c>
    </row>
    <row r="27" spans="1:26" ht="22.5" customHeight="1">
      <c r="A27" s="115">
        <v>53</v>
      </c>
      <c r="B27" s="115" t="s">
        <v>11</v>
      </c>
      <c r="C27" s="115" t="s">
        <v>10</v>
      </c>
      <c r="D27" s="115" t="s">
        <v>7</v>
      </c>
      <c r="E27" s="98" t="s">
        <v>102</v>
      </c>
      <c r="F27" s="115" t="s">
        <v>483</v>
      </c>
      <c r="G27" s="115">
        <v>1</v>
      </c>
      <c r="H27" s="115">
        <v>82</v>
      </c>
      <c r="I27" s="194">
        <v>83</v>
      </c>
      <c r="J27" s="116">
        <v>200002</v>
      </c>
      <c r="K27" s="116">
        <v>1206691</v>
      </c>
      <c r="L27" s="116">
        <v>2778987</v>
      </c>
      <c r="M27" s="195">
        <v>2.5281754492841913E-2</v>
      </c>
      <c r="N27" s="195">
        <v>2.891311205193437E-3</v>
      </c>
      <c r="O27" s="195">
        <v>2.0976163568222399E-2</v>
      </c>
      <c r="P27" s="195">
        <v>7.6950132176799829E-2</v>
      </c>
      <c r="R27" s="223" t="s">
        <v>470</v>
      </c>
      <c r="S27" s="207">
        <f>SUMIFS(Scoreboard_3[Amount Healed],Scoreboard_3[Role],"Ranged DPS",Scoreboard_3[Team],"Yellow")</f>
        <v>297484</v>
      </c>
      <c r="T27" s="219">
        <f>SUMIFS(Scoreboard_3[Amount Healed],Scoreboard_3[Role],"Ranged DPS",Scoreboard_3[Team],"Red")</f>
        <v>1441363</v>
      </c>
    </row>
    <row r="28" spans="1:26" ht="22.5" customHeight="1">
      <c r="A28" s="115">
        <v>70</v>
      </c>
      <c r="B28" s="115" t="s">
        <v>11</v>
      </c>
      <c r="C28" s="115" t="s">
        <v>10</v>
      </c>
      <c r="D28" s="115" t="s">
        <v>16</v>
      </c>
      <c r="E28" s="98" t="s">
        <v>907</v>
      </c>
      <c r="F28" s="115" t="s">
        <v>476</v>
      </c>
      <c r="G28" s="115">
        <v>0</v>
      </c>
      <c r="H28" s="115">
        <v>82</v>
      </c>
      <c r="I28" s="194">
        <v>82</v>
      </c>
      <c r="J28" s="116">
        <v>232603</v>
      </c>
      <c r="K28" s="116">
        <v>1333753</v>
      </c>
      <c r="L28" s="116">
        <v>2216786</v>
      </c>
      <c r="M28" s="195">
        <v>3.5147878268324044E-2</v>
      </c>
      <c r="N28" s="195">
        <v>4.067633555991137E-3</v>
      </c>
      <c r="O28" s="195">
        <v>1.9786902768824961E-2</v>
      </c>
      <c r="P28" s="195">
        <v>5.3275881792549599E-2</v>
      </c>
      <c r="R28" s="223" t="s">
        <v>465</v>
      </c>
      <c r="S28" s="207">
        <f>SUMIFS(Scoreboard_3[Kills],Scoreboard_3[Role],"Ranged DPS",Scoreboard_3[Team],"Yellow")</f>
        <v>213</v>
      </c>
      <c r="T28" s="219">
        <f>SUMIFS(Scoreboard_3[Kills],Scoreboard_3[Role],"Ranged DPS",Scoreboard_3[Team],"Red")</f>
        <v>218</v>
      </c>
    </row>
    <row r="29" spans="1:26" ht="22.5" customHeight="1">
      <c r="A29" s="115">
        <v>54</v>
      </c>
      <c r="B29" s="115" t="s">
        <v>11</v>
      </c>
      <c r="C29" s="115" t="s">
        <v>10</v>
      </c>
      <c r="D29" s="115" t="s">
        <v>16</v>
      </c>
      <c r="E29" s="98" t="s">
        <v>913</v>
      </c>
      <c r="F29" s="115" t="s">
        <v>476</v>
      </c>
      <c r="G29" s="115">
        <v>1</v>
      </c>
      <c r="H29" s="115">
        <v>78</v>
      </c>
      <c r="I29" s="194">
        <v>79</v>
      </c>
      <c r="J29" s="116">
        <v>196680</v>
      </c>
      <c r="K29" s="116">
        <v>1670749</v>
      </c>
      <c r="L29" s="116">
        <v>2914449</v>
      </c>
      <c r="M29" s="195">
        <v>3.3861980282897559E-2</v>
      </c>
      <c r="N29" s="195">
        <v>3.4394318551021989E-3</v>
      </c>
      <c r="O29" s="195">
        <v>2.4786409488197242E-2</v>
      </c>
      <c r="P29" s="195">
        <v>7.0042773824092353E-2</v>
      </c>
      <c r="R29" s="223" t="s">
        <v>466</v>
      </c>
      <c r="S29" s="207">
        <f>SUMIFS(Scoreboard_3[Assists],Scoreboard_3[Role],"Ranged DPS",Scoreboard_3[Team],"Yellow")</f>
        <v>433</v>
      </c>
      <c r="T29" s="219">
        <f>SUMIFS(Scoreboard_3[Assists],Scoreboard_3[Role],"Ranged DPS",Scoreboard_3[Team],"Red")</f>
        <v>665</v>
      </c>
    </row>
    <row r="30" spans="1:26" ht="22.5" customHeight="1">
      <c r="A30" s="115">
        <v>9</v>
      </c>
      <c r="B30" s="115" t="s">
        <v>39</v>
      </c>
      <c r="C30" s="115" t="s">
        <v>54</v>
      </c>
      <c r="D30" s="115" t="s">
        <v>16</v>
      </c>
      <c r="E30" s="98" t="s">
        <v>53</v>
      </c>
      <c r="F30" s="115" t="s">
        <v>476</v>
      </c>
      <c r="G30" s="115">
        <v>39</v>
      </c>
      <c r="H30" s="115">
        <v>37</v>
      </c>
      <c r="I30" s="194">
        <v>76</v>
      </c>
      <c r="J30" s="116">
        <v>2219497</v>
      </c>
      <c r="K30" s="116">
        <v>877483</v>
      </c>
      <c r="L30" s="116">
        <v>20984</v>
      </c>
      <c r="M30" s="195">
        <v>3.2576082297471068E-2</v>
      </c>
      <c r="N30" s="195">
        <v>3.8813344946632931E-2</v>
      </c>
      <c r="O30" s="195">
        <v>1.3017905715898545E-2</v>
      </c>
      <c r="P30" s="195">
        <v>5.0430718325307933E-4</v>
      </c>
      <c r="R30" s="6"/>
      <c r="S30" s="6"/>
      <c r="T30" s="6"/>
    </row>
    <row r="31" spans="1:26" ht="22.5" customHeight="1">
      <c r="A31" s="115">
        <v>10</v>
      </c>
      <c r="B31" s="115" t="s">
        <v>39</v>
      </c>
      <c r="C31" s="115" t="s">
        <v>54</v>
      </c>
      <c r="D31" s="115" t="s">
        <v>16</v>
      </c>
      <c r="E31" s="98" t="s">
        <v>898</v>
      </c>
      <c r="F31" s="115" t="s">
        <v>476</v>
      </c>
      <c r="G31" s="115">
        <v>38</v>
      </c>
      <c r="H31" s="115">
        <v>36</v>
      </c>
      <c r="I31" s="194">
        <v>74</v>
      </c>
      <c r="J31" s="116">
        <v>2307330</v>
      </c>
      <c r="K31" s="116">
        <v>915452</v>
      </c>
      <c r="L31" s="116">
        <v>26698</v>
      </c>
      <c r="M31" s="195">
        <v>3.1718816973853405E-2</v>
      </c>
      <c r="N31" s="195">
        <v>4.0349320226931856E-2</v>
      </c>
      <c r="O31" s="195">
        <v>1.3581195103985781E-2</v>
      </c>
      <c r="P31" s="195">
        <v>6.4163139432380444E-4</v>
      </c>
      <c r="R31" s="232" t="s">
        <v>67</v>
      </c>
      <c r="S31" s="228"/>
      <c r="T31" s="228"/>
    </row>
    <row r="32" spans="1:26" ht="22.5" customHeight="1">
      <c r="A32" s="115">
        <v>30</v>
      </c>
      <c r="B32" s="115" t="s">
        <v>67</v>
      </c>
      <c r="C32" s="115" t="s">
        <v>794</v>
      </c>
      <c r="D32" s="115" t="s">
        <v>16</v>
      </c>
      <c r="E32" s="98" t="s">
        <v>289</v>
      </c>
      <c r="F32" s="115" t="s">
        <v>476</v>
      </c>
      <c r="G32" s="115">
        <v>15</v>
      </c>
      <c r="H32" s="115">
        <v>59</v>
      </c>
      <c r="I32" s="194">
        <v>74</v>
      </c>
      <c r="J32" s="116">
        <v>1974850</v>
      </c>
      <c r="K32" s="116">
        <v>1652547</v>
      </c>
      <c r="L32" s="116">
        <v>45187</v>
      </c>
      <c r="M32" s="195">
        <v>3.1718816973853405E-2</v>
      </c>
      <c r="N32" s="195">
        <v>3.4535092531261836E-2</v>
      </c>
      <c r="O32" s="195">
        <v>2.4516373578851093E-2</v>
      </c>
      <c r="P32" s="195">
        <v>1.0859763958090401E-3</v>
      </c>
      <c r="R32" s="190" t="s">
        <v>482</v>
      </c>
      <c r="S32" s="222" t="s">
        <v>476</v>
      </c>
      <c r="T32" s="222" t="s">
        <v>483</v>
      </c>
    </row>
    <row r="33" spans="1:20" ht="22.5" customHeight="1">
      <c r="A33" s="115">
        <v>71</v>
      </c>
      <c r="B33" s="115" t="s">
        <v>11</v>
      </c>
      <c r="C33" s="115" t="s">
        <v>10</v>
      </c>
      <c r="D33" s="115" t="s">
        <v>7</v>
      </c>
      <c r="E33" s="98" t="s">
        <v>1000</v>
      </c>
      <c r="F33" s="115" t="s">
        <v>483</v>
      </c>
      <c r="G33" s="115">
        <v>0</v>
      </c>
      <c r="H33" s="115">
        <v>73</v>
      </c>
      <c r="I33" s="194">
        <v>73</v>
      </c>
      <c r="J33" s="116">
        <v>178560</v>
      </c>
      <c r="K33" s="116">
        <v>1388888</v>
      </c>
      <c r="L33" s="116">
        <v>2247739</v>
      </c>
      <c r="M33" s="195">
        <v>2.2235759975632045E-2</v>
      </c>
      <c r="N33" s="195">
        <v>2.5813368306283942E-3</v>
      </c>
      <c r="O33" s="195">
        <v>2.4143332357613734E-2</v>
      </c>
      <c r="P33" s="195">
        <v>6.2239878469725798E-2</v>
      </c>
      <c r="R33" s="223" t="s">
        <v>468</v>
      </c>
      <c r="S33" s="207">
        <f>SUMIFS(Scoreboard_3[Damage Dealt],Scoreboard_3[Role],"Tank",Scoreboard_3[Team],"Yellow")</f>
        <v>7441467</v>
      </c>
      <c r="T33" s="219">
        <f>SUMIFS(Scoreboard_3[Damage Dealt],Scoreboard_3[Role],"Tank",Scoreboard_3[Team],"Red")</f>
        <v>7951090</v>
      </c>
    </row>
    <row r="34" spans="1:20" ht="22.5" customHeight="1">
      <c r="A34" s="115">
        <v>72</v>
      </c>
      <c r="B34" s="115" t="s">
        <v>11</v>
      </c>
      <c r="C34" s="115" t="s">
        <v>10</v>
      </c>
      <c r="D34" s="115" t="s">
        <v>7</v>
      </c>
      <c r="E34" s="98" t="s">
        <v>858</v>
      </c>
      <c r="F34" s="115" t="s">
        <v>483</v>
      </c>
      <c r="G34" s="115">
        <v>0</v>
      </c>
      <c r="H34" s="115">
        <v>69</v>
      </c>
      <c r="I34" s="194">
        <v>69</v>
      </c>
      <c r="J34" s="116">
        <v>102921</v>
      </c>
      <c r="K34" s="116">
        <v>944976</v>
      </c>
      <c r="L34" s="116">
        <v>1305296</v>
      </c>
      <c r="M34" s="195">
        <v>2.1017362168748097E-2</v>
      </c>
      <c r="N34" s="195">
        <v>1.487868324065328E-3</v>
      </c>
      <c r="O34" s="195">
        <v>1.6426716652435901E-2</v>
      </c>
      <c r="P34" s="195">
        <v>3.6143637854314584E-2</v>
      </c>
      <c r="R34" s="223" t="s">
        <v>469</v>
      </c>
      <c r="S34" s="207">
        <f>SUMIFS(Scoreboard_3[Damage Taken],Scoreboard_3[Role],"Tank",Scoreboard_3[Team],"Yellow")</f>
        <v>18795189</v>
      </c>
      <c r="T34" s="219">
        <f>SUMIFS(Scoreboard_3[Damage Taken],Scoreboard_3[Role],"Tank",Scoreboard_3[Team],"Red")</f>
        <v>12370619</v>
      </c>
    </row>
    <row r="35" spans="1:20" ht="22.5" customHeight="1">
      <c r="A35" s="115">
        <v>22</v>
      </c>
      <c r="B35" s="115" t="s">
        <v>67</v>
      </c>
      <c r="C35" s="115" t="s">
        <v>14</v>
      </c>
      <c r="D35" s="115" t="s">
        <v>16</v>
      </c>
      <c r="E35" s="98" t="s">
        <v>929</v>
      </c>
      <c r="F35" s="115" t="s">
        <v>476</v>
      </c>
      <c r="G35" s="115">
        <v>20</v>
      </c>
      <c r="H35" s="115">
        <v>46</v>
      </c>
      <c r="I35" s="194">
        <v>66</v>
      </c>
      <c r="J35" s="116">
        <v>2380359</v>
      </c>
      <c r="K35" s="116">
        <v>1520039</v>
      </c>
      <c r="L35" s="116">
        <v>110009</v>
      </c>
      <c r="M35" s="195">
        <v>2.8289755679382769E-2</v>
      </c>
      <c r="N35" s="195">
        <v>4.1626411283197148E-2</v>
      </c>
      <c r="O35" s="195">
        <v>2.2550550137710599E-2</v>
      </c>
      <c r="P35" s="195">
        <v>2.6438395407209305E-3</v>
      </c>
      <c r="R35" s="223" t="s">
        <v>470</v>
      </c>
      <c r="S35" s="207">
        <f>SUMIFS(Scoreboard_3[Amount Healed],Scoreboard_3[Role],"Tank",Scoreboard_3[Team],"Yellow")</f>
        <v>1081584</v>
      </c>
      <c r="T35" s="219">
        <f>SUMIFS(Scoreboard_3[Amount Healed],Scoreboard_3[Role],"Tank",Scoreboard_3[Team],"Red")</f>
        <v>713956</v>
      </c>
    </row>
    <row r="36" spans="1:20" ht="22.5" customHeight="1">
      <c r="A36" s="115">
        <v>31</v>
      </c>
      <c r="B36" s="115" t="s">
        <v>39</v>
      </c>
      <c r="C36" s="115" t="s">
        <v>56</v>
      </c>
      <c r="D36" s="115" t="s">
        <v>7</v>
      </c>
      <c r="E36" s="98" t="s">
        <v>936</v>
      </c>
      <c r="F36" s="115" t="s">
        <v>483</v>
      </c>
      <c r="G36" s="115">
        <v>14</v>
      </c>
      <c r="H36" s="115">
        <v>51</v>
      </c>
      <c r="I36" s="194">
        <v>65</v>
      </c>
      <c r="J36" s="116">
        <v>1896364</v>
      </c>
      <c r="K36" s="116">
        <v>1757228</v>
      </c>
      <c r="L36" s="116">
        <v>500057</v>
      </c>
      <c r="M36" s="195">
        <v>1.9798964361864149E-2</v>
      </c>
      <c r="N36" s="195">
        <v>2.7414618265444578E-2</v>
      </c>
      <c r="O36" s="195">
        <v>3.0546264084724516E-2</v>
      </c>
      <c r="P36" s="195">
        <v>1.3846575117456107E-2</v>
      </c>
      <c r="R36" s="223" t="s">
        <v>465</v>
      </c>
      <c r="S36" s="207">
        <f>SUMIFS(Scoreboard_3[Kills],Scoreboard_3[Role],"Tank",Scoreboard_3[Team],"Yellow")</f>
        <v>45</v>
      </c>
      <c r="T36" s="219">
        <f>SUMIFS(Scoreboard_3[Kills],Scoreboard_3[Role],"Tank",Scoreboard_3[Team],"Red")</f>
        <v>44</v>
      </c>
    </row>
    <row r="37" spans="1:20" ht="22.5" customHeight="1">
      <c r="A37" s="115">
        <v>55</v>
      </c>
      <c r="B37" s="115" t="s">
        <v>11</v>
      </c>
      <c r="C37" s="115" t="s">
        <v>10</v>
      </c>
      <c r="D37" s="115" t="s">
        <v>7</v>
      </c>
      <c r="E37" s="98" t="s">
        <v>96</v>
      </c>
      <c r="F37" s="115" t="s">
        <v>483</v>
      </c>
      <c r="G37" s="115">
        <v>1</v>
      </c>
      <c r="H37" s="115">
        <v>64</v>
      </c>
      <c r="I37" s="194">
        <v>65</v>
      </c>
      <c r="J37" s="116">
        <v>248480</v>
      </c>
      <c r="K37" s="116">
        <v>962817</v>
      </c>
      <c r="L37" s="116">
        <v>2089584</v>
      </c>
      <c r="M37" s="195">
        <v>1.9798964361864149E-2</v>
      </c>
      <c r="N37" s="195">
        <v>3.5921291200411258E-3</v>
      </c>
      <c r="O37" s="195">
        <v>1.6736850509587946E-2</v>
      </c>
      <c r="P37" s="195">
        <v>5.7860567535769729E-2</v>
      </c>
      <c r="R37" s="223" t="s">
        <v>466</v>
      </c>
      <c r="S37" s="207">
        <f>SUMIFS(Scoreboard_3[Assists],Scoreboard_3[Role],"Tank",Scoreboard_3[Team],"Yellow")</f>
        <v>254</v>
      </c>
      <c r="T37" s="219">
        <f>SUMIFS(Scoreboard_3[Assists],Scoreboard_3[Role],"Tank",Scoreboard_3[Team],"Red")</f>
        <v>315</v>
      </c>
    </row>
    <row r="38" spans="1:20" ht="22.5" customHeight="1">
      <c r="A38" s="115">
        <v>35</v>
      </c>
      <c r="B38" s="115" t="s">
        <v>25</v>
      </c>
      <c r="C38" s="115" t="s">
        <v>23</v>
      </c>
      <c r="D38" s="115" t="s">
        <v>16</v>
      </c>
      <c r="E38" s="98" t="s">
        <v>920</v>
      </c>
      <c r="F38" s="115" t="s">
        <v>476</v>
      </c>
      <c r="G38" s="115">
        <v>11</v>
      </c>
      <c r="H38" s="115">
        <v>53</v>
      </c>
      <c r="I38" s="194">
        <v>64</v>
      </c>
      <c r="J38" s="116">
        <v>2507018</v>
      </c>
      <c r="K38" s="116">
        <v>2077512</v>
      </c>
      <c r="L38" s="116">
        <v>146147</v>
      </c>
      <c r="M38" s="195">
        <v>2.7432490355765109E-2</v>
      </c>
      <c r="N38" s="195">
        <v>4.3841354334526156E-2</v>
      </c>
      <c r="O38" s="195">
        <v>3.0820945066340682E-2</v>
      </c>
      <c r="P38" s="195">
        <v>3.5123418752805845E-3</v>
      </c>
    </row>
    <row r="39" spans="1:20" ht="22.5" customHeight="1">
      <c r="A39" s="115">
        <v>27</v>
      </c>
      <c r="B39" s="115" t="s">
        <v>25</v>
      </c>
      <c r="C39" s="115" t="s">
        <v>24</v>
      </c>
      <c r="D39" s="115" t="s">
        <v>16</v>
      </c>
      <c r="E39" s="98" t="s">
        <v>887</v>
      </c>
      <c r="F39" s="115" t="s">
        <v>476</v>
      </c>
      <c r="G39" s="115">
        <v>17</v>
      </c>
      <c r="H39" s="115">
        <v>46</v>
      </c>
      <c r="I39" s="194">
        <v>63</v>
      </c>
      <c r="J39" s="116">
        <v>2820718</v>
      </c>
      <c r="K39" s="116">
        <v>1375597</v>
      </c>
      <c r="L39" s="116">
        <v>45204</v>
      </c>
      <c r="M39" s="195">
        <v>2.700385769395628E-2</v>
      </c>
      <c r="N39" s="195">
        <v>4.9327167701139742E-2</v>
      </c>
      <c r="O39" s="195">
        <v>2.0407679748864527E-2</v>
      </c>
      <c r="P39" s="195">
        <v>1.0863849557649732E-3</v>
      </c>
      <c r="R39" s="232" t="s">
        <v>11</v>
      </c>
      <c r="S39" s="228"/>
      <c r="T39" s="228"/>
    </row>
    <row r="40" spans="1:20" ht="22.5" customHeight="1">
      <c r="A40" s="115">
        <v>34</v>
      </c>
      <c r="B40" s="115" t="s">
        <v>39</v>
      </c>
      <c r="C40" s="115" t="s">
        <v>52</v>
      </c>
      <c r="D40" s="115" t="s">
        <v>7</v>
      </c>
      <c r="E40" s="98" t="s">
        <v>99</v>
      </c>
      <c r="F40" s="115" t="s">
        <v>483</v>
      </c>
      <c r="G40" s="115">
        <v>12</v>
      </c>
      <c r="H40" s="115">
        <v>51</v>
      </c>
      <c r="I40" s="194">
        <v>63</v>
      </c>
      <c r="J40" s="116">
        <v>2106353</v>
      </c>
      <c r="K40" s="116">
        <v>1105970</v>
      </c>
      <c r="L40" s="116">
        <v>288548</v>
      </c>
      <c r="M40" s="195">
        <v>1.9189765458422176E-2</v>
      </c>
      <c r="N40" s="195">
        <v>3.0450305651907539E-2</v>
      </c>
      <c r="O40" s="195">
        <v>1.9225309231233952E-2</v>
      </c>
      <c r="P40" s="195">
        <v>7.9898922662650952E-3</v>
      </c>
      <c r="R40" s="190" t="s">
        <v>482</v>
      </c>
      <c r="S40" s="222" t="s">
        <v>476</v>
      </c>
      <c r="T40" s="222" t="s">
        <v>483</v>
      </c>
    </row>
    <row r="41" spans="1:20" ht="22.5" customHeight="1">
      <c r="A41" s="115">
        <v>21</v>
      </c>
      <c r="B41" s="115" t="s">
        <v>25</v>
      </c>
      <c r="C41" s="115" t="s">
        <v>69</v>
      </c>
      <c r="D41" s="115" t="s">
        <v>16</v>
      </c>
      <c r="E41" s="98" t="s">
        <v>125</v>
      </c>
      <c r="F41" s="115" t="s">
        <v>476</v>
      </c>
      <c r="G41" s="115">
        <v>22</v>
      </c>
      <c r="H41" s="115">
        <v>38</v>
      </c>
      <c r="I41" s="194">
        <v>60</v>
      </c>
      <c r="J41" s="116">
        <v>1479058</v>
      </c>
      <c r="K41" s="116">
        <v>1114210</v>
      </c>
      <c r="L41" s="116">
        <v>126369</v>
      </c>
      <c r="M41" s="195">
        <v>2.5717959708529789E-2</v>
      </c>
      <c r="N41" s="195">
        <v>2.5864954244171998E-2</v>
      </c>
      <c r="O41" s="195">
        <v>1.6529870923666121E-2</v>
      </c>
      <c r="P41" s="195">
        <v>3.0370184159601785E-3</v>
      </c>
      <c r="R41" s="223" t="s">
        <v>468</v>
      </c>
      <c r="S41" s="207">
        <f>SUMIFS(Scoreboard_3[Damage Dealt],Scoreboard_3[Role],"Healer",Scoreboard_3[Team],"Yellow")</f>
        <v>3558557</v>
      </c>
      <c r="T41" s="219">
        <f>SUMIFS(Scoreboard_3[Damage Dealt],Scoreboard_3[Role],"Healer",Scoreboard_3[Team],"Red")</f>
        <v>5611896</v>
      </c>
    </row>
    <row r="42" spans="1:20" ht="22.5" customHeight="1">
      <c r="A42" s="115">
        <v>44</v>
      </c>
      <c r="B42" s="115" t="s">
        <v>11</v>
      </c>
      <c r="C42" s="115" t="s">
        <v>10</v>
      </c>
      <c r="D42" s="115" t="s">
        <v>7</v>
      </c>
      <c r="E42" s="98" t="s">
        <v>1013</v>
      </c>
      <c r="F42" s="115" t="s">
        <v>483</v>
      </c>
      <c r="G42" s="115">
        <v>2</v>
      </c>
      <c r="H42" s="115">
        <v>58</v>
      </c>
      <c r="I42" s="194">
        <v>60</v>
      </c>
      <c r="J42" s="116">
        <v>1182292</v>
      </c>
      <c r="K42" s="116">
        <v>1029676</v>
      </c>
      <c r="L42" s="116">
        <v>1953956</v>
      </c>
      <c r="M42" s="195">
        <v>1.8275967103259214E-2</v>
      </c>
      <c r="N42" s="195">
        <v>1.7091699620056595E-2</v>
      </c>
      <c r="O42" s="195">
        <v>1.7899074575241689E-2</v>
      </c>
      <c r="P42" s="195">
        <v>5.41050290870922E-2</v>
      </c>
      <c r="R42" s="223" t="s">
        <v>469</v>
      </c>
      <c r="S42" s="207">
        <f>SUMIFS(Scoreboard_3[Damage Taken],Scoreboard_3[Role],"Healer",Scoreboard_3[Team],"Yellow")</f>
        <v>26285912</v>
      </c>
      <c r="T42" s="219">
        <f>SUMIFS(Scoreboard_3[Damage Taken],Scoreboard_3[Role],"Healer",Scoreboard_3[Team],"Red")</f>
        <v>19779281</v>
      </c>
    </row>
    <row r="43" spans="1:20" ht="22.5" customHeight="1">
      <c r="A43" s="115">
        <v>56</v>
      </c>
      <c r="B43" s="115" t="s">
        <v>11</v>
      </c>
      <c r="C43" s="115" t="s">
        <v>10</v>
      </c>
      <c r="D43" s="115" t="s">
        <v>16</v>
      </c>
      <c r="E43" s="98" t="s">
        <v>944</v>
      </c>
      <c r="F43" s="115" t="s">
        <v>476</v>
      </c>
      <c r="G43" s="115">
        <v>1</v>
      </c>
      <c r="H43" s="115">
        <v>59</v>
      </c>
      <c r="I43" s="194">
        <v>60</v>
      </c>
      <c r="J43" s="116">
        <v>120375</v>
      </c>
      <c r="K43" s="116">
        <v>1199823</v>
      </c>
      <c r="L43" s="116">
        <v>1797434</v>
      </c>
      <c r="M43" s="195">
        <v>2.5717959708529789E-2</v>
      </c>
      <c r="N43" s="195">
        <v>2.1050519094871225E-3</v>
      </c>
      <c r="O43" s="195">
        <v>1.7799983235876411E-2</v>
      </c>
      <c r="P43" s="195">
        <v>4.3197620931343661E-2</v>
      </c>
      <c r="R43" s="223" t="s">
        <v>470</v>
      </c>
      <c r="S43" s="207">
        <f>SUMIFS(Scoreboard_3[Amount Healed],Scoreboard_3[Role],"Healer",Scoreboard_3[Team],"Yellow")</f>
        <v>39501458</v>
      </c>
      <c r="T43" s="219">
        <f>SUMIFS(Scoreboard_3[Amount Healed],Scoreboard_3[Role],"Healer",Scoreboard_3[Team],"Red")</f>
        <v>33517965</v>
      </c>
    </row>
    <row r="44" spans="1:20" ht="22.5" customHeight="1">
      <c r="A44" s="115">
        <v>32</v>
      </c>
      <c r="B44" s="115" t="s">
        <v>39</v>
      </c>
      <c r="C44" s="115" t="s">
        <v>52</v>
      </c>
      <c r="D44" s="115" t="s">
        <v>7</v>
      </c>
      <c r="E44" s="98" t="s">
        <v>94</v>
      </c>
      <c r="F44" s="115" t="s">
        <v>483</v>
      </c>
      <c r="G44" s="115">
        <v>13</v>
      </c>
      <c r="H44" s="115">
        <v>44</v>
      </c>
      <c r="I44" s="194">
        <v>57</v>
      </c>
      <c r="J44" s="116">
        <v>1825446</v>
      </c>
      <c r="K44" s="116">
        <v>453715</v>
      </c>
      <c r="L44" s="116">
        <v>21992</v>
      </c>
      <c r="M44" s="195">
        <v>1.7362168748096252E-2</v>
      </c>
      <c r="N44" s="195">
        <v>2.6389398477392918E-2</v>
      </c>
      <c r="O44" s="195">
        <v>7.8870233169519178E-3</v>
      </c>
      <c r="P44" s="195">
        <v>6.0895833871557582E-4</v>
      </c>
      <c r="R44" s="223" t="s">
        <v>465</v>
      </c>
      <c r="S44" s="207">
        <f>SUMIFS(Scoreboard_3[Kills],Scoreboard_3[Role],"Healer",Scoreboard_3[Team],"Yellow")</f>
        <v>8</v>
      </c>
      <c r="T44" s="219">
        <f>SUMIFS(Scoreboard_3[Kills],Scoreboard_3[Role],"Healer",Scoreboard_3[Team],"Red")</f>
        <v>13</v>
      </c>
    </row>
    <row r="45" spans="1:20" ht="22.5" customHeight="1">
      <c r="A45" s="115">
        <v>16</v>
      </c>
      <c r="B45" s="115" t="s">
        <v>39</v>
      </c>
      <c r="C45" s="115" t="s">
        <v>54</v>
      </c>
      <c r="D45" s="115" t="s">
        <v>7</v>
      </c>
      <c r="E45" s="98" t="s">
        <v>707</v>
      </c>
      <c r="F45" s="115" t="s">
        <v>483</v>
      </c>
      <c r="G45" s="115">
        <v>29</v>
      </c>
      <c r="H45" s="115">
        <v>27</v>
      </c>
      <c r="I45" s="194">
        <v>56</v>
      </c>
      <c r="J45" s="116">
        <v>1291179</v>
      </c>
      <c r="K45" s="116">
        <v>1384380</v>
      </c>
      <c r="L45" s="116">
        <v>14277</v>
      </c>
      <c r="M45" s="195">
        <v>1.7057569296375266E-2</v>
      </c>
      <c r="N45" s="195">
        <v>1.8665814894903335E-2</v>
      </c>
      <c r="O45" s="195">
        <v>2.4064968845028036E-2</v>
      </c>
      <c r="P45" s="195">
        <v>3.9533003827947784E-4</v>
      </c>
      <c r="R45" s="223" t="s">
        <v>466</v>
      </c>
      <c r="S45" s="207">
        <f>SUMIFS(Scoreboard_3[Assists],Scoreboard_3[Role],"Healer",Scoreboard_3[Team],"Yellow")</f>
        <v>713</v>
      </c>
      <c r="T45" s="219">
        <f>SUMIFS(Scoreboard_3[Assists],Scoreboard_3[Role],"Healer",Scoreboard_3[Team],"Red")</f>
        <v>912</v>
      </c>
    </row>
    <row r="46" spans="1:20" ht="22.5" customHeight="1">
      <c r="A46" s="115">
        <v>36</v>
      </c>
      <c r="B46" s="115" t="s">
        <v>39</v>
      </c>
      <c r="C46" s="115" t="s">
        <v>32</v>
      </c>
      <c r="D46" s="115" t="s">
        <v>7</v>
      </c>
      <c r="E46" s="98" t="s">
        <v>852</v>
      </c>
      <c r="F46" s="115" t="s">
        <v>483</v>
      </c>
      <c r="G46" s="115">
        <v>8</v>
      </c>
      <c r="H46" s="115">
        <v>46</v>
      </c>
      <c r="I46" s="194">
        <v>54</v>
      </c>
      <c r="J46" s="116">
        <v>1444615</v>
      </c>
      <c r="K46" s="116">
        <v>1029075</v>
      </c>
      <c r="L46" s="116">
        <v>0</v>
      </c>
      <c r="M46" s="195">
        <v>1.6448370392933294E-2</v>
      </c>
      <c r="N46" s="195">
        <v>2.0883948843964144E-2</v>
      </c>
      <c r="O46" s="195">
        <v>1.7888627265777623E-2</v>
      </c>
      <c r="P46" s="195">
        <v>0</v>
      </c>
    </row>
    <row r="47" spans="1:20" ht="22.5" customHeight="1">
      <c r="A47" s="115">
        <v>73</v>
      </c>
      <c r="B47" s="115" t="s">
        <v>11</v>
      </c>
      <c r="C47" s="115" t="s">
        <v>10</v>
      </c>
      <c r="D47" s="115" t="s">
        <v>16</v>
      </c>
      <c r="E47" s="98" t="s">
        <v>315</v>
      </c>
      <c r="F47" s="115" t="s">
        <v>476</v>
      </c>
      <c r="G47" s="115">
        <v>0</v>
      </c>
      <c r="H47" s="115">
        <v>54</v>
      </c>
      <c r="I47" s="194">
        <v>54</v>
      </c>
      <c r="J47" s="116">
        <v>161317</v>
      </c>
      <c r="K47" s="116">
        <v>1044501</v>
      </c>
      <c r="L47" s="116">
        <v>2460884</v>
      </c>
      <c r="M47" s="195">
        <v>2.3146163737676809E-2</v>
      </c>
      <c r="N47" s="195">
        <v>2.8210231267516853E-3</v>
      </c>
      <c r="O47" s="195">
        <v>1.5495702524335795E-2</v>
      </c>
      <c r="P47" s="195">
        <v>5.9142274035101548E-2</v>
      </c>
    </row>
    <row r="48" spans="1:20" ht="22.5" customHeight="1">
      <c r="A48" s="115">
        <v>57</v>
      </c>
      <c r="B48" s="115" t="s">
        <v>11</v>
      </c>
      <c r="C48" s="115" t="s">
        <v>10</v>
      </c>
      <c r="D48" s="115" t="s">
        <v>7</v>
      </c>
      <c r="E48" s="98" t="s">
        <v>41</v>
      </c>
      <c r="F48" s="115" t="s">
        <v>483</v>
      </c>
      <c r="G48" s="115">
        <v>1</v>
      </c>
      <c r="H48" s="115">
        <v>50</v>
      </c>
      <c r="I48" s="194">
        <v>51</v>
      </c>
      <c r="J48" s="116">
        <v>203794</v>
      </c>
      <c r="K48" s="116">
        <v>1136758</v>
      </c>
      <c r="L48" s="116">
        <v>1542753</v>
      </c>
      <c r="M48" s="195">
        <v>1.5534572037770332E-2</v>
      </c>
      <c r="N48" s="195">
        <v>2.946129917456782E-3</v>
      </c>
      <c r="O48" s="195">
        <v>1.9760503513729166E-2</v>
      </c>
      <c r="P48" s="195">
        <v>4.2718820658806417E-2</v>
      </c>
    </row>
    <row r="49" spans="1:16" ht="22.5" customHeight="1">
      <c r="A49" s="115">
        <v>58</v>
      </c>
      <c r="B49" s="115" t="s">
        <v>11</v>
      </c>
      <c r="C49" s="115" t="s">
        <v>10</v>
      </c>
      <c r="D49" s="115" t="s">
        <v>7</v>
      </c>
      <c r="E49" s="98" t="s">
        <v>108</v>
      </c>
      <c r="F49" s="115" t="s">
        <v>483</v>
      </c>
      <c r="G49" s="115">
        <v>1</v>
      </c>
      <c r="H49" s="115">
        <v>50</v>
      </c>
      <c r="I49" s="194">
        <v>51</v>
      </c>
      <c r="J49" s="116">
        <v>178960</v>
      </c>
      <c r="K49" s="116">
        <v>1672583</v>
      </c>
      <c r="L49" s="116">
        <v>2509837</v>
      </c>
      <c r="M49" s="195">
        <v>1.5534572037770332E-2</v>
      </c>
      <c r="N49" s="195">
        <v>2.5871193952131354E-3</v>
      </c>
      <c r="O49" s="195">
        <v>2.907486223849198E-2</v>
      </c>
      <c r="P49" s="195">
        <v>6.9497370405915096E-2</v>
      </c>
    </row>
    <row r="50" spans="1:16" ht="22.5" customHeight="1">
      <c r="A50" s="115">
        <v>74</v>
      </c>
      <c r="B50" s="115" t="s">
        <v>11</v>
      </c>
      <c r="C50" s="115" t="s">
        <v>10</v>
      </c>
      <c r="D50" s="115" t="s">
        <v>7</v>
      </c>
      <c r="E50" s="98" t="s">
        <v>51</v>
      </c>
      <c r="F50" s="115" t="s">
        <v>483</v>
      </c>
      <c r="G50" s="115">
        <v>0</v>
      </c>
      <c r="H50" s="115">
        <v>51</v>
      </c>
      <c r="I50" s="194">
        <v>51</v>
      </c>
      <c r="J50" s="116">
        <v>136255</v>
      </c>
      <c r="K50" s="116">
        <v>914582</v>
      </c>
      <c r="L50" s="116">
        <v>2451573</v>
      </c>
      <c r="M50" s="195">
        <v>1.5534572037770332E-2</v>
      </c>
      <c r="N50" s="195">
        <v>1.9697583437347215E-3</v>
      </c>
      <c r="O50" s="195">
        <v>1.5898371354847247E-2</v>
      </c>
      <c r="P50" s="195">
        <v>6.788404062022374E-2</v>
      </c>
    </row>
    <row r="51" spans="1:16" ht="22.5" customHeight="1">
      <c r="A51" s="115">
        <v>59</v>
      </c>
      <c r="B51" s="115" t="s">
        <v>11</v>
      </c>
      <c r="C51" s="115" t="s">
        <v>10</v>
      </c>
      <c r="D51" s="115" t="s">
        <v>12</v>
      </c>
      <c r="E51" s="98" t="s">
        <v>1003</v>
      </c>
      <c r="F51" s="115" t="s">
        <v>483</v>
      </c>
      <c r="G51" s="115">
        <v>1</v>
      </c>
      <c r="H51" s="115">
        <v>48</v>
      </c>
      <c r="I51" s="194">
        <v>49</v>
      </c>
      <c r="J51" s="116">
        <v>350809</v>
      </c>
      <c r="K51" s="116">
        <v>1391686</v>
      </c>
      <c r="L51" s="116">
        <v>2152539</v>
      </c>
      <c r="M51" s="195">
        <v>1.4925373134328358E-2</v>
      </c>
      <c r="N51" s="195">
        <v>5.0714392485210367E-3</v>
      </c>
      <c r="O51" s="195">
        <v>2.4191970580376549E-2</v>
      </c>
      <c r="P51" s="195">
        <v>5.960379108132443E-2</v>
      </c>
    </row>
    <row r="52" spans="1:16" ht="22.5" customHeight="1">
      <c r="A52" s="115">
        <v>33</v>
      </c>
      <c r="B52" s="115" t="s">
        <v>25</v>
      </c>
      <c r="C52" s="115" t="s">
        <v>23</v>
      </c>
      <c r="D52" s="115" t="s">
        <v>16</v>
      </c>
      <c r="E52" s="98" t="s">
        <v>71</v>
      </c>
      <c r="F52" s="115" t="s">
        <v>476</v>
      </c>
      <c r="G52" s="115">
        <v>13</v>
      </c>
      <c r="H52" s="115">
        <v>35</v>
      </c>
      <c r="I52" s="194">
        <v>48</v>
      </c>
      <c r="J52" s="116">
        <v>1624124</v>
      </c>
      <c r="K52" s="116">
        <v>1284485</v>
      </c>
      <c r="L52" s="116">
        <v>86551</v>
      </c>
      <c r="M52" s="195">
        <v>2.0574367766823833E-2</v>
      </c>
      <c r="N52" s="195">
        <v>2.8401788805348809E-2</v>
      </c>
      <c r="O52" s="195">
        <v>1.9055986980358531E-2</v>
      </c>
      <c r="P52" s="195">
        <v>2.0800748674102776E-3</v>
      </c>
    </row>
    <row r="53" spans="1:16" ht="22.5" customHeight="1">
      <c r="A53" s="115">
        <v>45</v>
      </c>
      <c r="B53" s="115" t="s">
        <v>11</v>
      </c>
      <c r="C53" s="115" t="s">
        <v>10</v>
      </c>
      <c r="D53" s="115" t="s">
        <v>7</v>
      </c>
      <c r="E53" s="98" t="s">
        <v>165</v>
      </c>
      <c r="F53" s="115" t="s">
        <v>483</v>
      </c>
      <c r="G53" s="115">
        <v>2</v>
      </c>
      <c r="H53" s="115">
        <v>42</v>
      </c>
      <c r="I53" s="194">
        <v>44</v>
      </c>
      <c r="J53" s="116">
        <v>236683</v>
      </c>
      <c r="K53" s="116">
        <v>1149880</v>
      </c>
      <c r="L53" s="116">
        <v>2227542</v>
      </c>
      <c r="M53" s="195">
        <v>1.3402375875723424E-2</v>
      </c>
      <c r="N53" s="195">
        <v>3.421586834025651E-3</v>
      </c>
      <c r="O53" s="195">
        <v>1.9988606000896313E-2</v>
      </c>
      <c r="P53" s="195">
        <v>6.1680623669478504E-2</v>
      </c>
    </row>
    <row r="54" spans="1:16" ht="22.5" customHeight="1">
      <c r="A54" s="115">
        <v>75</v>
      </c>
      <c r="B54" s="115" t="s">
        <v>11</v>
      </c>
      <c r="C54" s="115" t="s">
        <v>10</v>
      </c>
      <c r="D54" s="115" t="s">
        <v>16</v>
      </c>
      <c r="E54" s="98" t="s">
        <v>1014</v>
      </c>
      <c r="F54" s="115" t="s">
        <v>476</v>
      </c>
      <c r="G54" s="115">
        <v>0</v>
      </c>
      <c r="H54" s="115">
        <v>42</v>
      </c>
      <c r="I54" s="194">
        <v>42</v>
      </c>
      <c r="J54" s="116">
        <v>225643</v>
      </c>
      <c r="K54" s="116">
        <v>1008582</v>
      </c>
      <c r="L54" s="116">
        <v>2187421</v>
      </c>
      <c r="M54" s="195">
        <v>1.8002571795970854E-2</v>
      </c>
      <c r="N54" s="195">
        <v>3.945920897299296E-3</v>
      </c>
      <c r="O54" s="195">
        <v>1.4962825926829793E-2</v>
      </c>
      <c r="P54" s="195">
        <v>5.2570154551021445E-2</v>
      </c>
    </row>
    <row r="55" spans="1:16" ht="22.5" customHeight="1">
      <c r="A55" s="115">
        <v>28</v>
      </c>
      <c r="B55" s="115" t="s">
        <v>39</v>
      </c>
      <c r="C55" s="115" t="s">
        <v>63</v>
      </c>
      <c r="D55" s="115" t="s">
        <v>16</v>
      </c>
      <c r="E55" s="98" t="s">
        <v>1015</v>
      </c>
      <c r="F55" s="115" t="s">
        <v>476</v>
      </c>
      <c r="G55" s="115">
        <v>17</v>
      </c>
      <c r="H55" s="115">
        <v>24</v>
      </c>
      <c r="I55" s="194">
        <v>41</v>
      </c>
      <c r="J55" s="116">
        <v>1653249</v>
      </c>
      <c r="K55" s="116">
        <v>1022201</v>
      </c>
      <c r="L55" s="116">
        <v>206910</v>
      </c>
      <c r="M55" s="195">
        <v>1.7573939134162022E-2</v>
      </c>
      <c r="N55" s="195">
        <v>2.8911110814601664E-2</v>
      </c>
      <c r="O55" s="195">
        <v>1.5164870704842385E-2</v>
      </c>
      <c r="P55" s="195">
        <v>4.9726553224787766E-3</v>
      </c>
    </row>
    <row r="56" spans="1:16" ht="22.5" customHeight="1">
      <c r="A56" s="115">
        <v>39</v>
      </c>
      <c r="B56" s="115" t="s">
        <v>67</v>
      </c>
      <c r="C56" s="115" t="s">
        <v>14</v>
      </c>
      <c r="D56" s="115" t="s">
        <v>7</v>
      </c>
      <c r="E56" s="98" t="s">
        <v>55</v>
      </c>
      <c r="F56" s="115" t="s">
        <v>483</v>
      </c>
      <c r="G56" s="115">
        <v>4</v>
      </c>
      <c r="H56" s="115">
        <v>36</v>
      </c>
      <c r="I56" s="194">
        <v>40</v>
      </c>
      <c r="J56" s="116">
        <v>1153700</v>
      </c>
      <c r="K56" s="116">
        <v>1398004</v>
      </c>
      <c r="L56" s="116">
        <v>83915</v>
      </c>
      <c r="M56" s="195">
        <v>1.2183978068839476E-2</v>
      </c>
      <c r="N56" s="195">
        <v>1.6678361903539305E-2</v>
      </c>
      <c r="O56" s="195">
        <v>2.4301797703827399E-2</v>
      </c>
      <c r="P56" s="195">
        <v>2.3236058109002158E-3</v>
      </c>
    </row>
    <row r="57" spans="1:16" ht="22.5" customHeight="1">
      <c r="A57" s="115">
        <v>60</v>
      </c>
      <c r="B57" s="115" t="s">
        <v>11</v>
      </c>
      <c r="C57" s="115" t="s">
        <v>10</v>
      </c>
      <c r="D57" s="115" t="s">
        <v>16</v>
      </c>
      <c r="E57" s="98" t="s">
        <v>1016</v>
      </c>
      <c r="F57" s="115" t="s">
        <v>476</v>
      </c>
      <c r="G57" s="115">
        <v>1</v>
      </c>
      <c r="H57" s="115">
        <v>39</v>
      </c>
      <c r="I57" s="194">
        <v>40</v>
      </c>
      <c r="J57" s="116">
        <v>294005</v>
      </c>
      <c r="K57" s="116">
        <v>1552476</v>
      </c>
      <c r="L57" s="116">
        <v>2664106</v>
      </c>
      <c r="M57" s="195">
        <v>1.7145306472353194E-2</v>
      </c>
      <c r="N57" s="195">
        <v>5.1413980199274054E-3</v>
      </c>
      <c r="O57" s="195">
        <v>2.3031769497751309E-2</v>
      </c>
      <c r="P57" s="195">
        <v>6.4026295880081407E-2</v>
      </c>
    </row>
    <row r="58" spans="1:16" ht="22.5" customHeight="1">
      <c r="A58" s="115">
        <v>46</v>
      </c>
      <c r="B58" s="115" t="s">
        <v>11</v>
      </c>
      <c r="C58" s="115" t="s">
        <v>10</v>
      </c>
      <c r="D58" s="115" t="s">
        <v>12</v>
      </c>
      <c r="E58" s="98" t="s">
        <v>865</v>
      </c>
      <c r="F58" s="115" t="s">
        <v>483</v>
      </c>
      <c r="G58" s="115">
        <v>2</v>
      </c>
      <c r="H58" s="115">
        <v>37</v>
      </c>
      <c r="I58" s="194">
        <v>39</v>
      </c>
      <c r="J58" s="116">
        <v>335535</v>
      </c>
      <c r="K58" s="116">
        <v>1360198</v>
      </c>
      <c r="L58" s="116">
        <v>2184010</v>
      </c>
      <c r="M58" s="195">
        <v>1.1879378617118489E-2</v>
      </c>
      <c r="N58" s="195">
        <v>4.8506320198527008E-3</v>
      </c>
      <c r="O58" s="195">
        <v>2.3644608050585419E-2</v>
      </c>
      <c r="P58" s="195">
        <v>6.0475222869143544E-2</v>
      </c>
    </row>
    <row r="59" spans="1:16" ht="22.5" customHeight="1">
      <c r="A59" s="115">
        <v>61</v>
      </c>
      <c r="B59" s="115" t="s">
        <v>11</v>
      </c>
      <c r="C59" s="115" t="s">
        <v>10</v>
      </c>
      <c r="D59" s="115" t="s">
        <v>7</v>
      </c>
      <c r="E59" s="98" t="s">
        <v>105</v>
      </c>
      <c r="F59" s="115" t="s">
        <v>483</v>
      </c>
      <c r="G59" s="115">
        <v>1</v>
      </c>
      <c r="H59" s="115">
        <v>36</v>
      </c>
      <c r="I59" s="194">
        <v>37</v>
      </c>
      <c r="J59" s="116">
        <v>156250</v>
      </c>
      <c r="K59" s="116">
        <v>1680579</v>
      </c>
      <c r="L59" s="116">
        <v>1841747</v>
      </c>
      <c r="M59" s="195">
        <v>1.1270179713676515E-2</v>
      </c>
      <c r="N59" s="195">
        <v>2.2588142909144636E-3</v>
      </c>
      <c r="O59" s="195">
        <v>2.921385838903218E-2</v>
      </c>
      <c r="P59" s="195">
        <v>5.0997962597962701E-2</v>
      </c>
    </row>
    <row r="60" spans="1:16" ht="22.5" customHeight="1">
      <c r="A60" s="115">
        <v>62</v>
      </c>
      <c r="B60" s="115" t="s">
        <v>11</v>
      </c>
      <c r="C60" s="115" t="s">
        <v>10</v>
      </c>
      <c r="D60" s="115" t="s">
        <v>16</v>
      </c>
      <c r="E60" s="98" t="s">
        <v>901</v>
      </c>
      <c r="F60" s="115" t="s">
        <v>476</v>
      </c>
      <c r="G60" s="115">
        <v>1</v>
      </c>
      <c r="H60" s="115">
        <v>35</v>
      </c>
      <c r="I60" s="194">
        <v>36</v>
      </c>
      <c r="J60" s="116">
        <v>248906</v>
      </c>
      <c r="K60" s="116">
        <v>2583418</v>
      </c>
      <c r="L60" s="116">
        <v>3957853</v>
      </c>
      <c r="M60" s="195">
        <v>1.5430775825117874E-2</v>
      </c>
      <c r="N60" s="195">
        <v>4.3527314690160052E-3</v>
      </c>
      <c r="O60" s="195">
        <v>3.8326317374530551E-2</v>
      </c>
      <c r="P60" s="195">
        <v>9.5118838074711679E-2</v>
      </c>
    </row>
    <row r="61" spans="1:16" ht="22.5" customHeight="1">
      <c r="A61" s="115">
        <v>47</v>
      </c>
      <c r="B61" s="115" t="s">
        <v>11</v>
      </c>
      <c r="C61" s="115" t="s">
        <v>10</v>
      </c>
      <c r="D61" s="115" t="s">
        <v>16</v>
      </c>
      <c r="E61" s="98" t="s">
        <v>42</v>
      </c>
      <c r="F61" s="115" t="s">
        <v>476</v>
      </c>
      <c r="G61" s="115">
        <v>2</v>
      </c>
      <c r="H61" s="115">
        <v>33</v>
      </c>
      <c r="I61" s="194">
        <v>35</v>
      </c>
      <c r="J61" s="116">
        <v>442260</v>
      </c>
      <c r="K61" s="116">
        <v>2054052</v>
      </c>
      <c r="L61" s="116">
        <v>1761143</v>
      </c>
      <c r="M61" s="195">
        <v>1.5002143163309044E-2</v>
      </c>
      <c r="N61" s="195">
        <v>7.7340000622203508E-3</v>
      </c>
      <c r="O61" s="195">
        <v>3.0472904058030572E-2</v>
      </c>
      <c r="P61" s="195">
        <v>4.2325441557180613E-2</v>
      </c>
    </row>
    <row r="62" spans="1:16" ht="22.5" customHeight="1">
      <c r="A62" s="115">
        <v>76</v>
      </c>
      <c r="B62" s="115" t="s">
        <v>11</v>
      </c>
      <c r="C62" s="115" t="s">
        <v>10</v>
      </c>
      <c r="D62" s="115" t="s">
        <v>16</v>
      </c>
      <c r="E62" s="98" t="s">
        <v>301</v>
      </c>
      <c r="F62" s="115" t="s">
        <v>476</v>
      </c>
      <c r="G62" s="115">
        <v>0</v>
      </c>
      <c r="H62" s="115">
        <v>35</v>
      </c>
      <c r="I62" s="194">
        <v>35</v>
      </c>
      <c r="J62" s="116">
        <v>160580</v>
      </c>
      <c r="K62" s="116">
        <v>1483855</v>
      </c>
      <c r="L62" s="116">
        <v>1704810</v>
      </c>
      <c r="M62" s="195">
        <v>1.5002143163309044E-2</v>
      </c>
      <c r="N62" s="195">
        <v>2.8081348753930808E-3</v>
      </c>
      <c r="O62" s="195">
        <v>2.2013742130690437E-2</v>
      </c>
      <c r="P62" s="195">
        <v>4.0971594027910896E-2</v>
      </c>
    </row>
    <row r="63" spans="1:16" ht="22.5" customHeight="1">
      <c r="A63" s="115">
        <v>77</v>
      </c>
      <c r="B63" s="115" t="s">
        <v>11</v>
      </c>
      <c r="C63" s="115" t="s">
        <v>10</v>
      </c>
      <c r="D63" s="115" t="s">
        <v>16</v>
      </c>
      <c r="E63" s="98" t="s">
        <v>925</v>
      </c>
      <c r="F63" s="115" t="s">
        <v>476</v>
      </c>
      <c r="G63" s="115">
        <v>0</v>
      </c>
      <c r="H63" s="115">
        <v>35</v>
      </c>
      <c r="I63" s="194">
        <v>35</v>
      </c>
      <c r="J63" s="116">
        <v>123423</v>
      </c>
      <c r="K63" s="116">
        <v>1879397</v>
      </c>
      <c r="L63" s="116">
        <v>2631910</v>
      </c>
      <c r="M63" s="195">
        <v>1.5002143163309044E-2</v>
      </c>
      <c r="N63" s="195">
        <v>2.1583536600176872E-3</v>
      </c>
      <c r="O63" s="195">
        <v>2.788180847804753E-2</v>
      </c>
      <c r="P63" s="195">
        <v>6.3252531389421079E-2</v>
      </c>
    </row>
    <row r="64" spans="1:16" ht="22.5" customHeight="1">
      <c r="A64" s="115">
        <v>40</v>
      </c>
      <c r="B64" s="115" t="s">
        <v>25</v>
      </c>
      <c r="C64" s="115" t="s">
        <v>23</v>
      </c>
      <c r="D64" s="115" t="s">
        <v>16</v>
      </c>
      <c r="E64" s="98" t="s">
        <v>1017</v>
      </c>
      <c r="F64" s="115" t="s">
        <v>476</v>
      </c>
      <c r="G64" s="115">
        <v>3</v>
      </c>
      <c r="H64" s="115">
        <v>30</v>
      </c>
      <c r="I64" s="194">
        <v>33</v>
      </c>
      <c r="J64" s="116">
        <v>1043208</v>
      </c>
      <c r="K64" s="116">
        <v>1373483</v>
      </c>
      <c r="L64" s="116">
        <v>67939</v>
      </c>
      <c r="M64" s="195">
        <v>1.4144877839691384E-2</v>
      </c>
      <c r="N64" s="195">
        <v>1.8243048742614679E-2</v>
      </c>
      <c r="O64" s="195">
        <v>2.0376317485796856E-2</v>
      </c>
      <c r="P64" s="195">
        <v>1.6327738144791726E-3</v>
      </c>
    </row>
    <row r="65" spans="1:16" ht="22.5" customHeight="1">
      <c r="A65" s="115">
        <v>78</v>
      </c>
      <c r="B65" s="115" t="s">
        <v>11</v>
      </c>
      <c r="C65" s="115" t="s">
        <v>10</v>
      </c>
      <c r="D65" s="115" t="s">
        <v>16</v>
      </c>
      <c r="E65" s="98" t="s">
        <v>904</v>
      </c>
      <c r="F65" s="115" t="s">
        <v>476</v>
      </c>
      <c r="G65" s="115">
        <v>0</v>
      </c>
      <c r="H65" s="115">
        <v>33</v>
      </c>
      <c r="I65" s="194">
        <v>33</v>
      </c>
      <c r="J65" s="116">
        <v>291578</v>
      </c>
      <c r="K65" s="116">
        <v>1562239</v>
      </c>
      <c r="L65" s="116">
        <v>2249689</v>
      </c>
      <c r="M65" s="195">
        <v>1.4144877839691384E-2</v>
      </c>
      <c r="N65" s="195">
        <v>5.0989559764439141E-3</v>
      </c>
      <c r="O65" s="195">
        <v>2.3176608558455981E-2</v>
      </c>
      <c r="P65" s="195">
        <v>5.4066637570789021E-2</v>
      </c>
    </row>
    <row r="66" spans="1:16" ht="22.5" customHeight="1">
      <c r="A66" s="115">
        <v>79</v>
      </c>
      <c r="B66" s="115" t="s">
        <v>11</v>
      </c>
      <c r="C66" s="115" t="s">
        <v>10</v>
      </c>
      <c r="D66" s="115" t="s">
        <v>7</v>
      </c>
      <c r="E66" s="98" t="s">
        <v>1005</v>
      </c>
      <c r="F66" s="115" t="s">
        <v>483</v>
      </c>
      <c r="G66" s="115">
        <v>0</v>
      </c>
      <c r="H66" s="115">
        <v>33</v>
      </c>
      <c r="I66" s="194">
        <v>33</v>
      </c>
      <c r="J66" s="116">
        <v>59306</v>
      </c>
      <c r="K66" s="116">
        <v>1145337</v>
      </c>
      <c r="L66" s="116">
        <v>1247464</v>
      </c>
      <c r="M66" s="195">
        <v>1.0051781906792567E-2</v>
      </c>
      <c r="N66" s="195">
        <v>8.5735193815662824E-4</v>
      </c>
      <c r="O66" s="195">
        <v>1.9909634075945822E-2</v>
      </c>
      <c r="P66" s="195">
        <v>3.4542270145847903E-2</v>
      </c>
    </row>
    <row r="67" spans="1:16" ht="22.5" customHeight="1">
      <c r="A67" s="115">
        <v>80</v>
      </c>
      <c r="B67" s="115" t="s">
        <v>11</v>
      </c>
      <c r="C67" s="115" t="s">
        <v>10</v>
      </c>
      <c r="D67" s="115" t="s">
        <v>7</v>
      </c>
      <c r="E67" s="98" t="s">
        <v>857</v>
      </c>
      <c r="F67" s="115" t="s">
        <v>483</v>
      </c>
      <c r="G67" s="115">
        <v>0</v>
      </c>
      <c r="H67" s="115">
        <v>32</v>
      </c>
      <c r="I67" s="194">
        <v>32</v>
      </c>
      <c r="J67" s="116">
        <v>271449</v>
      </c>
      <c r="K67" s="116">
        <v>1714628</v>
      </c>
      <c r="L67" s="116">
        <v>2576998</v>
      </c>
      <c r="M67" s="195">
        <v>9.7471824550715812E-3</v>
      </c>
      <c r="N67" s="195">
        <v>3.924178434908417E-3</v>
      </c>
      <c r="O67" s="195">
        <v>2.9805739320715938E-2</v>
      </c>
      <c r="P67" s="195">
        <v>7.1357058064448961E-2</v>
      </c>
    </row>
    <row r="68" spans="1:16" ht="22.5" customHeight="1">
      <c r="A68" s="115">
        <v>81</v>
      </c>
      <c r="B68" s="115" t="s">
        <v>11</v>
      </c>
      <c r="C68" s="115" t="s">
        <v>10</v>
      </c>
      <c r="D68" s="115" t="s">
        <v>16</v>
      </c>
      <c r="E68" s="98" t="s">
        <v>906</v>
      </c>
      <c r="F68" s="115" t="s">
        <v>476</v>
      </c>
      <c r="G68" s="115">
        <v>0</v>
      </c>
      <c r="H68" s="115">
        <v>31</v>
      </c>
      <c r="I68" s="194">
        <v>31</v>
      </c>
      <c r="J68" s="116">
        <v>22603</v>
      </c>
      <c r="K68" s="116">
        <v>1375210</v>
      </c>
      <c r="L68" s="116">
        <v>1735436</v>
      </c>
      <c r="M68" s="195">
        <v>1.3287612516073724E-2</v>
      </c>
      <c r="N68" s="195">
        <v>3.9526885408213851E-4</v>
      </c>
      <c r="O68" s="195">
        <v>2.0401938407423093E-2</v>
      </c>
      <c r="P68" s="195">
        <v>4.1707626804993854E-2</v>
      </c>
    </row>
    <row r="69" spans="1:16" ht="22.5" customHeight="1">
      <c r="A69" s="115">
        <v>63</v>
      </c>
      <c r="B69" s="115" t="s">
        <v>11</v>
      </c>
      <c r="C69" s="115" t="s">
        <v>10</v>
      </c>
      <c r="D69" s="115" t="s">
        <v>16</v>
      </c>
      <c r="E69" s="98" t="s">
        <v>895</v>
      </c>
      <c r="F69" s="115" t="s">
        <v>476</v>
      </c>
      <c r="G69" s="115">
        <v>1</v>
      </c>
      <c r="H69" s="115">
        <v>29</v>
      </c>
      <c r="I69" s="194">
        <v>30</v>
      </c>
      <c r="J69" s="116">
        <v>221793</v>
      </c>
      <c r="K69" s="116">
        <v>1006885</v>
      </c>
      <c r="L69" s="116">
        <v>1500570</v>
      </c>
      <c r="M69" s="195">
        <v>1.2858979854264894E-2</v>
      </c>
      <c r="N69" s="195">
        <v>3.8785942110976307E-3</v>
      </c>
      <c r="O69" s="195">
        <v>1.4937650070431572E-2</v>
      </c>
      <c r="P69" s="195">
        <v>3.6063106651452216E-2</v>
      </c>
    </row>
    <row r="70" spans="1:16" ht="22.5" customHeight="1">
      <c r="A70" s="115">
        <v>41</v>
      </c>
      <c r="B70" s="115" t="s">
        <v>67</v>
      </c>
      <c r="C70" s="115" t="s">
        <v>14</v>
      </c>
      <c r="D70" s="115" t="s">
        <v>7</v>
      </c>
      <c r="E70" s="98" t="s">
        <v>123</v>
      </c>
      <c r="F70" s="115" t="s">
        <v>483</v>
      </c>
      <c r="G70" s="115">
        <v>3</v>
      </c>
      <c r="H70" s="115">
        <v>25</v>
      </c>
      <c r="I70" s="194">
        <v>28</v>
      </c>
      <c r="J70" s="116">
        <v>727080</v>
      </c>
      <c r="K70" s="116">
        <v>1319271</v>
      </c>
      <c r="L70" s="116">
        <v>90476</v>
      </c>
      <c r="M70" s="195">
        <v>8.5287846481876331E-3</v>
      </c>
      <c r="N70" s="195">
        <v>1.0510967645683763E-2</v>
      </c>
      <c r="O70" s="195">
        <v>2.2933165397614082E-2</v>
      </c>
      <c r="P70" s="195">
        <v>2.5052798587500199E-3</v>
      </c>
    </row>
    <row r="71" spans="1:16" ht="22.5" customHeight="1">
      <c r="A71" s="115">
        <v>42</v>
      </c>
      <c r="B71" s="115" t="s">
        <v>67</v>
      </c>
      <c r="C71" s="115" t="s">
        <v>14</v>
      </c>
      <c r="D71" s="115" t="s">
        <v>7</v>
      </c>
      <c r="E71" s="98" t="s">
        <v>1018</v>
      </c>
      <c r="F71" s="115" t="s">
        <v>483</v>
      </c>
      <c r="G71" s="115">
        <v>3</v>
      </c>
      <c r="H71" s="115">
        <v>25</v>
      </c>
      <c r="I71" s="194">
        <v>28</v>
      </c>
      <c r="J71" s="116">
        <v>397466</v>
      </c>
      <c r="K71" s="116">
        <v>619799</v>
      </c>
      <c r="L71" s="116">
        <v>82429</v>
      </c>
      <c r="M71" s="195">
        <v>8.5287846481876331E-3</v>
      </c>
      <c r="N71" s="195">
        <v>5.7459320380966921E-3</v>
      </c>
      <c r="O71" s="195">
        <v>1.0774096436801696E-2</v>
      </c>
      <c r="P71" s="195">
        <v>2.282458480446808E-3</v>
      </c>
    </row>
    <row r="72" spans="1:16" ht="22.5" customHeight="1">
      <c r="A72" s="115">
        <v>48</v>
      </c>
      <c r="B72" s="115" t="s">
        <v>67</v>
      </c>
      <c r="C72" s="115" t="s">
        <v>14</v>
      </c>
      <c r="D72" s="115" t="s">
        <v>7</v>
      </c>
      <c r="E72" s="98" t="s">
        <v>942</v>
      </c>
      <c r="F72" s="115" t="s">
        <v>483</v>
      </c>
      <c r="G72" s="115">
        <v>2</v>
      </c>
      <c r="H72" s="115">
        <v>25</v>
      </c>
      <c r="I72" s="194">
        <v>27</v>
      </c>
      <c r="J72" s="116">
        <v>499568</v>
      </c>
      <c r="K72" s="116">
        <v>1104660</v>
      </c>
      <c r="L72" s="116">
        <v>66730</v>
      </c>
      <c r="M72" s="195">
        <v>8.2241851964666469E-3</v>
      </c>
      <c r="N72" s="195">
        <v>7.2219605611747624E-3</v>
      </c>
      <c r="O72" s="195">
        <v>1.9202537225580164E-2</v>
      </c>
      <c r="P72" s="195">
        <v>1.8477532713027636E-3</v>
      </c>
    </row>
    <row r="73" spans="1:16" ht="22.5" customHeight="1">
      <c r="A73" s="115">
        <v>82</v>
      </c>
      <c r="B73" s="115" t="s">
        <v>11</v>
      </c>
      <c r="C73" s="115" t="s">
        <v>10</v>
      </c>
      <c r="D73" s="115" t="s">
        <v>16</v>
      </c>
      <c r="E73" s="98" t="s">
        <v>115</v>
      </c>
      <c r="F73" s="115" t="s">
        <v>476</v>
      </c>
      <c r="G73" s="115">
        <v>0</v>
      </c>
      <c r="H73" s="115">
        <v>27</v>
      </c>
      <c r="I73" s="194">
        <v>27</v>
      </c>
      <c r="J73" s="116">
        <v>167963</v>
      </c>
      <c r="K73" s="116">
        <v>1420905</v>
      </c>
      <c r="L73" s="116">
        <v>1800411</v>
      </c>
      <c r="M73" s="195">
        <v>1.1573081868838405E-2</v>
      </c>
      <c r="N73" s="195">
        <v>2.9372447258416241E-3</v>
      </c>
      <c r="O73" s="195">
        <v>2.1079846927232578E-2</v>
      </c>
      <c r="P73" s="195">
        <v>4.3269166989509139E-2</v>
      </c>
    </row>
    <row r="74" spans="1:16" ht="22.5" customHeight="1">
      <c r="A74" s="115">
        <v>49</v>
      </c>
      <c r="B74" s="115" t="s">
        <v>67</v>
      </c>
      <c r="C74" s="115" t="s">
        <v>14</v>
      </c>
      <c r="D74" s="115" t="s">
        <v>7</v>
      </c>
      <c r="E74" s="98" t="s">
        <v>976</v>
      </c>
      <c r="F74" s="115" t="s">
        <v>483</v>
      </c>
      <c r="G74" s="115">
        <v>2</v>
      </c>
      <c r="H74" s="115">
        <v>24</v>
      </c>
      <c r="I74" s="194">
        <v>26</v>
      </c>
      <c r="J74" s="116">
        <v>480365</v>
      </c>
      <c r="K74" s="116">
        <v>850270</v>
      </c>
      <c r="L74" s="116">
        <v>93054</v>
      </c>
      <c r="M74" s="195">
        <v>7.9195857447456591E-3</v>
      </c>
      <c r="N74" s="195">
        <v>6.9443540918728078E-3</v>
      </c>
      <c r="O74" s="195">
        <v>1.4780422326140213E-2</v>
      </c>
      <c r="P74" s="195">
        <v>2.5766646621880316E-3</v>
      </c>
    </row>
    <row r="75" spans="1:16" ht="22.5" customHeight="1">
      <c r="A75" s="115">
        <v>37</v>
      </c>
      <c r="B75" s="115" t="s">
        <v>67</v>
      </c>
      <c r="C75" s="115" t="s">
        <v>14</v>
      </c>
      <c r="D75" s="115" t="s">
        <v>7</v>
      </c>
      <c r="E75" s="98" t="s">
        <v>836</v>
      </c>
      <c r="F75" s="115" t="s">
        <v>483</v>
      </c>
      <c r="G75" s="115">
        <v>7</v>
      </c>
      <c r="H75" s="115">
        <v>15</v>
      </c>
      <c r="I75" s="194">
        <v>22</v>
      </c>
      <c r="J75" s="116">
        <v>621400</v>
      </c>
      <c r="K75" s="116">
        <v>611605</v>
      </c>
      <c r="L75" s="116">
        <v>58683</v>
      </c>
      <c r="M75" s="195">
        <v>6.7011879378617118E-3</v>
      </c>
      <c r="N75" s="195">
        <v>8.9832140823951842E-3</v>
      </c>
      <c r="O75" s="195">
        <v>1.0631658410597792E-2</v>
      </c>
      <c r="P75" s="195">
        <v>1.6249318929995515E-3</v>
      </c>
    </row>
    <row r="76" spans="1:16" ht="22.5" customHeight="1">
      <c r="A76" s="115">
        <v>38</v>
      </c>
      <c r="B76" s="115" t="s">
        <v>67</v>
      </c>
      <c r="C76" s="115" t="s">
        <v>14</v>
      </c>
      <c r="D76" s="115" t="s">
        <v>16</v>
      </c>
      <c r="E76" s="98" t="s">
        <v>923</v>
      </c>
      <c r="F76" s="115" t="s">
        <v>476</v>
      </c>
      <c r="G76" s="115">
        <v>5</v>
      </c>
      <c r="H76" s="115">
        <v>16</v>
      </c>
      <c r="I76" s="194">
        <v>21</v>
      </c>
      <c r="J76" s="116">
        <v>811188</v>
      </c>
      <c r="K76" s="116">
        <v>1473342</v>
      </c>
      <c r="L76" s="116">
        <v>70663</v>
      </c>
      <c r="M76" s="195">
        <v>9.0012858979854268E-3</v>
      </c>
      <c r="N76" s="195">
        <v>1.4185610370534079E-2</v>
      </c>
      <c r="O76" s="195">
        <v>2.1857776439285315E-2</v>
      </c>
      <c r="P76" s="195">
        <v>1.6982395391828223E-3</v>
      </c>
    </row>
    <row r="77" spans="1:16" ht="22.5" customHeight="1">
      <c r="A77" s="115">
        <v>64</v>
      </c>
      <c r="B77" s="115" t="s">
        <v>67</v>
      </c>
      <c r="C77" s="115" t="s">
        <v>14</v>
      </c>
      <c r="D77" s="115" t="s">
        <v>7</v>
      </c>
      <c r="E77" s="98" t="s">
        <v>85</v>
      </c>
      <c r="F77" s="115" t="s">
        <v>483</v>
      </c>
      <c r="G77" s="115">
        <v>1</v>
      </c>
      <c r="H77" s="115">
        <v>20</v>
      </c>
      <c r="I77" s="194">
        <v>21</v>
      </c>
      <c r="J77" s="116">
        <v>220775</v>
      </c>
      <c r="K77" s="116">
        <v>945361</v>
      </c>
      <c r="L77" s="116">
        <v>77506</v>
      </c>
      <c r="M77" s="195">
        <v>6.3965884861407248E-3</v>
      </c>
      <c r="N77" s="195">
        <v>3.1916142404905001E-3</v>
      </c>
      <c r="O77" s="195">
        <v>1.6433409188448656E-2</v>
      </c>
      <c r="P77" s="195">
        <v>2.1461406420739096E-3</v>
      </c>
    </row>
    <row r="78" spans="1:16" ht="22.5" customHeight="1">
      <c r="A78" s="115">
        <v>43</v>
      </c>
      <c r="B78" s="115" t="s">
        <v>67</v>
      </c>
      <c r="C78" s="115" t="s">
        <v>62</v>
      </c>
      <c r="D78" s="115" t="s">
        <v>7</v>
      </c>
      <c r="E78" s="98" t="s">
        <v>88</v>
      </c>
      <c r="F78" s="115" t="s">
        <v>483</v>
      </c>
      <c r="G78" s="115">
        <v>3</v>
      </c>
      <c r="H78" s="115">
        <v>16</v>
      </c>
      <c r="I78" s="194">
        <v>19</v>
      </c>
      <c r="J78" s="116">
        <v>434789</v>
      </c>
      <c r="K78" s="116">
        <v>894552</v>
      </c>
      <c r="L78" s="116">
        <v>33967</v>
      </c>
      <c r="M78" s="195">
        <v>5.7873895826987508E-3</v>
      </c>
      <c r="N78" s="195">
        <v>6.2854886830874153E-3</v>
      </c>
      <c r="O78" s="195">
        <v>1.5550185650079833E-2</v>
      </c>
      <c r="P78" s="195">
        <v>9.4054601178391976E-4</v>
      </c>
    </row>
    <row r="79" spans="1:16" ht="22.5" customHeight="1">
      <c r="A79" s="115">
        <v>65</v>
      </c>
      <c r="B79" s="115" t="s">
        <v>67</v>
      </c>
      <c r="C79" s="115" t="s">
        <v>14</v>
      </c>
      <c r="D79" s="115" t="s">
        <v>7</v>
      </c>
      <c r="E79" s="98" t="s">
        <v>93</v>
      </c>
      <c r="F79" s="115" t="s">
        <v>483</v>
      </c>
      <c r="G79" s="115">
        <v>1</v>
      </c>
      <c r="H79" s="115">
        <v>18</v>
      </c>
      <c r="I79" s="194">
        <v>19</v>
      </c>
      <c r="J79" s="116">
        <v>58628</v>
      </c>
      <c r="K79" s="116">
        <v>1231528</v>
      </c>
      <c r="L79" s="116">
        <v>24803</v>
      </c>
      <c r="M79" s="195">
        <v>5.7873895826987508E-3</v>
      </c>
      <c r="N79" s="195">
        <v>8.4755049118549221E-4</v>
      </c>
      <c r="O79" s="195">
        <v>2.1407910365491906E-2</v>
      </c>
      <c r="P79" s="195">
        <v>6.8679491065671281E-4</v>
      </c>
    </row>
    <row r="80" spans="1:16" ht="22.5" customHeight="1">
      <c r="A80" s="115">
        <v>66</v>
      </c>
      <c r="B80" s="115" t="s">
        <v>67</v>
      </c>
      <c r="C80" s="115" t="s">
        <v>14</v>
      </c>
      <c r="D80" s="115" t="s">
        <v>16</v>
      </c>
      <c r="E80" s="98" t="s">
        <v>690</v>
      </c>
      <c r="F80" s="115" t="s">
        <v>476</v>
      </c>
      <c r="G80" s="115">
        <v>1</v>
      </c>
      <c r="H80" s="115">
        <v>16</v>
      </c>
      <c r="I80" s="194">
        <v>17</v>
      </c>
      <c r="J80" s="116">
        <v>248777</v>
      </c>
      <c r="K80" s="116">
        <v>1272826</v>
      </c>
      <c r="L80" s="116">
        <v>113310</v>
      </c>
      <c r="M80" s="195">
        <v>7.2867552507501071E-3</v>
      </c>
      <c r="N80" s="195">
        <v>4.350475587841976E-3</v>
      </c>
      <c r="O80" s="195">
        <v>1.8883019797243116E-2</v>
      </c>
      <c r="P80" s="195">
        <v>2.7231722709877251E-3</v>
      </c>
    </row>
    <row r="81" spans="1:16" ht="22.5" customHeight="1">
      <c r="A81" s="115">
        <v>83</v>
      </c>
      <c r="B81" s="115" t="s">
        <v>67</v>
      </c>
      <c r="C81" s="115" t="s">
        <v>794</v>
      </c>
      <c r="D81" s="115" t="s">
        <v>16</v>
      </c>
      <c r="E81" s="98" t="s">
        <v>829</v>
      </c>
      <c r="F81" s="115" t="s">
        <v>476</v>
      </c>
      <c r="G81" s="115">
        <v>0</v>
      </c>
      <c r="H81" s="115">
        <v>16</v>
      </c>
      <c r="I81" s="194">
        <v>16</v>
      </c>
      <c r="J81" s="116">
        <v>37001</v>
      </c>
      <c r="K81" s="116">
        <v>1242494</v>
      </c>
      <c r="L81" s="116">
        <v>71075</v>
      </c>
      <c r="M81" s="195">
        <v>6.8581225889412772E-3</v>
      </c>
      <c r="N81" s="195">
        <v>6.4705317302540409E-4</v>
      </c>
      <c r="O81" s="195">
        <v>1.8433029180701676E-2</v>
      </c>
      <c r="P81" s="195">
        <v>1.7081411098795565E-3</v>
      </c>
    </row>
    <row r="82" spans="1:16" ht="22.5" customHeight="1">
      <c r="A82" s="115">
        <v>67</v>
      </c>
      <c r="B82" s="115" t="s">
        <v>67</v>
      </c>
      <c r="C82" s="115" t="s">
        <v>14</v>
      </c>
      <c r="D82" s="115" t="s">
        <v>16</v>
      </c>
      <c r="E82" s="98" t="s">
        <v>933</v>
      </c>
      <c r="F82" s="115" t="s">
        <v>476</v>
      </c>
      <c r="G82" s="115">
        <v>1</v>
      </c>
      <c r="H82" s="115">
        <v>14</v>
      </c>
      <c r="I82" s="194">
        <v>15</v>
      </c>
      <c r="J82" s="116">
        <v>335247</v>
      </c>
      <c r="K82" s="116">
        <v>1527927</v>
      </c>
      <c r="L82" s="116">
        <v>105612</v>
      </c>
      <c r="M82" s="195">
        <v>6.4294899271324472E-3</v>
      </c>
      <c r="N82" s="195">
        <v>5.8626154724804097E-3</v>
      </c>
      <c r="O82" s="195">
        <v>2.2667572621664144E-2</v>
      </c>
      <c r="P82" s="195">
        <v>2.5381667097657363E-3</v>
      </c>
    </row>
    <row r="83" spans="1:16" ht="22.5" customHeight="1">
      <c r="A83" s="115">
        <v>84</v>
      </c>
      <c r="B83" s="115" t="s">
        <v>67</v>
      </c>
      <c r="C83" s="115" t="s">
        <v>14</v>
      </c>
      <c r="D83" s="115" t="s">
        <v>16</v>
      </c>
      <c r="E83" s="98" t="s">
        <v>931</v>
      </c>
      <c r="F83" s="115" t="s">
        <v>476</v>
      </c>
      <c r="G83" s="115">
        <v>0</v>
      </c>
      <c r="H83" s="115">
        <v>15</v>
      </c>
      <c r="I83" s="194">
        <v>15</v>
      </c>
      <c r="J83" s="116">
        <v>227985</v>
      </c>
      <c r="K83" s="116">
        <v>953519</v>
      </c>
      <c r="L83" s="116">
        <v>94496</v>
      </c>
      <c r="M83" s="195">
        <v>6.4294899271324472E-3</v>
      </c>
      <c r="N83" s="195">
        <v>3.9868765074510615E-3</v>
      </c>
      <c r="O83" s="195">
        <v>1.4145938371817877E-2</v>
      </c>
      <c r="P83" s="195">
        <v>2.2710165644625898E-3</v>
      </c>
    </row>
    <row r="84" spans="1:16" ht="22.5" customHeight="1">
      <c r="A84" s="115">
        <v>85</v>
      </c>
      <c r="B84" s="115" t="s">
        <v>67</v>
      </c>
      <c r="C84" s="115" t="s">
        <v>14</v>
      </c>
      <c r="D84" s="115" t="s">
        <v>7</v>
      </c>
      <c r="E84" s="98" t="s">
        <v>57</v>
      </c>
      <c r="F84" s="115" t="s">
        <v>483</v>
      </c>
      <c r="G84" s="115">
        <v>0</v>
      </c>
      <c r="H84" s="115">
        <v>14</v>
      </c>
      <c r="I84" s="194">
        <v>14</v>
      </c>
      <c r="J84" s="116">
        <v>310881</v>
      </c>
      <c r="K84" s="116">
        <v>695893</v>
      </c>
      <c r="L84" s="116">
        <v>13074</v>
      </c>
      <c r="M84" s="195">
        <v>4.2643923240938165E-3</v>
      </c>
      <c r="N84" s="195">
        <v>4.4942236516721879E-3</v>
      </c>
      <c r="O84" s="195">
        <v>1.2096854450709411E-2</v>
      </c>
      <c r="P84" s="195">
        <v>3.6201897600797738E-4</v>
      </c>
    </row>
    <row r="85" spans="1:16" ht="22.5" customHeight="1">
      <c r="A85" s="115">
        <v>86</v>
      </c>
      <c r="B85" s="115" t="s">
        <v>67</v>
      </c>
      <c r="C85" s="115" t="s">
        <v>14</v>
      </c>
      <c r="D85" s="115" t="s">
        <v>7</v>
      </c>
      <c r="E85" s="98" t="s">
        <v>109</v>
      </c>
      <c r="F85" s="115" t="s">
        <v>483</v>
      </c>
      <c r="G85" s="115">
        <v>0</v>
      </c>
      <c r="H85" s="115">
        <v>14</v>
      </c>
      <c r="I85" s="194">
        <v>14</v>
      </c>
      <c r="J85" s="116">
        <v>265030</v>
      </c>
      <c r="K85" s="116">
        <v>937358</v>
      </c>
      <c r="L85" s="116">
        <v>44483</v>
      </c>
      <c r="M85" s="195">
        <v>4.2643923240938165E-3</v>
      </c>
      <c r="N85" s="195">
        <v>3.8313827297347855E-3</v>
      </c>
      <c r="O85" s="195">
        <v>1.6294291355435496E-2</v>
      </c>
      <c r="P85" s="195">
        <v>1.2317339842253983E-3</v>
      </c>
    </row>
    <row r="86" spans="1:16" ht="22.5" customHeight="1">
      <c r="A86" s="115">
        <v>68</v>
      </c>
      <c r="B86" s="115" t="s">
        <v>67</v>
      </c>
      <c r="C86" s="115" t="s">
        <v>14</v>
      </c>
      <c r="D86" s="115" t="s">
        <v>16</v>
      </c>
      <c r="E86" s="98" t="s">
        <v>900</v>
      </c>
      <c r="F86" s="115" t="s">
        <v>476</v>
      </c>
      <c r="G86" s="115">
        <v>1</v>
      </c>
      <c r="H86" s="115">
        <v>10</v>
      </c>
      <c r="I86" s="194">
        <v>11</v>
      </c>
      <c r="J86" s="116">
        <v>189658</v>
      </c>
      <c r="K86" s="116">
        <v>1210213</v>
      </c>
      <c r="L86" s="116">
        <v>88560</v>
      </c>
      <c r="M86" s="195">
        <v>4.7149592798971284E-3</v>
      </c>
      <c r="N86" s="195">
        <v>3.3166349744507468E-3</v>
      </c>
      <c r="O86" s="195">
        <v>1.7954124159846659E-2</v>
      </c>
      <c r="P86" s="195">
        <v>2.1283570410261486E-3</v>
      </c>
    </row>
    <row r="87" spans="1:16" ht="22.5" customHeight="1">
      <c r="A87" s="115">
        <v>87</v>
      </c>
      <c r="B87" s="115" t="s">
        <v>67</v>
      </c>
      <c r="C87" s="115" t="s">
        <v>14</v>
      </c>
      <c r="D87" s="115" t="s">
        <v>16</v>
      </c>
      <c r="E87" s="98" t="s">
        <v>111</v>
      </c>
      <c r="F87" s="115" t="s">
        <v>476</v>
      </c>
      <c r="G87" s="115">
        <v>0</v>
      </c>
      <c r="H87" s="115">
        <v>11</v>
      </c>
      <c r="I87" s="194">
        <v>11</v>
      </c>
      <c r="J87" s="116">
        <v>86430</v>
      </c>
      <c r="K87" s="116">
        <v>929747</v>
      </c>
      <c r="L87" s="116">
        <v>39483</v>
      </c>
      <c r="M87" s="195">
        <v>4.7149592798971284E-3</v>
      </c>
      <c r="N87" s="195">
        <v>1.5114403865999749E-3</v>
      </c>
      <c r="O87" s="195">
        <v>1.3793268685136379E-2</v>
      </c>
      <c r="P87" s="195">
        <v>9.4889251412415797E-4</v>
      </c>
    </row>
    <row r="88" spans="1:16" ht="22.5" customHeight="1">
      <c r="A88" s="115">
        <v>88</v>
      </c>
      <c r="B88" s="115" t="s">
        <v>67</v>
      </c>
      <c r="C88" s="115" t="s">
        <v>794</v>
      </c>
      <c r="D88" s="115" t="s">
        <v>16</v>
      </c>
      <c r="E88" s="98" t="s">
        <v>89</v>
      </c>
      <c r="F88" s="115" t="s">
        <v>476</v>
      </c>
      <c r="G88" s="115">
        <v>0</v>
      </c>
      <c r="H88" s="115">
        <v>10</v>
      </c>
      <c r="I88" s="194">
        <v>10</v>
      </c>
      <c r="J88" s="116">
        <v>322503</v>
      </c>
      <c r="K88" s="116">
        <v>841965</v>
      </c>
      <c r="L88" s="116">
        <v>47659</v>
      </c>
      <c r="M88" s="195">
        <v>4.2863266180882984E-3</v>
      </c>
      <c r="N88" s="195">
        <v>5.639755397427418E-3</v>
      </c>
      <c r="O88" s="195">
        <v>1.2490978156940384E-2</v>
      </c>
      <c r="P88" s="195">
        <v>1.1453858199894447E-3</v>
      </c>
    </row>
    <row r="89" spans="1:16" ht="22.5" customHeight="1">
      <c r="A89" s="115">
        <v>89</v>
      </c>
      <c r="B89" s="115" t="s">
        <v>11</v>
      </c>
      <c r="C89" s="115" t="s">
        <v>10</v>
      </c>
      <c r="D89" s="115" t="s">
        <v>16</v>
      </c>
      <c r="E89" s="98" t="s">
        <v>945</v>
      </c>
      <c r="F89" s="115" t="s">
        <v>476</v>
      </c>
      <c r="G89" s="115">
        <v>0</v>
      </c>
      <c r="H89" s="115">
        <v>10</v>
      </c>
      <c r="I89" s="194">
        <v>10</v>
      </c>
      <c r="J89" s="116">
        <v>301191</v>
      </c>
      <c r="K89" s="116">
        <v>1757112</v>
      </c>
      <c r="L89" s="116">
        <v>3177232</v>
      </c>
      <c r="M89" s="195">
        <v>4.2863266180882984E-3</v>
      </c>
      <c r="N89" s="195">
        <v>5.2670628425365391E-3</v>
      </c>
      <c r="O89" s="195">
        <v>2.6067648431107981E-2</v>
      </c>
      <c r="P89" s="195">
        <v>7.6358221524092065E-2</v>
      </c>
    </row>
    <row r="90" spans="1:16" ht="22.5" customHeight="1">
      <c r="A90" s="115">
        <v>90</v>
      </c>
      <c r="B90" s="115" t="s">
        <v>67</v>
      </c>
      <c r="C90" s="115" t="s">
        <v>62</v>
      </c>
      <c r="D90" s="115" t="s">
        <v>7</v>
      </c>
      <c r="E90" s="98" t="s">
        <v>114</v>
      </c>
      <c r="F90" s="115" t="s">
        <v>483</v>
      </c>
      <c r="G90" s="115">
        <v>0</v>
      </c>
      <c r="H90" s="115">
        <v>10</v>
      </c>
      <c r="I90" s="194">
        <v>10</v>
      </c>
      <c r="J90" s="116">
        <v>175317</v>
      </c>
      <c r="K90" s="116">
        <v>181650</v>
      </c>
      <c r="L90" s="116">
        <v>24472</v>
      </c>
      <c r="M90" s="195">
        <v>3.0459945172098689E-3</v>
      </c>
      <c r="N90" s="195">
        <v>2.5344546882576065E-3</v>
      </c>
      <c r="O90" s="195">
        <v>3.1576601732900959E-3</v>
      </c>
      <c r="P90" s="195">
        <v>6.776295227831744E-4</v>
      </c>
    </row>
    <row r="91" spans="1:16" ht="22.5" customHeight="1">
      <c r="A91" s="115">
        <v>91</v>
      </c>
      <c r="B91" s="115" t="s">
        <v>67</v>
      </c>
      <c r="C91" s="115" t="s">
        <v>14</v>
      </c>
      <c r="D91" s="115" t="s">
        <v>16</v>
      </c>
      <c r="E91" s="98" t="s">
        <v>13</v>
      </c>
      <c r="F91" s="115" t="s">
        <v>476</v>
      </c>
      <c r="G91" s="115">
        <v>0</v>
      </c>
      <c r="H91" s="115">
        <v>10</v>
      </c>
      <c r="I91" s="194">
        <v>10</v>
      </c>
      <c r="J91" s="116">
        <v>169461</v>
      </c>
      <c r="K91" s="116">
        <v>1398551</v>
      </c>
      <c r="L91" s="116">
        <v>110206</v>
      </c>
      <c r="M91" s="195">
        <v>4.2863266180882984E-3</v>
      </c>
      <c r="N91" s="195">
        <v>2.9634409273819086E-3</v>
      </c>
      <c r="O91" s="195">
        <v>2.0748213990328734E-2</v>
      </c>
      <c r="P91" s="195">
        <v>2.6485740296220387E-3</v>
      </c>
    </row>
    <row r="92" spans="1:16" ht="22.5" customHeight="1">
      <c r="A92" s="115">
        <v>50</v>
      </c>
      <c r="B92" s="115" t="s">
        <v>67</v>
      </c>
      <c r="C92" s="115" t="s">
        <v>794</v>
      </c>
      <c r="D92" s="115" t="s">
        <v>16</v>
      </c>
      <c r="E92" s="98" t="s">
        <v>1009</v>
      </c>
      <c r="F92" s="115" t="s">
        <v>476</v>
      </c>
      <c r="G92" s="115">
        <v>2</v>
      </c>
      <c r="H92" s="115">
        <v>7</v>
      </c>
      <c r="I92" s="194">
        <v>9</v>
      </c>
      <c r="J92" s="116">
        <v>329142</v>
      </c>
      <c r="K92" s="116">
        <v>1180513</v>
      </c>
      <c r="L92" s="116">
        <v>15273</v>
      </c>
      <c r="M92" s="195">
        <v>3.8576939562794685E-3</v>
      </c>
      <c r="N92" s="195">
        <v>5.7558545843606262E-3</v>
      </c>
      <c r="O92" s="195">
        <v>1.7513509584108796E-2</v>
      </c>
      <c r="P92" s="195">
        <v>3.6705507099810716E-4</v>
      </c>
    </row>
    <row r="93" spans="1:16" ht="22.5" customHeight="1">
      <c r="A93" s="115">
        <v>92</v>
      </c>
      <c r="B93" s="115" t="s">
        <v>67</v>
      </c>
      <c r="C93" s="115" t="s">
        <v>14</v>
      </c>
      <c r="D93" s="115" t="s">
        <v>16</v>
      </c>
      <c r="E93" s="98" t="s">
        <v>796</v>
      </c>
      <c r="F93" s="115" t="s">
        <v>476</v>
      </c>
      <c r="G93" s="115">
        <v>0</v>
      </c>
      <c r="H93" s="115">
        <v>9</v>
      </c>
      <c r="I93" s="194">
        <v>9</v>
      </c>
      <c r="J93" s="116">
        <v>106955</v>
      </c>
      <c r="K93" s="116">
        <v>1660270</v>
      </c>
      <c r="L93" s="116">
        <v>73183</v>
      </c>
      <c r="M93" s="195">
        <v>3.8576939562794685E-3</v>
      </c>
      <c r="N93" s="195">
        <v>1.8703703175841759E-3</v>
      </c>
      <c r="O93" s="195">
        <v>2.463094820405054E-2</v>
      </c>
      <c r="P93" s="195">
        <v>1.7588025444152738E-3</v>
      </c>
    </row>
    <row r="94" spans="1:16" ht="22.5" customHeight="1">
      <c r="A94" s="115">
        <v>93</v>
      </c>
      <c r="B94" s="115" t="s">
        <v>67</v>
      </c>
      <c r="C94" s="115" t="s">
        <v>14</v>
      </c>
      <c r="D94" s="115" t="s">
        <v>16</v>
      </c>
      <c r="E94" s="98" t="s">
        <v>83</v>
      </c>
      <c r="F94" s="115" t="s">
        <v>476</v>
      </c>
      <c r="G94" s="115">
        <v>0</v>
      </c>
      <c r="H94" s="115">
        <v>8</v>
      </c>
      <c r="I94" s="194">
        <v>8</v>
      </c>
      <c r="J94" s="116">
        <v>120821</v>
      </c>
      <c r="K94" s="116">
        <v>927222</v>
      </c>
      <c r="L94" s="116">
        <v>59704</v>
      </c>
      <c r="M94" s="195">
        <v>3.4290612944706386E-3</v>
      </c>
      <c r="N94" s="195">
        <v>2.1128513126159386E-3</v>
      </c>
      <c r="O94" s="195">
        <v>1.375580902844486E-2</v>
      </c>
      <c r="P94" s="195">
        <v>1.4348625652374119E-3</v>
      </c>
    </row>
    <row r="95" spans="1:16" ht="22.5" customHeight="1">
      <c r="A95" s="115">
        <v>94</v>
      </c>
      <c r="B95" s="115" t="s">
        <v>11</v>
      </c>
      <c r="C95" s="115" t="s">
        <v>10</v>
      </c>
      <c r="D95" s="115" t="s">
        <v>16</v>
      </c>
      <c r="E95" s="98" t="s">
        <v>683</v>
      </c>
      <c r="F95" s="115" t="s">
        <v>476</v>
      </c>
      <c r="G95" s="115">
        <v>0</v>
      </c>
      <c r="H95" s="115">
        <v>7</v>
      </c>
      <c r="I95" s="194">
        <v>7</v>
      </c>
      <c r="J95" s="116">
        <v>210933</v>
      </c>
      <c r="K95" s="116">
        <v>2003557</v>
      </c>
      <c r="L95" s="116">
        <v>2526671</v>
      </c>
      <c r="M95" s="195">
        <v>3.0004286326618087E-3</v>
      </c>
      <c r="N95" s="195">
        <v>3.6886804936560511E-3</v>
      </c>
      <c r="O95" s="195">
        <v>2.9723785101738204E-2</v>
      </c>
      <c r="P95" s="195">
        <v>6.0723328965747295E-2</v>
      </c>
    </row>
    <row r="96" spans="1:16" ht="22.5" customHeight="1">
      <c r="A96" s="115">
        <v>95</v>
      </c>
      <c r="B96" s="115" t="s">
        <v>67</v>
      </c>
      <c r="C96" s="115" t="s">
        <v>14</v>
      </c>
      <c r="D96" s="115" t="s">
        <v>16</v>
      </c>
      <c r="E96" s="98" t="s">
        <v>35</v>
      </c>
      <c r="F96" s="115" t="s">
        <v>476</v>
      </c>
      <c r="G96" s="115">
        <v>0</v>
      </c>
      <c r="H96" s="115">
        <v>7</v>
      </c>
      <c r="I96" s="194">
        <v>7</v>
      </c>
      <c r="J96" s="116">
        <v>101090</v>
      </c>
      <c r="K96" s="116">
        <v>1004014</v>
      </c>
      <c r="L96" s="116">
        <v>37164</v>
      </c>
      <c r="M96" s="195">
        <v>3.0004286326618087E-3</v>
      </c>
      <c r="N96" s="195">
        <v>1.7678064176951459E-3</v>
      </c>
      <c r="O96" s="195">
        <v>1.4895057328110245E-2</v>
      </c>
      <c r="P96" s="195">
        <v>8.9316012954715213E-4</v>
      </c>
    </row>
    <row r="97" spans="1:16" ht="22.5" customHeight="1">
      <c r="A97" s="115">
        <v>96</v>
      </c>
      <c r="B97" s="115" t="s">
        <v>67</v>
      </c>
      <c r="C97" s="115" t="s">
        <v>70</v>
      </c>
      <c r="D97" s="115" t="s">
        <v>7</v>
      </c>
      <c r="E97" s="98" t="s">
        <v>64</v>
      </c>
      <c r="F97" s="115" t="s">
        <v>483</v>
      </c>
      <c r="G97" s="115">
        <v>0</v>
      </c>
      <c r="H97" s="115">
        <v>6</v>
      </c>
      <c r="I97" s="194">
        <v>6</v>
      </c>
      <c r="J97" s="116">
        <v>97738</v>
      </c>
      <c r="K97" s="116">
        <v>443425</v>
      </c>
      <c r="L97" s="116">
        <v>20364</v>
      </c>
      <c r="M97" s="195">
        <v>1.8275967103259215E-3</v>
      </c>
      <c r="N97" s="195">
        <v>1.4129407434585461E-3</v>
      </c>
      <c r="O97" s="195">
        <v>7.7081500817019581E-3</v>
      </c>
      <c r="P97" s="195">
        <v>5.6387902917442642E-4</v>
      </c>
    </row>
    <row r="98" spans="1:16" ht="22.5" hidden="1" customHeight="1">
      <c r="A98" s="115"/>
      <c r="B98" s="115" t="e">
        <f>VLOOKUP(C98,Lists!I:J,2,FALSE)</f>
        <v>#N/A</v>
      </c>
      <c r="C98" s="115" t="e">
        <f>VLOOKUP(E98,Lists!E:F,2,FALSE)</f>
        <v>#N/A</v>
      </c>
      <c r="D98" s="115"/>
      <c r="E98" s="98"/>
      <c r="F98" s="115"/>
      <c r="G98" s="115"/>
      <c r="H98" s="115"/>
      <c r="I98" s="194">
        <f t="shared" ref="I98:I103" si="0">SUM(G98:H98)</f>
        <v>0</v>
      </c>
      <c r="J98" s="116"/>
      <c r="K98" s="116"/>
      <c r="L98" s="116"/>
      <c r="M98" s="116"/>
      <c r="N98" s="116"/>
      <c r="O98" s="116"/>
      <c r="P98" s="116"/>
    </row>
    <row r="99" spans="1:16" ht="22.5" hidden="1" customHeight="1">
      <c r="A99" s="115"/>
      <c r="B99" s="115" t="e">
        <f>VLOOKUP(C99,Lists!I:J,2,FALSE)</f>
        <v>#N/A</v>
      </c>
      <c r="C99" s="115" t="e">
        <f>VLOOKUP(E99,Lists!E:F,2,FALSE)</f>
        <v>#N/A</v>
      </c>
      <c r="D99" s="115"/>
      <c r="E99" s="98"/>
      <c r="F99" s="115"/>
      <c r="G99" s="115"/>
      <c r="H99" s="115"/>
      <c r="I99" s="194">
        <f t="shared" si="0"/>
        <v>0</v>
      </c>
      <c r="J99" s="116"/>
      <c r="K99" s="116"/>
      <c r="L99" s="116"/>
      <c r="M99" s="116"/>
      <c r="N99" s="116"/>
      <c r="O99" s="116"/>
      <c r="P99" s="116"/>
    </row>
    <row r="100" spans="1:16" ht="22.5" hidden="1" customHeight="1">
      <c r="A100" s="115"/>
      <c r="B100" s="115" t="e">
        <f>VLOOKUP(C100,Lists!I:J,2,FALSE)</f>
        <v>#N/A</v>
      </c>
      <c r="C100" s="115" t="e">
        <f>VLOOKUP(E100,Lists!E:F,2,FALSE)</f>
        <v>#N/A</v>
      </c>
      <c r="D100" s="115"/>
      <c r="E100" s="98"/>
      <c r="F100" s="115"/>
      <c r="G100" s="115"/>
      <c r="H100" s="115"/>
      <c r="I100" s="194">
        <f t="shared" si="0"/>
        <v>0</v>
      </c>
      <c r="J100" s="116"/>
      <c r="K100" s="116"/>
      <c r="L100" s="116"/>
      <c r="M100" s="116"/>
      <c r="N100" s="116"/>
      <c r="O100" s="116"/>
      <c r="P100" s="116"/>
    </row>
    <row r="101" spans="1:16" ht="22.5" hidden="1" customHeight="1">
      <c r="A101" s="115"/>
      <c r="B101" s="115" t="e">
        <f>VLOOKUP(C101,Lists!I:J,2,FALSE)</f>
        <v>#N/A</v>
      </c>
      <c r="C101" s="115" t="e">
        <f>VLOOKUP(E101,Lists!E:F,2,FALSE)</f>
        <v>#N/A</v>
      </c>
      <c r="D101" s="115"/>
      <c r="E101" s="98"/>
      <c r="F101" s="115"/>
      <c r="G101" s="115"/>
      <c r="H101" s="115"/>
      <c r="I101" s="194">
        <f t="shared" si="0"/>
        <v>0</v>
      </c>
      <c r="J101" s="116"/>
      <c r="K101" s="116"/>
      <c r="L101" s="116"/>
      <c r="M101" s="116"/>
      <c r="N101" s="116"/>
      <c r="O101" s="116"/>
      <c r="P101" s="116"/>
    </row>
    <row r="102" spans="1:16" ht="22.5" hidden="1" customHeight="1">
      <c r="A102" s="115"/>
      <c r="B102" s="115" t="e">
        <f>VLOOKUP(C102,Lists!I:J,2,FALSE)</f>
        <v>#N/A</v>
      </c>
      <c r="C102" s="115" t="e">
        <f>VLOOKUP(E102,Lists!E:F,2,FALSE)</f>
        <v>#N/A</v>
      </c>
      <c r="D102" s="115"/>
      <c r="E102" s="98"/>
      <c r="F102" s="115"/>
      <c r="G102" s="115"/>
      <c r="H102" s="115"/>
      <c r="I102" s="194">
        <f t="shared" si="0"/>
        <v>0</v>
      </c>
      <c r="J102" s="116"/>
      <c r="K102" s="116"/>
      <c r="L102" s="116"/>
      <c r="M102" s="116"/>
      <c r="N102" s="116"/>
      <c r="O102" s="116"/>
      <c r="P102" s="116"/>
    </row>
    <row r="103" spans="1:16" ht="22.5" hidden="1" customHeight="1">
      <c r="A103" s="115"/>
      <c r="B103" s="115" t="e">
        <f>VLOOKUP(C103,Lists!I:J,2,FALSE)</f>
        <v>#N/A</v>
      </c>
      <c r="C103" s="115" t="e">
        <f>VLOOKUP(E103,Lists!E:F,2,FALSE)</f>
        <v>#N/A</v>
      </c>
      <c r="D103" s="115"/>
      <c r="E103" s="98"/>
      <c r="F103" s="115"/>
      <c r="G103" s="115"/>
      <c r="H103" s="115"/>
      <c r="I103" s="194">
        <f t="shared" si="0"/>
        <v>0</v>
      </c>
      <c r="J103" s="116"/>
      <c r="K103" s="116"/>
      <c r="L103" s="116"/>
      <c r="M103" s="116"/>
      <c r="N103" s="116"/>
      <c r="O103" s="116"/>
      <c r="P103" s="116"/>
    </row>
  </sheetData>
  <mergeCells count="9">
    <mergeCell ref="R31:T31"/>
    <mergeCell ref="R39:T39"/>
    <mergeCell ref="R2:T2"/>
    <mergeCell ref="V2:W2"/>
    <mergeCell ref="Y2:Z2"/>
    <mergeCell ref="R15:T15"/>
    <mergeCell ref="V15:W15"/>
    <mergeCell ref="Y15:Z15"/>
    <mergeCell ref="R23:T23"/>
  </mergeCells>
  <dataValidations count="4">
    <dataValidation type="list" allowBlank="1" sqref="B2:D103" xr:uid="{00000000-0002-0000-2B00-000000000000}">
      <formula1>#REF!</formula1>
    </dataValidation>
    <dataValidation type="list" allowBlank="1" sqref="F2:F103" xr:uid="{00000000-0002-0000-2B00-000002000000}">
      <formula1>"Red,Yellow"</formula1>
    </dataValidation>
    <dataValidation type="custom" allowBlank="1" showDropDown="1" sqref="S4:T13 S17:T21 S25:T29 S33:T37 S41:T45 A2:A103 G2:L103" xr:uid="{00000000-0002-0000-2B00-000003000000}">
      <formula1>AND(ISNUMBER(A2),(NOT(OR(NOT(ISERROR(DATEVALUE(A2))), AND(ISNUMBER(A2), LEFT(CELL("format", A2))="D")))))</formula1>
    </dataValidation>
    <dataValidation allowBlank="1" showDropDown="1" sqref="E2:E103" xr:uid="{00000000-0002-0000-2B00-000004000000}"/>
  </dataValidation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Lists</vt:lpstr>
      <vt:lpstr>House R m UC 2 Aelon 2242026</vt:lpstr>
      <vt:lpstr>House R m UC Aden 1 2242026</vt:lpstr>
      <vt:lpstr>House R v HR aelon 2 2182026</vt:lpstr>
      <vt:lpstr>House R v HR moro 1 2182026</vt:lpstr>
      <vt:lpstr>BR m Unhinged Pakilo 2 2172026</vt:lpstr>
      <vt:lpstr>BR m Unhinged Kowa 1 2172026</vt:lpstr>
      <vt:lpstr>BR v Highly Regarded 2 Cherno 2</vt:lpstr>
      <vt:lpstr>BR v Highly Regarded 1 Talus 21</vt:lpstr>
      <vt:lpstr>BR m Undercooked Aden 2 2112026</vt:lpstr>
      <vt:lpstr>BR m Undercooked Talus 1 211202</vt:lpstr>
      <vt:lpstr>BR v HR Diagon 2 242026</vt:lpstr>
      <vt:lpstr>BR v HR Morokai 242026</vt:lpstr>
      <vt:lpstr>BR v HR Adentus 1 212026</vt:lpstr>
      <vt:lpstr>BR m Unhinged Adentus 1272026</vt:lpstr>
      <vt:lpstr>BR v HR 2 Moro 1262026</vt:lpstr>
      <vt:lpstr>BR v HR 1 Talus 1262026</vt:lpstr>
      <vt:lpstr>BR v HR Ahz 1252026</vt:lpstr>
      <vt:lpstr>FTP v Unhinged Ahz 1142026</vt:lpstr>
      <vt:lpstr>FTP m Undercooked 162026 Aden</vt:lpstr>
      <vt:lpstr>FTP m Undercooked 162026 Cherno</vt:lpstr>
      <vt:lpstr>FTP vs Gravity 11122025</vt:lpstr>
      <vt:lpstr>FTP vs Unhinged Ahz 11112025</vt:lpstr>
      <vt:lpstr>FTP vs Cursed Moro 11102025</vt:lpstr>
      <vt:lpstr>FTP vs Gravity | Ahz | 110525</vt:lpstr>
      <vt:lpstr>FTP vs Gravity | Talus | 110525</vt:lpstr>
      <vt:lpstr>FTP vs Wolves | Kowa | 102925</vt:lpstr>
      <vt:lpstr>FTP vs Wolves | Ahzreil | 10292</vt:lpstr>
      <vt:lpstr>FTP vs Infamy| Ahzreil | 102225</vt:lpstr>
      <vt:lpstr>FTP vs Infamy| Aelon | 102225</vt:lpstr>
      <vt:lpstr>FTP vs Wolves | Adentus | 10212</vt:lpstr>
      <vt:lpstr>FTP vs Wolves | Morokai | 10212</vt:lpstr>
      <vt:lpstr>FTP vs Dwagon | Paki | 101525</vt:lpstr>
      <vt:lpstr>FTP vs Dwagon | Adentus | 10152</vt:lpstr>
      <vt:lpstr>FTP vs Infwamy | Adentus | 1001</vt:lpstr>
      <vt:lpstr>FTP vs Infwamy | Azh | 100125</vt:lpstr>
      <vt:lpstr>FTP vs Blank | Morokai | 093025</vt:lpstr>
      <vt:lpstr>FTP vs Blank | Talus | 093025</vt:lpstr>
      <vt:lpstr>FTP vs Blank | Kowa | 092125</vt:lpstr>
      <vt:lpstr>FTP vs Blank | Azh | 092125</vt:lpstr>
      <vt:lpstr>FTP vs Wolves | Talus | 091525</vt:lpstr>
      <vt:lpstr>FTP vs Wolves | Kowa | 091525</vt:lpstr>
      <vt:lpstr>FTP vs Sp00ky | Talus | 091025</vt:lpstr>
      <vt:lpstr>FTP vs Sp00ky | Cherno | 091025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Christine Yu</cp:lastModifiedBy>
  <dcterms:modified xsi:type="dcterms:W3CDTF">2026-02-27T18:45:59Z</dcterms:modified>
</cp:coreProperties>
</file>